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23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xl/customProperty19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ustomProperty18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Sch. 141N &amp; 141R Rates Subject to Refund\2023\Cost of Service Filed 4-28-23\"/>
    </mc:Choice>
  </mc:AlternateContent>
  <bookViews>
    <workbookView xWindow="0" yWindow="0" windowWidth="20220" windowHeight="10965" tabRatio="837"/>
  </bookViews>
  <sheets>
    <sheet name="Table of Contents" sheetId="139" r:id="rId1"/>
    <sheet name="Overall Rate Impacts--&gt;" sheetId="126" r:id="rId2"/>
    <sheet name="Rate Impacts_RY#1" sheetId="102" r:id="rId3"/>
    <sheet name="Rate Impacts_RY#2" sheetId="112" r:id="rId4"/>
    <sheet name="Rate Impacts_RY#3" sheetId="113" r:id="rId5"/>
    <sheet name="Res. Bill Impacts--&gt;" sheetId="127" r:id="rId6"/>
    <sheet name="Res Bill Summary" sheetId="134" r:id="rId7"/>
    <sheet name="Typical Res Bill Impacts--&gt;" sheetId="128" r:id="rId8"/>
    <sheet name="Typical Res Bill_RY#1 " sheetId="103" r:id="rId9"/>
    <sheet name="Typical Res Bill_RY#2" sheetId="117" r:id="rId10"/>
    <sheet name="Typical Res Bill_RY#3" sheetId="118" r:id="rId11"/>
    <sheet name="Avg Per Therm Impacts--&gt;" sheetId="129" r:id="rId12"/>
    <sheet name="Avg Per Therm_RY#1 " sheetId="104" r:id="rId13"/>
    <sheet name="Avg Per Therm_RY#2" sheetId="114" r:id="rId14"/>
    <sheet name="Avg Per Therm_RY#3" sheetId="115" r:id="rId15"/>
    <sheet name="Work Papers--&gt;" sheetId="51" r:id="rId16"/>
    <sheet name="Revenue Calculations--&gt;" sheetId="105" r:id="rId17"/>
    <sheet name="Revenue by Sch_RY#1" sheetId="111" r:id="rId18"/>
    <sheet name="Revenue by Sch_RY#2" sheetId="124" r:id="rId19"/>
    <sheet name="Revenue by Sch_RY#3" sheetId="130" r:id="rId20"/>
    <sheet name="Rider Revenue Calculation--&gt;" sheetId="28" r:id="rId21"/>
    <sheet name="Sch. 101" sheetId="60" r:id="rId22"/>
    <sheet name="Sch. 106" sheetId="24" r:id="rId23"/>
    <sheet name="Sch. 120" sheetId="25" r:id="rId24"/>
    <sheet name="Sch. 129" sheetId="11" r:id="rId25"/>
    <sheet name="Sch. 140" sheetId="21" r:id="rId26"/>
    <sheet name="Sch. 141D_2024" sheetId="140" r:id="rId27"/>
    <sheet name="Sch. 141N_2024" sheetId="135" r:id="rId28"/>
    <sheet name="Sch. 141N_2025" sheetId="137" r:id="rId29"/>
    <sheet name="Sch. 141R_2024" sheetId="136" r:id="rId30"/>
    <sheet name="Sch. 141R_2025" sheetId="138" r:id="rId31"/>
    <sheet name="Sch. 141X" sheetId="99" r:id="rId32"/>
    <sheet name="Sch. 141Z" sheetId="93" r:id="rId33"/>
    <sheet name="Sch. 142" sheetId="48" r:id="rId34"/>
    <sheet name="Sch. 149" sheetId="22" r:id="rId35"/>
    <sheet name="Data--&gt;" sheetId="36" r:id="rId36"/>
    <sheet name="Res Billing Data" sheetId="132" r:id="rId37"/>
    <sheet name="Therms_CY2023" sheetId="10" r:id="rId38"/>
    <sheet name="Therms_CY2024" sheetId="125" r:id="rId39"/>
    <sheet name="Therms_CY2025" sheetId="131" r:id="rId40"/>
    <sheet name="12ME Dec 2023 Therms by Block%" sheetId="13" r:id="rId41"/>
    <sheet name="12ME Dec 2023 Therms by Block" sheetId="123" r:id="rId42"/>
    <sheet name="12ME Dec 2023 Data" sheetId="15" r:id="rId43"/>
  </sheets>
  <externalReferences>
    <externalReference r:id="rId44"/>
  </externalReference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41">'12ME Dec 2023 Therms by Block'!$A$1:$N$56</definedName>
    <definedName name="_xlnm.Print_Area" localSheetId="40">'12ME Dec 2023 Therms by Block%'!$A$1:$N$56</definedName>
    <definedName name="_xlnm.Print_Area" localSheetId="12">'Avg Per Therm_RY#1 '!$B$1:$L$37</definedName>
    <definedName name="_xlnm.Print_Area" localSheetId="13">'Avg Per Therm_RY#2'!$B$1:$L$37</definedName>
    <definedName name="_xlnm.Print_Area" localSheetId="14">'Avg Per Therm_RY#3'!$B$1:$L$37</definedName>
    <definedName name="_xlnm.Print_Area" localSheetId="2">'Rate Impacts_RY#1'!$B$1:$AC$40</definedName>
    <definedName name="_xlnm.Print_Area" localSheetId="3">'Rate Impacts_RY#2'!$B$1:$Q$38</definedName>
    <definedName name="_xlnm.Print_Area" localSheetId="4">'Rate Impacts_RY#3'!$B$1:$N$37</definedName>
    <definedName name="_xlnm.Print_Area" localSheetId="6">'Res Bill Summary'!$B$1:$Q$40</definedName>
    <definedName name="_xlnm.Print_Area" localSheetId="17">'Revenue by Sch_RY#1'!$B$1:$O$37</definedName>
    <definedName name="_xlnm.Print_Area" localSheetId="18">'Revenue by Sch_RY#2'!$B$1:$P$38</definedName>
    <definedName name="_xlnm.Print_Area" localSheetId="19">'Revenue by Sch_RY#3'!$B$1:$O$37</definedName>
    <definedName name="_xlnm.Print_Area" localSheetId="21">'Sch. 101'!$A$1:$J$40</definedName>
    <definedName name="_xlnm.Print_Area" localSheetId="24">'Sch. 129'!$A$1:$I$50</definedName>
    <definedName name="_xlnm.Print_Area" localSheetId="25">'Sch. 140'!$A$1:$I$22</definedName>
    <definedName name="_xlnm.Print_Area" localSheetId="26">'Sch. 141D_2024'!$A$1:$I$40</definedName>
    <definedName name="_xlnm.Print_Area" localSheetId="27">'Sch. 141N_2024'!$A$1:$I$40</definedName>
    <definedName name="_xlnm.Print_Area" localSheetId="28">'Sch. 141N_2025'!$A$1:$I$22</definedName>
    <definedName name="_xlnm.Print_Area" localSheetId="29">'Sch. 141R_2024'!$A$1:$I$40</definedName>
    <definedName name="_xlnm.Print_Area" localSheetId="30">'Sch. 141R_2025'!$A$1:$I$22</definedName>
    <definedName name="_xlnm.Print_Area" localSheetId="31">'Sch. 141X'!$A$1:$I$22</definedName>
    <definedName name="_xlnm.Print_Area" localSheetId="32">'Sch. 141Z'!$A$1:$I$22</definedName>
    <definedName name="_xlnm.Print_Area" localSheetId="34">'Sch. 149'!$A$1:$I$22</definedName>
    <definedName name="_xlnm.Print_Area" localSheetId="8">'Typical Res Bill_RY#1 '!$B$1:$Z$39</definedName>
    <definedName name="_xlnm.Print_Area" localSheetId="9">'Typical Res Bill_RY#2'!$B$1:$Q$39</definedName>
    <definedName name="_xlnm.Print_Area" localSheetId="10">'Typical Res Bill_RY#3'!$B$1:$N$37</definedName>
    <definedName name="_xlnm.Print_Titles" localSheetId="41">'12ME Dec 2023 Therms by Block'!$3:$5</definedName>
    <definedName name="_xlnm.Print_Titles" localSheetId="40">'12ME Dec 2023 Therms by Block%'!$3:$5</definedName>
    <definedName name="_xlnm.Print_Titles" localSheetId="33">'Sch. 142'!$1:$8</definedName>
  </definedNames>
  <calcPr calcId="162913"/>
</workbook>
</file>

<file path=xl/calcChain.xml><?xml version="1.0" encoding="utf-8"?>
<calcChain xmlns="http://schemas.openxmlformats.org/spreadsheetml/2006/main">
  <c r="E20" i="138" l="1"/>
  <c r="D20" i="138"/>
  <c r="E19" i="138"/>
  <c r="D19" i="138"/>
  <c r="E18" i="138"/>
  <c r="D18" i="138"/>
  <c r="E17" i="138"/>
  <c r="D17" i="138"/>
  <c r="E16" i="138"/>
  <c r="D16" i="138"/>
  <c r="E15" i="138"/>
  <c r="D15" i="138"/>
  <c r="E14" i="138"/>
  <c r="D14" i="138"/>
  <c r="E13" i="138"/>
  <c r="D13" i="138"/>
  <c r="E12" i="138"/>
  <c r="D12" i="138"/>
  <c r="E11" i="138"/>
  <c r="D11" i="138"/>
  <c r="E10" i="138"/>
  <c r="D10" i="138"/>
  <c r="E9" i="138"/>
  <c r="D9" i="138"/>
  <c r="E36" i="136"/>
  <c r="D36" i="136"/>
  <c r="C36" i="136"/>
  <c r="E35" i="136"/>
  <c r="D35" i="136"/>
  <c r="C35" i="136"/>
  <c r="E34" i="136"/>
  <c r="D34" i="136"/>
  <c r="C34" i="136"/>
  <c r="E33" i="136"/>
  <c r="D33" i="136"/>
  <c r="C33" i="136"/>
  <c r="E32" i="136"/>
  <c r="D32" i="136"/>
  <c r="C32" i="136"/>
  <c r="E31" i="136"/>
  <c r="D31" i="136"/>
  <c r="C31" i="136"/>
  <c r="E28" i="136"/>
  <c r="D28" i="136"/>
  <c r="E27" i="136"/>
  <c r="D27" i="136"/>
  <c r="E26" i="136"/>
  <c r="D26" i="136"/>
  <c r="E25" i="136"/>
  <c r="D25" i="136"/>
  <c r="E22" i="136"/>
  <c r="D22" i="136"/>
  <c r="C22" i="136"/>
  <c r="E21" i="136"/>
  <c r="D21" i="136"/>
  <c r="C21" i="136"/>
  <c r="E20" i="136"/>
  <c r="D20" i="136"/>
  <c r="C20" i="136"/>
  <c r="E19" i="136"/>
  <c r="D19" i="136"/>
  <c r="C19" i="136"/>
  <c r="E18" i="136"/>
  <c r="D18" i="136"/>
  <c r="C18" i="136"/>
  <c r="E17" i="136"/>
  <c r="D17" i="136"/>
  <c r="C17" i="136"/>
  <c r="E14" i="136"/>
  <c r="D14" i="136"/>
  <c r="E13" i="136"/>
  <c r="D13" i="136"/>
  <c r="E12" i="136"/>
  <c r="D12" i="136"/>
  <c r="E11" i="136"/>
  <c r="D11" i="136"/>
  <c r="E10" i="136"/>
  <c r="D10" i="136"/>
  <c r="E9" i="136"/>
  <c r="D9" i="136"/>
  <c r="E20" i="137"/>
  <c r="D20" i="137"/>
  <c r="E19" i="137"/>
  <c r="D19" i="137"/>
  <c r="E18" i="137"/>
  <c r="D18" i="137"/>
  <c r="E17" i="137"/>
  <c r="D17" i="137"/>
  <c r="E16" i="137"/>
  <c r="D16" i="137"/>
  <c r="E15" i="137"/>
  <c r="D15" i="137"/>
  <c r="E14" i="137"/>
  <c r="D14" i="137"/>
  <c r="E13" i="137"/>
  <c r="D13" i="137"/>
  <c r="E12" i="137"/>
  <c r="D12" i="137"/>
  <c r="E11" i="137"/>
  <c r="D11" i="137"/>
  <c r="E10" i="137"/>
  <c r="D10" i="137"/>
  <c r="E9" i="137"/>
  <c r="D9" i="137"/>
  <c r="E36" i="135"/>
  <c r="D36" i="135"/>
  <c r="C36" i="135"/>
  <c r="E35" i="135"/>
  <c r="D35" i="135"/>
  <c r="C35" i="135"/>
  <c r="E34" i="135"/>
  <c r="D34" i="135"/>
  <c r="C34" i="135"/>
  <c r="E33" i="135"/>
  <c r="D33" i="135"/>
  <c r="C33" i="135"/>
  <c r="E32" i="135"/>
  <c r="D32" i="135"/>
  <c r="C32" i="135"/>
  <c r="E31" i="135"/>
  <c r="D31" i="135"/>
  <c r="C31" i="135"/>
  <c r="E28" i="135"/>
  <c r="D28" i="135"/>
  <c r="E27" i="135"/>
  <c r="D27" i="135"/>
  <c r="E26" i="135"/>
  <c r="D26" i="135"/>
  <c r="E25" i="135"/>
  <c r="D25" i="135"/>
  <c r="E22" i="135"/>
  <c r="D22" i="135"/>
  <c r="C22" i="135"/>
  <c r="E21" i="135"/>
  <c r="D21" i="135"/>
  <c r="C21" i="135"/>
  <c r="E20" i="135"/>
  <c r="D20" i="135"/>
  <c r="C20" i="135"/>
  <c r="E19" i="135"/>
  <c r="D19" i="135"/>
  <c r="C19" i="135"/>
  <c r="E18" i="135"/>
  <c r="D18" i="135"/>
  <c r="C18" i="135"/>
  <c r="E17" i="135"/>
  <c r="D17" i="135"/>
  <c r="C17" i="135"/>
  <c r="E14" i="135"/>
  <c r="D14" i="135"/>
  <c r="E13" i="135"/>
  <c r="D13" i="135"/>
  <c r="E12" i="135"/>
  <c r="D12" i="135"/>
  <c r="E11" i="135"/>
  <c r="D11" i="135"/>
  <c r="E10" i="135"/>
  <c r="D10" i="135"/>
  <c r="E9" i="135"/>
  <c r="D9" i="135"/>
  <c r="C36" i="140"/>
  <c r="C35" i="140"/>
  <c r="C34" i="140"/>
  <c r="C33" i="140"/>
  <c r="C32" i="140"/>
  <c r="C31" i="140"/>
  <c r="E22" i="140"/>
  <c r="D22" i="140"/>
  <c r="C22" i="140"/>
  <c r="E21" i="140"/>
  <c r="D21" i="140"/>
  <c r="C21" i="140"/>
  <c r="E20" i="140"/>
  <c r="D20" i="140"/>
  <c r="C20" i="140"/>
  <c r="E19" i="140"/>
  <c r="D19" i="140"/>
  <c r="C19" i="140"/>
  <c r="E18" i="140"/>
  <c r="D18" i="140"/>
  <c r="C18" i="140"/>
  <c r="E17" i="140"/>
  <c r="D17" i="140"/>
  <c r="C17" i="140"/>
  <c r="E14" i="140"/>
  <c r="D14" i="140"/>
  <c r="E13" i="140"/>
  <c r="D13" i="140"/>
  <c r="E12" i="140"/>
  <c r="D12" i="140"/>
  <c r="E11" i="140"/>
  <c r="D11" i="140"/>
  <c r="E10" i="140"/>
  <c r="D10" i="140"/>
  <c r="E9" i="140"/>
  <c r="D9" i="140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M20" i="103"/>
  <c r="J19" i="103"/>
  <c r="P18" i="103"/>
  <c r="Y20" i="103"/>
  <c r="Y19" i="103"/>
  <c r="Y18" i="103"/>
  <c r="Y15" i="103"/>
  <c r="G15" i="103"/>
  <c r="Y11" i="103"/>
  <c r="G11" i="103"/>
  <c r="L23" i="102"/>
  <c r="I23" i="102"/>
  <c r="L22" i="102"/>
  <c r="I22" i="102"/>
  <c r="L21" i="102"/>
  <c r="I21" i="102"/>
  <c r="L20" i="102"/>
  <c r="I20" i="102"/>
  <c r="L19" i="102"/>
  <c r="I19" i="102"/>
  <c r="O18" i="102"/>
  <c r="L18" i="102"/>
  <c r="I18" i="102"/>
  <c r="O17" i="102"/>
  <c r="L17" i="102"/>
  <c r="I17" i="102"/>
  <c r="O16" i="102"/>
  <c r="L16" i="102"/>
  <c r="I16" i="102"/>
  <c r="O15" i="102"/>
  <c r="L15" i="102"/>
  <c r="I15" i="102"/>
  <c r="O14" i="102"/>
  <c r="L14" i="102"/>
  <c r="I14" i="102"/>
  <c r="O13" i="102"/>
  <c r="L13" i="102"/>
  <c r="I13" i="102"/>
  <c r="O12" i="102"/>
  <c r="L12" i="102"/>
  <c r="I12" i="102"/>
  <c r="W42" i="103" l="1"/>
  <c r="T42" i="103"/>
  <c r="E42" i="103"/>
  <c r="S43" i="102"/>
  <c r="Y43" i="102"/>
  <c r="X43" i="102"/>
  <c r="R43" i="102"/>
  <c r="D43" i="102"/>
  <c r="D18" i="117" l="1"/>
  <c r="P20" i="103"/>
  <c r="V18" i="103"/>
  <c r="S18" i="103"/>
  <c r="M18" i="103"/>
  <c r="J18" i="103"/>
  <c r="P30" i="103"/>
  <c r="P29" i="103"/>
  <c r="P31" i="103" s="1"/>
  <c r="Q31" i="103" s="1"/>
  <c r="P27" i="103"/>
  <c r="Q27" i="103" s="1"/>
  <c r="P24" i="103"/>
  <c r="P23" i="103"/>
  <c r="P22" i="103"/>
  <c r="P21" i="103"/>
  <c r="P19" i="103"/>
  <c r="P17" i="103"/>
  <c r="P16" i="103"/>
  <c r="P15" i="103"/>
  <c r="P12" i="103"/>
  <c r="P11" i="103"/>
  <c r="Q11" i="103" s="1"/>
  <c r="Q12" i="103" s="1"/>
  <c r="G18" i="103"/>
  <c r="L34" i="112"/>
  <c r="M8" i="112"/>
  <c r="M7" i="112"/>
  <c r="K33" i="124"/>
  <c r="M18" i="117"/>
  <c r="G36" i="140"/>
  <c r="G35" i="140"/>
  <c r="F34" i="140"/>
  <c r="G32" i="140"/>
  <c r="G31" i="140"/>
  <c r="G22" i="140"/>
  <c r="G18" i="140"/>
  <c r="F20" i="140" l="1"/>
  <c r="G21" i="140"/>
  <c r="F18" i="140"/>
  <c r="F32" i="140"/>
  <c r="H32" i="140" s="1"/>
  <c r="I32" i="140" s="1"/>
  <c r="F22" i="140"/>
  <c r="G18" i="117"/>
  <c r="J18" i="117"/>
  <c r="P18" i="117"/>
  <c r="G19" i="140"/>
  <c r="C37" i="140"/>
  <c r="F35" i="140"/>
  <c r="H35" i="140" s="1"/>
  <c r="I35" i="140" s="1"/>
  <c r="F19" i="140"/>
  <c r="F31" i="140"/>
  <c r="F33" i="140"/>
  <c r="H18" i="140"/>
  <c r="I18" i="140" s="1"/>
  <c r="G20" i="140"/>
  <c r="H20" i="140" s="1"/>
  <c r="I20" i="140" s="1"/>
  <c r="F36" i="140"/>
  <c r="P25" i="103"/>
  <c r="Q25" i="103" s="1"/>
  <c r="Q32" i="103" s="1"/>
  <c r="Q34" i="103" s="1"/>
  <c r="H22" i="140"/>
  <c r="I22" i="140" s="1"/>
  <c r="H36" i="140"/>
  <c r="I36" i="140" s="1"/>
  <c r="F21" i="140"/>
  <c r="F17" i="140"/>
  <c r="C23" i="140"/>
  <c r="G17" i="140"/>
  <c r="G34" i="140"/>
  <c r="H34" i="140" s="1"/>
  <c r="I34" i="140" s="1"/>
  <c r="G33" i="140"/>
  <c r="H21" i="140" l="1"/>
  <c r="I21" i="140" s="1"/>
  <c r="F37" i="140"/>
  <c r="H33" i="140"/>
  <c r="I33" i="140" s="1"/>
  <c r="P32" i="103"/>
  <c r="H31" i="140"/>
  <c r="Q35" i="103"/>
  <c r="Q36" i="103" s="1"/>
  <c r="Q42" i="103"/>
  <c r="F23" i="140"/>
  <c r="K17" i="124" s="1"/>
  <c r="K32" i="124" s="1"/>
  <c r="H19" i="140"/>
  <c r="I19" i="140" s="1"/>
  <c r="G37" i="140"/>
  <c r="H17" i="140"/>
  <c r="G23" i="140"/>
  <c r="I31" i="140"/>
  <c r="H37" i="140" l="1"/>
  <c r="I37" i="140" s="1"/>
  <c r="I17" i="140"/>
  <c r="H23" i="140"/>
  <c r="I23" i="140" l="1"/>
  <c r="L17" i="112"/>
  <c r="L33" i="112" s="1"/>
  <c r="O35" i="102"/>
  <c r="O34" i="102"/>
  <c r="O33" i="102"/>
  <c r="O30" i="102"/>
  <c r="O29" i="102" l="1"/>
  <c r="O25" i="102"/>
  <c r="O32" i="102"/>
  <c r="O31" i="102"/>
  <c r="O36" i="102" l="1"/>
  <c r="O43" i="102" s="1"/>
  <c r="P9" i="102" l="1"/>
  <c r="P8" i="102"/>
  <c r="E11" i="118" l="1"/>
  <c r="J11" i="118" l="1"/>
  <c r="K11" i="118" s="1"/>
  <c r="M11" i="118"/>
  <c r="N11" i="118" s="1"/>
  <c r="G11" i="118"/>
  <c r="H11" i="118" s="1"/>
  <c r="G32" i="135" l="1"/>
  <c r="G33" i="135"/>
  <c r="G31" i="135"/>
  <c r="G19" i="135"/>
  <c r="G17" i="135"/>
  <c r="G20" i="135" l="1"/>
  <c r="G34" i="135"/>
  <c r="F33" i="136"/>
  <c r="C37" i="136"/>
  <c r="F20" i="136"/>
  <c r="F32" i="136"/>
  <c r="F35" i="136"/>
  <c r="F31" i="136"/>
  <c r="F34" i="136"/>
  <c r="G36" i="135"/>
  <c r="C37" i="135"/>
  <c r="F36" i="136"/>
  <c r="G35" i="135"/>
  <c r="F21" i="136"/>
  <c r="F17" i="136"/>
  <c r="F19" i="136"/>
  <c r="F22" i="136"/>
  <c r="F18" i="136"/>
  <c r="C23" i="136"/>
  <c r="C23" i="135"/>
  <c r="G22" i="135"/>
  <c r="G18" i="135"/>
  <c r="G21" i="135"/>
  <c r="F37" i="136" l="1"/>
  <c r="F23" i="136"/>
  <c r="G37" i="135"/>
  <c r="G23" i="135"/>
  <c r="C8" i="22" l="1"/>
  <c r="D8" i="48"/>
  <c r="C8" i="93"/>
  <c r="C8" i="99"/>
  <c r="C8" i="21"/>
  <c r="D8" i="11"/>
  <c r="C8" i="25"/>
  <c r="C9" i="24"/>
  <c r="Y24" i="103" l="1"/>
  <c r="D24" i="117" s="1"/>
  <c r="M24" i="117" s="1"/>
  <c r="Y21" i="103"/>
  <c r="D21" i="117" s="1"/>
  <c r="M21" i="117" s="1"/>
  <c r="V24" i="103"/>
  <c r="S21" i="103"/>
  <c r="D36" i="134" l="1"/>
  <c r="D35" i="134"/>
  <c r="D34" i="134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C33" i="132"/>
  <c r="C32" i="132"/>
  <c r="C31" i="132"/>
  <c r="C30" i="132"/>
  <c r="C29" i="132"/>
  <c r="C28" i="132"/>
  <c r="C27" i="132"/>
  <c r="C26" i="132"/>
  <c r="C25" i="132"/>
  <c r="C24" i="132"/>
  <c r="C23" i="132"/>
  <c r="C22" i="132"/>
  <c r="C21" i="132"/>
  <c r="C20" i="132"/>
  <c r="C19" i="132"/>
  <c r="C18" i="132"/>
  <c r="C17" i="132"/>
  <c r="C16" i="132"/>
  <c r="C15" i="132"/>
  <c r="C14" i="132"/>
  <c r="C13" i="132"/>
  <c r="C12" i="132"/>
  <c r="C11" i="132"/>
  <c r="C10" i="132"/>
  <c r="C9" i="132"/>
  <c r="M34" i="132"/>
  <c r="I34" i="132"/>
  <c r="C8" i="132"/>
  <c r="O34" i="132"/>
  <c r="N34" i="132"/>
  <c r="L34" i="132"/>
  <c r="K34" i="132"/>
  <c r="J34" i="132"/>
  <c r="H34" i="132"/>
  <c r="G34" i="132"/>
  <c r="F34" i="132"/>
  <c r="D34" i="132"/>
  <c r="C7" i="132"/>
  <c r="E6" i="132"/>
  <c r="F6" i="132" s="1"/>
  <c r="G6" i="132" s="1"/>
  <c r="H6" i="132" s="1"/>
  <c r="I6" i="132" s="1"/>
  <c r="J6" i="132" s="1"/>
  <c r="K6" i="132" s="1"/>
  <c r="L6" i="132" s="1"/>
  <c r="M6" i="132" s="1"/>
  <c r="N6" i="132" s="1"/>
  <c r="O6" i="132" s="1"/>
  <c r="C34" i="132" l="1"/>
  <c r="B10" i="132" s="1"/>
  <c r="B16" i="132"/>
  <c r="B7" i="132"/>
  <c r="E34" i="132"/>
  <c r="B17" i="132" l="1"/>
  <c r="B25" i="132"/>
  <c r="B30" i="132"/>
  <c r="B9" i="132"/>
  <c r="B11" i="132"/>
  <c r="B27" i="132"/>
  <c r="B8" i="132"/>
  <c r="B34" i="132" s="1"/>
  <c r="B18" i="132"/>
  <c r="B26" i="132"/>
  <c r="B13" i="132"/>
  <c r="B33" i="132"/>
  <c r="B14" i="132"/>
  <c r="B21" i="132"/>
  <c r="B28" i="132"/>
  <c r="B23" i="132"/>
  <c r="B32" i="132"/>
  <c r="B29" i="132"/>
  <c r="B15" i="132"/>
  <c r="B19" i="132"/>
  <c r="B24" i="132"/>
  <c r="B20" i="132"/>
  <c r="B31" i="132"/>
  <c r="B22" i="132"/>
  <c r="B12" i="132"/>
  <c r="K33" i="130" l="1"/>
  <c r="H25" i="131"/>
  <c r="L25" i="131"/>
  <c r="P10" i="131"/>
  <c r="G35" i="131"/>
  <c r="K25" i="131"/>
  <c r="O35" i="131"/>
  <c r="P13" i="131"/>
  <c r="L36" i="131"/>
  <c r="E26" i="131"/>
  <c r="I37" i="131"/>
  <c r="M37" i="131"/>
  <c r="F38" i="131"/>
  <c r="J38" i="131"/>
  <c r="N38" i="131"/>
  <c r="G39" i="131"/>
  <c r="K39" i="131"/>
  <c r="O39" i="131"/>
  <c r="H35" i="131"/>
  <c r="L35" i="131"/>
  <c r="E36" i="131"/>
  <c r="I29" i="131"/>
  <c r="M36" i="131"/>
  <c r="F37" i="131"/>
  <c r="J29" i="131"/>
  <c r="N37" i="131"/>
  <c r="G29" i="131"/>
  <c r="K29" i="131"/>
  <c r="H39" i="131"/>
  <c r="E40" i="131"/>
  <c r="M40" i="131"/>
  <c r="D35" i="131"/>
  <c r="P19" i="131"/>
  <c r="O40" i="131"/>
  <c r="N40" i="131"/>
  <c r="K40" i="131"/>
  <c r="J40" i="131"/>
  <c r="G40" i="131"/>
  <c r="F40" i="131"/>
  <c r="L39" i="131"/>
  <c r="M38" i="131"/>
  <c r="L38" i="131"/>
  <c r="I38" i="131"/>
  <c r="H38" i="131"/>
  <c r="E38" i="131"/>
  <c r="D38" i="131"/>
  <c r="J37" i="131"/>
  <c r="O36" i="131"/>
  <c r="N36" i="131"/>
  <c r="K36" i="131"/>
  <c r="J36" i="131"/>
  <c r="G36" i="131"/>
  <c r="F36" i="131"/>
  <c r="K35" i="131"/>
  <c r="I26" i="131"/>
  <c r="L40" i="131"/>
  <c r="I40" i="131"/>
  <c r="H40" i="131"/>
  <c r="D40" i="131"/>
  <c r="O29" i="131"/>
  <c r="M29" i="131"/>
  <c r="E29" i="131"/>
  <c r="M39" i="131"/>
  <c r="I39" i="131"/>
  <c r="E39" i="131"/>
  <c r="O38" i="131"/>
  <c r="G38" i="131"/>
  <c r="O37" i="131"/>
  <c r="K37" i="131"/>
  <c r="G37" i="131"/>
  <c r="H36" i="131"/>
  <c r="N35" i="131"/>
  <c r="J35" i="131"/>
  <c r="F35" i="131"/>
  <c r="G25" i="131"/>
  <c r="O34" i="131"/>
  <c r="K34" i="131"/>
  <c r="G34" i="131"/>
  <c r="E7" i="131"/>
  <c r="F7" i="131" s="1"/>
  <c r="G7" i="131" s="1"/>
  <c r="H7" i="131" s="1"/>
  <c r="I7" i="131" s="1"/>
  <c r="J7" i="131" s="1"/>
  <c r="K7" i="131" s="1"/>
  <c r="L7" i="131" s="1"/>
  <c r="M7" i="131" s="1"/>
  <c r="N7" i="131" s="1"/>
  <c r="O7" i="131" s="1"/>
  <c r="N33" i="130"/>
  <c r="L33" i="130"/>
  <c r="I33" i="130"/>
  <c r="H33" i="130"/>
  <c r="G33" i="130"/>
  <c r="F33" i="130"/>
  <c r="N32" i="130"/>
  <c r="N30" i="130"/>
  <c r="B2" i="130"/>
  <c r="C18" i="138" l="1"/>
  <c r="C18" i="137"/>
  <c r="C12" i="137"/>
  <c r="C12" i="138"/>
  <c r="P9" i="131"/>
  <c r="I36" i="131"/>
  <c r="F29" i="131"/>
  <c r="N29" i="131"/>
  <c r="M26" i="131"/>
  <c r="E37" i="131"/>
  <c r="O25" i="131"/>
  <c r="K38" i="131"/>
  <c r="P21" i="131"/>
  <c r="P20" i="131"/>
  <c r="D39" i="131"/>
  <c r="H23" i="131"/>
  <c r="H34" i="131"/>
  <c r="E25" i="131"/>
  <c r="E27" i="131" s="1"/>
  <c r="E30" i="131" s="1"/>
  <c r="E34" i="131"/>
  <c r="E23" i="131"/>
  <c r="I25" i="131"/>
  <c r="I27" i="131" s="1"/>
  <c r="I30" i="131" s="1"/>
  <c r="I23" i="131"/>
  <c r="I34" i="131"/>
  <c r="M25" i="131"/>
  <c r="M34" i="131"/>
  <c r="M23" i="131"/>
  <c r="P11" i="131"/>
  <c r="P12" i="131"/>
  <c r="D37" i="131"/>
  <c r="D26" i="131"/>
  <c r="H37" i="131"/>
  <c r="H26" i="131"/>
  <c r="H27" i="131" s="1"/>
  <c r="L37" i="131"/>
  <c r="L26" i="131"/>
  <c r="L27" i="131" s="1"/>
  <c r="P14" i="131"/>
  <c r="K23" i="131"/>
  <c r="N25" i="131"/>
  <c r="P22" i="131"/>
  <c r="F25" i="131"/>
  <c r="D23" i="131"/>
  <c r="D34" i="131"/>
  <c r="L34" i="131"/>
  <c r="L23" i="131"/>
  <c r="F39" i="131"/>
  <c r="F26" i="131"/>
  <c r="J39" i="131"/>
  <c r="J26" i="131"/>
  <c r="N39" i="131"/>
  <c r="N26" i="131"/>
  <c r="G23" i="131"/>
  <c r="J25" i="131"/>
  <c r="F23" i="131"/>
  <c r="J23" i="131"/>
  <c r="N23" i="131"/>
  <c r="E35" i="131"/>
  <c r="I35" i="131"/>
  <c r="M35" i="131"/>
  <c r="P15" i="131"/>
  <c r="P16" i="131"/>
  <c r="P17" i="131"/>
  <c r="D29" i="131"/>
  <c r="H29" i="131"/>
  <c r="L29" i="131"/>
  <c r="P18" i="131"/>
  <c r="O23" i="131"/>
  <c r="D25" i="131"/>
  <c r="G26" i="131"/>
  <c r="G27" i="131" s="1"/>
  <c r="G30" i="131" s="1"/>
  <c r="K26" i="131"/>
  <c r="K27" i="131" s="1"/>
  <c r="K30" i="131" s="1"/>
  <c r="O26" i="131"/>
  <c r="F34" i="131"/>
  <c r="J34" i="131"/>
  <c r="N34" i="131"/>
  <c r="D36" i="131"/>
  <c r="F27" i="131" l="1"/>
  <c r="F30" i="131" s="1"/>
  <c r="F31" i="131" s="1"/>
  <c r="C15" i="137"/>
  <c r="C15" i="138"/>
  <c r="C9" i="138"/>
  <c r="C14" i="138"/>
  <c r="C14" i="137"/>
  <c r="C19" i="138"/>
  <c r="C19" i="137"/>
  <c r="C9" i="137"/>
  <c r="C21" i="138"/>
  <c r="C21" i="137"/>
  <c r="C20" i="137"/>
  <c r="C20" i="138"/>
  <c r="C10" i="138"/>
  <c r="C10" i="137"/>
  <c r="C13" i="138"/>
  <c r="C13" i="137"/>
  <c r="C17" i="138"/>
  <c r="C17" i="137"/>
  <c r="C16" i="137"/>
  <c r="C16" i="138"/>
  <c r="C11" i="137"/>
  <c r="C11" i="138"/>
  <c r="O27" i="131"/>
  <c r="O30" i="131" s="1"/>
  <c r="O31" i="131" s="1"/>
  <c r="P38" i="131"/>
  <c r="P40" i="131"/>
  <c r="P37" i="131"/>
  <c r="P36" i="131"/>
  <c r="P39" i="131"/>
  <c r="H30" i="131"/>
  <c r="H31" i="131" s="1"/>
  <c r="M27" i="131"/>
  <c r="M30" i="131" s="1"/>
  <c r="M31" i="131" s="1"/>
  <c r="J27" i="131"/>
  <c r="J30" i="131" s="1"/>
  <c r="J31" i="131" s="1"/>
  <c r="L30" i="131"/>
  <c r="L31" i="131" s="1"/>
  <c r="P35" i="131"/>
  <c r="P23" i="131"/>
  <c r="E31" i="131"/>
  <c r="E41" i="131"/>
  <c r="G41" i="131"/>
  <c r="G31" i="131"/>
  <c r="P26" i="131"/>
  <c r="O41" i="131"/>
  <c r="P29" i="131"/>
  <c r="J41" i="131"/>
  <c r="L41" i="131"/>
  <c r="P34" i="131"/>
  <c r="N27" i="131"/>
  <c r="N30" i="131" s="1"/>
  <c r="N31" i="131" s="1"/>
  <c r="M41" i="131"/>
  <c r="I41" i="131"/>
  <c r="I31" i="131"/>
  <c r="P25" i="131"/>
  <c r="D27" i="131"/>
  <c r="D30" i="131" s="1"/>
  <c r="D31" i="131" s="1"/>
  <c r="N41" i="131"/>
  <c r="D41" i="131"/>
  <c r="H41" i="131"/>
  <c r="F41" i="131"/>
  <c r="K41" i="131"/>
  <c r="K31" i="131"/>
  <c r="D27" i="130" l="1"/>
  <c r="D28" i="130"/>
  <c r="G21" i="138"/>
  <c r="F21" i="138"/>
  <c r="C22" i="137"/>
  <c r="C22" i="138"/>
  <c r="G21" i="137"/>
  <c r="F21" i="137"/>
  <c r="D32" i="130"/>
  <c r="D30" i="130"/>
  <c r="D33" i="130"/>
  <c r="D24" i="130"/>
  <c r="D29" i="130"/>
  <c r="D31" i="130"/>
  <c r="P41" i="131"/>
  <c r="P27" i="131"/>
  <c r="P30" i="131" s="1"/>
  <c r="P31" i="131" s="1"/>
  <c r="H21" i="138" l="1"/>
  <c r="I21" i="138" s="1"/>
  <c r="H21" i="137"/>
  <c r="I21" i="137" s="1"/>
  <c r="D34" i="130"/>
  <c r="N39" i="125"/>
  <c r="K38" i="125"/>
  <c r="D37" i="125"/>
  <c r="N35" i="125"/>
  <c r="H26" i="125"/>
  <c r="O40" i="125"/>
  <c r="N40" i="125"/>
  <c r="M40" i="125"/>
  <c r="L40" i="125"/>
  <c r="K40" i="125"/>
  <c r="J40" i="125"/>
  <c r="I40" i="125"/>
  <c r="H40" i="125"/>
  <c r="G40" i="125"/>
  <c r="F40" i="125"/>
  <c r="E40" i="125"/>
  <c r="D40" i="125"/>
  <c r="O29" i="125"/>
  <c r="M29" i="125"/>
  <c r="L29" i="125"/>
  <c r="K29" i="125"/>
  <c r="I29" i="125"/>
  <c r="H29" i="125"/>
  <c r="G29" i="125"/>
  <c r="E29" i="125"/>
  <c r="O39" i="125"/>
  <c r="M39" i="125"/>
  <c r="L39" i="125"/>
  <c r="K39" i="125"/>
  <c r="J39" i="125"/>
  <c r="I39" i="125"/>
  <c r="H39" i="125"/>
  <c r="G39" i="125"/>
  <c r="F39" i="125"/>
  <c r="E39" i="125"/>
  <c r="O38" i="125"/>
  <c r="N38" i="125"/>
  <c r="M38" i="125"/>
  <c r="L38" i="125"/>
  <c r="J38" i="125"/>
  <c r="I38" i="125"/>
  <c r="H38" i="125"/>
  <c r="G38" i="125"/>
  <c r="F38" i="125"/>
  <c r="E38" i="125"/>
  <c r="O37" i="125"/>
  <c r="N37" i="125"/>
  <c r="M37" i="125"/>
  <c r="L37" i="125"/>
  <c r="K37" i="125"/>
  <c r="J37" i="125"/>
  <c r="I37" i="125"/>
  <c r="H37" i="125"/>
  <c r="G37" i="125"/>
  <c r="F37" i="125"/>
  <c r="E37" i="125"/>
  <c r="O36" i="125"/>
  <c r="N36" i="125"/>
  <c r="M36" i="125"/>
  <c r="L36" i="125"/>
  <c r="K36" i="125"/>
  <c r="J36" i="125"/>
  <c r="I36" i="125"/>
  <c r="H36" i="125"/>
  <c r="G36" i="125"/>
  <c r="F36" i="125"/>
  <c r="E36" i="125"/>
  <c r="D36" i="125"/>
  <c r="O35" i="125"/>
  <c r="M35" i="125"/>
  <c r="L35" i="125"/>
  <c r="K35" i="125"/>
  <c r="J35" i="125"/>
  <c r="I35" i="125"/>
  <c r="H35" i="125"/>
  <c r="G35" i="125"/>
  <c r="F35" i="125"/>
  <c r="E35" i="125"/>
  <c r="O25" i="125"/>
  <c r="N34" i="125"/>
  <c r="M23" i="125"/>
  <c r="L25" i="125"/>
  <c r="K25" i="125"/>
  <c r="J34" i="125"/>
  <c r="I23" i="125"/>
  <c r="H25" i="125"/>
  <c r="G25" i="125"/>
  <c r="F34" i="125"/>
  <c r="E23" i="125"/>
  <c r="D25" i="125"/>
  <c r="E7" i="125"/>
  <c r="F7" i="125" s="1"/>
  <c r="G7" i="125" s="1"/>
  <c r="H7" i="125" s="1"/>
  <c r="I7" i="125" s="1"/>
  <c r="J7" i="125" s="1"/>
  <c r="K7" i="125" s="1"/>
  <c r="L7" i="125" s="1"/>
  <c r="M7" i="125" s="1"/>
  <c r="N7" i="125" s="1"/>
  <c r="O7" i="125" s="1"/>
  <c r="F23" i="125" l="1"/>
  <c r="F41" i="125" s="1"/>
  <c r="J23" i="125"/>
  <c r="J41" i="125" s="1"/>
  <c r="N23" i="125"/>
  <c r="N41" i="125" s="1"/>
  <c r="F29" i="125"/>
  <c r="J29" i="125"/>
  <c r="N29" i="125"/>
  <c r="L26" i="125"/>
  <c r="L27" i="125" s="1"/>
  <c r="L30" i="125" s="1"/>
  <c r="G34" i="125"/>
  <c r="K34" i="125"/>
  <c r="O34" i="125"/>
  <c r="H27" i="125"/>
  <c r="H30" i="125" s="1"/>
  <c r="P10" i="125"/>
  <c r="C9" i="140" s="1"/>
  <c r="P11" i="125"/>
  <c r="P12" i="125"/>
  <c r="P14" i="125"/>
  <c r="C13" i="140" s="1"/>
  <c r="P15" i="125"/>
  <c r="P16" i="125"/>
  <c r="P17" i="125"/>
  <c r="P18" i="125"/>
  <c r="P19" i="125"/>
  <c r="P20" i="125"/>
  <c r="P21" i="125"/>
  <c r="D26" i="125"/>
  <c r="D27" i="125" s="1"/>
  <c r="E25" i="125"/>
  <c r="P22" i="125"/>
  <c r="C39" i="140" s="1"/>
  <c r="G23" i="125"/>
  <c r="K23" i="125"/>
  <c r="O23" i="125"/>
  <c r="F25" i="125"/>
  <c r="J25" i="125"/>
  <c r="N25" i="125"/>
  <c r="E26" i="125"/>
  <c r="I26" i="125"/>
  <c r="M26" i="125"/>
  <c r="D34" i="125"/>
  <c r="H34" i="125"/>
  <c r="L34" i="125"/>
  <c r="D38" i="125"/>
  <c r="I25" i="125"/>
  <c r="D23" i="125"/>
  <c r="H23" i="125"/>
  <c r="L23" i="125"/>
  <c r="F26" i="125"/>
  <c r="J26" i="125"/>
  <c r="N26" i="125"/>
  <c r="D29" i="125"/>
  <c r="E34" i="125"/>
  <c r="E41" i="125" s="1"/>
  <c r="I34" i="125"/>
  <c r="I41" i="125" s="1"/>
  <c r="M34" i="125"/>
  <c r="M41" i="125" s="1"/>
  <c r="D35" i="125"/>
  <c r="D39" i="125"/>
  <c r="P9" i="125"/>
  <c r="P13" i="125"/>
  <c r="M25" i="125"/>
  <c r="M27" i="125" s="1"/>
  <c r="M30" i="125" s="1"/>
  <c r="M31" i="125" s="1"/>
  <c r="G26" i="125"/>
  <c r="G27" i="125" s="1"/>
  <c r="G30" i="125" s="1"/>
  <c r="K26" i="125"/>
  <c r="K27" i="125" s="1"/>
  <c r="K30" i="125" s="1"/>
  <c r="O26" i="125"/>
  <c r="O27" i="125" s="1"/>
  <c r="O30" i="125" s="1"/>
  <c r="O33" i="124"/>
  <c r="I33" i="124"/>
  <c r="H33" i="124"/>
  <c r="G33" i="124"/>
  <c r="F33" i="124"/>
  <c r="O32" i="124"/>
  <c r="O30" i="124"/>
  <c r="B2" i="124"/>
  <c r="F9" i="140" l="1"/>
  <c r="G9" i="140"/>
  <c r="C26" i="136"/>
  <c r="C26" i="140"/>
  <c r="F13" i="140"/>
  <c r="K15" i="124" s="1"/>
  <c r="K30" i="124" s="1"/>
  <c r="G13" i="140"/>
  <c r="H13" i="140" s="1"/>
  <c r="C27" i="136"/>
  <c r="C27" i="140"/>
  <c r="C25" i="136"/>
  <c r="C25" i="140"/>
  <c r="C11" i="136"/>
  <c r="C11" i="140"/>
  <c r="C10" i="136"/>
  <c r="C10" i="140"/>
  <c r="C14" i="136"/>
  <c r="C14" i="140"/>
  <c r="C12" i="136"/>
  <c r="C12" i="140"/>
  <c r="F39" i="140"/>
  <c r="G39" i="140"/>
  <c r="C28" i="136"/>
  <c r="C28" i="140"/>
  <c r="C13" i="135"/>
  <c r="C13" i="136"/>
  <c r="C39" i="135"/>
  <c r="G39" i="135" s="1"/>
  <c r="C39" i="136"/>
  <c r="C9" i="136"/>
  <c r="D12" i="124"/>
  <c r="D12" i="114" s="1"/>
  <c r="C10" i="135"/>
  <c r="D22" i="124"/>
  <c r="D22" i="114" s="1"/>
  <c r="D18" i="124"/>
  <c r="D18" i="114" s="1"/>
  <c r="C25" i="135"/>
  <c r="D13" i="124"/>
  <c r="D13" i="114" s="1"/>
  <c r="C11" i="135"/>
  <c r="D19" i="124"/>
  <c r="D19" i="114" s="1"/>
  <c r="C26" i="135"/>
  <c r="D21" i="124"/>
  <c r="D21" i="114" s="1"/>
  <c r="C28" i="135"/>
  <c r="D17" i="124"/>
  <c r="D17" i="114" s="1"/>
  <c r="D14" i="124"/>
  <c r="D14" i="114" s="1"/>
  <c r="C12" i="135"/>
  <c r="D20" i="124"/>
  <c r="D20" i="114" s="1"/>
  <c r="C27" i="135"/>
  <c r="D16" i="124"/>
  <c r="D16" i="114" s="1"/>
  <c r="C14" i="135"/>
  <c r="C9" i="135"/>
  <c r="P37" i="125"/>
  <c r="D15" i="124"/>
  <c r="P40" i="125"/>
  <c r="D23" i="124"/>
  <c r="D23" i="114" s="1"/>
  <c r="D11" i="124"/>
  <c r="P35" i="125"/>
  <c r="F27" i="125"/>
  <c r="F30" i="125" s="1"/>
  <c r="F31" i="125" s="1"/>
  <c r="P36" i="125"/>
  <c r="P39" i="125"/>
  <c r="P26" i="125"/>
  <c r="P29" i="125"/>
  <c r="P38" i="125"/>
  <c r="H41" i="125"/>
  <c r="H31" i="125"/>
  <c r="P23" i="125"/>
  <c r="P34" i="125"/>
  <c r="O41" i="125"/>
  <c r="O31" i="125"/>
  <c r="I27" i="125"/>
  <c r="I30" i="125" s="1"/>
  <c r="I31" i="125" s="1"/>
  <c r="N27" i="125"/>
  <c r="N30" i="125" s="1"/>
  <c r="N31" i="125" s="1"/>
  <c r="K41" i="125"/>
  <c r="K31" i="125"/>
  <c r="P25" i="125"/>
  <c r="D41" i="125"/>
  <c r="E27" i="125"/>
  <c r="E30" i="125" s="1"/>
  <c r="E31" i="125" s="1"/>
  <c r="L41" i="125"/>
  <c r="L31" i="125"/>
  <c r="J27" i="125"/>
  <c r="J30" i="125" s="1"/>
  <c r="J31" i="125" s="1"/>
  <c r="G41" i="125"/>
  <c r="G31" i="125"/>
  <c r="D30" i="125"/>
  <c r="D31" i="125" s="1"/>
  <c r="F28" i="140" l="1"/>
  <c r="G28" i="140"/>
  <c r="H28" i="140" s="1"/>
  <c r="I28" i="140" s="1"/>
  <c r="G12" i="140"/>
  <c r="F12" i="140"/>
  <c r="K14" i="124" s="1"/>
  <c r="K29" i="124" s="1"/>
  <c r="G10" i="140"/>
  <c r="F10" i="140"/>
  <c r="K12" i="124" s="1"/>
  <c r="G25" i="140"/>
  <c r="F25" i="140"/>
  <c r="I13" i="140"/>
  <c r="L15" i="112"/>
  <c r="H9" i="140"/>
  <c r="C40" i="140"/>
  <c r="H39" i="140"/>
  <c r="I39" i="140" s="1"/>
  <c r="F14" i="140"/>
  <c r="K16" i="124" s="1"/>
  <c r="K31" i="124" s="1"/>
  <c r="G14" i="140"/>
  <c r="H14" i="140" s="1"/>
  <c r="F11" i="140"/>
  <c r="K13" i="124" s="1"/>
  <c r="K28" i="124" s="1"/>
  <c r="G11" i="140"/>
  <c r="G27" i="140"/>
  <c r="F27" i="140"/>
  <c r="G26" i="140"/>
  <c r="F26" i="140"/>
  <c r="K11" i="124"/>
  <c r="C40" i="136"/>
  <c r="C40" i="135"/>
  <c r="F39" i="135"/>
  <c r="L23" i="124" s="1"/>
  <c r="L33" i="124" s="1"/>
  <c r="F39" i="136"/>
  <c r="M23" i="124" s="1"/>
  <c r="G39" i="136"/>
  <c r="D15" i="114"/>
  <c r="D11" i="114"/>
  <c r="P27" i="125"/>
  <c r="P30" i="125" s="1"/>
  <c r="P31" i="125" s="1"/>
  <c r="P41" i="125"/>
  <c r="F40" i="140" l="1"/>
  <c r="H11" i="140"/>
  <c r="L13" i="112" s="1"/>
  <c r="G40" i="140"/>
  <c r="I14" i="140"/>
  <c r="L16" i="112"/>
  <c r="K27" i="124"/>
  <c r="K34" i="124" s="1"/>
  <c r="K24" i="124"/>
  <c r="L11" i="112"/>
  <c r="I9" i="140"/>
  <c r="H25" i="140"/>
  <c r="I25" i="140" s="1"/>
  <c r="H12" i="140"/>
  <c r="I11" i="140"/>
  <c r="L31" i="112"/>
  <c r="H27" i="140"/>
  <c r="I27" i="140" s="1"/>
  <c r="H26" i="140"/>
  <c r="I26" i="140" s="1"/>
  <c r="H10" i="140"/>
  <c r="H39" i="136"/>
  <c r="I39" i="136" s="1"/>
  <c r="H39" i="135"/>
  <c r="I39" i="135" s="1"/>
  <c r="B28" i="123"/>
  <c r="B27" i="13" s="1"/>
  <c r="E33" i="123"/>
  <c r="E32" i="13" s="1"/>
  <c r="N55" i="123"/>
  <c r="N50" i="123"/>
  <c r="N37" i="123"/>
  <c r="F33" i="123"/>
  <c r="F32" i="13" s="1"/>
  <c r="N25" i="123"/>
  <c r="D28" i="123"/>
  <c r="D26" i="13" s="1"/>
  <c r="N21" i="123"/>
  <c r="N19" i="123"/>
  <c r="J16" i="123"/>
  <c r="C16" i="123"/>
  <c r="N13" i="123"/>
  <c r="N9" i="123"/>
  <c r="G56" i="123"/>
  <c r="E56" i="123"/>
  <c r="B47" i="123"/>
  <c r="I38" i="123"/>
  <c r="B38" i="123"/>
  <c r="B36" i="13" s="1"/>
  <c r="L38" i="123"/>
  <c r="L36" i="13" s="1"/>
  <c r="D38" i="123"/>
  <c r="L33" i="123"/>
  <c r="H33" i="123"/>
  <c r="D33" i="123"/>
  <c r="M33" i="123"/>
  <c r="I33" i="123"/>
  <c r="I31" i="13" s="1"/>
  <c r="B33" i="123"/>
  <c r="M28" i="123"/>
  <c r="G22" i="123"/>
  <c r="H22" i="123"/>
  <c r="E22" i="123"/>
  <c r="E20" i="13" s="1"/>
  <c r="M16" i="123"/>
  <c r="I16" i="123"/>
  <c r="E16" i="123"/>
  <c r="D10" i="123"/>
  <c r="G5" i="123"/>
  <c r="H5" i="123" s="1"/>
  <c r="I5" i="123" s="1"/>
  <c r="J5" i="123" s="1"/>
  <c r="K5" i="123" s="1"/>
  <c r="L5" i="123" s="1"/>
  <c r="M5" i="123" s="1"/>
  <c r="F5" i="123"/>
  <c r="C5" i="123"/>
  <c r="D5" i="123" s="1"/>
  <c r="E5" i="123" s="1"/>
  <c r="I10" i="140" l="1"/>
  <c r="L12" i="112"/>
  <c r="L29" i="112"/>
  <c r="H40" i="140"/>
  <c r="I40" i="140" s="1"/>
  <c r="L32" i="112"/>
  <c r="I12" i="140"/>
  <c r="L14" i="112"/>
  <c r="L28" i="112"/>
  <c r="B26" i="13"/>
  <c r="E19" i="13"/>
  <c r="L16" i="123"/>
  <c r="L15" i="13" s="1"/>
  <c r="K16" i="123"/>
  <c r="K15" i="13" s="1"/>
  <c r="G16" i="123"/>
  <c r="G15" i="13" s="1"/>
  <c r="D36" i="13"/>
  <c r="N45" i="123"/>
  <c r="B45" i="13"/>
  <c r="K47" i="123"/>
  <c r="K43" i="13" s="1"/>
  <c r="J47" i="123"/>
  <c r="J44" i="13" s="1"/>
  <c r="M47" i="123"/>
  <c r="M42" i="13" s="1"/>
  <c r="E47" i="123"/>
  <c r="E46" i="13" s="1"/>
  <c r="M31" i="13"/>
  <c r="J13" i="13"/>
  <c r="H16" i="123"/>
  <c r="B22" i="123"/>
  <c r="G21" i="13"/>
  <c r="F22" i="123"/>
  <c r="F20" i="13" s="1"/>
  <c r="M22" i="123"/>
  <c r="M19" i="13" s="1"/>
  <c r="I22" i="123"/>
  <c r="I19" i="13" s="1"/>
  <c r="I36" i="13"/>
  <c r="F38" i="123"/>
  <c r="F37" i="13" s="1"/>
  <c r="J38" i="123"/>
  <c r="J37" i="13" s="1"/>
  <c r="N36" i="123"/>
  <c r="D16" i="123"/>
  <c r="D14" i="13" s="1"/>
  <c r="C14" i="13"/>
  <c r="F16" i="123"/>
  <c r="F14" i="13" s="1"/>
  <c r="L10" i="123"/>
  <c r="L8" i="13" s="1"/>
  <c r="H10" i="123"/>
  <c r="H9" i="13" s="1"/>
  <c r="D8" i="13"/>
  <c r="K10" i="123"/>
  <c r="G10" i="123"/>
  <c r="C10" i="123"/>
  <c r="C7" i="13" s="1"/>
  <c r="E38" i="123"/>
  <c r="E36" i="13" s="1"/>
  <c r="N42" i="123"/>
  <c r="N53" i="123"/>
  <c r="D56" i="123"/>
  <c r="D50" i="13" s="1"/>
  <c r="G54" i="13"/>
  <c r="G50" i="13"/>
  <c r="D9" i="13"/>
  <c r="C8" i="13"/>
  <c r="N7" i="123"/>
  <c r="C15" i="13"/>
  <c r="J14" i="13"/>
  <c r="M13" i="13"/>
  <c r="I13" i="13"/>
  <c r="E13" i="13"/>
  <c r="N15" i="123"/>
  <c r="H19" i="13"/>
  <c r="N20" i="123"/>
  <c r="N22" i="123" s="1"/>
  <c r="N19" i="13" s="1"/>
  <c r="C38" i="123"/>
  <c r="K38" i="123"/>
  <c r="K37" i="13" s="1"/>
  <c r="B44" i="13"/>
  <c r="N52" i="123"/>
  <c r="G55" i="13"/>
  <c r="G51" i="13"/>
  <c r="M32" i="13"/>
  <c r="I32" i="13"/>
  <c r="D25" i="13"/>
  <c r="B16" i="123"/>
  <c r="B15" i="13" s="1"/>
  <c r="J15" i="13"/>
  <c r="M14" i="13"/>
  <c r="I14" i="13"/>
  <c r="E14" i="13"/>
  <c r="N14" i="123"/>
  <c r="E21" i="13"/>
  <c r="H20" i="13"/>
  <c r="G19" i="13"/>
  <c r="B37" i="13"/>
  <c r="D37" i="13"/>
  <c r="L37" i="13"/>
  <c r="B41" i="13"/>
  <c r="N41" i="123"/>
  <c r="B43" i="13"/>
  <c r="N43" i="123"/>
  <c r="L47" i="123"/>
  <c r="L42" i="13" s="1"/>
  <c r="H47" i="123"/>
  <c r="H42" i="13" s="1"/>
  <c r="D47" i="123"/>
  <c r="D45" i="13" s="1"/>
  <c r="G47" i="123"/>
  <c r="C47" i="123"/>
  <c r="C46" i="13" s="1"/>
  <c r="N46" i="123"/>
  <c r="E54" i="13"/>
  <c r="G52" i="13"/>
  <c r="E50" i="13"/>
  <c r="N51" i="123"/>
  <c r="L32" i="13"/>
  <c r="H32" i="13"/>
  <c r="D32" i="13"/>
  <c r="M27" i="13"/>
  <c r="D7" i="13"/>
  <c r="N8" i="123"/>
  <c r="M15" i="13"/>
  <c r="I15" i="13"/>
  <c r="E15" i="13"/>
  <c r="C13" i="13"/>
  <c r="L22" i="123"/>
  <c r="L19" i="13" s="1"/>
  <c r="H21" i="13"/>
  <c r="D22" i="123"/>
  <c r="D21" i="13" s="1"/>
  <c r="K22" i="123"/>
  <c r="G20" i="13"/>
  <c r="C22" i="123"/>
  <c r="C21" i="13" s="1"/>
  <c r="J22" i="123"/>
  <c r="J19" i="13" s="1"/>
  <c r="G38" i="123"/>
  <c r="G36" i="13" s="1"/>
  <c r="H38" i="123"/>
  <c r="H37" i="13" s="1"/>
  <c r="I37" i="13"/>
  <c r="M38" i="123"/>
  <c r="M36" i="13" s="1"/>
  <c r="B46" i="13"/>
  <c r="B42" i="13"/>
  <c r="I47" i="123"/>
  <c r="I46" i="13" s="1"/>
  <c r="N44" i="123"/>
  <c r="G53" i="13"/>
  <c r="D27" i="13"/>
  <c r="F47" i="123"/>
  <c r="F45" i="13" s="1"/>
  <c r="E55" i="13"/>
  <c r="E51" i="13"/>
  <c r="N54" i="123"/>
  <c r="B31" i="13"/>
  <c r="K33" i="123"/>
  <c r="K31" i="13" s="1"/>
  <c r="G33" i="123"/>
  <c r="G32" i="13" s="1"/>
  <c r="N32" i="123"/>
  <c r="J33" i="123"/>
  <c r="N31" i="123"/>
  <c r="B25" i="13"/>
  <c r="L28" i="123"/>
  <c r="L26" i="13" s="1"/>
  <c r="K28" i="123"/>
  <c r="K26" i="13" s="1"/>
  <c r="G28" i="123"/>
  <c r="G27" i="13" s="1"/>
  <c r="C28" i="123"/>
  <c r="C27" i="13" s="1"/>
  <c r="J28" i="123"/>
  <c r="J25" i="13" s="1"/>
  <c r="F28" i="123"/>
  <c r="F27" i="13" s="1"/>
  <c r="E52" i="13"/>
  <c r="B32" i="13"/>
  <c r="M25" i="13"/>
  <c r="I28" i="123"/>
  <c r="I26" i="13" s="1"/>
  <c r="E28" i="123"/>
  <c r="E26" i="13" s="1"/>
  <c r="F31" i="13"/>
  <c r="M56" i="123"/>
  <c r="M50" i="13" s="1"/>
  <c r="I56" i="123"/>
  <c r="I55" i="13" s="1"/>
  <c r="E53" i="13"/>
  <c r="L56" i="123"/>
  <c r="H56" i="123"/>
  <c r="H53" i="13" s="1"/>
  <c r="K56" i="123"/>
  <c r="K54" i="13" s="1"/>
  <c r="C56" i="123"/>
  <c r="C50" i="13" s="1"/>
  <c r="L31" i="13"/>
  <c r="H31" i="13"/>
  <c r="D31" i="13"/>
  <c r="M26" i="13"/>
  <c r="H28" i="123"/>
  <c r="H26" i="13" s="1"/>
  <c r="E31" i="13"/>
  <c r="N26" i="123"/>
  <c r="N27" i="123"/>
  <c r="C33" i="123"/>
  <c r="C31" i="13" s="1"/>
  <c r="B10" i="123"/>
  <c r="B9" i="13" s="1"/>
  <c r="F10" i="123"/>
  <c r="J10" i="123"/>
  <c r="E10" i="123"/>
  <c r="E9" i="13" s="1"/>
  <c r="I10" i="123"/>
  <c r="M10" i="123"/>
  <c r="M8" i="13" s="1"/>
  <c r="B56" i="123"/>
  <c r="B50" i="13" s="1"/>
  <c r="F56" i="123"/>
  <c r="F53" i="13" s="1"/>
  <c r="J56" i="123"/>
  <c r="J54" i="13" s="1"/>
  <c r="L30" i="112" l="1"/>
  <c r="L24" i="112"/>
  <c r="G13" i="13"/>
  <c r="K13" i="13"/>
  <c r="L44" i="13"/>
  <c r="F26" i="13"/>
  <c r="M41" i="13"/>
  <c r="F25" i="13"/>
  <c r="I53" i="13"/>
  <c r="L13" i="13"/>
  <c r="L14" i="13"/>
  <c r="E41" i="13"/>
  <c r="E45" i="13"/>
  <c r="N16" i="123"/>
  <c r="N13" i="13" s="1"/>
  <c r="E44" i="13"/>
  <c r="E43" i="13"/>
  <c r="G26" i="13"/>
  <c r="I21" i="13"/>
  <c r="F21" i="13"/>
  <c r="J42" i="13"/>
  <c r="E37" i="13"/>
  <c r="D52" i="13"/>
  <c r="F36" i="13"/>
  <c r="M37" i="13"/>
  <c r="H36" i="13"/>
  <c r="D54" i="13"/>
  <c r="L21" i="13"/>
  <c r="M21" i="13"/>
  <c r="D55" i="13"/>
  <c r="F13" i="13"/>
  <c r="G14" i="13"/>
  <c r="M20" i="13"/>
  <c r="F54" i="13"/>
  <c r="I52" i="13"/>
  <c r="C43" i="13"/>
  <c r="F15" i="13"/>
  <c r="I45" i="13"/>
  <c r="I54" i="13"/>
  <c r="D13" i="13"/>
  <c r="M53" i="13"/>
  <c r="I41" i="13"/>
  <c r="H46" i="13"/>
  <c r="D41" i="13"/>
  <c r="I51" i="13"/>
  <c r="F19" i="13"/>
  <c r="H43" i="13"/>
  <c r="M44" i="13"/>
  <c r="H7" i="13"/>
  <c r="D20" i="13"/>
  <c r="D19" i="13"/>
  <c r="E25" i="13"/>
  <c r="C26" i="13"/>
  <c r="D44" i="13"/>
  <c r="M45" i="13"/>
  <c r="C20" i="13"/>
  <c r="L9" i="13"/>
  <c r="E42" i="13"/>
  <c r="J21" i="13"/>
  <c r="F52" i="13"/>
  <c r="L7" i="13"/>
  <c r="G31" i="13"/>
  <c r="J55" i="13"/>
  <c r="I44" i="13"/>
  <c r="N56" i="123"/>
  <c r="N55" i="13" s="1"/>
  <c r="I43" i="13"/>
  <c r="L46" i="13"/>
  <c r="J36" i="13"/>
  <c r="I42" i="13"/>
  <c r="L45" i="13"/>
  <c r="K53" i="13"/>
  <c r="J50" i="13"/>
  <c r="B52" i="13"/>
  <c r="E8" i="13"/>
  <c r="B51" i="13"/>
  <c r="D43" i="13"/>
  <c r="L43" i="13"/>
  <c r="C19" i="13"/>
  <c r="L20" i="13"/>
  <c r="D42" i="13"/>
  <c r="F44" i="13"/>
  <c r="L41" i="13"/>
  <c r="C9" i="13"/>
  <c r="J20" i="13"/>
  <c r="J58" i="123"/>
  <c r="F41" i="13"/>
  <c r="K32" i="13"/>
  <c r="B54" i="13"/>
  <c r="I50" i="13"/>
  <c r="D46" i="13"/>
  <c r="B53" i="13"/>
  <c r="M46" i="13"/>
  <c r="N21" i="13"/>
  <c r="K14" i="13"/>
  <c r="L51" i="13"/>
  <c r="L53" i="13"/>
  <c r="L54" i="13"/>
  <c r="L55" i="13"/>
  <c r="J31" i="13"/>
  <c r="J32" i="13"/>
  <c r="L52" i="13"/>
  <c r="B20" i="13"/>
  <c r="B19" i="13"/>
  <c r="J8" i="13"/>
  <c r="F58" i="123"/>
  <c r="F8" i="13"/>
  <c r="F7" i="13"/>
  <c r="F9" i="13"/>
  <c r="C54" i="13"/>
  <c r="C53" i="13"/>
  <c r="M54" i="13"/>
  <c r="M51" i="13"/>
  <c r="M52" i="13"/>
  <c r="J26" i="13"/>
  <c r="J27" i="13"/>
  <c r="M55" i="13"/>
  <c r="J9" i="13"/>
  <c r="J51" i="13"/>
  <c r="G42" i="13"/>
  <c r="G43" i="13"/>
  <c r="G46" i="13"/>
  <c r="K36" i="13"/>
  <c r="C51" i="13"/>
  <c r="C55" i="13"/>
  <c r="C45" i="13"/>
  <c r="G37" i="13"/>
  <c r="N38" i="123"/>
  <c r="N37" i="13" s="1"/>
  <c r="B21" i="13"/>
  <c r="F43" i="13"/>
  <c r="H45" i="13"/>
  <c r="K21" i="13"/>
  <c r="K19" i="13"/>
  <c r="K25" i="13"/>
  <c r="K27" i="13"/>
  <c r="K45" i="13"/>
  <c r="K44" i="13"/>
  <c r="N28" i="123"/>
  <c r="N25" i="13" s="1"/>
  <c r="C32" i="13"/>
  <c r="B58" i="123"/>
  <c r="B7" i="13"/>
  <c r="I27" i="13"/>
  <c r="I25" i="13"/>
  <c r="L50" i="13"/>
  <c r="B8" i="13"/>
  <c r="E27" i="13"/>
  <c r="C52" i="13"/>
  <c r="K42" i="13"/>
  <c r="K46" i="13"/>
  <c r="L25" i="13"/>
  <c r="G41" i="13"/>
  <c r="G45" i="13"/>
  <c r="C37" i="13"/>
  <c r="C36" i="13"/>
  <c r="G58" i="123"/>
  <c r="G9" i="13"/>
  <c r="G8" i="13"/>
  <c r="H58" i="123"/>
  <c r="H8" i="13"/>
  <c r="F42" i="13"/>
  <c r="H15" i="13"/>
  <c r="H13" i="13"/>
  <c r="H14" i="13"/>
  <c r="J45" i="13"/>
  <c r="J43" i="13"/>
  <c r="J41" i="13"/>
  <c r="J46" i="13"/>
  <c r="C44" i="13"/>
  <c r="C41" i="13"/>
  <c r="M58" i="123"/>
  <c r="M7" i="13"/>
  <c r="M9" i="13"/>
  <c r="H27" i="13"/>
  <c r="H25" i="13"/>
  <c r="I58" i="123"/>
  <c r="I7" i="13"/>
  <c r="I9" i="13"/>
  <c r="K51" i="13"/>
  <c r="K52" i="13"/>
  <c r="K50" i="13"/>
  <c r="F51" i="13"/>
  <c r="F50" i="13"/>
  <c r="E58" i="123"/>
  <c r="N33" i="123"/>
  <c r="N31" i="13" s="1"/>
  <c r="L27" i="13"/>
  <c r="J52" i="13"/>
  <c r="H44" i="13"/>
  <c r="K20" i="13"/>
  <c r="I8" i="13"/>
  <c r="C25" i="13"/>
  <c r="F55" i="13"/>
  <c r="C42" i="13"/>
  <c r="B13" i="13"/>
  <c r="B14" i="13"/>
  <c r="K55" i="13"/>
  <c r="K41" i="13"/>
  <c r="J7" i="13"/>
  <c r="J53" i="13"/>
  <c r="G7" i="13"/>
  <c r="F46" i="13"/>
  <c r="D15" i="13"/>
  <c r="D58" i="123"/>
  <c r="H41" i="13"/>
  <c r="G44" i="13"/>
  <c r="E7" i="13"/>
  <c r="D51" i="13"/>
  <c r="D53" i="13"/>
  <c r="K58" i="123"/>
  <c r="N47" i="123"/>
  <c r="N46" i="13" s="1"/>
  <c r="K9" i="13"/>
  <c r="N10" i="123"/>
  <c r="H54" i="13"/>
  <c r="H52" i="13"/>
  <c r="H50" i="13"/>
  <c r="G25" i="13"/>
  <c r="B55" i="13"/>
  <c r="M43" i="13"/>
  <c r="N20" i="13"/>
  <c r="I20" i="13"/>
  <c r="K8" i="13"/>
  <c r="H51" i="13"/>
  <c r="H55" i="13"/>
  <c r="K7" i="13"/>
  <c r="L58" i="123"/>
  <c r="C58" i="123"/>
  <c r="L35" i="112" l="1"/>
  <c r="L41" i="112" s="1"/>
  <c r="N14" i="13"/>
  <c r="N43" i="13"/>
  <c r="N15" i="13"/>
  <c r="N51" i="13"/>
  <c r="N54" i="13"/>
  <c r="N53" i="13"/>
  <c r="N52" i="13"/>
  <c r="N44" i="13"/>
  <c r="N36" i="13"/>
  <c r="N50" i="13"/>
  <c r="N42" i="13"/>
  <c r="N32" i="13"/>
  <c r="N45" i="13"/>
  <c r="N41" i="13"/>
  <c r="N58" i="123"/>
  <c r="N9" i="13"/>
  <c r="N7" i="13"/>
  <c r="N26" i="13"/>
  <c r="N8" i="13"/>
  <c r="N27" i="13"/>
  <c r="M29" i="118" l="1"/>
  <c r="J29" i="118"/>
  <c r="G29" i="118"/>
  <c r="M28" i="118"/>
  <c r="M30" i="118" s="1"/>
  <c r="N30" i="118" s="1"/>
  <c r="J28" i="118"/>
  <c r="G28" i="118"/>
  <c r="M26" i="118"/>
  <c r="N26" i="118" s="1"/>
  <c r="G26" i="118"/>
  <c r="H26" i="118" s="1"/>
  <c r="E26" i="118"/>
  <c r="M23" i="118"/>
  <c r="J23" i="118"/>
  <c r="G23" i="118"/>
  <c r="M22" i="118"/>
  <c r="J22" i="118"/>
  <c r="G22" i="118"/>
  <c r="M21" i="118"/>
  <c r="J21" i="118"/>
  <c r="G21" i="118"/>
  <c r="M20" i="118"/>
  <c r="J20" i="118"/>
  <c r="G20" i="118"/>
  <c r="J24" i="117"/>
  <c r="D21" i="103"/>
  <c r="M21" i="103" s="1"/>
  <c r="M19" i="103"/>
  <c r="M15" i="103"/>
  <c r="V19" i="103"/>
  <c r="V15" i="103"/>
  <c r="J15" i="103"/>
  <c r="S15" i="103"/>
  <c r="J30" i="118" l="1"/>
  <c r="K30" i="118" s="1"/>
  <c r="G30" i="118"/>
  <c r="H30" i="118" s="1"/>
  <c r="J26" i="118"/>
  <c r="K26" i="118" s="1"/>
  <c r="D30" i="118"/>
  <c r="E30" i="118" s="1"/>
  <c r="G21" i="117"/>
  <c r="P21" i="117"/>
  <c r="J21" i="117"/>
  <c r="G24" i="117"/>
  <c r="P24" i="117"/>
  <c r="J21" i="103"/>
  <c r="V21" i="103"/>
  <c r="S19" i="103"/>
  <c r="I9" i="115"/>
  <c r="H9" i="115"/>
  <c r="E9" i="115"/>
  <c r="I9" i="114" l="1"/>
  <c r="H9" i="114"/>
  <c r="E9" i="114"/>
  <c r="I34" i="113" l="1"/>
  <c r="F34" i="113"/>
  <c r="J8" i="113"/>
  <c r="G8" i="113"/>
  <c r="J7" i="113"/>
  <c r="G7" i="113"/>
  <c r="L6" i="113"/>
  <c r="G7" i="112"/>
  <c r="I34" i="112"/>
  <c r="F34" i="112"/>
  <c r="J8" i="112"/>
  <c r="G8" i="112"/>
  <c r="J7" i="112"/>
  <c r="O6" i="112"/>
  <c r="M33" i="111"/>
  <c r="I33" i="111"/>
  <c r="H33" i="111"/>
  <c r="G33" i="111"/>
  <c r="F33" i="111"/>
  <c r="M32" i="111"/>
  <c r="M30" i="111"/>
  <c r="E33" i="111"/>
  <c r="E29" i="111"/>
  <c r="E28" i="111"/>
  <c r="B2" i="111"/>
  <c r="S8" i="102"/>
  <c r="Y8" i="102"/>
  <c r="E27" i="111" l="1"/>
  <c r="E30" i="111"/>
  <c r="E24" i="111"/>
  <c r="E31" i="111"/>
  <c r="E32" i="111"/>
  <c r="I35" i="102"/>
  <c r="E34" i="111" l="1"/>
  <c r="H22" i="115" l="1"/>
  <c r="H22" i="114"/>
  <c r="H18" i="115"/>
  <c r="H18" i="114"/>
  <c r="H19" i="115"/>
  <c r="H19" i="114"/>
  <c r="H21" i="115"/>
  <c r="H21" i="114"/>
  <c r="H12" i="115"/>
  <c r="H12" i="114"/>
  <c r="H20" i="115"/>
  <c r="H20" i="114"/>
  <c r="H16" i="115" l="1"/>
  <c r="H32" i="115" s="1"/>
  <c r="D32" i="115"/>
  <c r="H13" i="114"/>
  <c r="H29" i="114" s="1"/>
  <c r="D29" i="114"/>
  <c r="H23" i="115"/>
  <c r="H34" i="115" s="1"/>
  <c r="D34" i="115"/>
  <c r="H11" i="114"/>
  <c r="D28" i="114"/>
  <c r="D24" i="114"/>
  <c r="H17" i="114"/>
  <c r="H33" i="114" s="1"/>
  <c r="D33" i="114"/>
  <c r="H15" i="115"/>
  <c r="H31" i="115" s="1"/>
  <c r="D31" i="115"/>
  <c r="H14" i="115"/>
  <c r="H30" i="115" s="1"/>
  <c r="D30" i="115"/>
  <c r="H16" i="114"/>
  <c r="H32" i="114" s="1"/>
  <c r="D32" i="114"/>
  <c r="H23" i="114"/>
  <c r="H34" i="114" s="1"/>
  <c r="D34" i="114"/>
  <c r="H13" i="115"/>
  <c r="H29" i="115" s="1"/>
  <c r="D29" i="115"/>
  <c r="H15" i="114"/>
  <c r="H31" i="114" s="1"/>
  <c r="D31" i="114"/>
  <c r="H11" i="115"/>
  <c r="D24" i="115"/>
  <c r="D28" i="115"/>
  <c r="H14" i="114"/>
  <c r="H30" i="114" s="1"/>
  <c r="D30" i="114"/>
  <c r="H17" i="115"/>
  <c r="H33" i="115" s="1"/>
  <c r="D33" i="115"/>
  <c r="H24" i="115" l="1"/>
  <c r="H28" i="115"/>
  <c r="H35" i="115" s="1"/>
  <c r="D35" i="114"/>
  <c r="H28" i="114"/>
  <c r="H35" i="114" s="1"/>
  <c r="H24" i="114"/>
  <c r="D35" i="115"/>
  <c r="P10" i="10"/>
  <c r="D29" i="103" l="1"/>
  <c r="D27" i="103"/>
  <c r="D24" i="103"/>
  <c r="D23" i="103"/>
  <c r="D22" i="103"/>
  <c r="D17" i="103"/>
  <c r="D16" i="103"/>
  <c r="I9" i="104"/>
  <c r="H9" i="104"/>
  <c r="E9" i="104"/>
  <c r="E27" i="103"/>
  <c r="G19" i="103"/>
  <c r="M9" i="102"/>
  <c r="J9" i="102"/>
  <c r="G9" i="102"/>
  <c r="M8" i="102"/>
  <c r="J8" i="102"/>
  <c r="AA7" i="102"/>
  <c r="J23" i="103" l="1"/>
  <c r="S23" i="103"/>
  <c r="V23" i="103"/>
  <c r="M23" i="103"/>
  <c r="M17" i="103"/>
  <c r="J17" i="103"/>
  <c r="V17" i="103"/>
  <c r="S17" i="103"/>
  <c r="M24" i="103"/>
  <c r="J24" i="103"/>
  <c r="S24" i="103"/>
  <c r="J20" i="103"/>
  <c r="V20" i="103"/>
  <c r="S20" i="103"/>
  <c r="S27" i="103"/>
  <c r="T27" i="103" s="1"/>
  <c r="V27" i="103"/>
  <c r="W27" i="103" s="1"/>
  <c r="J27" i="103"/>
  <c r="K27" i="103" s="1"/>
  <c r="M27" i="103"/>
  <c r="N27" i="103" s="1"/>
  <c r="S11" i="103"/>
  <c r="V11" i="103"/>
  <c r="M11" i="103"/>
  <c r="J11" i="103"/>
  <c r="V22" i="103"/>
  <c r="S22" i="103"/>
  <c r="M22" i="103"/>
  <c r="J22" i="103"/>
  <c r="V29" i="103"/>
  <c r="G29" i="103"/>
  <c r="J29" i="103"/>
  <c r="M29" i="103"/>
  <c r="Y29" i="103"/>
  <c r="D29" i="117" s="1"/>
  <c r="M29" i="117" s="1"/>
  <c r="S29" i="103"/>
  <c r="J16" i="103"/>
  <c r="V16" i="103"/>
  <c r="S16" i="103"/>
  <c r="M16" i="103"/>
  <c r="G16" i="103"/>
  <c r="G24" i="103"/>
  <c r="Y27" i="103"/>
  <c r="G27" i="103"/>
  <c r="H27" i="103" s="1"/>
  <c r="G21" i="103"/>
  <c r="E11" i="103"/>
  <c r="E12" i="103"/>
  <c r="Y23" i="103"/>
  <c r="D23" i="117" s="1"/>
  <c r="M23" i="117" s="1"/>
  <c r="G23" i="103"/>
  <c r="Y16" i="103"/>
  <c r="D16" i="117" s="1"/>
  <c r="M16" i="117" s="1"/>
  <c r="D12" i="103"/>
  <c r="D25" i="103"/>
  <c r="G17" i="103"/>
  <c r="G20" i="103"/>
  <c r="G22" i="103"/>
  <c r="Y17" i="103"/>
  <c r="D17" i="117" s="1"/>
  <c r="M17" i="117" s="1"/>
  <c r="Y22" i="103"/>
  <c r="D22" i="117" s="1"/>
  <c r="M22" i="117" s="1"/>
  <c r="Z27" i="103" l="1"/>
  <c r="D27" i="117"/>
  <c r="M27" i="117" s="1"/>
  <c r="N27" i="117" s="1"/>
  <c r="J29" i="117"/>
  <c r="G29" i="117"/>
  <c r="P29" i="117"/>
  <c r="P23" i="117"/>
  <c r="J23" i="117"/>
  <c r="G23" i="117"/>
  <c r="P22" i="117"/>
  <c r="G22" i="117"/>
  <c r="J22" i="117"/>
  <c r="J17" i="117"/>
  <c r="P17" i="117"/>
  <c r="G17" i="117"/>
  <c r="G16" i="117"/>
  <c r="J16" i="117"/>
  <c r="P16" i="117"/>
  <c r="V12" i="103"/>
  <c r="W11" i="103"/>
  <c r="W12" i="103" s="1"/>
  <c r="N11" i="103"/>
  <c r="N12" i="103" s="1"/>
  <c r="M12" i="103"/>
  <c r="S25" i="103"/>
  <c r="T25" i="103" s="1"/>
  <c r="T11" i="103"/>
  <c r="T12" i="103" s="1"/>
  <c r="S12" i="103"/>
  <c r="V25" i="103"/>
  <c r="W25" i="103" s="1"/>
  <c r="K11" i="103"/>
  <c r="K12" i="103" s="1"/>
  <c r="J12" i="103"/>
  <c r="E25" i="103"/>
  <c r="G27" i="117" l="1"/>
  <c r="H27" i="117" s="1"/>
  <c r="E27" i="117"/>
  <c r="J27" i="117"/>
  <c r="K27" i="117" s="1"/>
  <c r="P27" i="117"/>
  <c r="Q27" i="117" s="1"/>
  <c r="M17" i="118"/>
  <c r="G17" i="118"/>
  <c r="J17" i="118"/>
  <c r="M16" i="118" l="1"/>
  <c r="G16" i="118"/>
  <c r="J16" i="118"/>
  <c r="G14" i="24"/>
  <c r="G11" i="24"/>
  <c r="G13" i="24"/>
  <c r="G15" i="24"/>
  <c r="G10" i="24"/>
  <c r="G12" i="24"/>
  <c r="G16" i="24"/>
  <c r="D30" i="103" l="1"/>
  <c r="V30" i="103" l="1"/>
  <c r="V31" i="103" s="1"/>
  <c r="J30" i="103"/>
  <c r="J31" i="103" s="1"/>
  <c r="Y30" i="103"/>
  <c r="D30" i="117" s="1"/>
  <c r="M30" i="117" s="1"/>
  <c r="M31" i="117" s="1"/>
  <c r="N31" i="117" s="1"/>
  <c r="S30" i="103"/>
  <c r="S31" i="103" s="1"/>
  <c r="M30" i="103"/>
  <c r="M31" i="103" s="1"/>
  <c r="D31" i="103"/>
  <c r="G30" i="103"/>
  <c r="J30" i="117" l="1"/>
  <c r="J31" i="117" s="1"/>
  <c r="K31" i="117" s="1"/>
  <c r="P30" i="117"/>
  <c r="P31" i="117" s="1"/>
  <c r="Q31" i="117" s="1"/>
  <c r="G30" i="117"/>
  <c r="G31" i="117" s="1"/>
  <c r="H31" i="117" s="1"/>
  <c r="D31" i="117"/>
  <c r="E31" i="117" s="1"/>
  <c r="T31" i="103"/>
  <c r="T32" i="103" s="1"/>
  <c r="T34" i="103" s="1"/>
  <c r="S32" i="103"/>
  <c r="K31" i="103"/>
  <c r="N31" i="103"/>
  <c r="W31" i="103"/>
  <c r="W32" i="103" s="1"/>
  <c r="W34" i="103" s="1"/>
  <c r="V32" i="103"/>
  <c r="E31" i="103"/>
  <c r="E32" i="103" s="1"/>
  <c r="E34" i="103" s="1"/>
  <c r="D32" i="103"/>
  <c r="F16" i="134" l="1"/>
  <c r="F15" i="134"/>
  <c r="F13" i="134"/>
  <c r="F11" i="134"/>
  <c r="F29" i="134"/>
  <c r="F25" i="134"/>
  <c r="F23" i="134"/>
  <c r="F19" i="134"/>
  <c r="F17" i="134"/>
  <c r="F12" i="134"/>
  <c r="F10" i="134"/>
  <c r="F32" i="134"/>
  <c r="F30" i="134"/>
  <c r="F26" i="134"/>
  <c r="F20" i="134"/>
  <c r="F35" i="134"/>
  <c r="F33" i="134"/>
  <c r="F31" i="134"/>
  <c r="F27" i="134"/>
  <c r="F21" i="134"/>
  <c r="F14" i="134"/>
  <c r="F34" i="134"/>
  <c r="F28" i="134"/>
  <c r="F22" i="134"/>
  <c r="F18" i="134"/>
  <c r="F24" i="134"/>
  <c r="T35" i="103"/>
  <c r="T36" i="103" s="1"/>
  <c r="W35" i="103"/>
  <c r="W36" i="103" s="1"/>
  <c r="C6" i="15" l="1"/>
  <c r="D6" i="15" s="1"/>
  <c r="E6" i="15" s="1"/>
  <c r="F6" i="15" s="1"/>
  <c r="G6" i="15" s="1"/>
  <c r="H6" i="15" s="1"/>
  <c r="I6" i="15" s="1"/>
  <c r="J6" i="15" s="1"/>
  <c r="K6" i="15" s="1"/>
  <c r="L6" i="15" s="1"/>
  <c r="M6" i="15" s="1"/>
  <c r="C38" i="15"/>
  <c r="D38" i="15"/>
  <c r="E38" i="15"/>
  <c r="F38" i="15"/>
  <c r="G38" i="15"/>
  <c r="H38" i="15"/>
  <c r="I38" i="15"/>
  <c r="J38" i="15"/>
  <c r="K38" i="15"/>
  <c r="L38" i="15"/>
  <c r="M38" i="15"/>
  <c r="B38" i="15"/>
  <c r="N25" i="15"/>
  <c r="C20" i="15"/>
  <c r="D20" i="15"/>
  <c r="E20" i="15"/>
  <c r="F20" i="15"/>
  <c r="G20" i="15"/>
  <c r="H20" i="15"/>
  <c r="I20" i="15"/>
  <c r="J20" i="15"/>
  <c r="K20" i="15"/>
  <c r="L20" i="15"/>
  <c r="M20" i="15"/>
  <c r="B20" i="15"/>
  <c r="N38" i="13" l="1"/>
  <c r="C56" i="13"/>
  <c r="D56" i="13"/>
  <c r="E56" i="13"/>
  <c r="F56" i="13"/>
  <c r="G56" i="13"/>
  <c r="H56" i="13"/>
  <c r="I56" i="13"/>
  <c r="J56" i="13"/>
  <c r="K56" i="13"/>
  <c r="L56" i="13"/>
  <c r="M56" i="13"/>
  <c r="N56" i="13"/>
  <c r="B56" i="13"/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5" i="13" l="1"/>
  <c r="D5" i="13" s="1"/>
  <c r="E5" i="13" s="1"/>
  <c r="F5" i="13" s="1"/>
  <c r="G5" i="13" s="1"/>
  <c r="H5" i="13" s="1"/>
  <c r="I5" i="13" s="1"/>
  <c r="J5" i="13" s="1"/>
  <c r="K5" i="13" s="1"/>
  <c r="L5" i="13" s="1"/>
  <c r="M5" i="13" s="1"/>
  <c r="N37" i="15"/>
  <c r="N36" i="15"/>
  <c r="N35" i="15"/>
  <c r="N34" i="15"/>
  <c r="N33" i="15"/>
  <c r="N32" i="15"/>
  <c r="N29" i="15"/>
  <c r="N31" i="15"/>
  <c r="N30" i="15"/>
  <c r="N28" i="15"/>
  <c r="N27" i="15"/>
  <c r="N26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N19" i="15"/>
  <c r="N18" i="15"/>
  <c r="N17" i="15"/>
  <c r="N16" i="15"/>
  <c r="N15" i="15"/>
  <c r="N14" i="15"/>
  <c r="N11" i="15"/>
  <c r="N12" i="15"/>
  <c r="N10" i="15"/>
  <c r="N9" i="15"/>
  <c r="N8" i="15"/>
  <c r="N7" i="15"/>
  <c r="D46" i="48" l="1"/>
  <c r="D21" i="48"/>
  <c r="D20" i="60"/>
  <c r="H20" i="60" s="1"/>
  <c r="D25" i="60"/>
  <c r="H25" i="60" s="1"/>
  <c r="D35" i="60"/>
  <c r="H35" i="60" s="1"/>
  <c r="D38" i="48"/>
  <c r="D30" i="60"/>
  <c r="H30" i="60" s="1"/>
  <c r="N38" i="15"/>
  <c r="N13" i="15"/>
  <c r="G38" i="48" l="1"/>
  <c r="G25" i="60"/>
  <c r="I25" i="60" s="1"/>
  <c r="J25" i="60" s="1"/>
  <c r="G35" i="60"/>
  <c r="I35" i="60" s="1"/>
  <c r="J35" i="60" s="1"/>
  <c r="G20" i="60"/>
  <c r="I20" i="60" s="1"/>
  <c r="J20" i="60" s="1"/>
  <c r="G30" i="60"/>
  <c r="I30" i="60" s="1"/>
  <c r="J30" i="60" s="1"/>
  <c r="G21" i="48"/>
  <c r="G46" i="48"/>
  <c r="D40" i="60"/>
  <c r="N20" i="15"/>
  <c r="D30" i="48"/>
  <c r="D54" i="48" l="1"/>
  <c r="G30" i="48"/>
  <c r="P9" i="10" l="1"/>
  <c r="D12" i="111" l="1"/>
  <c r="C10" i="99"/>
  <c r="G10" i="99" s="1"/>
  <c r="C10" i="93"/>
  <c r="D13" i="60"/>
  <c r="C10" i="25"/>
  <c r="C11" i="24"/>
  <c r="C10" i="21"/>
  <c r="G10" i="21" s="1"/>
  <c r="C10" i="22"/>
  <c r="G10" i="22" s="1"/>
  <c r="F10" i="99" l="1"/>
  <c r="K12" i="111" s="1"/>
  <c r="D12" i="104"/>
  <c r="H12" i="104" s="1"/>
  <c r="I12" i="124"/>
  <c r="H10" i="99"/>
  <c r="G10" i="93"/>
  <c r="F10" i="93"/>
  <c r="G10" i="25"/>
  <c r="F10" i="25"/>
  <c r="L11" i="24"/>
  <c r="G13" i="60"/>
  <c r="F10" i="22"/>
  <c r="F10" i="21"/>
  <c r="J12" i="111" l="1"/>
  <c r="F12" i="111"/>
  <c r="H12" i="111"/>
  <c r="I10" i="99"/>
  <c r="X13" i="102"/>
  <c r="N12" i="111"/>
  <c r="L12" i="111"/>
  <c r="G12" i="111"/>
  <c r="H10" i="21"/>
  <c r="H10" i="93"/>
  <c r="I10" i="93" s="1"/>
  <c r="H10" i="22"/>
  <c r="R13" i="102" s="1"/>
  <c r="H10" i="25"/>
  <c r="F12" i="124" l="1"/>
  <c r="G12" i="124"/>
  <c r="J12" i="124"/>
  <c r="N12" i="124"/>
  <c r="H12" i="124"/>
  <c r="O12" i="111"/>
  <c r="I10" i="22"/>
  <c r="I10" i="25"/>
  <c r="I10" i="21"/>
  <c r="E12" i="104" l="1"/>
  <c r="F12" i="104" s="1"/>
  <c r="D13" i="102"/>
  <c r="P13" i="102" s="1"/>
  <c r="H33" i="13"/>
  <c r="D33" i="13"/>
  <c r="L38" i="13"/>
  <c r="K38" i="13"/>
  <c r="J38" i="13"/>
  <c r="I38" i="13"/>
  <c r="F38" i="13"/>
  <c r="D38" i="13"/>
  <c r="C38" i="13"/>
  <c r="L28" i="13"/>
  <c r="I28" i="13"/>
  <c r="H28" i="13"/>
  <c r="G28" i="13"/>
  <c r="D28" i="13"/>
  <c r="Y13" i="102" l="1"/>
  <c r="S13" i="102"/>
  <c r="D47" i="13"/>
  <c r="H38" i="13"/>
  <c r="F16" i="13"/>
  <c r="M38" i="13"/>
  <c r="F10" i="13"/>
  <c r="J16" i="13"/>
  <c r="J10" i="13"/>
  <c r="H16" i="13"/>
  <c r="E16" i="13"/>
  <c r="K10" i="13"/>
  <c r="D22" i="13"/>
  <c r="H22" i="13"/>
  <c r="L22" i="13"/>
  <c r="E22" i="13"/>
  <c r="G33" i="13"/>
  <c r="I16" i="13"/>
  <c r="M16" i="13"/>
  <c r="E28" i="13"/>
  <c r="M28" i="13"/>
  <c r="C10" i="13"/>
  <c r="G10" i="13"/>
  <c r="L33" i="13"/>
  <c r="D16" i="13"/>
  <c r="L16" i="13"/>
  <c r="C16" i="13"/>
  <c r="G16" i="13"/>
  <c r="K16" i="13"/>
  <c r="D10" i="13"/>
  <c r="H10" i="13"/>
  <c r="L10" i="13"/>
  <c r="E10" i="13"/>
  <c r="I10" i="13"/>
  <c r="M10" i="13"/>
  <c r="I22" i="13"/>
  <c r="M22" i="13"/>
  <c r="F22" i="13"/>
  <c r="J22" i="13"/>
  <c r="E33" i="13"/>
  <c r="I33" i="13"/>
  <c r="M33" i="13"/>
  <c r="C47" i="13"/>
  <c r="G47" i="13"/>
  <c r="B10" i="13"/>
  <c r="H47" i="13" l="1"/>
  <c r="B22" i="13"/>
  <c r="C33" i="13"/>
  <c r="J33" i="13"/>
  <c r="E38" i="13"/>
  <c r="J28" i="13"/>
  <c r="G38" i="13"/>
  <c r="N22" i="13"/>
  <c r="F33" i="13"/>
  <c r="K28" i="13"/>
  <c r="F28" i="13"/>
  <c r="M47" i="13"/>
  <c r="K33" i="13"/>
  <c r="K22" i="13"/>
  <c r="C28" i="13"/>
  <c r="J47" i="13"/>
  <c r="I47" i="13"/>
  <c r="B47" i="13"/>
  <c r="B38" i="13"/>
  <c r="G22" i="13"/>
  <c r="F47" i="13"/>
  <c r="N16" i="13"/>
  <c r="B28" i="13"/>
  <c r="E47" i="13"/>
  <c r="N28" i="13"/>
  <c r="L47" i="13"/>
  <c r="C22" i="13"/>
  <c r="N33" i="13"/>
  <c r="B33" i="13"/>
  <c r="B16" i="13"/>
  <c r="K47" i="13"/>
  <c r="N47" i="13" l="1"/>
  <c r="N10" i="13"/>
  <c r="O40" i="10" l="1"/>
  <c r="N40" i="10"/>
  <c r="M40" i="10"/>
  <c r="L40" i="10"/>
  <c r="K40" i="10"/>
  <c r="J40" i="10"/>
  <c r="I40" i="10"/>
  <c r="H40" i="10"/>
  <c r="G40" i="10"/>
  <c r="F40" i="10"/>
  <c r="E40" i="10"/>
  <c r="D40" i="10"/>
  <c r="O29" i="10"/>
  <c r="N29" i="10"/>
  <c r="M29" i="10"/>
  <c r="L29" i="10"/>
  <c r="K29" i="10"/>
  <c r="J29" i="10"/>
  <c r="I29" i="10"/>
  <c r="H29" i="10"/>
  <c r="G29" i="10"/>
  <c r="D2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N37" i="10"/>
  <c r="L37" i="10"/>
  <c r="J37" i="10"/>
  <c r="H37" i="10"/>
  <c r="F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H25" i="10" l="1"/>
  <c r="H34" i="10"/>
  <c r="E23" i="10"/>
  <c r="E34" i="10"/>
  <c r="M23" i="10"/>
  <c r="M34" i="10"/>
  <c r="E26" i="10"/>
  <c r="E37" i="10"/>
  <c r="M26" i="10"/>
  <c r="M37" i="10"/>
  <c r="F25" i="10"/>
  <c r="F34" i="10"/>
  <c r="J25" i="10"/>
  <c r="J34" i="10"/>
  <c r="N25" i="10"/>
  <c r="N34" i="10"/>
  <c r="D25" i="10"/>
  <c r="D34" i="10"/>
  <c r="L25" i="10"/>
  <c r="L34" i="10"/>
  <c r="I23" i="10"/>
  <c r="I34" i="10"/>
  <c r="I26" i="10"/>
  <c r="I37" i="10"/>
  <c r="G25" i="10"/>
  <c r="G34" i="10"/>
  <c r="K25" i="10"/>
  <c r="K34" i="10"/>
  <c r="O25" i="10"/>
  <c r="O34" i="10"/>
  <c r="G26" i="10"/>
  <c r="G37" i="10"/>
  <c r="K26" i="10"/>
  <c r="K37" i="10"/>
  <c r="O26" i="10"/>
  <c r="O37" i="10"/>
  <c r="F29" i="10"/>
  <c r="E29" i="10"/>
  <c r="D23" i="10"/>
  <c r="H23" i="10"/>
  <c r="L23" i="10"/>
  <c r="P12" i="10"/>
  <c r="P13" i="10"/>
  <c r="P14" i="10"/>
  <c r="P15" i="10"/>
  <c r="H26" i="10"/>
  <c r="L26" i="10"/>
  <c r="P16" i="10"/>
  <c r="P18" i="10"/>
  <c r="P19" i="10"/>
  <c r="P20" i="10"/>
  <c r="P21" i="10"/>
  <c r="P22" i="10"/>
  <c r="F23" i="10"/>
  <c r="J23" i="10"/>
  <c r="N23" i="10"/>
  <c r="F26" i="10"/>
  <c r="J26" i="10"/>
  <c r="N26" i="10"/>
  <c r="N27" i="10" s="1"/>
  <c r="N30" i="10" s="1"/>
  <c r="P17" i="10"/>
  <c r="E25" i="10"/>
  <c r="I25" i="10"/>
  <c r="M25" i="10"/>
  <c r="D26" i="10"/>
  <c r="G23" i="10"/>
  <c r="K23" i="10"/>
  <c r="O23" i="10"/>
  <c r="P11" i="10"/>
  <c r="D18" i="111" l="1"/>
  <c r="D18" i="104" s="1"/>
  <c r="H18" i="104" s="1"/>
  <c r="D22" i="111"/>
  <c r="D22" i="104" s="1"/>
  <c r="H22" i="104" s="1"/>
  <c r="D15" i="111"/>
  <c r="D21" i="111"/>
  <c r="D21" i="104" s="1"/>
  <c r="H21" i="104" s="1"/>
  <c r="D20" i="111"/>
  <c r="D20" i="104" s="1"/>
  <c r="H20" i="104" s="1"/>
  <c r="D11" i="111"/>
  <c r="D17" i="111"/>
  <c r="D29" i="124"/>
  <c r="D14" i="111"/>
  <c r="D28" i="124"/>
  <c r="D13" i="111"/>
  <c r="D33" i="124"/>
  <c r="D23" i="111"/>
  <c r="D19" i="111"/>
  <c r="D19" i="104" s="1"/>
  <c r="H19" i="104" s="1"/>
  <c r="D16" i="111"/>
  <c r="C15" i="99"/>
  <c r="G15" i="99" s="1"/>
  <c r="C12" i="99"/>
  <c r="C13" i="99"/>
  <c r="F13" i="99" s="1"/>
  <c r="C11" i="99"/>
  <c r="F11" i="99" s="1"/>
  <c r="C14" i="99"/>
  <c r="G14" i="99" s="1"/>
  <c r="L27" i="10"/>
  <c r="L30" i="10" s="1"/>
  <c r="L31" i="10" s="1"/>
  <c r="C16" i="99"/>
  <c r="F16" i="99" s="1"/>
  <c r="C16" i="25"/>
  <c r="C20" i="99"/>
  <c r="G20" i="99" s="1"/>
  <c r="C20" i="25"/>
  <c r="C19" i="99"/>
  <c r="G19" i="99" s="1"/>
  <c r="C19" i="25"/>
  <c r="C18" i="99"/>
  <c r="F18" i="99" s="1"/>
  <c r="C18" i="25"/>
  <c r="C21" i="99"/>
  <c r="F21" i="99" s="1"/>
  <c r="C21" i="25"/>
  <c r="C17" i="99"/>
  <c r="F17" i="99" s="1"/>
  <c r="C17" i="25"/>
  <c r="G12" i="99"/>
  <c r="F12" i="99"/>
  <c r="C9" i="99"/>
  <c r="C20" i="93"/>
  <c r="C19" i="93"/>
  <c r="C13" i="93"/>
  <c r="D24" i="48"/>
  <c r="G24" i="48" s="1"/>
  <c r="C12" i="93"/>
  <c r="C18" i="93"/>
  <c r="C11" i="93"/>
  <c r="C16" i="93"/>
  <c r="C15" i="93"/>
  <c r="C21" i="93"/>
  <c r="D32" i="48"/>
  <c r="H32" i="48" s="1"/>
  <c r="C17" i="93"/>
  <c r="C14" i="93"/>
  <c r="C9" i="93"/>
  <c r="D29" i="60"/>
  <c r="D34" i="60"/>
  <c r="D24" i="60"/>
  <c r="D19" i="60"/>
  <c r="D16" i="60"/>
  <c r="D10" i="60"/>
  <c r="D18" i="48"/>
  <c r="I27" i="10"/>
  <c r="I30" i="10" s="1"/>
  <c r="I31" i="10" s="1"/>
  <c r="P40" i="10"/>
  <c r="D34" i="48"/>
  <c r="D33" i="48"/>
  <c r="D49" i="48"/>
  <c r="D48" i="48"/>
  <c r="D42" i="48"/>
  <c r="D41" i="48"/>
  <c r="D39" i="48"/>
  <c r="D14" i="48"/>
  <c r="D13" i="48"/>
  <c r="D26" i="48"/>
  <c r="D25" i="48"/>
  <c r="D22" i="48"/>
  <c r="D10" i="48"/>
  <c r="D41" i="10"/>
  <c r="M27" i="10"/>
  <c r="M30" i="10" s="1"/>
  <c r="M31" i="10" s="1"/>
  <c r="G41" i="10"/>
  <c r="K27" i="10"/>
  <c r="K30" i="10" s="1"/>
  <c r="K31" i="10" s="1"/>
  <c r="J27" i="10"/>
  <c r="J30" i="10" s="1"/>
  <c r="J31" i="10" s="1"/>
  <c r="H27" i="10"/>
  <c r="H30" i="10" s="1"/>
  <c r="H31" i="10" s="1"/>
  <c r="E41" i="10"/>
  <c r="P35" i="10"/>
  <c r="P29" i="10"/>
  <c r="D9" i="11"/>
  <c r="C9" i="21"/>
  <c r="G9" i="21" s="1"/>
  <c r="C10" i="24"/>
  <c r="C9" i="25"/>
  <c r="P34" i="10"/>
  <c r="E27" i="10"/>
  <c r="E30" i="10" s="1"/>
  <c r="E31" i="10" s="1"/>
  <c r="O41" i="10"/>
  <c r="K41" i="10"/>
  <c r="P39" i="10"/>
  <c r="P37" i="10"/>
  <c r="P36" i="10"/>
  <c r="F27" i="10"/>
  <c r="F30" i="10" s="1"/>
  <c r="F31" i="10" s="1"/>
  <c r="P38" i="10"/>
  <c r="O27" i="10"/>
  <c r="O30" i="10" s="1"/>
  <c r="O31" i="10" s="1"/>
  <c r="G27" i="10"/>
  <c r="G30" i="10" s="1"/>
  <c r="G31" i="10" s="1"/>
  <c r="I41" i="10"/>
  <c r="M41" i="10"/>
  <c r="F41" i="10"/>
  <c r="N41" i="10"/>
  <c r="L41" i="10"/>
  <c r="J41" i="10"/>
  <c r="H41" i="10"/>
  <c r="C9" i="22"/>
  <c r="G9" i="22" s="1"/>
  <c r="P26" i="10"/>
  <c r="N31" i="10"/>
  <c r="C16" i="22"/>
  <c r="G16" i="22" s="1"/>
  <c r="C16" i="21"/>
  <c r="G16" i="21" s="1"/>
  <c r="D12" i="11"/>
  <c r="C20" i="22"/>
  <c r="C20" i="21"/>
  <c r="G20" i="21" s="1"/>
  <c r="D45" i="11"/>
  <c r="D44" i="11"/>
  <c r="D47" i="11"/>
  <c r="D43" i="11"/>
  <c r="D46" i="11"/>
  <c r="D42" i="11"/>
  <c r="C14" i="21"/>
  <c r="G14" i="21" s="1"/>
  <c r="C14" i="25"/>
  <c r="C15" i="24"/>
  <c r="C14" i="22"/>
  <c r="G14" i="22" s="1"/>
  <c r="D23" i="11"/>
  <c r="C19" i="21"/>
  <c r="G19" i="21" s="1"/>
  <c r="C19" i="22"/>
  <c r="G19" i="22" s="1"/>
  <c r="D24" i="11"/>
  <c r="C15" i="21"/>
  <c r="G15" i="21" s="1"/>
  <c r="C15" i="25"/>
  <c r="C16" i="24"/>
  <c r="C15" i="22"/>
  <c r="G15" i="22" s="1"/>
  <c r="D31" i="11"/>
  <c r="D27" i="11"/>
  <c r="D30" i="11"/>
  <c r="D29" i="11"/>
  <c r="D32" i="11"/>
  <c r="D28" i="11"/>
  <c r="C13" i="25"/>
  <c r="C13" i="21"/>
  <c r="G13" i="21" s="1"/>
  <c r="C14" i="24"/>
  <c r="C13" i="22"/>
  <c r="G13" i="22" s="1"/>
  <c r="D20" i="11"/>
  <c r="D19" i="11"/>
  <c r="D18" i="11"/>
  <c r="C18" i="22"/>
  <c r="G18" i="22" s="1"/>
  <c r="C18" i="21"/>
  <c r="G18" i="21" s="1"/>
  <c r="D38" i="11"/>
  <c r="D37" i="11"/>
  <c r="D36" i="11"/>
  <c r="C13" i="24"/>
  <c r="C12" i="22"/>
  <c r="G12" i="22" s="1"/>
  <c r="C12" i="21"/>
  <c r="G12" i="21" s="1"/>
  <c r="C12" i="25"/>
  <c r="D14" i="11"/>
  <c r="C21" i="21"/>
  <c r="C21" i="22"/>
  <c r="G21" i="22" s="1"/>
  <c r="C17" i="22"/>
  <c r="G17" i="22" s="1"/>
  <c r="C17" i="21"/>
  <c r="G17" i="21" s="1"/>
  <c r="D15" i="11"/>
  <c r="C11" i="25"/>
  <c r="C11" i="21"/>
  <c r="G11" i="21" s="1"/>
  <c r="C12" i="24"/>
  <c r="C11" i="22"/>
  <c r="G11" i="22" s="1"/>
  <c r="D11" i="11"/>
  <c r="P23" i="10"/>
  <c r="D27" i="10"/>
  <c r="D30" i="10" s="1"/>
  <c r="D31" i="10" s="1"/>
  <c r="P25" i="10"/>
  <c r="F15" i="99" l="1"/>
  <c r="H24" i="48"/>
  <c r="K13" i="111"/>
  <c r="D23" i="104"/>
  <c r="H23" i="104" s="1"/>
  <c r="H34" i="104" s="1"/>
  <c r="D33" i="111"/>
  <c r="K23" i="111"/>
  <c r="K33" i="111" s="1"/>
  <c r="M33" i="124"/>
  <c r="K18" i="111"/>
  <c r="K15" i="111"/>
  <c r="D27" i="124"/>
  <c r="D24" i="124"/>
  <c r="D31" i="124"/>
  <c r="D13" i="104"/>
  <c r="H13" i="104" s="1"/>
  <c r="D28" i="111"/>
  <c r="D17" i="104"/>
  <c r="H17" i="104" s="1"/>
  <c r="D32" i="111"/>
  <c r="D15" i="104"/>
  <c r="H15" i="104" s="1"/>
  <c r="D30" i="111"/>
  <c r="K14" i="111"/>
  <c r="D16" i="104"/>
  <c r="H16" i="104" s="1"/>
  <c r="H32" i="104" s="1"/>
  <c r="D31" i="111"/>
  <c r="D14" i="104"/>
  <c r="H14" i="104" s="1"/>
  <c r="D29" i="111"/>
  <c r="D11" i="104"/>
  <c r="D27" i="111"/>
  <c r="D24" i="111"/>
  <c r="K17" i="111"/>
  <c r="K19" i="111"/>
  <c r="K20" i="111"/>
  <c r="D32" i="124"/>
  <c r="D30" i="124"/>
  <c r="G32" i="48"/>
  <c r="I32" i="48" s="1"/>
  <c r="G21" i="99"/>
  <c r="H21" i="99" s="1"/>
  <c r="G16" i="99"/>
  <c r="H16" i="99" s="1"/>
  <c r="F14" i="99"/>
  <c r="F19" i="99"/>
  <c r="G11" i="99"/>
  <c r="H11" i="99" s="1"/>
  <c r="H30" i="104"/>
  <c r="G13" i="99"/>
  <c r="H13" i="99" s="1"/>
  <c r="H15" i="99"/>
  <c r="G17" i="99"/>
  <c r="H17" i="99" s="1"/>
  <c r="G18" i="99"/>
  <c r="H18" i="99" s="1"/>
  <c r="G17" i="25"/>
  <c r="F17" i="25"/>
  <c r="G18" i="25"/>
  <c r="F18" i="25"/>
  <c r="F20" i="25"/>
  <c r="G20" i="25"/>
  <c r="C22" i="25"/>
  <c r="F20" i="99"/>
  <c r="F21" i="25"/>
  <c r="G21" i="25"/>
  <c r="G19" i="25"/>
  <c r="F19" i="25"/>
  <c r="F16" i="25"/>
  <c r="G16" i="25"/>
  <c r="H12" i="99"/>
  <c r="C22" i="99"/>
  <c r="G9" i="99"/>
  <c r="F9" i="99"/>
  <c r="G16" i="93"/>
  <c r="F16" i="93"/>
  <c r="G19" i="93"/>
  <c r="F19" i="93"/>
  <c r="G15" i="93"/>
  <c r="F15" i="93"/>
  <c r="F12" i="93"/>
  <c r="G12" i="93"/>
  <c r="F13" i="93"/>
  <c r="G13" i="93"/>
  <c r="F17" i="93"/>
  <c r="G17" i="93"/>
  <c r="F21" i="93"/>
  <c r="G21" i="93"/>
  <c r="G18" i="93"/>
  <c r="F18" i="93"/>
  <c r="G14" i="93"/>
  <c r="F14" i="93"/>
  <c r="G11" i="93"/>
  <c r="F11" i="93"/>
  <c r="G20" i="93"/>
  <c r="F20" i="93"/>
  <c r="G9" i="93"/>
  <c r="F9" i="93"/>
  <c r="C22" i="93"/>
  <c r="I24" i="48"/>
  <c r="G20" i="22"/>
  <c r="D53" i="48"/>
  <c r="F21" i="21"/>
  <c r="G21" i="21"/>
  <c r="H20" i="11"/>
  <c r="G20" i="11"/>
  <c r="H43" i="11"/>
  <c r="G43" i="11"/>
  <c r="H23" i="11"/>
  <c r="G23" i="11"/>
  <c r="H36" i="11"/>
  <c r="G36" i="11"/>
  <c r="H18" i="11"/>
  <c r="G18" i="11"/>
  <c r="G28" i="11"/>
  <c r="H28" i="11"/>
  <c r="H27" i="11"/>
  <c r="G27" i="11"/>
  <c r="G42" i="11"/>
  <c r="H42" i="11"/>
  <c r="H44" i="11"/>
  <c r="G44" i="11"/>
  <c r="H38" i="11"/>
  <c r="G38" i="11"/>
  <c r="H29" i="11"/>
  <c r="G29" i="11"/>
  <c r="H30" i="11"/>
  <c r="G30" i="11"/>
  <c r="H47" i="11"/>
  <c r="G47" i="11"/>
  <c r="H37" i="11"/>
  <c r="G37" i="11"/>
  <c r="G19" i="11"/>
  <c r="H19" i="11"/>
  <c r="H32" i="11"/>
  <c r="G32" i="11"/>
  <c r="G31" i="11"/>
  <c r="H31" i="11"/>
  <c r="H24" i="11"/>
  <c r="G24" i="11"/>
  <c r="H46" i="11"/>
  <c r="G46" i="11"/>
  <c r="G45" i="11"/>
  <c r="H45" i="11"/>
  <c r="G13" i="25"/>
  <c r="F13" i="25"/>
  <c r="F9" i="25"/>
  <c r="G9" i="25"/>
  <c r="F15" i="25"/>
  <c r="G15" i="25"/>
  <c r="G12" i="25"/>
  <c r="F12" i="25"/>
  <c r="F11" i="25"/>
  <c r="G11" i="25"/>
  <c r="F14" i="25"/>
  <c r="G14" i="25"/>
  <c r="L12" i="24"/>
  <c r="L13" i="24"/>
  <c r="L14" i="24"/>
  <c r="L15" i="24"/>
  <c r="L16" i="24"/>
  <c r="G18" i="48"/>
  <c r="G29" i="60"/>
  <c r="G31" i="60" s="1"/>
  <c r="G19" i="60"/>
  <c r="G21" i="60" s="1"/>
  <c r="G34" i="60"/>
  <c r="G36" i="60" s="1"/>
  <c r="G24" i="60"/>
  <c r="G26" i="60" s="1"/>
  <c r="L10" i="24"/>
  <c r="G16" i="60"/>
  <c r="G10" i="60"/>
  <c r="D39" i="60"/>
  <c r="G10" i="48"/>
  <c r="G33" i="48"/>
  <c r="G48" i="48"/>
  <c r="G34" i="48"/>
  <c r="G49" i="48"/>
  <c r="G41" i="48"/>
  <c r="G39" i="48"/>
  <c r="G42" i="48"/>
  <c r="G25" i="48"/>
  <c r="G14" i="48"/>
  <c r="G22" i="48"/>
  <c r="G13" i="48"/>
  <c r="G26" i="48"/>
  <c r="P41" i="10"/>
  <c r="P27" i="10"/>
  <c r="P30" i="10" s="1"/>
  <c r="P31" i="10" s="1"/>
  <c r="F17" i="22"/>
  <c r="H14" i="11"/>
  <c r="G14" i="11"/>
  <c r="F18" i="21"/>
  <c r="D21" i="11"/>
  <c r="F19" i="22"/>
  <c r="F20" i="22"/>
  <c r="F11" i="22"/>
  <c r="F11" i="21"/>
  <c r="F21" i="22"/>
  <c r="C22" i="22"/>
  <c r="F9" i="22"/>
  <c r="F18" i="22"/>
  <c r="D33" i="11"/>
  <c r="F15" i="22"/>
  <c r="D48" i="11"/>
  <c r="F9" i="21"/>
  <c r="C22" i="21"/>
  <c r="G15" i="11"/>
  <c r="H15" i="11"/>
  <c r="C17" i="24"/>
  <c r="F12" i="21"/>
  <c r="F13" i="21"/>
  <c r="F15" i="21"/>
  <c r="F19" i="21"/>
  <c r="F14" i="22"/>
  <c r="F16" i="21"/>
  <c r="H11" i="11"/>
  <c r="G11" i="11"/>
  <c r="F17" i="21"/>
  <c r="H9" i="11"/>
  <c r="G9" i="11"/>
  <c r="F12" i="22"/>
  <c r="D39" i="11"/>
  <c r="F13" i="22"/>
  <c r="F14" i="21"/>
  <c r="F20" i="21"/>
  <c r="H12" i="11"/>
  <c r="G12" i="11"/>
  <c r="F16" i="22"/>
  <c r="K30" i="111" l="1"/>
  <c r="D32" i="104"/>
  <c r="K29" i="111"/>
  <c r="N21" i="111"/>
  <c r="M11" i="111"/>
  <c r="M27" i="111" s="1"/>
  <c r="G11" i="111"/>
  <c r="H16" i="111"/>
  <c r="H11" i="111"/>
  <c r="H27" i="111" s="1"/>
  <c r="L16" i="111"/>
  <c r="L17" i="111"/>
  <c r="K16" i="111"/>
  <c r="J22" i="111"/>
  <c r="N14" i="111"/>
  <c r="I13" i="111"/>
  <c r="J21" i="111"/>
  <c r="J11" i="111"/>
  <c r="N20" i="111"/>
  <c r="J13" i="111"/>
  <c r="N19" i="111"/>
  <c r="F15" i="111"/>
  <c r="M18" i="111"/>
  <c r="G14" i="111"/>
  <c r="H15" i="111"/>
  <c r="I16" i="111"/>
  <c r="L11" i="111"/>
  <c r="L23" i="111"/>
  <c r="L15" i="111"/>
  <c r="I13" i="99"/>
  <c r="X16" i="102"/>
  <c r="I11" i="99"/>
  <c r="X14" i="102"/>
  <c r="I16" i="99"/>
  <c r="X19" i="102"/>
  <c r="D34" i="111"/>
  <c r="D34" i="124"/>
  <c r="N16" i="111"/>
  <c r="J14" i="111"/>
  <c r="N23" i="111"/>
  <c r="N33" i="111" s="1"/>
  <c r="F16" i="111"/>
  <c r="J23" i="111"/>
  <c r="J33" i="111" s="1"/>
  <c r="L22" i="111"/>
  <c r="L18" i="111"/>
  <c r="K11" i="111"/>
  <c r="K27" i="111" s="1"/>
  <c r="I17" i="99"/>
  <c r="X20" i="102"/>
  <c r="N18" i="111"/>
  <c r="J16" i="111"/>
  <c r="I11" i="111"/>
  <c r="I27" i="111" s="1"/>
  <c r="J17" i="111"/>
  <c r="N11" i="111"/>
  <c r="N27" i="111" s="1"/>
  <c r="N13" i="111"/>
  <c r="J20" i="111"/>
  <c r="F11" i="111"/>
  <c r="F27" i="111" s="1"/>
  <c r="F17" i="111"/>
  <c r="G17" i="111"/>
  <c r="G13" i="111"/>
  <c r="H13" i="111"/>
  <c r="H17" i="111"/>
  <c r="L13" i="111"/>
  <c r="L20" i="111"/>
  <c r="L21" i="111"/>
  <c r="K22" i="111"/>
  <c r="K32" i="111" s="1"/>
  <c r="I21" i="99"/>
  <c r="X24" i="102"/>
  <c r="X35" i="102" s="1"/>
  <c r="I15" i="99"/>
  <c r="X18" i="102"/>
  <c r="K21" i="111"/>
  <c r="H11" i="104"/>
  <c r="H28" i="104" s="1"/>
  <c r="D28" i="104"/>
  <c r="J19" i="111"/>
  <c r="G15" i="111"/>
  <c r="I18" i="111"/>
  <c r="N15" i="111"/>
  <c r="J18" i="111"/>
  <c r="J15" i="111"/>
  <c r="I19" i="111"/>
  <c r="N17" i="111"/>
  <c r="N22" i="111"/>
  <c r="I14" i="111"/>
  <c r="F13" i="111"/>
  <c r="F14" i="111"/>
  <c r="G16" i="111"/>
  <c r="H14" i="111"/>
  <c r="I21" i="111"/>
  <c r="L19" i="111"/>
  <c r="L14" i="111"/>
  <c r="I12" i="99"/>
  <c r="X15" i="102"/>
  <c r="I18" i="99"/>
  <c r="X21" i="102"/>
  <c r="D34" i="104"/>
  <c r="K28" i="111"/>
  <c r="H14" i="99"/>
  <c r="H19" i="99"/>
  <c r="D29" i="104"/>
  <c r="D24" i="104"/>
  <c r="H20" i="99"/>
  <c r="H29" i="104"/>
  <c r="D30" i="104"/>
  <c r="D31" i="104"/>
  <c r="H33" i="104"/>
  <c r="H31" i="104"/>
  <c r="D33" i="104"/>
  <c r="H20" i="25"/>
  <c r="I20" i="25" s="1"/>
  <c r="H19" i="25"/>
  <c r="I19" i="25" s="1"/>
  <c r="H16" i="25"/>
  <c r="I16" i="25" s="1"/>
  <c r="H21" i="25"/>
  <c r="I21" i="25" s="1"/>
  <c r="H18" i="25"/>
  <c r="H17" i="25"/>
  <c r="F22" i="25"/>
  <c r="G22" i="25"/>
  <c r="F22" i="99"/>
  <c r="G22" i="99"/>
  <c r="H9" i="99"/>
  <c r="X12" i="102" s="1"/>
  <c r="H21" i="93"/>
  <c r="I21" i="93" s="1"/>
  <c r="H14" i="93"/>
  <c r="I14" i="93" s="1"/>
  <c r="H20" i="21"/>
  <c r="H14" i="21"/>
  <c r="H16" i="21"/>
  <c r="I16" i="21" s="1"/>
  <c r="H19" i="93"/>
  <c r="I19" i="93" s="1"/>
  <c r="H19" i="21"/>
  <c r="I19" i="21" s="1"/>
  <c r="H12" i="21"/>
  <c r="H20" i="93"/>
  <c r="I20" i="93" s="1"/>
  <c r="H11" i="93"/>
  <c r="I11" i="93" s="1"/>
  <c r="H13" i="93"/>
  <c r="I13" i="93" s="1"/>
  <c r="H15" i="93"/>
  <c r="I15" i="93" s="1"/>
  <c r="H17" i="21"/>
  <c r="I17" i="21" s="1"/>
  <c r="H11" i="21"/>
  <c r="H15" i="21"/>
  <c r="I15" i="21" s="1"/>
  <c r="H13" i="21"/>
  <c r="H18" i="21"/>
  <c r="H18" i="93"/>
  <c r="I18" i="93" s="1"/>
  <c r="H17" i="93"/>
  <c r="I17" i="93" s="1"/>
  <c r="H12" i="93"/>
  <c r="I12" i="93" s="1"/>
  <c r="H16" i="93"/>
  <c r="I16" i="93" s="1"/>
  <c r="H9" i="21"/>
  <c r="F22" i="93"/>
  <c r="G22" i="93"/>
  <c r="H9" i="93"/>
  <c r="H21" i="22"/>
  <c r="R24" i="102" s="1"/>
  <c r="U24" i="102" s="1"/>
  <c r="H19" i="22"/>
  <c r="R22" i="102" s="1"/>
  <c r="H18" i="22"/>
  <c r="R21" i="102" s="1"/>
  <c r="H17" i="22"/>
  <c r="R20" i="102" s="1"/>
  <c r="H16" i="22"/>
  <c r="R19" i="102" s="1"/>
  <c r="H15" i="22"/>
  <c r="R18" i="102" s="1"/>
  <c r="H14" i="22"/>
  <c r="R17" i="102" s="1"/>
  <c r="H13" i="22"/>
  <c r="R16" i="102" s="1"/>
  <c r="H12" i="22"/>
  <c r="R15" i="102" s="1"/>
  <c r="H11" i="22"/>
  <c r="R14" i="102" s="1"/>
  <c r="H9" i="22"/>
  <c r="R12" i="102" s="1"/>
  <c r="H14" i="25"/>
  <c r="I45" i="11"/>
  <c r="J45" i="11" s="1"/>
  <c r="I28" i="11"/>
  <c r="J28" i="11" s="1"/>
  <c r="I31" i="11"/>
  <c r="J31" i="11" s="1"/>
  <c r="I19" i="11"/>
  <c r="J19" i="11" s="1"/>
  <c r="G21" i="11"/>
  <c r="H11" i="25"/>
  <c r="H15" i="25"/>
  <c r="H21" i="21"/>
  <c r="G22" i="21"/>
  <c r="H20" i="22"/>
  <c r="R23" i="102" s="1"/>
  <c r="G22" i="22"/>
  <c r="I32" i="11"/>
  <c r="J32" i="11" s="1"/>
  <c r="I37" i="11"/>
  <c r="J37" i="11" s="1"/>
  <c r="I30" i="11"/>
  <c r="J30" i="11" s="1"/>
  <c r="H39" i="11"/>
  <c r="I36" i="11"/>
  <c r="I43" i="11"/>
  <c r="J43" i="11" s="1"/>
  <c r="H48" i="11"/>
  <c r="I42" i="11"/>
  <c r="G39" i="11"/>
  <c r="G48" i="11"/>
  <c r="G33" i="11"/>
  <c r="I24" i="11"/>
  <c r="I38" i="11"/>
  <c r="J38" i="11" s="1"/>
  <c r="I46" i="11"/>
  <c r="J46" i="11" s="1"/>
  <c r="I47" i="11"/>
  <c r="J47" i="11" s="1"/>
  <c r="I29" i="11"/>
  <c r="J29" i="11" s="1"/>
  <c r="I44" i="11"/>
  <c r="J44" i="11" s="1"/>
  <c r="I27" i="11"/>
  <c r="H33" i="11"/>
  <c r="I18" i="11"/>
  <c r="H21" i="11"/>
  <c r="I23" i="11"/>
  <c r="I20" i="11"/>
  <c r="J20" i="11" s="1"/>
  <c r="H12" i="25"/>
  <c r="H9" i="25"/>
  <c r="H13" i="25"/>
  <c r="G38" i="60"/>
  <c r="G15" i="48"/>
  <c r="D50" i="11"/>
  <c r="G43" i="48"/>
  <c r="G50" i="48"/>
  <c r="G35" i="48"/>
  <c r="G27" i="48"/>
  <c r="I9" i="11"/>
  <c r="I14" i="11"/>
  <c r="I11" i="11"/>
  <c r="F22" i="22"/>
  <c r="I12" i="11"/>
  <c r="F22" i="21"/>
  <c r="L17" i="24"/>
  <c r="I15" i="11"/>
  <c r="R35" i="102" l="1"/>
  <c r="X31" i="102"/>
  <c r="N30" i="111"/>
  <c r="K31" i="111"/>
  <c r="K34" i="111" s="1"/>
  <c r="L28" i="111"/>
  <c r="N28" i="111"/>
  <c r="J24" i="111"/>
  <c r="L30" i="111"/>
  <c r="O11" i="111"/>
  <c r="D12" i="102" s="1"/>
  <c r="R33" i="102"/>
  <c r="N24" i="111"/>
  <c r="N31" i="111"/>
  <c r="L31" i="111"/>
  <c r="G31" i="111"/>
  <c r="G31" i="130"/>
  <c r="G16" i="124"/>
  <c r="G31" i="124" s="1"/>
  <c r="J28" i="111"/>
  <c r="J18" i="124"/>
  <c r="N21" i="124"/>
  <c r="G28" i="111"/>
  <c r="G28" i="130"/>
  <c r="G13" i="124"/>
  <c r="G28" i="124" s="1"/>
  <c r="J17" i="124"/>
  <c r="N22" i="124"/>
  <c r="L33" i="111"/>
  <c r="M33" i="130"/>
  <c r="N23" i="124"/>
  <c r="N33" i="124" s="1"/>
  <c r="F30" i="111"/>
  <c r="F15" i="124"/>
  <c r="F30" i="124" s="1"/>
  <c r="J22" i="124"/>
  <c r="G11" i="124"/>
  <c r="G27" i="124" s="1"/>
  <c r="J19" i="124"/>
  <c r="N11" i="124"/>
  <c r="N27" i="124" s="1"/>
  <c r="J21" i="124"/>
  <c r="H11" i="124"/>
  <c r="H27" i="124" s="1"/>
  <c r="G27" i="111"/>
  <c r="L32" i="111"/>
  <c r="L29" i="111"/>
  <c r="N14" i="124"/>
  <c r="H29" i="111"/>
  <c r="H29" i="130"/>
  <c r="H14" i="124"/>
  <c r="H29" i="124" s="1"/>
  <c r="F28" i="111"/>
  <c r="F13" i="124"/>
  <c r="F28" i="124" s="1"/>
  <c r="I19" i="124"/>
  <c r="I28" i="111"/>
  <c r="I18" i="124"/>
  <c r="N13" i="124"/>
  <c r="H28" i="111"/>
  <c r="H13" i="124"/>
  <c r="H28" i="124" s="1"/>
  <c r="H28" i="130"/>
  <c r="G32" i="111"/>
  <c r="G17" i="124"/>
  <c r="G32" i="124" s="1"/>
  <c r="G32" i="130"/>
  <c r="J31" i="130"/>
  <c r="J16" i="124"/>
  <c r="F31" i="111"/>
  <c r="F16" i="124"/>
  <c r="F31" i="124" s="1"/>
  <c r="X30" i="102"/>
  <c r="N15" i="124"/>
  <c r="I16" i="124"/>
  <c r="G29" i="111"/>
  <c r="G14" i="124"/>
  <c r="G29" i="124" s="1"/>
  <c r="G29" i="130"/>
  <c r="J13" i="124"/>
  <c r="I13" i="124"/>
  <c r="I31" i="111"/>
  <c r="I21" i="124"/>
  <c r="G30" i="111"/>
  <c r="G30" i="130"/>
  <c r="G15" i="124"/>
  <c r="G30" i="124" s="1"/>
  <c r="H32" i="111"/>
  <c r="H32" i="130"/>
  <c r="H17" i="124"/>
  <c r="H32" i="124" s="1"/>
  <c r="F11" i="124"/>
  <c r="F27" i="124" s="1"/>
  <c r="J14" i="124"/>
  <c r="H30" i="111"/>
  <c r="H30" i="130"/>
  <c r="H15" i="124"/>
  <c r="H30" i="124" s="1"/>
  <c r="J11" i="124"/>
  <c r="J27" i="124" s="1"/>
  <c r="N16" i="124"/>
  <c r="J27" i="111"/>
  <c r="O18" i="111"/>
  <c r="E18" i="104" s="1"/>
  <c r="J29" i="111"/>
  <c r="F29" i="111"/>
  <c r="F14" i="124"/>
  <c r="N20" i="124"/>
  <c r="J30" i="111"/>
  <c r="J20" i="124"/>
  <c r="I11" i="124"/>
  <c r="I27" i="124" s="1"/>
  <c r="J23" i="124"/>
  <c r="J33" i="124" s="1"/>
  <c r="O11" i="124"/>
  <c r="O27" i="124" s="1"/>
  <c r="R31" i="102"/>
  <c r="I29" i="111"/>
  <c r="L27" i="111"/>
  <c r="H24" i="111"/>
  <c r="G24" i="111"/>
  <c r="J32" i="111"/>
  <c r="O23" i="111"/>
  <c r="O33" i="111" s="1"/>
  <c r="J31" i="111"/>
  <c r="N19" i="124"/>
  <c r="I14" i="124"/>
  <c r="J15" i="124"/>
  <c r="J30" i="124" s="1"/>
  <c r="F32" i="111"/>
  <c r="F17" i="124"/>
  <c r="F32" i="124" s="1"/>
  <c r="N18" i="124"/>
  <c r="O18" i="124"/>
  <c r="N17" i="124"/>
  <c r="H31" i="111"/>
  <c r="H31" i="130"/>
  <c r="H16" i="124"/>
  <c r="H31" i="124" s="1"/>
  <c r="M13" i="111"/>
  <c r="I19" i="99"/>
  <c r="X22" i="102"/>
  <c r="N29" i="111"/>
  <c r="I14" i="99"/>
  <c r="X17" i="102"/>
  <c r="I17" i="111"/>
  <c r="M16" i="111"/>
  <c r="O16" i="111" s="1"/>
  <c r="I22" i="111"/>
  <c r="I15" i="111"/>
  <c r="O15" i="111" s="1"/>
  <c r="X29" i="102"/>
  <c r="H24" i="104"/>
  <c r="F24" i="111"/>
  <c r="L24" i="111"/>
  <c r="K24" i="111"/>
  <c r="N32" i="111"/>
  <c r="X32" i="102"/>
  <c r="M19" i="111"/>
  <c r="I20" i="99"/>
  <c r="X23" i="102"/>
  <c r="X34" i="102" s="1"/>
  <c r="M21" i="111"/>
  <c r="R25" i="102"/>
  <c r="R29" i="102"/>
  <c r="M14" i="111"/>
  <c r="I20" i="111"/>
  <c r="R30" i="102"/>
  <c r="R32" i="102"/>
  <c r="R34" i="102"/>
  <c r="D35" i="104"/>
  <c r="H35" i="104"/>
  <c r="I18" i="25"/>
  <c r="I17" i="25"/>
  <c r="H22" i="25"/>
  <c r="I22" i="25" s="1"/>
  <c r="H22" i="99"/>
  <c r="I22" i="99" s="1"/>
  <c r="I9" i="99"/>
  <c r="I13" i="21"/>
  <c r="I9" i="21"/>
  <c r="I11" i="21"/>
  <c r="I21" i="21"/>
  <c r="I15" i="25"/>
  <c r="I14" i="25"/>
  <c r="I11" i="25"/>
  <c r="H22" i="21"/>
  <c r="I22" i="21" s="1"/>
  <c r="I14" i="21"/>
  <c r="I18" i="21"/>
  <c r="I20" i="21"/>
  <c r="I12" i="21"/>
  <c r="I21" i="22"/>
  <c r="I9" i="93"/>
  <c r="H22" i="93"/>
  <c r="I17" i="22"/>
  <c r="I19" i="22"/>
  <c r="I15" i="22"/>
  <c r="I11" i="22"/>
  <c r="I18" i="22"/>
  <c r="I9" i="22"/>
  <c r="I14" i="22"/>
  <c r="I16" i="22"/>
  <c r="I13" i="22"/>
  <c r="I12" i="22"/>
  <c r="J12" i="11"/>
  <c r="J23" i="11"/>
  <c r="J24" i="11"/>
  <c r="J11" i="11"/>
  <c r="J15" i="11"/>
  <c r="J14" i="11"/>
  <c r="J9" i="11"/>
  <c r="I20" i="22"/>
  <c r="H50" i="11"/>
  <c r="H22" i="22"/>
  <c r="I22" i="22" s="1"/>
  <c r="I13" i="25"/>
  <c r="G52" i="48"/>
  <c r="I12" i="25"/>
  <c r="I9" i="25"/>
  <c r="J42" i="11"/>
  <c r="I48" i="11"/>
  <c r="J27" i="11"/>
  <c r="I33" i="11"/>
  <c r="G50" i="11"/>
  <c r="J18" i="11"/>
  <c r="I21" i="11"/>
  <c r="J36" i="11"/>
  <c r="I39" i="11"/>
  <c r="P12" i="102" l="1"/>
  <c r="N29" i="124"/>
  <c r="N32" i="124"/>
  <c r="I29" i="124"/>
  <c r="J29" i="130"/>
  <c r="I31" i="124"/>
  <c r="D19" i="102"/>
  <c r="O27" i="111"/>
  <c r="E11" i="104"/>
  <c r="I28" i="130"/>
  <c r="N30" i="124"/>
  <c r="F24" i="124"/>
  <c r="J28" i="130"/>
  <c r="I31" i="130"/>
  <c r="J32" i="124"/>
  <c r="I29" i="130"/>
  <c r="I28" i="124"/>
  <c r="J24" i="124"/>
  <c r="G34" i="111"/>
  <c r="N28" i="124"/>
  <c r="L34" i="111"/>
  <c r="J29" i="124"/>
  <c r="J31" i="124"/>
  <c r="M24" i="111"/>
  <c r="H24" i="124"/>
  <c r="N31" i="124"/>
  <c r="F34" i="111"/>
  <c r="M29" i="130"/>
  <c r="J28" i="124"/>
  <c r="J34" i="111"/>
  <c r="I24" i="111"/>
  <c r="D24" i="102"/>
  <c r="P24" i="102" s="1"/>
  <c r="F29" i="124"/>
  <c r="F34" i="124" s="1"/>
  <c r="H34" i="111"/>
  <c r="O14" i="124"/>
  <c r="O21" i="111"/>
  <c r="E21" i="104" s="1"/>
  <c r="O21" i="124"/>
  <c r="I17" i="124"/>
  <c r="F32" i="130"/>
  <c r="N27" i="130"/>
  <c r="F28" i="130"/>
  <c r="O13" i="111"/>
  <c r="D14" i="102" s="1"/>
  <c r="P14" i="102" s="1"/>
  <c r="N24" i="124"/>
  <c r="O19" i="111"/>
  <c r="E19" i="104" s="1"/>
  <c r="F19" i="104" s="1"/>
  <c r="O19" i="124"/>
  <c r="I27" i="130"/>
  <c r="M28" i="130"/>
  <c r="I32" i="111"/>
  <c r="M29" i="111"/>
  <c r="G24" i="124"/>
  <c r="E23" i="104"/>
  <c r="O22" i="111"/>
  <c r="D23" i="102" s="1"/>
  <c r="P23" i="102" s="1"/>
  <c r="I22" i="124"/>
  <c r="N34" i="111"/>
  <c r="J33" i="130"/>
  <c r="M30" i="130"/>
  <c r="F31" i="130"/>
  <c r="H24" i="130"/>
  <c r="H27" i="130"/>
  <c r="H34" i="130" s="1"/>
  <c r="J32" i="130"/>
  <c r="I15" i="124"/>
  <c r="M28" i="111"/>
  <c r="O13" i="124"/>
  <c r="O28" i="124" s="1"/>
  <c r="N28" i="130"/>
  <c r="J24" i="130"/>
  <c r="J27" i="130"/>
  <c r="O17" i="111"/>
  <c r="E17" i="104" s="1"/>
  <c r="M31" i="111"/>
  <c r="H34" i="124"/>
  <c r="M32" i="130"/>
  <c r="I30" i="111"/>
  <c r="O14" i="111"/>
  <c r="D15" i="102" s="1"/>
  <c r="P15" i="102" s="1"/>
  <c r="O20" i="111"/>
  <c r="O30" i="111" s="1"/>
  <c r="I20" i="124"/>
  <c r="G34" i="124"/>
  <c r="O16" i="124"/>
  <c r="N31" i="130"/>
  <c r="J30" i="130"/>
  <c r="F29" i="130"/>
  <c r="F24" i="130"/>
  <c r="F27" i="130"/>
  <c r="M27" i="130"/>
  <c r="M24" i="130"/>
  <c r="G24" i="130"/>
  <c r="G27" i="130"/>
  <c r="G34" i="130" s="1"/>
  <c r="F30" i="130"/>
  <c r="M31" i="130"/>
  <c r="D20" i="102"/>
  <c r="P20" i="102" s="1"/>
  <c r="D17" i="102"/>
  <c r="P17" i="102" s="1"/>
  <c r="E16" i="104"/>
  <c r="R36" i="102"/>
  <c r="X33" i="102"/>
  <c r="X36" i="102" s="1"/>
  <c r="D16" i="102"/>
  <c r="P16" i="102" s="1"/>
  <c r="E15" i="104"/>
  <c r="X25" i="102"/>
  <c r="F18" i="104"/>
  <c r="L35" i="102"/>
  <c r="I22" i="93"/>
  <c r="J39" i="11"/>
  <c r="J33" i="11"/>
  <c r="J21" i="11"/>
  <c r="J48" i="11"/>
  <c r="I50" i="11"/>
  <c r="J50" i="11" s="1"/>
  <c r="P19" i="102" l="1"/>
  <c r="J34" i="124"/>
  <c r="E22" i="104"/>
  <c r="O29" i="124"/>
  <c r="E13" i="104"/>
  <c r="N34" i="124"/>
  <c r="O29" i="111"/>
  <c r="E14" i="104"/>
  <c r="E30" i="104" s="1"/>
  <c r="F30" i="104" s="1"/>
  <c r="I34" i="111"/>
  <c r="D18" i="102"/>
  <c r="P18" i="102" s="1"/>
  <c r="I32" i="124"/>
  <c r="O32" i="111"/>
  <c r="O31" i="124"/>
  <c r="I24" i="124"/>
  <c r="M34" i="111"/>
  <c r="O31" i="111"/>
  <c r="E20" i="104"/>
  <c r="E31" i="104" s="1"/>
  <c r="F31" i="104" s="1"/>
  <c r="O24" i="111"/>
  <c r="D21" i="102"/>
  <c r="P21" i="102" s="1"/>
  <c r="N24" i="130"/>
  <c r="I30" i="130"/>
  <c r="O28" i="111"/>
  <c r="D22" i="102"/>
  <c r="P22" i="102" s="1"/>
  <c r="F34" i="130"/>
  <c r="I32" i="130"/>
  <c r="I30" i="124"/>
  <c r="I24" i="130"/>
  <c r="N29" i="130"/>
  <c r="N34" i="130" s="1"/>
  <c r="M34" i="130"/>
  <c r="O24" i="124"/>
  <c r="J34" i="130"/>
  <c r="J24" i="102"/>
  <c r="S24" i="102"/>
  <c r="Y24" i="102"/>
  <c r="F22" i="104"/>
  <c r="F21" i="104"/>
  <c r="F16" i="104"/>
  <c r="S20" i="102"/>
  <c r="Y20" i="102"/>
  <c r="D31" i="102"/>
  <c r="P31" i="102" s="1"/>
  <c r="S19" i="102"/>
  <c r="Y19" i="102"/>
  <c r="S12" i="102"/>
  <c r="Y12" i="102"/>
  <c r="D35" i="102"/>
  <c r="M24" i="102"/>
  <c r="E34" i="104"/>
  <c r="F34" i="104" s="1"/>
  <c r="F23" i="104"/>
  <c r="D29" i="102"/>
  <c r="P29" i="102" s="1"/>
  <c r="E28" i="104"/>
  <c r="F11" i="104"/>
  <c r="M35" i="102" l="1"/>
  <c r="P35" i="102"/>
  <c r="D33" i="102"/>
  <c r="P33" i="102" s="1"/>
  <c r="O34" i="124"/>
  <c r="I34" i="130"/>
  <c r="I34" i="124"/>
  <c r="O34" i="111"/>
  <c r="F20" i="104"/>
  <c r="E33" i="104"/>
  <c r="F33" i="104" s="1"/>
  <c r="Y35" i="102"/>
  <c r="J35" i="102"/>
  <c r="S35" i="102"/>
  <c r="D32" i="102"/>
  <c r="P32" i="102" s="1"/>
  <c r="S23" i="102"/>
  <c r="Y23" i="102"/>
  <c r="Y21" i="102"/>
  <c r="S21" i="102"/>
  <c r="F17" i="104"/>
  <c r="Y18" i="102"/>
  <c r="S18" i="102"/>
  <c r="D34" i="102"/>
  <c r="P34" i="102" s="1"/>
  <c r="S22" i="102"/>
  <c r="Y22" i="102"/>
  <c r="E32" i="104"/>
  <c r="F32" i="104" s="1"/>
  <c r="S17" i="102"/>
  <c r="Y17" i="102"/>
  <c r="D25" i="102"/>
  <c r="P25" i="102" s="1"/>
  <c r="F15" i="104"/>
  <c r="E24" i="104"/>
  <c r="F24" i="104" s="1"/>
  <c r="S16" i="102"/>
  <c r="Y16" i="102"/>
  <c r="S31" i="102"/>
  <c r="F14" i="104"/>
  <c r="S15" i="102"/>
  <c r="Y15" i="102"/>
  <c r="S14" i="102"/>
  <c r="Y14" i="102"/>
  <c r="Y29" i="102"/>
  <c r="S29" i="102"/>
  <c r="Y31" i="102"/>
  <c r="D30" i="102"/>
  <c r="P30" i="102" s="1"/>
  <c r="E29" i="104"/>
  <c r="F29" i="104" s="1"/>
  <c r="F13" i="104"/>
  <c r="F28" i="104"/>
  <c r="S33" i="102" l="1"/>
  <c r="Y33" i="102"/>
  <c r="S25" i="102"/>
  <c r="Y32" i="102"/>
  <c r="S32" i="102"/>
  <c r="Y34" i="102"/>
  <c r="S34" i="102"/>
  <c r="Y25" i="102"/>
  <c r="S30" i="102"/>
  <c r="E35" i="104"/>
  <c r="F35" i="104" s="1"/>
  <c r="Y30" i="102"/>
  <c r="D36" i="102"/>
  <c r="P36" i="102" s="1"/>
  <c r="P43" i="102" s="1"/>
  <c r="H38" i="48"/>
  <c r="H39" i="48"/>
  <c r="I39" i="48" s="1"/>
  <c r="J39" i="48" s="1"/>
  <c r="H46" i="48"/>
  <c r="H34" i="48"/>
  <c r="I34" i="48" s="1"/>
  <c r="J34" i="48" s="1"/>
  <c r="H42" i="48"/>
  <c r="I42" i="48" s="1"/>
  <c r="J42" i="48" s="1"/>
  <c r="H26" i="48"/>
  <c r="I26" i="48" s="1"/>
  <c r="J26" i="48" s="1"/>
  <c r="H48" i="48"/>
  <c r="I48" i="48" s="1"/>
  <c r="J48" i="48" s="1"/>
  <c r="H49" i="48"/>
  <c r="I49" i="48" s="1"/>
  <c r="J49" i="48" s="1"/>
  <c r="H22" i="48"/>
  <c r="I22" i="48" s="1"/>
  <c r="J22" i="48" s="1"/>
  <c r="H21" i="48"/>
  <c r="H41" i="48"/>
  <c r="I41" i="48" s="1"/>
  <c r="J41" i="48" s="1"/>
  <c r="H25" i="48"/>
  <c r="I25" i="48" s="1"/>
  <c r="J25" i="48" s="1"/>
  <c r="H33" i="48"/>
  <c r="I33" i="48" s="1"/>
  <c r="J33" i="48" s="1"/>
  <c r="H30" i="48"/>
  <c r="S36" i="102" l="1"/>
  <c r="Y36" i="102"/>
  <c r="I21" i="48"/>
  <c r="H27" i="48"/>
  <c r="I46" i="48"/>
  <c r="H50" i="48"/>
  <c r="I38" i="48"/>
  <c r="H43" i="48"/>
  <c r="I30" i="48"/>
  <c r="H35" i="48"/>
  <c r="J46" i="48" l="1"/>
  <c r="I50" i="48"/>
  <c r="J30" i="48"/>
  <c r="I35" i="48"/>
  <c r="J38" i="48"/>
  <c r="I43" i="48"/>
  <c r="J21" i="48"/>
  <c r="I27" i="48"/>
  <c r="J43" i="48" l="1"/>
  <c r="J50" i="48"/>
  <c r="J27" i="48"/>
  <c r="J35" i="48"/>
  <c r="H18" i="48" l="1"/>
  <c r="I18" i="48" s="1"/>
  <c r="H13" i="48"/>
  <c r="H14" i="48"/>
  <c r="I14" i="48" s="1"/>
  <c r="J14" i="48" s="1"/>
  <c r="H15" i="48" l="1"/>
  <c r="I13" i="48"/>
  <c r="J18" i="48"/>
  <c r="I15" i="48" l="1"/>
  <c r="J13" i="48"/>
  <c r="J15" i="48" l="1"/>
  <c r="H10" i="48" l="1"/>
  <c r="H52" i="48" l="1"/>
  <c r="I10" i="48"/>
  <c r="J10" i="48" l="1"/>
  <c r="I52" i="48"/>
  <c r="J52" i="48" l="1"/>
  <c r="H34" i="60" l="1"/>
  <c r="H19" i="60"/>
  <c r="H29" i="60"/>
  <c r="H16" i="60"/>
  <c r="I16" i="60" s="1"/>
  <c r="H13" i="60"/>
  <c r="I13" i="60" s="1"/>
  <c r="H24" i="60"/>
  <c r="G31" i="103" l="1"/>
  <c r="H10" i="60"/>
  <c r="J16" i="60"/>
  <c r="H36" i="60"/>
  <c r="I34" i="60"/>
  <c r="H26" i="60"/>
  <c r="I24" i="60"/>
  <c r="J13" i="60"/>
  <c r="H31" i="60"/>
  <c r="I29" i="60"/>
  <c r="I19" i="60"/>
  <c r="H21" i="60"/>
  <c r="I26" i="60" l="1"/>
  <c r="J24" i="60"/>
  <c r="J19" i="60"/>
  <c r="I21" i="60"/>
  <c r="I36" i="60"/>
  <c r="J34" i="60"/>
  <c r="J29" i="60"/>
  <c r="I31" i="60"/>
  <c r="I10" i="60"/>
  <c r="H38" i="60"/>
  <c r="H31" i="103"/>
  <c r="I38" i="60" l="1"/>
  <c r="J38" i="60" s="1"/>
  <c r="J10" i="60"/>
  <c r="J36" i="60"/>
  <c r="J31" i="60"/>
  <c r="J21" i="60"/>
  <c r="J26" i="60"/>
  <c r="K15" i="24" l="1"/>
  <c r="M15" i="24" s="1"/>
  <c r="N15" i="24" s="1"/>
  <c r="K12" i="24"/>
  <c r="M12" i="24" s="1"/>
  <c r="N12" i="24" s="1"/>
  <c r="K16" i="24"/>
  <c r="M16" i="24" s="1"/>
  <c r="N16" i="24" s="1"/>
  <c r="K13" i="24"/>
  <c r="M13" i="24" s="1"/>
  <c r="N13" i="24" s="1"/>
  <c r="K14" i="24"/>
  <c r="M14" i="24" s="1"/>
  <c r="N14" i="24" s="1"/>
  <c r="O14" i="24" l="1"/>
  <c r="O13" i="24"/>
  <c r="O12" i="24"/>
  <c r="O16" i="24"/>
  <c r="O15" i="24"/>
  <c r="K11" i="24"/>
  <c r="M11" i="24" s="1"/>
  <c r="N11" i="24" s="1"/>
  <c r="O11" i="24" l="1"/>
  <c r="K10" i="24"/>
  <c r="M10" i="24" l="1"/>
  <c r="Y31" i="103"/>
  <c r="Z31" i="103" l="1"/>
  <c r="M17" i="24"/>
  <c r="N10" i="24"/>
  <c r="N17" i="24" l="1"/>
  <c r="O17" i="24" s="1"/>
  <c r="O10" i="24"/>
  <c r="E31" i="124" l="1"/>
  <c r="E31" i="130"/>
  <c r="G17" i="102"/>
  <c r="F33" i="102"/>
  <c r="G33" i="102" l="1"/>
  <c r="G22" i="102"/>
  <c r="E28" i="130" l="1"/>
  <c r="E29" i="130"/>
  <c r="F30" i="102"/>
  <c r="E28" i="124"/>
  <c r="G15" i="102"/>
  <c r="G14" i="102"/>
  <c r="E29" i="124"/>
  <c r="G20" i="102" l="1"/>
  <c r="F31" i="102"/>
  <c r="G30" i="102"/>
  <c r="G19" i="102"/>
  <c r="E32" i="130"/>
  <c r="G31" i="102" l="1"/>
  <c r="E32" i="124"/>
  <c r="G18" i="102"/>
  <c r="G16" i="102" l="1"/>
  <c r="G23" i="102"/>
  <c r="E30" i="124"/>
  <c r="F32" i="102"/>
  <c r="F34" i="102"/>
  <c r="E30" i="130"/>
  <c r="G32" i="102" l="1"/>
  <c r="G34" i="102"/>
  <c r="G21" i="102"/>
  <c r="Y12" i="103" l="1"/>
  <c r="Z11" i="103"/>
  <c r="Z12" i="103" s="1"/>
  <c r="D11" i="117"/>
  <c r="M11" i="117" s="1"/>
  <c r="H11" i="103"/>
  <c r="H12" i="103" s="1"/>
  <c r="G12" i="103"/>
  <c r="N11" i="117" l="1"/>
  <c r="N12" i="117" s="1"/>
  <c r="M12" i="117"/>
  <c r="G25" i="103"/>
  <c r="E11" i="117"/>
  <c r="E12" i="117" s="1"/>
  <c r="D12" i="117"/>
  <c r="G11" i="117"/>
  <c r="P11" i="117"/>
  <c r="J11" i="117"/>
  <c r="G13" i="102"/>
  <c r="G15" i="138" l="1"/>
  <c r="G20" i="138"/>
  <c r="F12" i="136"/>
  <c r="M14" i="124" s="1"/>
  <c r="F26" i="136"/>
  <c r="M19" i="124" s="1"/>
  <c r="E27" i="130"/>
  <c r="F11" i="136"/>
  <c r="M13" i="124" s="1"/>
  <c r="F25" i="136"/>
  <c r="M18" i="124" s="1"/>
  <c r="G18" i="138"/>
  <c r="G13" i="138"/>
  <c r="K11" i="117"/>
  <c r="K12" i="117" s="1"/>
  <c r="J12" i="117"/>
  <c r="F13" i="136"/>
  <c r="M15" i="124" s="1"/>
  <c r="F27" i="136"/>
  <c r="M20" i="124" s="1"/>
  <c r="F9" i="136"/>
  <c r="D20" i="117"/>
  <c r="F10" i="136"/>
  <c r="M12" i="124" s="1"/>
  <c r="M25" i="103"/>
  <c r="P12" i="117"/>
  <c r="Q11" i="117"/>
  <c r="Q12" i="117" s="1"/>
  <c r="G32" i="103"/>
  <c r="H25" i="103"/>
  <c r="H32" i="103" s="1"/>
  <c r="H34" i="103" s="1"/>
  <c r="F14" i="136"/>
  <c r="M16" i="124" s="1"/>
  <c r="F28" i="136"/>
  <c r="M21" i="124" s="1"/>
  <c r="G14" i="138"/>
  <c r="G19" i="138"/>
  <c r="G12" i="138"/>
  <c r="G17" i="138"/>
  <c r="M17" i="124"/>
  <c r="M22" i="124"/>
  <c r="G10" i="138"/>
  <c r="G16" i="138"/>
  <c r="G11" i="138"/>
  <c r="H11" i="117"/>
  <c r="H12" i="117" s="1"/>
  <c r="G12" i="117"/>
  <c r="D15" i="117"/>
  <c r="M15" i="117" s="1"/>
  <c r="M21" i="102"/>
  <c r="M13" i="102"/>
  <c r="M23" i="102"/>
  <c r="H35" i="103" l="1"/>
  <c r="H36" i="103" s="1"/>
  <c r="H42" i="103"/>
  <c r="G20" i="117"/>
  <c r="M20" i="117"/>
  <c r="F40" i="136"/>
  <c r="L30" i="130"/>
  <c r="M17" i="102"/>
  <c r="L29" i="102"/>
  <c r="M19" i="102"/>
  <c r="M20" i="102"/>
  <c r="M22" i="102"/>
  <c r="L29" i="130"/>
  <c r="L32" i="130"/>
  <c r="M28" i="124"/>
  <c r="L31" i="130"/>
  <c r="J15" i="117"/>
  <c r="G15" i="117"/>
  <c r="P15" i="117"/>
  <c r="E27" i="124"/>
  <c r="M32" i="103"/>
  <c r="N25" i="103"/>
  <c r="N32" i="103" s="1"/>
  <c r="N34" i="103" s="1"/>
  <c r="M29" i="124"/>
  <c r="G9" i="138"/>
  <c r="J19" i="118"/>
  <c r="M19" i="118"/>
  <c r="D12" i="118"/>
  <c r="E12" i="118"/>
  <c r="M30" i="124"/>
  <c r="L28" i="130"/>
  <c r="M32" i="124"/>
  <c r="M31" i="124"/>
  <c r="F29" i="102"/>
  <c r="G12" i="102"/>
  <c r="M11" i="124"/>
  <c r="N35" i="103" l="1"/>
  <c r="N36" i="103" s="1"/>
  <c r="N42" i="103"/>
  <c r="M12" i="102"/>
  <c r="L33" i="102"/>
  <c r="M33" i="102" s="1"/>
  <c r="L25" i="102"/>
  <c r="M25" i="102" s="1"/>
  <c r="L30" i="102"/>
  <c r="M30" i="102" s="1"/>
  <c r="M14" i="102"/>
  <c r="I29" i="113"/>
  <c r="I33" i="113"/>
  <c r="K12" i="118"/>
  <c r="J12" i="118"/>
  <c r="I30" i="113"/>
  <c r="M24" i="124"/>
  <c r="M27" i="124"/>
  <c r="M34" i="124" s="1"/>
  <c r="M29" i="102"/>
  <c r="M18" i="102"/>
  <c r="L34" i="102"/>
  <c r="M34" i="102" s="1"/>
  <c r="M15" i="102"/>
  <c r="L31" i="102"/>
  <c r="M31" i="102" s="1"/>
  <c r="G29" i="102"/>
  <c r="L24" i="130"/>
  <c r="L27" i="130"/>
  <c r="L34" i="130" s="1"/>
  <c r="M12" i="118"/>
  <c r="N12" i="118"/>
  <c r="I32" i="113"/>
  <c r="H12" i="118"/>
  <c r="G12" i="118"/>
  <c r="G22" i="138"/>
  <c r="L32" i="102"/>
  <c r="M32" i="102" s="1"/>
  <c r="M16" i="102"/>
  <c r="I31" i="113" l="1"/>
  <c r="L36" i="102"/>
  <c r="M15" i="118"/>
  <c r="J15" i="118"/>
  <c r="G15" i="118"/>
  <c r="M36" i="102" l="1"/>
  <c r="M43" i="102" s="1"/>
  <c r="L43" i="102"/>
  <c r="I24" i="113"/>
  <c r="I28" i="113"/>
  <c r="G10" i="135" l="1"/>
  <c r="F10" i="137"/>
  <c r="O12" i="130" s="1"/>
  <c r="F9" i="137"/>
  <c r="G16" i="137"/>
  <c r="G11" i="137"/>
  <c r="I35" i="113"/>
  <c r="G26" i="135"/>
  <c r="F12" i="137"/>
  <c r="F17" i="137"/>
  <c r="O19" i="130" s="1"/>
  <c r="G12" i="135"/>
  <c r="F11" i="137"/>
  <c r="G25" i="135"/>
  <c r="G11" i="135"/>
  <c r="F16" i="137"/>
  <c r="O18" i="130" s="1"/>
  <c r="G18" i="137"/>
  <c r="G13" i="137"/>
  <c r="G27" i="135"/>
  <c r="F13" i="137"/>
  <c r="G13" i="135"/>
  <c r="F18" i="137"/>
  <c r="O20" i="130" s="1"/>
  <c r="G10" i="137"/>
  <c r="G17" i="137"/>
  <c r="G12" i="137"/>
  <c r="G20" i="137"/>
  <c r="G15" i="137"/>
  <c r="G14" i="135"/>
  <c r="G28" i="135"/>
  <c r="F14" i="137"/>
  <c r="F19" i="137"/>
  <c r="O21" i="130" s="1"/>
  <c r="G14" i="137"/>
  <c r="G19" i="137"/>
  <c r="F15" i="137"/>
  <c r="F20" i="137"/>
  <c r="O22" i="130" s="1"/>
  <c r="H12" i="137" l="1"/>
  <c r="H10" i="137"/>
  <c r="K32" i="130"/>
  <c r="O17" i="130"/>
  <c r="F21" i="115"/>
  <c r="H15" i="137"/>
  <c r="I10" i="137"/>
  <c r="K30" i="130"/>
  <c r="O15" i="130"/>
  <c r="F18" i="115"/>
  <c r="F19" i="115"/>
  <c r="F22" i="137"/>
  <c r="K31" i="130"/>
  <c r="O16" i="130"/>
  <c r="H20" i="137"/>
  <c r="M18" i="118"/>
  <c r="M24" i="118" s="1"/>
  <c r="G18" i="118"/>
  <c r="G24" i="118" s="1"/>
  <c r="G9" i="137"/>
  <c r="K29" i="130"/>
  <c r="O14" i="130"/>
  <c r="F12" i="115"/>
  <c r="H19" i="137"/>
  <c r="I12" i="137"/>
  <c r="F20" i="115"/>
  <c r="H13" i="137"/>
  <c r="H11" i="137"/>
  <c r="F22" i="115"/>
  <c r="H14" i="137"/>
  <c r="H17" i="137"/>
  <c r="H18" i="137"/>
  <c r="K28" i="130"/>
  <c r="O13" i="130"/>
  <c r="H16" i="137"/>
  <c r="G19" i="117"/>
  <c r="G25" i="117" s="1"/>
  <c r="P19" i="117"/>
  <c r="G9" i="135"/>
  <c r="G40" i="135" s="1"/>
  <c r="H25" i="117" l="1"/>
  <c r="H32" i="117" s="1"/>
  <c r="H34" i="117" s="1"/>
  <c r="H42" i="117" s="1"/>
  <c r="G32" i="117"/>
  <c r="G22" i="113"/>
  <c r="I20" i="137"/>
  <c r="J18" i="113"/>
  <c r="O32" i="130"/>
  <c r="I16" i="137"/>
  <c r="G18" i="113"/>
  <c r="G20" i="113"/>
  <c r="I18" i="137"/>
  <c r="I14" i="137"/>
  <c r="J20" i="113"/>
  <c r="G21" i="113"/>
  <c r="I19" i="137"/>
  <c r="O29" i="130"/>
  <c r="G14" i="113"/>
  <c r="G22" i="137"/>
  <c r="H9" i="137"/>
  <c r="O31" i="130"/>
  <c r="J19" i="113"/>
  <c r="O30" i="130"/>
  <c r="I15" i="137"/>
  <c r="G31" i="118"/>
  <c r="H24" i="118"/>
  <c r="H31" i="118" s="1"/>
  <c r="H33" i="118" s="1"/>
  <c r="K27" i="130"/>
  <c r="K34" i="130" s="1"/>
  <c r="K24" i="130"/>
  <c r="O11" i="130"/>
  <c r="O28" i="130"/>
  <c r="G19" i="113"/>
  <c r="I17" i="137"/>
  <c r="J22" i="113"/>
  <c r="I11" i="137"/>
  <c r="I13" i="137"/>
  <c r="J12" i="113"/>
  <c r="N24" i="118"/>
  <c r="N31" i="118" s="1"/>
  <c r="N33" i="118" s="1"/>
  <c r="M31" i="118"/>
  <c r="G12" i="113"/>
  <c r="J21" i="113"/>
  <c r="F30" i="113" l="1"/>
  <c r="M21" i="113"/>
  <c r="N21" i="113" s="1"/>
  <c r="F31" i="113"/>
  <c r="G15" i="113"/>
  <c r="D29" i="113"/>
  <c r="J13" i="113"/>
  <c r="F15" i="115"/>
  <c r="E31" i="115"/>
  <c r="F31" i="115" s="1"/>
  <c r="D32" i="113"/>
  <c r="J16" i="113"/>
  <c r="M12" i="113"/>
  <c r="N12" i="113" s="1"/>
  <c r="G17" i="113"/>
  <c r="F33" i="113"/>
  <c r="D31" i="113"/>
  <c r="J15" i="113"/>
  <c r="H22" i="137"/>
  <c r="I22" i="137" s="1"/>
  <c r="I9" i="137"/>
  <c r="E30" i="115"/>
  <c r="F30" i="115" s="1"/>
  <c r="F14" i="115"/>
  <c r="M20" i="113"/>
  <c r="N20" i="113" s="1"/>
  <c r="F29" i="113"/>
  <c r="G13" i="113"/>
  <c r="J18" i="118"/>
  <c r="J24" i="118" s="1"/>
  <c r="D24" i="118"/>
  <c r="D33" i="113"/>
  <c r="J17" i="113"/>
  <c r="F13" i="115"/>
  <c r="E29" i="115"/>
  <c r="F29" i="115" s="1"/>
  <c r="O27" i="130"/>
  <c r="E32" i="115"/>
  <c r="F32" i="115" s="1"/>
  <c r="F16" i="115"/>
  <c r="D30" i="113"/>
  <c r="J14" i="113"/>
  <c r="F32" i="113"/>
  <c r="G16" i="113"/>
  <c r="E33" i="115"/>
  <c r="F33" i="115" s="1"/>
  <c r="F17" i="115"/>
  <c r="G32" i="113" l="1"/>
  <c r="M22" i="113"/>
  <c r="N22" i="113" s="1"/>
  <c r="G29" i="113"/>
  <c r="J21" i="115"/>
  <c r="M14" i="113"/>
  <c r="M19" i="113"/>
  <c r="N19" i="113" s="1"/>
  <c r="J20" i="115"/>
  <c r="L20" i="115"/>
  <c r="N20" i="115" s="1"/>
  <c r="M15" i="113"/>
  <c r="M16" i="113"/>
  <c r="L30" i="113"/>
  <c r="J30" i="113"/>
  <c r="L22" i="115"/>
  <c r="N22" i="115" s="1"/>
  <c r="J22" i="115"/>
  <c r="M17" i="113"/>
  <c r="G11" i="113"/>
  <c r="F28" i="113"/>
  <c r="F24" i="113"/>
  <c r="L31" i="113"/>
  <c r="J31" i="113"/>
  <c r="L12" i="115"/>
  <c r="N12" i="115" s="1"/>
  <c r="J12" i="115"/>
  <c r="E28" i="115"/>
  <c r="F11" i="115"/>
  <c r="L33" i="113"/>
  <c r="J33" i="113"/>
  <c r="E24" i="118"/>
  <c r="E31" i="118" s="1"/>
  <c r="E33" i="118" s="1"/>
  <c r="D31" i="118"/>
  <c r="G33" i="113"/>
  <c r="M13" i="113"/>
  <c r="D28" i="113"/>
  <c r="J11" i="113"/>
  <c r="G30" i="113"/>
  <c r="J31" i="118"/>
  <c r="K24" i="118"/>
  <c r="K31" i="118" s="1"/>
  <c r="K33" i="118" s="1"/>
  <c r="M18" i="113"/>
  <c r="N18" i="113" s="1"/>
  <c r="L32" i="113"/>
  <c r="J32" i="113"/>
  <c r="L29" i="113"/>
  <c r="J29" i="113"/>
  <c r="G31" i="113"/>
  <c r="K34" i="118" l="1"/>
  <c r="K35" i="118" s="1"/>
  <c r="L21" i="115"/>
  <c r="N21" i="115" s="1"/>
  <c r="F35" i="113"/>
  <c r="G28" i="113"/>
  <c r="N17" i="113"/>
  <c r="M33" i="113"/>
  <c r="N33" i="113" s="1"/>
  <c r="I31" i="115"/>
  <c r="J15" i="115"/>
  <c r="L15" i="115"/>
  <c r="L14" i="115"/>
  <c r="I30" i="115"/>
  <c r="J14" i="115"/>
  <c r="I29" i="115"/>
  <c r="J13" i="115"/>
  <c r="L13" i="115"/>
  <c r="L16" i="115"/>
  <c r="I32" i="115"/>
  <c r="J16" i="115"/>
  <c r="L19" i="115"/>
  <c r="N19" i="115" s="1"/>
  <c r="J19" i="115"/>
  <c r="M11" i="113"/>
  <c r="M29" i="113"/>
  <c r="N29" i="113" s="1"/>
  <c r="N13" i="113"/>
  <c r="F28" i="115"/>
  <c r="M32" i="113"/>
  <c r="N32" i="113" s="1"/>
  <c r="N16" i="113"/>
  <c r="J18" i="115"/>
  <c r="L18" i="115"/>
  <c r="N18" i="115" s="1"/>
  <c r="L28" i="113"/>
  <c r="J28" i="113"/>
  <c r="H34" i="118"/>
  <c r="H35" i="118" s="1"/>
  <c r="N34" i="118"/>
  <c r="N35" i="118" s="1"/>
  <c r="L17" i="115"/>
  <c r="J17" i="115"/>
  <c r="I33" i="115"/>
  <c r="N15" i="113"/>
  <c r="M31" i="113"/>
  <c r="N31" i="113" s="1"/>
  <c r="N14" i="113"/>
  <c r="M30" i="113"/>
  <c r="N30" i="113" s="1"/>
  <c r="N17" i="115" l="1"/>
  <c r="J32" i="115"/>
  <c r="L32" i="115"/>
  <c r="N32" i="115" s="1"/>
  <c r="J29" i="115"/>
  <c r="L29" i="115"/>
  <c r="N29" i="115" s="1"/>
  <c r="L30" i="115"/>
  <c r="N30" i="115" s="1"/>
  <c r="J30" i="115"/>
  <c r="N15" i="115"/>
  <c r="M28" i="113"/>
  <c r="N11" i="113"/>
  <c r="N16" i="115"/>
  <c r="N14" i="115"/>
  <c r="I28" i="115"/>
  <c r="L11" i="115"/>
  <c r="J11" i="115"/>
  <c r="N13" i="115"/>
  <c r="L31" i="115"/>
  <c r="N31" i="115" s="1"/>
  <c r="J31" i="115"/>
  <c r="J33" i="115"/>
  <c r="L33" i="115"/>
  <c r="N33" i="115" s="1"/>
  <c r="N11" i="115" l="1"/>
  <c r="J28" i="115"/>
  <c r="L28" i="115"/>
  <c r="N28" i="113"/>
  <c r="N28" i="115" l="1"/>
  <c r="O23" i="130" l="1"/>
  <c r="E33" i="130"/>
  <c r="E34" i="130" s="1"/>
  <c r="E24" i="130"/>
  <c r="O33" i="130" l="1"/>
  <c r="O34" i="130" s="1"/>
  <c r="O24" i="130"/>
  <c r="G24" i="102"/>
  <c r="F35" i="102"/>
  <c r="F25" i="102"/>
  <c r="G25" i="102" s="1"/>
  <c r="E33" i="124"/>
  <c r="E34" i="124" s="1"/>
  <c r="P23" i="124"/>
  <c r="E24" i="124"/>
  <c r="G35" i="102" l="1"/>
  <c r="F36" i="102"/>
  <c r="E34" i="115"/>
  <c r="F23" i="115"/>
  <c r="E24" i="115"/>
  <c r="F24" i="115" s="1"/>
  <c r="E23" i="114"/>
  <c r="P33" i="124"/>
  <c r="D23" i="112"/>
  <c r="D34" i="113"/>
  <c r="G23" i="113"/>
  <c r="J23" i="113"/>
  <c r="D24" i="113"/>
  <c r="V24" i="102"/>
  <c r="U35" i="102"/>
  <c r="AA24" i="102"/>
  <c r="AA35" i="102" s="1"/>
  <c r="G36" i="102" l="1"/>
  <c r="G43" i="102" s="1"/>
  <c r="F43" i="102"/>
  <c r="O23" i="112"/>
  <c r="M23" i="112"/>
  <c r="F34" i="115"/>
  <c r="E35" i="115"/>
  <c r="F35" i="115" s="1"/>
  <c r="J24" i="113"/>
  <c r="G24" i="113"/>
  <c r="J34" i="113"/>
  <c r="L34" i="113"/>
  <c r="L35" i="113" s="1"/>
  <c r="G34" i="113"/>
  <c r="D35" i="113"/>
  <c r="F23" i="114"/>
  <c r="E34" i="114"/>
  <c r="I23" i="104"/>
  <c r="AB24" i="102"/>
  <c r="AB35" i="102" s="1"/>
  <c r="M23" i="113"/>
  <c r="L24" i="113"/>
  <c r="V35" i="102"/>
  <c r="D34" i="112"/>
  <c r="G23" i="112"/>
  <c r="J23" i="112"/>
  <c r="M34" i="112" l="1"/>
  <c r="O34" i="112"/>
  <c r="J34" i="112"/>
  <c r="G34" i="112"/>
  <c r="I34" i="115"/>
  <c r="L23" i="115"/>
  <c r="N23" i="115" s="1"/>
  <c r="J23" i="115"/>
  <c r="I24" i="115"/>
  <c r="L23" i="104"/>
  <c r="I34" i="104"/>
  <c r="J23" i="104"/>
  <c r="J35" i="113"/>
  <c r="G35" i="113"/>
  <c r="M34" i="113"/>
  <c r="N23" i="113"/>
  <c r="M24" i="113"/>
  <c r="N24" i="113" s="1"/>
  <c r="P23" i="112"/>
  <c r="I23" i="114"/>
  <c r="F34" i="114"/>
  <c r="AC24" i="102"/>
  <c r="N23" i="104" l="1"/>
  <c r="P34" i="112"/>
  <c r="Q23" i="112"/>
  <c r="L34" i="104"/>
  <c r="J34" i="104"/>
  <c r="L34" i="115"/>
  <c r="J34" i="115"/>
  <c r="I35" i="115"/>
  <c r="J24" i="115"/>
  <c r="L24" i="115"/>
  <c r="N24" i="115" s="1"/>
  <c r="AC35" i="102"/>
  <c r="L23" i="114"/>
  <c r="N23" i="114" s="1"/>
  <c r="J23" i="114"/>
  <c r="I34" i="114"/>
  <c r="N34" i="113"/>
  <c r="M35" i="113"/>
  <c r="N35" i="113" s="1"/>
  <c r="N34" i="115" l="1"/>
  <c r="L34" i="114"/>
  <c r="J34" i="114"/>
  <c r="N34" i="104"/>
  <c r="J35" i="115"/>
  <c r="L35" i="115"/>
  <c r="N35" i="115" s="1"/>
  <c r="Q34" i="112"/>
  <c r="N34" i="114" l="1"/>
  <c r="F25" i="135" l="1"/>
  <c r="F11" i="135"/>
  <c r="F28" i="135"/>
  <c r="F14" i="135"/>
  <c r="F13" i="135"/>
  <c r="F27" i="135"/>
  <c r="F9" i="135"/>
  <c r="F10" i="135"/>
  <c r="J25" i="103"/>
  <c r="F12" i="135"/>
  <c r="F26" i="135"/>
  <c r="U15" i="102" l="1"/>
  <c r="L21" i="124"/>
  <c r="P21" i="124" s="1"/>
  <c r="H28" i="135"/>
  <c r="F22" i="135"/>
  <c r="H22" i="135" s="1"/>
  <c r="I22" i="135" s="1"/>
  <c r="L19" i="124"/>
  <c r="P19" i="124" s="1"/>
  <c r="H26" i="135"/>
  <c r="L12" i="124"/>
  <c r="P12" i="124" s="1"/>
  <c r="H10" i="135"/>
  <c r="U13" i="102"/>
  <c r="L20" i="124"/>
  <c r="P20" i="124" s="1"/>
  <c r="H27" i="135"/>
  <c r="U21" i="102"/>
  <c r="F36" i="135"/>
  <c r="H36" i="135" s="1"/>
  <c r="I36" i="135" s="1"/>
  <c r="Y25" i="103"/>
  <c r="D19" i="117"/>
  <c r="M19" i="117" s="1"/>
  <c r="M25" i="117" s="1"/>
  <c r="K25" i="103"/>
  <c r="K32" i="103" s="1"/>
  <c r="K34" i="103" s="1"/>
  <c r="J32" i="103"/>
  <c r="L14" i="124"/>
  <c r="H12" i="135"/>
  <c r="L11" i="124"/>
  <c r="H9" i="135"/>
  <c r="L15" i="124"/>
  <c r="H13" i="135"/>
  <c r="U22" i="102"/>
  <c r="L13" i="124"/>
  <c r="H11" i="135"/>
  <c r="U19" i="102"/>
  <c r="AA19" i="102" s="1"/>
  <c r="U20" i="102"/>
  <c r="U12" i="102"/>
  <c r="AA12" i="102" s="1"/>
  <c r="U16" i="102"/>
  <c r="L16" i="124"/>
  <c r="H14" i="135"/>
  <c r="U17" i="102"/>
  <c r="L18" i="124"/>
  <c r="P18" i="124" s="1"/>
  <c r="H25" i="135"/>
  <c r="U14" i="102"/>
  <c r="K35" i="103" l="1"/>
  <c r="K36" i="103" s="1"/>
  <c r="K42" i="103"/>
  <c r="M32" i="117"/>
  <c r="N25" i="117"/>
  <c r="N32" i="117" s="1"/>
  <c r="N34" i="117" s="1"/>
  <c r="N42" i="117" s="1"/>
  <c r="I25" i="135"/>
  <c r="F18" i="112"/>
  <c r="L27" i="124"/>
  <c r="P11" i="124"/>
  <c r="F20" i="112"/>
  <c r="I27" i="135"/>
  <c r="F12" i="112"/>
  <c r="I10" i="135"/>
  <c r="E21" i="114"/>
  <c r="F21" i="114" s="1"/>
  <c r="D21" i="112"/>
  <c r="J14" i="102"/>
  <c r="I30" i="102"/>
  <c r="E18" i="114"/>
  <c r="F18" i="114" s="1"/>
  <c r="D18" i="112"/>
  <c r="I14" i="135"/>
  <c r="F16" i="112"/>
  <c r="J20" i="102"/>
  <c r="I11" i="135"/>
  <c r="F13" i="112"/>
  <c r="F15" i="112"/>
  <c r="I13" i="135"/>
  <c r="E20" i="114"/>
  <c r="F20" i="114" s="1"/>
  <c r="D20" i="112"/>
  <c r="E12" i="114"/>
  <c r="F12" i="114" s="1"/>
  <c r="D12" i="112"/>
  <c r="I31" i="102"/>
  <c r="J15" i="102"/>
  <c r="I33" i="102"/>
  <c r="J17" i="102"/>
  <c r="P16" i="124"/>
  <c r="L31" i="124"/>
  <c r="J12" i="102"/>
  <c r="I29" i="102"/>
  <c r="P13" i="124"/>
  <c r="L28" i="124"/>
  <c r="L30" i="124"/>
  <c r="P15" i="124"/>
  <c r="F14" i="112"/>
  <c r="I12" i="135"/>
  <c r="J19" i="117"/>
  <c r="D25" i="117"/>
  <c r="J21" i="102"/>
  <c r="J13" i="102"/>
  <c r="I26" i="135"/>
  <c r="F19" i="112"/>
  <c r="J16" i="102"/>
  <c r="I32" i="102"/>
  <c r="J19" i="102"/>
  <c r="J22" i="102"/>
  <c r="I9" i="135"/>
  <c r="F11" i="112"/>
  <c r="L29" i="124"/>
  <c r="P14" i="124"/>
  <c r="Y32" i="103"/>
  <c r="Z25" i="103"/>
  <c r="Z32" i="103" s="1"/>
  <c r="Z34" i="103" s="1"/>
  <c r="E19" i="114"/>
  <c r="F19" i="114" s="1"/>
  <c r="D19" i="112"/>
  <c r="F21" i="112"/>
  <c r="G21" i="112" s="1"/>
  <c r="I28" i="135"/>
  <c r="Z35" i="103" l="1"/>
  <c r="Z36" i="103" s="1"/>
  <c r="Z42" i="103"/>
  <c r="M19" i="112"/>
  <c r="M12" i="112"/>
  <c r="F31" i="112"/>
  <c r="M20" i="112"/>
  <c r="M18" i="112"/>
  <c r="M21" i="112"/>
  <c r="G12" i="112"/>
  <c r="G19" i="112"/>
  <c r="AA14" i="102"/>
  <c r="AA30" i="102" s="1"/>
  <c r="V14" i="102"/>
  <c r="U30" i="102"/>
  <c r="V30" i="102" s="1"/>
  <c r="F35" i="135"/>
  <c r="H35" i="135" s="1"/>
  <c r="I35" i="135" s="1"/>
  <c r="J32" i="102"/>
  <c r="F30" i="112"/>
  <c r="P28" i="124"/>
  <c r="E13" i="114"/>
  <c r="D13" i="112"/>
  <c r="J33" i="102"/>
  <c r="AA15" i="102"/>
  <c r="U31" i="102"/>
  <c r="V31" i="102" s="1"/>
  <c r="V15" i="102"/>
  <c r="J30" i="102"/>
  <c r="F33" i="135"/>
  <c r="H33" i="135" s="1"/>
  <c r="I33" i="135" s="1"/>
  <c r="F32" i="135"/>
  <c r="H32" i="135" s="1"/>
  <c r="I32" i="135" s="1"/>
  <c r="F17" i="135"/>
  <c r="F19" i="135"/>
  <c r="H19" i="135" s="1"/>
  <c r="I19" i="135" s="1"/>
  <c r="V22" i="102"/>
  <c r="AA22" i="102"/>
  <c r="V16" i="102"/>
  <c r="AA16" i="102"/>
  <c r="U32" i="102"/>
  <c r="V32" i="102" s="1"/>
  <c r="D32" i="117"/>
  <c r="E25" i="117"/>
  <c r="E32" i="117" s="1"/>
  <c r="E34" i="117" s="1"/>
  <c r="E15" i="114"/>
  <c r="P30" i="124"/>
  <c r="D15" i="112"/>
  <c r="J29" i="102"/>
  <c r="V17" i="102"/>
  <c r="AA17" i="102"/>
  <c r="U33" i="102"/>
  <c r="V33" i="102" s="1"/>
  <c r="V20" i="102"/>
  <c r="AA20" i="102"/>
  <c r="F21" i="135"/>
  <c r="H21" i="135" s="1"/>
  <c r="I21" i="135" s="1"/>
  <c r="F34" i="135"/>
  <c r="H34" i="135" s="1"/>
  <c r="I34" i="135" s="1"/>
  <c r="F20" i="135"/>
  <c r="H20" i="135" s="1"/>
  <c r="I20" i="135" s="1"/>
  <c r="G20" i="112"/>
  <c r="G18" i="112"/>
  <c r="D14" i="112"/>
  <c r="E14" i="114"/>
  <c r="P29" i="124"/>
  <c r="V21" i="102"/>
  <c r="AA21" i="102"/>
  <c r="V12" i="102"/>
  <c r="U29" i="102"/>
  <c r="J31" i="102"/>
  <c r="F29" i="112"/>
  <c r="F32" i="112"/>
  <c r="E11" i="114"/>
  <c r="P27" i="124"/>
  <c r="D11" i="112"/>
  <c r="G23" i="134"/>
  <c r="K23" i="134" s="1"/>
  <c r="O23" i="134" s="1"/>
  <c r="G29" i="134"/>
  <c r="K29" i="134" s="1"/>
  <c r="O29" i="134" s="1"/>
  <c r="G21" i="134"/>
  <c r="K21" i="134" s="1"/>
  <c r="O21" i="134" s="1"/>
  <c r="G33" i="134"/>
  <c r="K33" i="134" s="1"/>
  <c r="O33" i="134" s="1"/>
  <c r="G22" i="134"/>
  <c r="K22" i="134" s="1"/>
  <c r="O22" i="134" s="1"/>
  <c r="G24" i="134"/>
  <c r="K24" i="134" s="1"/>
  <c r="O24" i="134" s="1"/>
  <c r="G11" i="134"/>
  <c r="K11" i="134" s="1"/>
  <c r="O11" i="134" s="1"/>
  <c r="G16" i="134"/>
  <c r="K16" i="134" s="1"/>
  <c r="O16" i="134" s="1"/>
  <c r="G34" i="134"/>
  <c r="K34" i="134" s="1"/>
  <c r="O34" i="134" s="1"/>
  <c r="G26" i="134"/>
  <c r="K26" i="134" s="1"/>
  <c r="O26" i="134" s="1"/>
  <c r="G35" i="134"/>
  <c r="K35" i="134" s="1"/>
  <c r="O35" i="134" s="1"/>
  <c r="G31" i="134"/>
  <c r="K31" i="134" s="1"/>
  <c r="O31" i="134" s="1"/>
  <c r="G10" i="134"/>
  <c r="K10" i="134" s="1"/>
  <c r="O10" i="134" s="1"/>
  <c r="G30" i="134"/>
  <c r="K30" i="134" s="1"/>
  <c r="O30" i="134" s="1"/>
  <c r="G28" i="134"/>
  <c r="K28" i="134" s="1"/>
  <c r="O28" i="134" s="1"/>
  <c r="G14" i="134"/>
  <c r="K14" i="134" s="1"/>
  <c r="O14" i="134" s="1"/>
  <c r="G32" i="134"/>
  <c r="K32" i="134" s="1"/>
  <c r="O32" i="134" s="1"/>
  <c r="G12" i="134"/>
  <c r="K12" i="134" s="1"/>
  <c r="O12" i="134" s="1"/>
  <c r="G25" i="134"/>
  <c r="K25" i="134" s="1"/>
  <c r="O25" i="134" s="1"/>
  <c r="G19" i="134"/>
  <c r="K19" i="134" s="1"/>
  <c r="O19" i="134" s="1"/>
  <c r="G15" i="134"/>
  <c r="K15" i="134" s="1"/>
  <c r="O15" i="134" s="1"/>
  <c r="G20" i="134"/>
  <c r="K20" i="134" s="1"/>
  <c r="O20" i="134" s="1"/>
  <c r="G27" i="134"/>
  <c r="K27" i="134" s="1"/>
  <c r="O27" i="134" s="1"/>
  <c r="G13" i="134"/>
  <c r="K13" i="134" s="1"/>
  <c r="O13" i="134" s="1"/>
  <c r="G17" i="134"/>
  <c r="K17" i="134" s="1"/>
  <c r="O17" i="134" s="1"/>
  <c r="G18" i="134"/>
  <c r="K18" i="134" s="1"/>
  <c r="O18" i="134" s="1"/>
  <c r="F28" i="112"/>
  <c r="V19" i="102"/>
  <c r="AA13" i="102"/>
  <c r="AA29" i="102" s="1"/>
  <c r="V13" i="102"/>
  <c r="E16" i="114"/>
  <c r="P31" i="124"/>
  <c r="D16" i="112"/>
  <c r="F31" i="135"/>
  <c r="F18" i="135"/>
  <c r="H18" i="135" s="1"/>
  <c r="I18" i="135" s="1"/>
  <c r="H35" i="117" l="1"/>
  <c r="H36" i="117" s="1"/>
  <c r="E42" i="117"/>
  <c r="AA31" i="102"/>
  <c r="AA32" i="102"/>
  <c r="AA33" i="102"/>
  <c r="G13" i="112"/>
  <c r="M13" i="112"/>
  <c r="G16" i="112"/>
  <c r="M16" i="112"/>
  <c r="G11" i="112"/>
  <c r="M11" i="112"/>
  <c r="G14" i="112"/>
  <c r="M14" i="112"/>
  <c r="M15" i="112"/>
  <c r="N35" i="117"/>
  <c r="N36" i="117" s="1"/>
  <c r="AB16" i="102"/>
  <c r="I15" i="104"/>
  <c r="I12" i="104"/>
  <c r="AB13" i="102"/>
  <c r="AC13" i="102" s="1"/>
  <c r="I11" i="104"/>
  <c r="AB12" i="102"/>
  <c r="I19" i="104"/>
  <c r="AB20" i="102"/>
  <c r="AC20" i="102" s="1"/>
  <c r="AB17" i="102"/>
  <c r="I16" i="104"/>
  <c r="U18" i="102"/>
  <c r="I13" i="104"/>
  <c r="AB14" i="102"/>
  <c r="E28" i="114"/>
  <c r="F11" i="114"/>
  <c r="V29" i="102"/>
  <c r="E31" i="114"/>
  <c r="F31" i="114" s="1"/>
  <c r="F15" i="114"/>
  <c r="H17" i="135"/>
  <c r="F23" i="135"/>
  <c r="E32" i="114"/>
  <c r="F32" i="114" s="1"/>
  <c r="F16" i="114"/>
  <c r="I18" i="104"/>
  <c r="AB19" i="102"/>
  <c r="AC19" i="102" s="1"/>
  <c r="D28" i="112"/>
  <c r="F14" i="114"/>
  <c r="E30" i="114"/>
  <c r="F30" i="114" s="1"/>
  <c r="G15" i="112"/>
  <c r="D31" i="112"/>
  <c r="AB22" i="102"/>
  <c r="AC22" i="102" s="1"/>
  <c r="I21" i="104"/>
  <c r="D29" i="112"/>
  <c r="D32" i="112"/>
  <c r="U23" i="102"/>
  <c r="H31" i="135"/>
  <c r="F37" i="135"/>
  <c r="L22" i="124" s="1"/>
  <c r="P22" i="124" s="1"/>
  <c r="AB21" i="102"/>
  <c r="AC21" i="102" s="1"/>
  <c r="I20" i="104"/>
  <c r="D30" i="112"/>
  <c r="AB15" i="102"/>
  <c r="I14" i="104"/>
  <c r="E29" i="114"/>
  <c r="F29" i="114" s="1"/>
  <c r="F13" i="114"/>
  <c r="M31" i="112" l="1"/>
  <c r="M28" i="112"/>
  <c r="M32" i="112"/>
  <c r="M29" i="112"/>
  <c r="M30" i="112"/>
  <c r="AB29" i="102"/>
  <c r="D22" i="112"/>
  <c r="E22" i="114"/>
  <c r="F22" i="114" s="1"/>
  <c r="F28" i="114"/>
  <c r="J20" i="104"/>
  <c r="L20" i="104"/>
  <c r="N20" i="104" s="1"/>
  <c r="G32" i="112"/>
  <c r="L21" i="104"/>
  <c r="N21" i="104" s="1"/>
  <c r="J21" i="104"/>
  <c r="G28" i="112"/>
  <c r="J13" i="104"/>
  <c r="L13" i="104"/>
  <c r="J16" i="104"/>
  <c r="L16" i="104"/>
  <c r="I32" i="104"/>
  <c r="I28" i="104"/>
  <c r="L12" i="104"/>
  <c r="N12" i="104" s="1"/>
  <c r="J12" i="104"/>
  <c r="L14" i="104"/>
  <c r="J14" i="104"/>
  <c r="I30" i="104"/>
  <c r="AC15" i="102"/>
  <c r="AB31" i="102"/>
  <c r="AC31" i="102" s="1"/>
  <c r="I31" i="135"/>
  <c r="H37" i="135"/>
  <c r="G29" i="112"/>
  <c r="G31" i="112"/>
  <c r="I29" i="104"/>
  <c r="J18" i="104"/>
  <c r="L18" i="104"/>
  <c r="N18" i="104" s="1"/>
  <c r="I17" i="135"/>
  <c r="H23" i="135"/>
  <c r="AC14" i="102"/>
  <c r="AB30" i="102"/>
  <c r="AC30" i="102" s="1"/>
  <c r="J19" i="104"/>
  <c r="L19" i="104"/>
  <c r="N19" i="104" s="1"/>
  <c r="J23" i="102"/>
  <c r="G30" i="112"/>
  <c r="J18" i="102"/>
  <c r="I34" i="102"/>
  <c r="I25" i="102"/>
  <c r="J25" i="102" s="1"/>
  <c r="AC17" i="102"/>
  <c r="AB33" i="102"/>
  <c r="AC33" i="102" s="1"/>
  <c r="AC12" i="102"/>
  <c r="J15" i="104"/>
  <c r="L15" i="104"/>
  <c r="I31" i="104"/>
  <c r="L17" i="124"/>
  <c r="F40" i="135"/>
  <c r="L11" i="104"/>
  <c r="J11" i="104"/>
  <c r="AC16" i="102"/>
  <c r="AB32" i="102"/>
  <c r="AC32" i="102" s="1"/>
  <c r="M22" i="112" l="1"/>
  <c r="N11" i="104"/>
  <c r="N14" i="104"/>
  <c r="V18" i="102"/>
  <c r="AA18" i="102"/>
  <c r="U25" i="102"/>
  <c r="V25" i="102" s="1"/>
  <c r="J29" i="104"/>
  <c r="L29" i="104"/>
  <c r="N29" i="104" s="1"/>
  <c r="J32" i="104"/>
  <c r="L32" i="104"/>
  <c r="N32" i="104" s="1"/>
  <c r="J31" i="104"/>
  <c r="L31" i="104"/>
  <c r="N31" i="104" s="1"/>
  <c r="AC29" i="102"/>
  <c r="F22" i="112"/>
  <c r="G22" i="112" s="1"/>
  <c r="I37" i="135"/>
  <c r="N16" i="104"/>
  <c r="F17" i="112"/>
  <c r="I23" i="135"/>
  <c r="H40" i="135"/>
  <c r="I40" i="135" s="1"/>
  <c r="N15" i="104"/>
  <c r="J34" i="102"/>
  <c r="I36" i="102"/>
  <c r="U34" i="102"/>
  <c r="AA23" i="102"/>
  <c r="V23" i="102"/>
  <c r="L30" i="104"/>
  <c r="N30" i="104" s="1"/>
  <c r="J30" i="104"/>
  <c r="P17" i="124"/>
  <c r="L32" i="124"/>
  <c r="L34" i="124" s="1"/>
  <c r="L24" i="124"/>
  <c r="J28" i="104"/>
  <c r="L28" i="104"/>
  <c r="N28" i="104" s="1"/>
  <c r="N13" i="104"/>
  <c r="J36" i="102" l="1"/>
  <c r="J43" i="102" s="1"/>
  <c r="I43" i="102"/>
  <c r="AA34" i="102"/>
  <c r="AA36" i="102" s="1"/>
  <c r="AA43" i="102" s="1"/>
  <c r="AB23" i="102"/>
  <c r="AC23" i="102" s="1"/>
  <c r="I22" i="104"/>
  <c r="F33" i="112"/>
  <c r="F24" i="112"/>
  <c r="V34" i="102"/>
  <c r="U36" i="102"/>
  <c r="AB18" i="102"/>
  <c r="I17" i="104"/>
  <c r="AA25" i="102"/>
  <c r="E17" i="114"/>
  <c r="D17" i="112"/>
  <c r="P32" i="124"/>
  <c r="P34" i="124" s="1"/>
  <c r="P24" i="124"/>
  <c r="V36" i="102" l="1"/>
  <c r="V43" i="102" s="1"/>
  <c r="U43" i="102"/>
  <c r="M17" i="112"/>
  <c r="F35" i="112"/>
  <c r="F41" i="112" s="1"/>
  <c r="L17" i="104"/>
  <c r="J17" i="104"/>
  <c r="I33" i="104"/>
  <c r="I24" i="104"/>
  <c r="G17" i="112"/>
  <c r="D33" i="112"/>
  <c r="D24" i="112"/>
  <c r="M24" i="112" s="1"/>
  <c r="AC18" i="102"/>
  <c r="AB34" i="102"/>
  <c r="AB25" i="102"/>
  <c r="E33" i="114"/>
  <c r="F17" i="114"/>
  <c r="E24" i="114"/>
  <c r="F24" i="114" s="1"/>
  <c r="J22" i="104"/>
  <c r="L22" i="104"/>
  <c r="N22" i="104" s="1"/>
  <c r="G33" i="112" l="1"/>
  <c r="M33" i="112"/>
  <c r="F33" i="114"/>
  <c r="E35" i="114"/>
  <c r="F35" i="114" s="1"/>
  <c r="L24" i="104"/>
  <c r="J24" i="104"/>
  <c r="AC25" i="102"/>
  <c r="L33" i="104"/>
  <c r="J33" i="104"/>
  <c r="I35" i="104"/>
  <c r="N17" i="104"/>
  <c r="AC34" i="102"/>
  <c r="AB36" i="102"/>
  <c r="D35" i="112"/>
  <c r="D41" i="112" s="1"/>
  <c r="G24" i="112"/>
  <c r="AC36" i="102" l="1"/>
  <c r="AC43" i="102" s="1"/>
  <c r="AB43" i="102"/>
  <c r="G35" i="112"/>
  <c r="G41" i="112" s="1"/>
  <c r="M35" i="112"/>
  <c r="M41" i="112" s="1"/>
  <c r="N24" i="104"/>
  <c r="L35" i="104"/>
  <c r="N35" i="104" s="1"/>
  <c r="J35" i="104"/>
  <c r="N33" i="104"/>
  <c r="F9" i="138" l="1"/>
  <c r="F10" i="138"/>
  <c r="H10" i="138" s="1"/>
  <c r="I10" i="138" s="1"/>
  <c r="G10" i="136"/>
  <c r="H10" i="136" s="1"/>
  <c r="G13" i="136"/>
  <c r="H13" i="136" s="1"/>
  <c r="F18" i="138"/>
  <c r="H18" i="138" s="1"/>
  <c r="I18" i="138" s="1"/>
  <c r="F13" i="138"/>
  <c r="H13" i="138" s="1"/>
  <c r="I13" i="138" s="1"/>
  <c r="G27" i="136"/>
  <c r="H27" i="136" s="1"/>
  <c r="F17" i="138"/>
  <c r="H17" i="138" s="1"/>
  <c r="I17" i="138" s="1"/>
  <c r="G26" i="136"/>
  <c r="H26" i="136" s="1"/>
  <c r="G12" i="136"/>
  <c r="H12" i="136" s="1"/>
  <c r="F12" i="138"/>
  <c r="H12" i="138" s="1"/>
  <c r="I12" i="138" s="1"/>
  <c r="F15" i="138"/>
  <c r="H15" i="138" s="1"/>
  <c r="I15" i="138" s="1"/>
  <c r="F20" i="138"/>
  <c r="H20" i="138" s="1"/>
  <c r="I20" i="138" s="1"/>
  <c r="G11" i="136"/>
  <c r="H11" i="136" s="1"/>
  <c r="G25" i="136"/>
  <c r="H25" i="136" s="1"/>
  <c r="F16" i="138"/>
  <c r="H16" i="138" s="1"/>
  <c r="I16" i="138" s="1"/>
  <c r="F11" i="138"/>
  <c r="H11" i="138" s="1"/>
  <c r="I11" i="138" s="1"/>
  <c r="F19" i="138"/>
  <c r="H19" i="138" s="1"/>
  <c r="I19" i="138" s="1"/>
  <c r="G28" i="136"/>
  <c r="H28" i="136" s="1"/>
  <c r="G14" i="136"/>
  <c r="H14" i="136" s="1"/>
  <c r="F14" i="138"/>
  <c r="H14" i="138" s="1"/>
  <c r="I14" i="138" s="1"/>
  <c r="I12" i="136" l="1"/>
  <c r="I14" i="112"/>
  <c r="O14" i="112" s="1"/>
  <c r="I14" i="136"/>
  <c r="I16" i="112"/>
  <c r="O16" i="112" s="1"/>
  <c r="I28" i="136"/>
  <c r="I21" i="112"/>
  <c r="O21" i="112" s="1"/>
  <c r="I20" i="112"/>
  <c r="O20" i="112" s="1"/>
  <c r="I27" i="136"/>
  <c r="I10" i="136"/>
  <c r="I12" i="112"/>
  <c r="O12" i="112" s="1"/>
  <c r="I25" i="136"/>
  <c r="I18" i="112"/>
  <c r="O18" i="112" s="1"/>
  <c r="I19" i="112"/>
  <c r="O19" i="112" s="1"/>
  <c r="I26" i="136"/>
  <c r="P20" i="117"/>
  <c r="G9" i="136"/>
  <c r="J20" i="117"/>
  <c r="J25" i="117" s="1"/>
  <c r="I11" i="136"/>
  <c r="I13" i="112"/>
  <c r="O13" i="112" s="1"/>
  <c r="I13" i="136"/>
  <c r="I15" i="112"/>
  <c r="O15" i="112" s="1"/>
  <c r="F22" i="138"/>
  <c r="H9" i="138"/>
  <c r="J18" i="112" l="1"/>
  <c r="I32" i="112"/>
  <c r="O32" i="112" s="1"/>
  <c r="J16" i="112"/>
  <c r="I9" i="138"/>
  <c r="H22" i="138"/>
  <c r="I22" i="138" s="1"/>
  <c r="J19" i="112"/>
  <c r="I31" i="112"/>
  <c r="O31" i="112" s="1"/>
  <c r="J20" i="112"/>
  <c r="G22" i="136"/>
  <c r="H22" i="136" s="1"/>
  <c r="I22" i="136" s="1"/>
  <c r="K25" i="117"/>
  <c r="K32" i="117" s="1"/>
  <c r="K34" i="117" s="1"/>
  <c r="J32" i="117"/>
  <c r="G36" i="136"/>
  <c r="H36" i="136" s="1"/>
  <c r="I36" i="136" s="1"/>
  <c r="H9" i="136"/>
  <c r="J12" i="112"/>
  <c r="J21" i="112"/>
  <c r="I30" i="112"/>
  <c r="O30" i="112" s="1"/>
  <c r="J14" i="112"/>
  <c r="J15" i="112"/>
  <c r="I29" i="112"/>
  <c r="O29" i="112" s="1"/>
  <c r="J13" i="112"/>
  <c r="G19" i="118"/>
  <c r="P25" i="117"/>
  <c r="K35" i="117" l="1"/>
  <c r="K36" i="117" s="1"/>
  <c r="K42" i="117"/>
  <c r="Q25" i="117"/>
  <c r="Q32" i="117" s="1"/>
  <c r="Q34" i="117" s="1"/>
  <c r="P32" i="117"/>
  <c r="P12" i="112"/>
  <c r="Q12" i="112" s="1"/>
  <c r="I12" i="114"/>
  <c r="J32" i="112"/>
  <c r="I15" i="114"/>
  <c r="P15" i="112"/>
  <c r="J30" i="112"/>
  <c r="J31" i="112"/>
  <c r="I18" i="114"/>
  <c r="P18" i="112"/>
  <c r="Q18" i="112" s="1"/>
  <c r="P14" i="112"/>
  <c r="I14" i="114"/>
  <c r="I20" i="114"/>
  <c r="P20" i="112"/>
  <c r="Q20" i="112" s="1"/>
  <c r="J29" i="112"/>
  <c r="I13" i="114"/>
  <c r="P13" i="112"/>
  <c r="I21" i="114"/>
  <c r="P21" i="112"/>
  <c r="Q21" i="112" s="1"/>
  <c r="I11" i="112"/>
  <c r="O11" i="112" s="1"/>
  <c r="I9" i="136"/>
  <c r="I19" i="114"/>
  <c r="P19" i="112"/>
  <c r="Q19" i="112" s="1"/>
  <c r="I16" i="114"/>
  <c r="P16" i="112"/>
  <c r="Q35" i="117" l="1"/>
  <c r="Q36" i="117" s="1"/>
  <c r="Q42" i="117"/>
  <c r="I32" i="114"/>
  <c r="J16" i="114"/>
  <c r="L16" i="114"/>
  <c r="G17" i="136"/>
  <c r="I30" i="114"/>
  <c r="J14" i="114"/>
  <c r="L14" i="114"/>
  <c r="P31" i="112"/>
  <c r="Q31" i="112" s="1"/>
  <c r="Q15" i="112"/>
  <c r="J12" i="114"/>
  <c r="L12" i="114"/>
  <c r="N12" i="114" s="1"/>
  <c r="G18" i="136"/>
  <c r="H18" i="136" s="1"/>
  <c r="I18" i="136" s="1"/>
  <c r="G34" i="136"/>
  <c r="H34" i="136" s="1"/>
  <c r="I34" i="136" s="1"/>
  <c r="P30" i="112"/>
  <c r="Q30" i="112" s="1"/>
  <c r="Q14" i="112"/>
  <c r="J15" i="114"/>
  <c r="L15" i="114"/>
  <c r="N15" i="114" s="1"/>
  <c r="I31" i="114"/>
  <c r="G31" i="136"/>
  <c r="G35" i="136"/>
  <c r="H35" i="136" s="1"/>
  <c r="I35" i="136" s="1"/>
  <c r="G19" i="136"/>
  <c r="H19" i="136" s="1"/>
  <c r="I19" i="136" s="1"/>
  <c r="H13" i="134"/>
  <c r="L13" i="134" s="1"/>
  <c r="P13" i="134" s="1"/>
  <c r="H15" i="134"/>
  <c r="L15" i="134" s="1"/>
  <c r="P15" i="134" s="1"/>
  <c r="H32" i="134"/>
  <c r="L32" i="134" s="1"/>
  <c r="P32" i="134" s="1"/>
  <c r="H24" i="134"/>
  <c r="L24" i="134" s="1"/>
  <c r="P24" i="134" s="1"/>
  <c r="H22" i="134"/>
  <c r="L22" i="134" s="1"/>
  <c r="P22" i="134" s="1"/>
  <c r="H10" i="134"/>
  <c r="L10" i="134" s="1"/>
  <c r="P10" i="134" s="1"/>
  <c r="H34" i="134"/>
  <c r="L34" i="134" s="1"/>
  <c r="P34" i="134" s="1"/>
  <c r="H28" i="134"/>
  <c r="L28" i="134" s="1"/>
  <c r="P28" i="134" s="1"/>
  <c r="H26" i="134"/>
  <c r="L26" i="134" s="1"/>
  <c r="P26" i="134" s="1"/>
  <c r="H31" i="134"/>
  <c r="L31" i="134" s="1"/>
  <c r="P31" i="134" s="1"/>
  <c r="H35" i="134"/>
  <c r="L35" i="134" s="1"/>
  <c r="P35" i="134" s="1"/>
  <c r="H16" i="134"/>
  <c r="L16" i="134" s="1"/>
  <c r="P16" i="134" s="1"/>
  <c r="H27" i="134"/>
  <c r="L27" i="134" s="1"/>
  <c r="P27" i="134" s="1"/>
  <c r="H12" i="134"/>
  <c r="L12" i="134" s="1"/>
  <c r="P12" i="134" s="1"/>
  <c r="H30" i="134"/>
  <c r="L30" i="134" s="1"/>
  <c r="P30" i="134" s="1"/>
  <c r="H19" i="134"/>
  <c r="L19" i="134" s="1"/>
  <c r="P19" i="134" s="1"/>
  <c r="H23" i="134"/>
  <c r="L23" i="134" s="1"/>
  <c r="P23" i="134" s="1"/>
  <c r="H21" i="134"/>
  <c r="L21" i="134" s="1"/>
  <c r="P21" i="134" s="1"/>
  <c r="H33" i="134"/>
  <c r="L33" i="134" s="1"/>
  <c r="P33" i="134" s="1"/>
  <c r="H18" i="134"/>
  <c r="L18" i="134" s="1"/>
  <c r="P18" i="134" s="1"/>
  <c r="H29" i="134"/>
  <c r="L29" i="134" s="1"/>
  <c r="P29" i="134" s="1"/>
  <c r="H14" i="134"/>
  <c r="L14" i="134" s="1"/>
  <c r="P14" i="134" s="1"/>
  <c r="H20" i="134"/>
  <c r="L20" i="134" s="1"/>
  <c r="P20" i="134" s="1"/>
  <c r="H17" i="134"/>
  <c r="L17" i="134" s="1"/>
  <c r="P17" i="134" s="1"/>
  <c r="H11" i="134"/>
  <c r="L11" i="134" s="1"/>
  <c r="P11" i="134" s="1"/>
  <c r="H25" i="134"/>
  <c r="L25" i="134" s="1"/>
  <c r="P25" i="134" s="1"/>
  <c r="I28" i="112"/>
  <c r="O28" i="112" s="1"/>
  <c r="J11" i="112"/>
  <c r="P29" i="112"/>
  <c r="Q29" i="112" s="1"/>
  <c r="Q13" i="112"/>
  <c r="L13" i="114"/>
  <c r="I29" i="114"/>
  <c r="J13" i="114"/>
  <c r="J19" i="114"/>
  <c r="L19" i="114"/>
  <c r="N19" i="114" s="1"/>
  <c r="G21" i="136"/>
  <c r="H21" i="136" s="1"/>
  <c r="I21" i="136" s="1"/>
  <c r="Q16" i="112"/>
  <c r="P32" i="112"/>
  <c r="Q32" i="112" s="1"/>
  <c r="J21" i="114"/>
  <c r="L21" i="114"/>
  <c r="N21" i="114" s="1"/>
  <c r="G32" i="136"/>
  <c r="H32" i="136" s="1"/>
  <c r="I32" i="136" s="1"/>
  <c r="G33" i="136"/>
  <c r="H33" i="136" s="1"/>
  <c r="I33" i="136" s="1"/>
  <c r="G20" i="136"/>
  <c r="H20" i="136" s="1"/>
  <c r="I20" i="136" s="1"/>
  <c r="L20" i="114"/>
  <c r="N20" i="114" s="1"/>
  <c r="J20" i="114"/>
  <c r="L18" i="114"/>
  <c r="N18" i="114" s="1"/>
  <c r="J18" i="114"/>
  <c r="J28" i="112" l="1"/>
  <c r="J29" i="114"/>
  <c r="L29" i="114"/>
  <c r="N29" i="114" s="1"/>
  <c r="P11" i="112"/>
  <c r="I11" i="114"/>
  <c r="J30" i="114"/>
  <c r="L30" i="114"/>
  <c r="N30" i="114" s="1"/>
  <c r="N16" i="114"/>
  <c r="N13" i="114"/>
  <c r="J31" i="114"/>
  <c r="L31" i="114"/>
  <c r="N31" i="114" s="1"/>
  <c r="H17" i="136"/>
  <c r="G23" i="136"/>
  <c r="H31" i="136"/>
  <c r="G37" i="136"/>
  <c r="N14" i="114"/>
  <c r="L32" i="114"/>
  <c r="N32" i="114" s="1"/>
  <c r="J32" i="114"/>
  <c r="P28" i="112" l="1"/>
  <c r="Q11" i="112"/>
  <c r="I31" i="136"/>
  <c r="H37" i="136"/>
  <c r="G40" i="136"/>
  <c r="I17" i="136"/>
  <c r="H23" i="136"/>
  <c r="I28" i="114"/>
  <c r="L11" i="114"/>
  <c r="J11" i="114"/>
  <c r="N11" i="114" l="1"/>
  <c r="I17" i="112"/>
  <c r="O17" i="112" s="1"/>
  <c r="I23" i="136"/>
  <c r="H40" i="136"/>
  <c r="I40" i="136" s="1"/>
  <c r="J28" i="114"/>
  <c r="L28" i="114"/>
  <c r="I37" i="136"/>
  <c r="I22" i="112"/>
  <c r="O22" i="112" s="1"/>
  <c r="Q28" i="112"/>
  <c r="N28" i="114" l="1"/>
  <c r="J22" i="112"/>
  <c r="I33" i="112"/>
  <c r="O33" i="112" s="1"/>
  <c r="J17" i="112"/>
  <c r="I24" i="112"/>
  <c r="J24" i="112" s="1"/>
  <c r="J33" i="112" l="1"/>
  <c r="O35" i="112"/>
  <c r="O41" i="112" s="1"/>
  <c r="I35" i="112"/>
  <c r="I22" i="114"/>
  <c r="P22" i="112"/>
  <c r="Q22" i="112" s="1"/>
  <c r="P17" i="112"/>
  <c r="I17" i="114"/>
  <c r="O24" i="112"/>
  <c r="J35" i="112" l="1"/>
  <c r="J41" i="112" s="1"/>
  <c r="I41" i="112"/>
  <c r="L22" i="114"/>
  <c r="N22" i="114" s="1"/>
  <c r="J22" i="114"/>
  <c r="J17" i="114"/>
  <c r="I33" i="114"/>
  <c r="L17" i="114"/>
  <c r="I24" i="114"/>
  <c r="Q17" i="112"/>
  <c r="P33" i="112"/>
  <c r="P24" i="112"/>
  <c r="L33" i="114" l="1"/>
  <c r="J33" i="114"/>
  <c r="I35" i="114"/>
  <c r="J24" i="114"/>
  <c r="L24" i="114"/>
  <c r="Q33" i="112"/>
  <c r="P35" i="112"/>
  <c r="Q24" i="112"/>
  <c r="N17" i="114"/>
  <c r="Q35" i="112" l="1"/>
  <c r="Q41" i="112" s="1"/>
  <c r="P41" i="112"/>
  <c r="N24" i="114"/>
  <c r="N33" i="114"/>
  <c r="L35" i="114"/>
  <c r="N35" i="114" s="1"/>
  <c r="J35" i="114"/>
</calcChain>
</file>

<file path=xl/sharedStrings.xml><?xml version="1.0" encoding="utf-8"?>
<sst xmlns="http://schemas.openxmlformats.org/spreadsheetml/2006/main" count="1943" uniqueCount="403">
  <si>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</si>
  <si>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</si>
  <si>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</si>
  <si>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</si>
  <si>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</si>
  <si>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</si>
  <si>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</si>
  <si>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</si>
  <si>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</si>
  <si>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</si>
  <si>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</si>
  <si>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</si>
  <si>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</si>
  <si>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</si>
  <si>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</si>
  <si>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</si>
  <si>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</si>
  <si>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</si>
  <si>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</si>
  <si>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</si>
  <si>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</si>
  <si>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</si>
  <si>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</si>
  <si>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</si>
  <si>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</si>
  <si>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</si>
  <si>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</si>
  <si>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</si>
  <si>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</si>
  <si>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</si>
  <si>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</si>
  <si>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</si>
  <si>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</si>
  <si>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</si>
  <si>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</si>
  <si>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</si>
  <si>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</si>
  <si>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</si>
  <si>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</si>
  <si>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</si>
  <si>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</si>
  <si>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</si>
  <si>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</si>
  <si>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</si>
  <si>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</si>
  <si>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</si>
  <si>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</si>
  <si>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</si>
  <si>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Check</t>
  </si>
  <si>
    <t>Sched 120</t>
  </si>
  <si>
    <t>K</t>
  </si>
  <si>
    <t>Sch 142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</si>
  <si>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</si>
  <si>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</si>
  <si>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</si>
  <si>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</si>
  <si>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</si>
  <si>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</si>
  <si>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</si>
  <si>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</si>
  <si>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</si>
  <si>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Charge</t>
  </si>
  <si>
    <t>First 25,000 therms</t>
  </si>
  <si>
    <t>Next 25,000 therms</t>
  </si>
  <si>
    <t>Over 50,000 therms</t>
  </si>
  <si>
    <t>First 1,000 therms</t>
  </si>
  <si>
    <t>Over 1,000 therms</t>
  </si>
  <si>
    <t>Limited Interruptible - Trans.</t>
  </si>
  <si>
    <t>Next 50,000 therms</t>
  </si>
  <si>
    <t>Next 100,000 therms</t>
  </si>
  <si>
    <t>Next 300,000 therms</t>
  </si>
  <si>
    <t>Over 500,000 therms</t>
  </si>
  <si>
    <t>Firm Sales</t>
  </si>
  <si>
    <t>Interruptible Sales</t>
  </si>
  <si>
    <t>Total Sales</t>
  </si>
  <si>
    <t>Transport</t>
  </si>
  <si>
    <t>check</t>
  </si>
  <si>
    <t>Sched 149</t>
  </si>
  <si>
    <t>H</t>
  </si>
  <si>
    <t>L</t>
  </si>
  <si>
    <t>Sched 129</t>
  </si>
  <si>
    <t>Customer Class</t>
  </si>
  <si>
    <t>Transportation</t>
  </si>
  <si>
    <t>Schedule Number</t>
  </si>
  <si>
    <t>First 900 therms</t>
  </si>
  <si>
    <t>Next 4,100 therms</t>
  </si>
  <si>
    <t>All over 5,000 therms</t>
  </si>
  <si>
    <t>All over 50,000 therms</t>
  </si>
  <si>
    <t>All over 1,000 therms</t>
  </si>
  <si>
    <t>All over 500,000 therms</t>
  </si>
  <si>
    <t xml:space="preserve">First 900 therms or less  </t>
  </si>
  <si>
    <t>41G</t>
  </si>
  <si>
    <t>85G</t>
  </si>
  <si>
    <t>86G</t>
  </si>
  <si>
    <t>87G</t>
  </si>
  <si>
    <t>12 MO Total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</si>
  <si>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</si>
  <si>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</si>
  <si>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</si>
  <si>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</si>
  <si>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</si>
  <si>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</si>
  <si>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</si>
  <si>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</si>
  <si>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</si>
  <si>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</si>
  <si>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</si>
  <si>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</si>
  <si>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</si>
  <si>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Demand</t>
  </si>
  <si>
    <t>Commercial &amp; industrial - Trans.</t>
  </si>
  <si>
    <t>Description</t>
  </si>
  <si>
    <t>Schedule 23 Residential</t>
  </si>
  <si>
    <t>Schedule 16 Gas Lights</t>
  </si>
  <si>
    <t>Schedule 31 Commercial &amp; Industrial - Sales</t>
  </si>
  <si>
    <t>Schedule 41 Large Volume High Load Factor - Sales</t>
  </si>
  <si>
    <t>Schedule 85 Interruptible - Sales</t>
  </si>
  <si>
    <t>Schedule 86 Limited Interruptible - Sales</t>
  </si>
  <si>
    <t>Schedule 87 Non-exclusive Interruptible - Sales</t>
  </si>
  <si>
    <t>Units</t>
  </si>
  <si>
    <t>Delivery Charge</t>
  </si>
  <si>
    <t>Therms</t>
  </si>
  <si>
    <t>Revenue Change</t>
  </si>
  <si>
    <t xml:space="preserve">Rate </t>
  </si>
  <si>
    <t>31, 31T</t>
  </si>
  <si>
    <t>41, 41T</t>
  </si>
  <si>
    <t>86, 86T</t>
  </si>
  <si>
    <t>87, 87T</t>
  </si>
  <si>
    <t>85, 85T</t>
  </si>
  <si>
    <t>I</t>
  </si>
  <si>
    <t>M</t>
  </si>
  <si>
    <t>Proposed Rates</t>
  </si>
  <si>
    <t>F</t>
  </si>
  <si>
    <t>G</t>
  </si>
  <si>
    <t>Sched 142</t>
  </si>
  <si>
    <t>Sched 141X</t>
  </si>
  <si>
    <t>Total Forecasted</t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</si>
  <si>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</si>
  <si>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 xml:space="preserve">SCH 106 </t>
  </si>
  <si>
    <t>SCH 106</t>
  </si>
  <si>
    <t>(Tracker)</t>
  </si>
  <si>
    <t>Combined</t>
  </si>
  <si>
    <t>SCH 106-A</t>
  </si>
  <si>
    <t>SCH 106-B</t>
  </si>
  <si>
    <t xml:space="preserve">(Supp) </t>
  </si>
  <si>
    <t>0 to 900 therms</t>
  </si>
  <si>
    <t>Gas Schedule 101</t>
  </si>
  <si>
    <t>Purchased Gas Adjustment</t>
  </si>
  <si>
    <t>Purchased Gas Adjustment - Deferred Account Adjustment</t>
  </si>
  <si>
    <t>Gas Schedule 120</t>
  </si>
  <si>
    <t>Conservation Program Tracker</t>
  </si>
  <si>
    <t>Gas Schedule 129</t>
  </si>
  <si>
    <t>Low Income Program</t>
  </si>
  <si>
    <t>Gas Schedule 140</t>
  </si>
  <si>
    <t>Property Tax Tracker</t>
  </si>
  <si>
    <t>Gas Schedule 141X</t>
  </si>
  <si>
    <t>Gas Schedule 142</t>
  </si>
  <si>
    <t>Revenue Decoupling Adjustment Mechanism - Decoupling Rates</t>
  </si>
  <si>
    <t>Gas Schedule 149</t>
  </si>
  <si>
    <t>Gas Schedule 106</t>
  </si>
  <si>
    <t>By Customer Class:</t>
  </si>
  <si>
    <t>Current Rates (1)</t>
  </si>
  <si>
    <t>Average Rate</t>
  </si>
  <si>
    <t>Per Therm</t>
  </si>
  <si>
    <t>% Change</t>
  </si>
  <si>
    <t>E = D/C</t>
  </si>
  <si>
    <t>H = G/F</t>
  </si>
  <si>
    <t>I = (G-D)/D</t>
  </si>
  <si>
    <t>Gas Schedule 141Z</t>
  </si>
  <si>
    <t>Protected Excess Deferred Income Taxes (EDIT)</t>
  </si>
  <si>
    <t>Unprotected Excess Deferred Income Taxes (EDIT)</t>
  </si>
  <si>
    <t>Sched 141Z</t>
  </si>
  <si>
    <t>Rates Effective October 1, 2020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</si>
  <si>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</si>
  <si>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Rates Effective May 1, 2021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</si>
  <si>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</si>
  <si>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</si>
  <si>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</si>
  <si>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</si>
  <si>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</si>
  <si>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</si>
  <si>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</si>
  <si>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</si>
  <si>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</si>
  <si>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23,16,53</t>
  </si>
  <si>
    <t>Source: F2021 Load Forecast 7-22-21</t>
  </si>
  <si>
    <t>Gas Forecasted Delivered Volume (Therms)</t>
  </si>
  <si>
    <t>Sch. 149</t>
  </si>
  <si>
    <t xml:space="preserve">Revenue at </t>
  </si>
  <si>
    <t>Revenue at</t>
  </si>
  <si>
    <t xml:space="preserve"> % Change</t>
  </si>
  <si>
    <t>G = F/C</t>
  </si>
  <si>
    <t>I = H/C</t>
  </si>
  <si>
    <t>Total Rate Change</t>
  </si>
  <si>
    <t>Rates Effective October 1, 2021</t>
  </si>
  <si>
    <t>2022 Gas General Rate Case Filing</t>
  </si>
  <si>
    <t>(1) Rates effective November 1, 2021</t>
  </si>
  <si>
    <t>Base Rate</t>
  </si>
  <si>
    <t>Sch. 141R</t>
  </si>
  <si>
    <t>Rate Plan</t>
  </si>
  <si>
    <t>Sch. 141N</t>
  </si>
  <si>
    <t>Rates Effective November 1, 2021</t>
  </si>
  <si>
    <t>Cost Recovery Mechanism (CRM)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</si>
  <si>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2021.</t>
    </r>
  </si>
  <si>
    <t>Proposed Rates Effective January 1, 2023</t>
  </si>
  <si>
    <t>Rate Change Impacts by Rate Schedule of Proposed Rate Year #1 Rates</t>
  </si>
  <si>
    <t>Sch. 141X</t>
  </si>
  <si>
    <t>EDIT</t>
  </si>
  <si>
    <t>CRM</t>
  </si>
  <si>
    <t>M = L/C</t>
  </si>
  <si>
    <t>Jan. 2023 -</t>
  </si>
  <si>
    <t>Dec. 2023</t>
  </si>
  <si>
    <t>12ME Dec. 2023</t>
  </si>
  <si>
    <t>Rate Change Impacts by Rate Schedule of Proposed Rate Year #2 Rates</t>
  </si>
  <si>
    <t>Proposed Rates Effective January 1, 2024</t>
  </si>
  <si>
    <t>H = C+D+F</t>
  </si>
  <si>
    <t>I = H-C</t>
  </si>
  <si>
    <t>J = I/C</t>
  </si>
  <si>
    <t>Rate Change Impacts by Rate Schedule of Proposed Rate Year #3 Rates</t>
  </si>
  <si>
    <t>Proposed Rates Effective January 1, 2025</t>
  </si>
  <si>
    <t>12ME Dec. 2024</t>
  </si>
  <si>
    <t>Average Rate Per Therm Impacts by Rate Schedule of Proposed Rate Year #1 Rates</t>
  </si>
  <si>
    <t>Average Rate Per Therm Impacts by Rate Schedule of Proposed Rate Year #3 Rates</t>
  </si>
  <si>
    <t>Average Rate Per Therm Impacts by Rate Schedule of Proposed Rate Year #2 Rates</t>
  </si>
  <si>
    <t>Base Rate Change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</si>
  <si>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2021</t>
    </r>
  </si>
  <si>
    <t>Delivery (Sch. 23)</t>
  </si>
  <si>
    <t>Low income (Sch. 129)</t>
  </si>
  <si>
    <t>Property Tax (Sch. 140)</t>
  </si>
  <si>
    <t>Non-Refund Rate Plan (Sch. 141N)</t>
  </si>
  <si>
    <t>Refundable Rate Plan (Sch. 141R)</t>
  </si>
  <si>
    <t>EDIT (Sch. 141X)</t>
  </si>
  <si>
    <t>Unprotected EDIT (Sch. 141Z)</t>
  </si>
  <si>
    <t>Decoupling (Sch. 142)</t>
  </si>
  <si>
    <t>CRM (Sch. 149)</t>
  </si>
  <si>
    <t>Conservation (Sch. 120)</t>
  </si>
  <si>
    <t>Gas Cost (Sch. 101)</t>
  </si>
  <si>
    <t>Gas Cost Deferral Amort. (Sch. 106)</t>
  </si>
  <si>
    <t>Basic Charge (Sch. 23)</t>
  </si>
  <si>
    <t>Sch. 141N Rate Change</t>
  </si>
  <si>
    <t>Sch. 141R Rate Change</t>
  </si>
  <si>
    <t>Sch. 141X Rate Change</t>
  </si>
  <si>
    <t>Sch. 149 Rate Change</t>
  </si>
  <si>
    <t>E</t>
  </si>
  <si>
    <t>N = sum(D:M)</t>
  </si>
  <si>
    <t>%</t>
  </si>
  <si>
    <t xml:space="preserve"> </t>
  </si>
  <si>
    <t>Customers</t>
  </si>
  <si>
    <t>*</t>
  </si>
  <si>
    <t>* Average Residential Customer (64 Therms)</t>
  </si>
  <si>
    <r>
      <t xml:space="preserve">Bill </t>
    </r>
    <r>
      <rPr>
        <vertAlign val="superscript"/>
        <sz val="11"/>
        <rFont val="Calibri"/>
        <family val="2"/>
        <scheme val="minor"/>
      </rPr>
      <t>2</t>
    </r>
  </si>
  <si>
    <t>&gt;250</t>
  </si>
  <si>
    <t>12ME Dec. 2025</t>
  </si>
  <si>
    <t>Proposed RY#1 Rates</t>
  </si>
  <si>
    <t>Proposed RY#2 Rates</t>
  </si>
  <si>
    <t>January 2023 - December 2023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</si>
  <si>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 forma base revenue for the 12 months ending Dec 31, 2023.</t>
    </r>
  </si>
  <si>
    <t>Development of Total Revenue by Rate Schedule for Rate Impacts</t>
  </si>
  <si>
    <t>Rates Effective January 1, 2023</t>
  </si>
  <si>
    <t>RY#1 Rates (1)</t>
  </si>
  <si>
    <t>(1) Proposed Rates effective January 1, 2023</t>
  </si>
  <si>
    <t>Natural Gas Operations</t>
  </si>
  <si>
    <t>Total Therms</t>
  </si>
  <si>
    <t>Forecasted Therms by Rate Block</t>
  </si>
  <si>
    <t>Forecasted Therms by Rate Block Percent</t>
  </si>
  <si>
    <t>Forecasted Billing Determinants</t>
  </si>
  <si>
    <t>Demand Therms:</t>
  </si>
  <si>
    <t>Bills:</t>
  </si>
  <si>
    <t>Base Sched</t>
  </si>
  <si>
    <t>Jan. 2024 -</t>
  </si>
  <si>
    <t>Dec. 2024</t>
  </si>
  <si>
    <t>January 2024 - December 2024</t>
  </si>
  <si>
    <t>Sched 141N</t>
  </si>
  <si>
    <t>Sched 141R</t>
  </si>
  <si>
    <t>12-Months Ending December 2023</t>
  </si>
  <si>
    <t>12-Months Ending December 2024</t>
  </si>
  <si>
    <t>RY#2 Rates (1)</t>
  </si>
  <si>
    <t>(1) Proposed Rates effective January 1, 2024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</si>
  <si>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Proposed Rates for Schedule 23 customers in effect January 1, 2023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</si>
  <si>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Proposed Rates for Schedule 23 customers in effect January 1, 2024</t>
    </r>
  </si>
  <si>
    <t>12 ME Dec. 2024</t>
  </si>
  <si>
    <t>January 2025 - December 2025</t>
  </si>
  <si>
    <t>12-Months Ending December 2025</t>
  </si>
  <si>
    <t>Jan. 2025 -</t>
  </si>
  <si>
    <t>Dec. 2025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</si>
  <si>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proposed rates effective January 1, 2023.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</si>
  <si>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proposed rates effective January 1, 2024.</t>
    </r>
  </si>
  <si>
    <t>Count of Gas Residential Installations by Therm Block</t>
  </si>
  <si>
    <t>July 2020 to June 2021</t>
  </si>
  <si>
    <t>Schedule 23</t>
  </si>
  <si>
    <t>Therm Block</t>
  </si>
  <si>
    <t>Annual % of Total</t>
  </si>
  <si>
    <t>Annual Total</t>
  </si>
  <si>
    <t>0-10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</si>
  <si>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</si>
  <si>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</si>
  <si>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</si>
  <si>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</si>
  <si>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</si>
  <si>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</si>
  <si>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</si>
  <si>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</si>
  <si>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</si>
  <si>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</si>
  <si>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</si>
  <si>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</si>
  <si>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</si>
  <si>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</si>
  <si>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</si>
  <si>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</si>
  <si>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</si>
  <si>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</si>
  <si>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</si>
  <si>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200-210</t>
  </si>
  <si>
    <t>210-220</t>
  </si>
  <si>
    <t>220-230</t>
  </si>
  <si>
    <t>230-240</t>
  </si>
  <si>
    <t>240-250</t>
  </si>
  <si>
    <t>Grand Total</t>
  </si>
  <si>
    <r>
      <t xml:space="preserve">   </t>
    </r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Rates Effective 11/1/2021</t>
    </r>
  </si>
  <si>
    <t>Effective</t>
  </si>
  <si>
    <t>Jan. 1, 2023</t>
  </si>
  <si>
    <t>Jan. 1, 2024</t>
  </si>
  <si>
    <t>Jan. 1, 2025</t>
  </si>
  <si>
    <t>Change in Bill $</t>
  </si>
  <si>
    <t>Change in Bill %</t>
  </si>
  <si>
    <t>Bill</t>
  </si>
  <si>
    <r>
      <t>Bill</t>
    </r>
    <r>
      <rPr>
        <sz val="11"/>
        <color theme="1"/>
        <rFont val="Calibri"/>
        <family val="2"/>
        <scheme val="minor"/>
      </rPr>
      <t/>
    </r>
  </si>
  <si>
    <r>
      <t xml:space="preserve">  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Includes Rider &amp; Tracker Schedules 101, 106, 120, 129, 140, 141N, 141R, 141X, 141Z, 142, 149</t>
    </r>
  </si>
  <si>
    <r>
      <t xml:space="preserve">Monthly Bill Amounts $ </t>
    </r>
    <r>
      <rPr>
        <vertAlign val="superscript"/>
        <sz val="11"/>
        <rFont val="Calibri"/>
        <family val="2"/>
        <scheme val="minor"/>
      </rPr>
      <t>1</t>
    </r>
  </si>
  <si>
    <t>Sch. 23 Residential Monthly Billing Comparison of Proposed Rate Plan Rates</t>
  </si>
  <si>
    <t>Typical Sch. 23 Residential Bill Impacts of Proposed Rate Year #1 Rates</t>
  </si>
  <si>
    <t>Typical Sch. 23 Residential Bill Impacts of Proposed Rate Year #2 Rates</t>
  </si>
  <si>
    <t>Typical Sch. 23 Residential Bill Impacts of Proposed Rate Year #3 Rates</t>
  </si>
  <si>
    <t>Gas Schedule 141N</t>
  </si>
  <si>
    <t>Non-Refundable Rate Plan Rates</t>
  </si>
  <si>
    <t>Gas Schedule 141R</t>
  </si>
  <si>
    <t>Refundable Rate Plan Rates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</si>
  <si>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Forecasted base schedule, Schedule 141N &amp; Schedule 141R revenues at proposed rates effective January 1, 2024.</t>
    </r>
  </si>
  <si>
    <t>GRC</t>
  </si>
  <si>
    <t>K = J/C</t>
  </si>
  <si>
    <t>O = N/C</t>
  </si>
  <si>
    <t>GRC Revenue Changes</t>
  </si>
  <si>
    <t>Other Revenue Changes</t>
  </si>
  <si>
    <t>Index</t>
  </si>
  <si>
    <t>Work Sheet</t>
  </si>
  <si>
    <t>Category</t>
  </si>
  <si>
    <t>Work Papers</t>
  </si>
  <si>
    <t>Data</t>
  </si>
  <si>
    <t>Dependent (Linked) Work Papers</t>
  </si>
  <si>
    <t>JDT-5-GAS-RATE-SPREAD-DESIGN</t>
  </si>
  <si>
    <t>Precedent (Linked) Work Papers</t>
  </si>
  <si>
    <t>JDT-3-GAS-NORMALIZED-REVENUE</t>
  </si>
  <si>
    <t>Gas Customer Bill Impacts Work Paper</t>
  </si>
  <si>
    <t>Rate Impacts_RY#1</t>
  </si>
  <si>
    <t>Rate Impacts_RY#2</t>
  </si>
  <si>
    <t>Rate Impacts_RY#3</t>
  </si>
  <si>
    <t>Res Bill Summary</t>
  </si>
  <si>
    <t>Typical Res Bill_RY#1</t>
  </si>
  <si>
    <t>Typical Res Bill_RY#2</t>
  </si>
  <si>
    <t>Typical Res Bill_RY#3</t>
  </si>
  <si>
    <t>Exhibit</t>
  </si>
  <si>
    <t>Average Per Therm Impacts</t>
  </si>
  <si>
    <t>Revenue Calculations</t>
  </si>
  <si>
    <t>Rider Revenue Calculations</t>
  </si>
  <si>
    <t>Summary of rate year #1 rate change impacts by rate schedule</t>
  </si>
  <si>
    <t>Summary of rate year #2 rate change impacts by rate schedule</t>
  </si>
  <si>
    <t>Residential bill impacts by usage level for rate years 1, 2 &amp; 3</t>
  </si>
  <si>
    <t>Rate year #1 bill impact for a typical residential customer using 64 therms</t>
  </si>
  <si>
    <t>Rate year #2 bill impact for a typical residential customer using 64 therms</t>
  </si>
  <si>
    <t>Rate year #3 bill impact for a typical residential customer using 64 therms</t>
  </si>
  <si>
    <t>Average per them impacts by rate schedule</t>
  </si>
  <si>
    <t>Revenue calculations that support rate impacts</t>
  </si>
  <si>
    <t>Rider revenue calculations that support rate impacts</t>
  </si>
  <si>
    <t>Other data supporting rate impacts</t>
  </si>
  <si>
    <t>SEF-9G-GAS-REV-REQ-MODEL</t>
  </si>
  <si>
    <t>First 25,000 Therms</t>
  </si>
  <si>
    <t>Next 25,000 Therms</t>
  </si>
  <si>
    <t>Next 50,000 Therms</t>
  </si>
  <si>
    <t>Note 1:  Schedule 141X Rates are effective October 1, 2021 to December 31, 2022 and will go to zero on January 1, 2023.</t>
  </si>
  <si>
    <t>Sch. 141D</t>
  </si>
  <si>
    <t>Pipeline</t>
  </si>
  <si>
    <t>N = D+F+H+J+L</t>
  </si>
  <si>
    <t>P</t>
  </si>
  <si>
    <t>Q = P/C</t>
  </si>
  <si>
    <t>R = C+N+P</t>
  </si>
  <si>
    <t>S = R-C</t>
  </si>
  <si>
    <t>T = S/C</t>
  </si>
  <si>
    <t>Note:  Amounts in bold and italics are different from the October 18, 2022 PSE Response to WUTC Bench Request 002.</t>
  </si>
  <si>
    <t>Gas Schedule 141D</t>
  </si>
  <si>
    <t>Pipeline Provisional Recovery Adjustment</t>
  </si>
  <si>
    <t>Sched 141D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</si>
  <si>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Forecasted base schedule, Schedule 141N, Schedule 141R &amp; Schedule 141D revenues at proposed rates effective January 1, 2023.</t>
    </r>
  </si>
  <si>
    <r>
      <t>Revenue</t>
    </r>
    <r>
      <rPr>
        <b/>
        <i/>
        <vertAlign val="superscript"/>
        <sz val="11"/>
        <color rgb="FF0000FF"/>
        <rFont val="Calibri"/>
        <family val="2"/>
      </rPr>
      <t xml:space="preserve"> (1)</t>
    </r>
  </si>
  <si>
    <t>N</t>
  </si>
  <si>
    <t>O = sum(D:N)</t>
  </si>
  <si>
    <t>J = C+D+F+H</t>
  </si>
  <si>
    <t>K = J-C</t>
  </si>
  <si>
    <t>L = K/C</t>
  </si>
  <si>
    <t>Pipeline Provisional (Sch. 141D)</t>
  </si>
  <si>
    <t>Sch. 141D Rate Change</t>
  </si>
  <si>
    <t>PSE's 2022 GRC Compliance Filing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</si>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</sst>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[$-409]mmm\-yy;@"/>
    <numFmt numFmtId="171" formatCode="_(&quot;$&quot;* #,##0.00_);_(&quot;$&quot;* \(#,##0.00\);_(&quot;$&quot;* &quot;-&quot;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2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name val="Calibri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rgb="FF008080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b/>
      <i/>
      <sz val="11"/>
      <color rgb="FF0000FF"/>
      <name val="Calibri"/>
      <family val="2"/>
    </font>
    <font>
      <b/>
      <i/>
      <vertAlign val="superscript"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CECEC"/>
      </left>
      <right/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rgb="FFECECEC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5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 applyFill="1"/>
    <xf numFmtId="42" fontId="0" fillId="0" borderId="0" xfId="0" applyNumberForma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/>
    <xf numFmtId="3" fontId="0" fillId="0" borderId="0" xfId="0" applyNumberFormat="1"/>
    <xf numFmtId="0" fontId="8" fillId="0" borderId="0" xfId="0" applyFont="1" applyAlignment="1">
      <alignment horizontal="left"/>
    </xf>
    <xf numFmtId="169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textRotation="18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169" fontId="7" fillId="0" borderId="2" xfId="0" applyNumberFormat="1" applyFont="1" applyFill="1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/>
    <xf numFmtId="0" fontId="9" fillId="0" borderId="0" xfId="0" applyFont="1"/>
    <xf numFmtId="168" fontId="9" fillId="0" borderId="0" xfId="0" applyNumberFormat="1" applyFont="1"/>
    <xf numFmtId="3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3" fontId="9" fillId="0" borderId="2" xfId="0" applyNumberFormat="1" applyFont="1" applyBorder="1"/>
    <xf numFmtId="0" fontId="13" fillId="0" borderId="0" xfId="0" applyFont="1" applyAlignment="1">
      <alignment horizontal="left"/>
    </xf>
    <xf numFmtId="168" fontId="13" fillId="0" borderId="0" xfId="0" applyNumberFormat="1" applyFont="1"/>
    <xf numFmtId="170" fontId="0" fillId="0" borderId="1" xfId="0" applyNumberFormat="1" applyBorder="1"/>
    <xf numFmtId="169" fontId="0" fillId="0" borderId="1" xfId="0" applyNumberFormat="1" applyFont="1" applyBorder="1"/>
    <xf numFmtId="168" fontId="6" fillId="0" borderId="0" xfId="0" applyNumberFormat="1" applyFont="1" applyAlignment="1">
      <alignment horizontal="left"/>
    </xf>
    <xf numFmtId="17" fontId="6" fillId="0" borderId="0" xfId="0" applyNumberFormat="1" applyFont="1"/>
    <xf numFmtId="43" fontId="11" fillId="0" borderId="0" xfId="0" applyNumberFormat="1" applyFont="1"/>
    <xf numFmtId="165" fontId="2" fillId="0" borderId="1" xfId="0" applyNumberFormat="1" applyFont="1" applyFill="1" applyBorder="1"/>
    <xf numFmtId="43" fontId="6" fillId="0" borderId="0" xfId="0" applyNumberFormat="1" applyFont="1"/>
    <xf numFmtId="0" fontId="0" fillId="0" borderId="0" xfId="0" applyFill="1" applyBorder="1" applyAlignment="1">
      <alignment horizontal="left"/>
    </xf>
    <xf numFmtId="168" fontId="0" fillId="0" borderId="0" xfId="0" applyNumberFormat="1"/>
    <xf numFmtId="0" fontId="14" fillId="0" borderId="0" xfId="0" applyFont="1" applyFill="1"/>
    <xf numFmtId="168" fontId="0" fillId="0" borderId="0" xfId="0" applyNumberFormat="1" applyFont="1"/>
    <xf numFmtId="42" fontId="3" fillId="0" borderId="0" xfId="0" applyNumberFormat="1" applyFont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 applyFont="1" applyBorder="1"/>
    <xf numFmtId="169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14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4" fillId="0" borderId="0" xfId="0" applyFont="1" applyFill="1" applyBorder="1"/>
    <xf numFmtId="3" fontId="3" fillId="0" borderId="0" xfId="0" applyNumberFormat="1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Border="1"/>
    <xf numFmtId="169" fontId="4" fillId="0" borderId="0" xfId="0" applyNumberFormat="1" applyFont="1"/>
    <xf numFmtId="3" fontId="4" fillId="0" borderId="0" xfId="0" applyNumberFormat="1" applyFont="1"/>
    <xf numFmtId="169" fontId="7" fillId="0" borderId="0" xfId="0" applyNumberFormat="1" applyFont="1" applyFill="1" applyBorder="1"/>
    <xf numFmtId="168" fontId="6" fillId="0" borderId="0" xfId="0" applyNumberFormat="1" applyFont="1"/>
    <xf numFmtId="0" fontId="7" fillId="0" borderId="0" xfId="0" applyFont="1" applyAlignment="1">
      <alignment horizontal="left"/>
    </xf>
    <xf numFmtId="3" fontId="3" fillId="0" borderId="0" xfId="0" applyNumberFormat="1" applyFont="1" applyFill="1"/>
    <xf numFmtId="0" fontId="15" fillId="0" borderId="0" xfId="0" applyFont="1" applyAlignment="1">
      <alignment horizontal="left"/>
    </xf>
    <xf numFmtId="17" fontId="6" fillId="0" borderId="0" xfId="0" applyNumberFormat="1" applyFont="1" applyBorder="1" applyAlignment="1">
      <alignment horizontal="center"/>
    </xf>
    <xf numFmtId="42" fontId="2" fillId="0" borderId="0" xfId="0" applyNumberFormat="1" applyFont="1"/>
    <xf numFmtId="3" fontId="3" fillId="0" borderId="0" xfId="0" applyNumberFormat="1" applyFont="1" applyBorder="1"/>
    <xf numFmtId="0" fontId="2" fillId="0" borderId="0" xfId="0" applyFont="1"/>
    <xf numFmtId="0" fontId="17" fillId="0" borderId="0" xfId="0" applyFont="1"/>
    <xf numFmtId="17" fontId="0" fillId="0" borderId="13" xfId="0" applyNumberFormat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168" fontId="12" fillId="0" borderId="0" xfId="0" applyNumberFormat="1" applyFont="1"/>
    <xf numFmtId="168" fontId="3" fillId="0" borderId="0" xfId="0" applyNumberFormat="1" applyFont="1"/>
    <xf numFmtId="10" fontId="0" fillId="0" borderId="0" xfId="0" applyNumberFormat="1" applyFont="1"/>
    <xf numFmtId="10" fontId="0" fillId="0" borderId="2" xfId="0" applyNumberFormat="1" applyFont="1" applyBorder="1"/>
    <xf numFmtId="0" fontId="1" fillId="0" borderId="0" xfId="0" applyFont="1" applyBorder="1" applyAlignment="1">
      <alignment horizontal="left"/>
    </xf>
    <xf numFmtId="166" fontId="0" fillId="0" borderId="0" xfId="0" applyNumberFormat="1" applyFont="1"/>
    <xf numFmtId="0" fontId="2" fillId="0" borderId="0" xfId="0" applyFont="1" applyBorder="1" applyAlignment="1">
      <alignment horizontal="center"/>
    </xf>
    <xf numFmtId="10" fontId="4" fillId="0" borderId="0" xfId="0" applyNumberFormat="1" applyFont="1"/>
    <xf numFmtId="168" fontId="0" fillId="0" borderId="5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168" fontId="0" fillId="0" borderId="5" xfId="0" applyNumberFormat="1" applyBorder="1"/>
    <xf numFmtId="0" fontId="4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8" fontId="7" fillId="0" borderId="0" xfId="0" applyNumberFormat="1" applyFont="1" applyFill="1"/>
    <xf numFmtId="0" fontId="4" fillId="0" borderId="5" xfId="0" applyFont="1" applyBorder="1"/>
    <xf numFmtId="42" fontId="4" fillId="0" borderId="0" xfId="0" applyNumberFormat="1" applyFont="1" applyBorder="1"/>
    <xf numFmtId="0" fontId="3" fillId="0" borderId="0" xfId="0" applyFont="1"/>
    <xf numFmtId="164" fontId="0" fillId="0" borderId="0" xfId="0" applyNumberFormat="1" applyFont="1" applyBorder="1"/>
    <xf numFmtId="165" fontId="2" fillId="0" borderId="0" xfId="0" applyNumberFormat="1" applyFont="1"/>
    <xf numFmtId="44" fontId="2" fillId="0" borderId="0" xfId="0" applyNumberFormat="1" applyFont="1"/>
    <xf numFmtId="169" fontId="0" fillId="0" borderId="2" xfId="0" applyNumberFormat="1" applyFont="1" applyBorder="1"/>
    <xf numFmtId="169" fontId="0" fillId="0" borderId="0" xfId="0" applyNumberFormat="1" applyFont="1"/>
    <xf numFmtId="0" fontId="0" fillId="0" borderId="0" xfId="0" applyFont="1" applyBorder="1" applyAlignment="1">
      <alignment horizontal="center"/>
    </xf>
    <xf numFmtId="42" fontId="0" fillId="0" borderId="0" xfId="0" applyNumberFormat="1" applyFont="1"/>
    <xf numFmtId="0" fontId="0" fillId="0" borderId="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3" fontId="3" fillId="0" borderId="0" xfId="0" applyNumberFormat="1" applyFont="1"/>
    <xf numFmtId="165" fontId="2" fillId="0" borderId="8" xfId="0" applyNumberFormat="1" applyFont="1" applyFill="1" applyBorder="1"/>
    <xf numFmtId="165" fontId="4" fillId="0" borderId="10" xfId="0" applyNumberFormat="1" applyFont="1" applyFill="1" applyBorder="1"/>
    <xf numFmtId="42" fontId="4" fillId="0" borderId="0" xfId="0" applyNumberFormat="1" applyFont="1"/>
    <xf numFmtId="42" fontId="0" fillId="0" borderId="0" xfId="0" applyNumberFormat="1" applyFont="1"/>
    <xf numFmtId="164" fontId="0" fillId="0" borderId="0" xfId="0" applyNumberFormat="1" applyFont="1"/>
    <xf numFmtId="165" fontId="4" fillId="0" borderId="11" xfId="0" applyNumberFormat="1" applyFont="1" applyFill="1" applyBorder="1"/>
    <xf numFmtId="3" fontId="0" fillId="0" borderId="2" xfId="0" applyNumberFormat="1" applyFont="1" applyBorder="1"/>
    <xf numFmtId="165" fontId="0" fillId="0" borderId="0" xfId="0" applyNumberFormat="1" applyFont="1"/>
    <xf numFmtId="42" fontId="4" fillId="0" borderId="2" xfId="0" applyNumberFormat="1" applyFont="1" applyBorder="1"/>
    <xf numFmtId="42" fontId="0" fillId="0" borderId="2" xfId="0" applyNumberFormat="1" applyFont="1" applyBorder="1"/>
    <xf numFmtId="164" fontId="0" fillId="0" borderId="2" xfId="0" applyNumberFormat="1" applyFont="1" applyBorder="1"/>
    <xf numFmtId="165" fontId="2" fillId="0" borderId="9" xfId="0" applyNumberFormat="1" applyFont="1" applyFill="1" applyBorder="1"/>
    <xf numFmtId="165" fontId="2" fillId="0" borderId="10" xfId="0" applyNumberFormat="1" applyFont="1" applyFill="1" applyBorder="1"/>
    <xf numFmtId="165" fontId="2" fillId="0" borderId="11" xfId="0" applyNumberFormat="1" applyFont="1" applyFill="1" applyBorder="1"/>
    <xf numFmtId="0" fontId="14" fillId="0" borderId="0" xfId="0" applyFont="1"/>
    <xf numFmtId="166" fontId="3" fillId="0" borderId="0" xfId="0" applyNumberFormat="1" applyFont="1"/>
    <xf numFmtId="3" fontId="3" fillId="0" borderId="0" xfId="0" quotePrefix="1" applyNumberFormat="1" applyFont="1" applyFill="1"/>
    <xf numFmtId="3" fontId="19" fillId="0" borderId="0" xfId="0" applyNumberFormat="1" applyFont="1"/>
    <xf numFmtId="165" fontId="2" fillId="0" borderId="0" xfId="0" applyNumberFormat="1" applyFont="1" applyBorder="1"/>
    <xf numFmtId="3" fontId="4" fillId="0" borderId="0" xfId="0" applyNumberFormat="1" applyFont="1" applyFill="1"/>
    <xf numFmtId="3" fontId="19" fillId="0" borderId="0" xfId="0" applyNumberFormat="1" applyFont="1" applyFill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2" xfId="0" applyNumberFormat="1" applyFont="1" applyFill="1" applyBorder="1"/>
    <xf numFmtId="169" fontId="0" fillId="0" borderId="0" xfId="0" applyNumberFormat="1" applyFont="1"/>
    <xf numFmtId="164" fontId="4" fillId="0" borderId="0" xfId="0" applyNumberFormat="1" applyFont="1"/>
    <xf numFmtId="164" fontId="4" fillId="0" borderId="2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0" fillId="0" borderId="0" xfId="0" quotePrefix="1" applyFont="1" applyFill="1" applyAlignment="1">
      <alignment vertical="top"/>
    </xf>
    <xf numFmtId="42" fontId="17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8" fontId="4" fillId="0" borderId="0" xfId="0" applyNumberFormat="1" applyFont="1"/>
    <xf numFmtId="169" fontId="4" fillId="0" borderId="0" xfId="0" applyNumberFormat="1" applyFont="1" applyBorder="1"/>
    <xf numFmtId="0" fontId="4" fillId="0" borderId="0" xfId="0" quotePrefix="1" applyFont="1" applyAlignment="1">
      <alignment vertical="top"/>
    </xf>
    <xf numFmtId="0" fontId="22" fillId="0" borderId="0" xfId="0" applyFont="1"/>
    <xf numFmtId="0" fontId="22" fillId="0" borderId="0" xfId="0" applyFont="1" applyFill="1"/>
    <xf numFmtId="169" fontId="4" fillId="0" borderId="0" xfId="0" applyNumberFormat="1" applyFont="1"/>
    <xf numFmtId="41" fontId="4" fillId="0" borderId="0" xfId="0" quotePrefix="1" applyNumberFormat="1" applyFont="1" applyAlignment="1">
      <alignment horizontal="righ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0" fontId="0" fillId="0" borderId="5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9" fontId="0" fillId="0" borderId="0" xfId="0" applyNumberFormat="1" applyFont="1" applyAlignment="1">
      <alignment wrapText="1"/>
    </xf>
    <xf numFmtId="0" fontId="0" fillId="0" borderId="0" xfId="0" applyFont="1" applyFill="1"/>
    <xf numFmtId="3" fontId="0" fillId="0" borderId="2" xfId="0" applyNumberFormat="1" applyFont="1" applyBorder="1"/>
    <xf numFmtId="165" fontId="0" fillId="0" borderId="0" xfId="0" applyNumberFormat="1" applyFont="1"/>
    <xf numFmtId="42" fontId="0" fillId="0" borderId="2" xfId="0" applyNumberFormat="1" applyFont="1" applyBorder="1"/>
    <xf numFmtId="0" fontId="0" fillId="0" borderId="0" xfId="0" quotePrefix="1" applyFont="1"/>
    <xf numFmtId="166" fontId="4" fillId="0" borderId="0" xfId="0" applyNumberFormat="1" applyFont="1" applyFill="1"/>
    <xf numFmtId="166" fontId="4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0" fontId="20" fillId="0" borderId="0" xfId="0" applyFont="1"/>
    <xf numFmtId="0" fontId="14" fillId="0" borderId="0" xfId="0" applyFont="1" applyAlignment="1">
      <alignment horizontal="centerContinuous"/>
    </xf>
    <xf numFmtId="42" fontId="0" fillId="0" borderId="0" xfId="0" applyNumberFormat="1" applyFont="1" applyBorder="1"/>
    <xf numFmtId="0" fontId="0" fillId="0" borderId="5" xfId="0" applyFill="1" applyBorder="1" applyAlignment="1">
      <alignment horizontal="center"/>
    </xf>
    <xf numFmtId="168" fontId="3" fillId="0" borderId="0" xfId="0" applyNumberFormat="1" applyFont="1" applyAlignment="1">
      <alignment horizontal="left"/>
    </xf>
    <xf numFmtId="42" fontId="3" fillId="0" borderId="0" xfId="0" applyNumberFormat="1" applyFont="1" applyAlignment="1">
      <alignment horizontal="left"/>
    </xf>
    <xf numFmtId="165" fontId="1" fillId="0" borderId="0" xfId="0" applyNumberFormat="1" applyFont="1"/>
    <xf numFmtId="169" fontId="3" fillId="0" borderId="0" xfId="0" applyNumberFormat="1" applyFont="1" applyBorder="1"/>
    <xf numFmtId="10" fontId="18" fillId="0" borderId="0" xfId="0" applyNumberFormat="1" applyFont="1"/>
    <xf numFmtId="165" fontId="0" fillId="0" borderId="0" xfId="0" applyNumberFormat="1" applyBorder="1"/>
    <xf numFmtId="0" fontId="0" fillId="0" borderId="0" xfId="0" applyBorder="1"/>
    <xf numFmtId="168" fontId="0" fillId="0" borderId="2" xfId="0" applyNumberFormat="1" applyBorder="1"/>
    <xf numFmtId="165" fontId="0" fillId="0" borderId="2" xfId="0" applyNumberFormat="1" applyFont="1" applyBorder="1"/>
    <xf numFmtId="42" fontId="0" fillId="0" borderId="0" xfId="0" applyNumberFormat="1" applyBorder="1"/>
    <xf numFmtId="43" fontId="18" fillId="0" borderId="0" xfId="0" applyNumberFormat="1" applyFont="1"/>
    <xf numFmtId="169" fontId="7" fillId="0" borderId="0" xfId="0" applyNumberFormat="1" applyFont="1" applyBorder="1"/>
    <xf numFmtId="42" fontId="9" fillId="0" borderId="0" xfId="0" applyNumberFormat="1" applyFont="1" applyBorder="1"/>
    <xf numFmtId="165" fontId="7" fillId="0" borderId="0" xfId="0" applyNumberFormat="1" applyFont="1" applyFill="1"/>
    <xf numFmtId="168" fontId="7" fillId="0" borderId="2" xfId="0" applyNumberFormat="1" applyFont="1" applyBorder="1" applyAlignment="1">
      <alignment horizontal="left"/>
    </xf>
    <xf numFmtId="169" fontId="7" fillId="0" borderId="2" xfId="0" applyNumberFormat="1" applyFont="1" applyBorder="1" applyAlignment="1">
      <alignment horizontal="left"/>
    </xf>
    <xf numFmtId="165" fontId="7" fillId="0" borderId="2" xfId="0" applyNumberFormat="1" applyFont="1" applyFill="1" applyBorder="1"/>
    <xf numFmtId="169" fontId="0" fillId="0" borderId="0" xfId="0" applyNumberFormat="1" applyFont="1"/>
    <xf numFmtId="165" fontId="4" fillId="0" borderId="8" xfId="0" applyNumberFormat="1" applyFont="1" applyFill="1" applyBorder="1"/>
    <xf numFmtId="168" fontId="2" fillId="0" borderId="0" xfId="0" applyNumberFormat="1" applyFont="1"/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centerContinuous"/>
    </xf>
    <xf numFmtId="0" fontId="24" fillId="0" borderId="0" xfId="0" applyFont="1"/>
    <xf numFmtId="171" fontId="4" fillId="0" borderId="0" xfId="0" applyNumberFormat="1" applyFont="1"/>
    <xf numFmtId="0" fontId="24" fillId="0" borderId="0" xfId="0" applyFont="1" applyBorder="1"/>
    <xf numFmtId="44" fontId="24" fillId="0" borderId="0" xfId="0" applyNumberFormat="1" applyFont="1" applyBorder="1"/>
    <xf numFmtId="44" fontId="4" fillId="0" borderId="0" xfId="0" applyNumberFormat="1" applyFont="1"/>
    <xf numFmtId="171" fontId="4" fillId="0" borderId="0" xfId="0" applyNumberFormat="1" applyFont="1" applyBorder="1"/>
    <xf numFmtId="44" fontId="4" fillId="0" borderId="0" xfId="0" applyNumberFormat="1" applyFont="1" applyBorder="1"/>
    <xf numFmtId="44" fontId="4" fillId="0" borderId="2" xfId="0" applyNumberFormat="1" applyFont="1" applyBorder="1"/>
    <xf numFmtId="44" fontId="24" fillId="0" borderId="0" xfId="0" applyNumberFormat="1" applyFont="1"/>
    <xf numFmtId="166" fontId="24" fillId="0" borderId="0" xfId="0" applyNumberFormat="1" applyFont="1" applyBorder="1"/>
    <xf numFmtId="166" fontId="4" fillId="0" borderId="0" xfId="0" applyNumberFormat="1" applyFont="1"/>
    <xf numFmtId="166" fontId="3" fillId="0" borderId="0" xfId="0" applyNumberFormat="1" applyFont="1" applyFill="1"/>
    <xf numFmtId="166" fontId="4" fillId="0" borderId="2" xfId="0" applyNumberFormat="1" applyFont="1" applyBorder="1"/>
    <xf numFmtId="171" fontId="4" fillId="0" borderId="2" xfId="0" applyNumberFormat="1" applyFont="1" applyBorder="1"/>
    <xf numFmtId="166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166" fontId="0" fillId="0" borderId="0" xfId="0" applyNumberFormat="1" applyFont="1" applyFill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8" fontId="7" fillId="0" borderId="0" xfId="0" applyNumberFormat="1" applyFont="1" applyFill="1"/>
    <xf numFmtId="168" fontId="7" fillId="0" borderId="2" xfId="0" applyNumberFormat="1" applyFont="1" applyFill="1" applyBorder="1"/>
    <xf numFmtId="0" fontId="0" fillId="0" borderId="0" xfId="0" applyAlignment="1"/>
    <xf numFmtId="169" fontId="3" fillId="0" borderId="0" xfId="0" applyNumberFormat="1" applyFont="1"/>
    <xf numFmtId="169" fontId="1" fillId="0" borderId="0" xfId="0" applyNumberFormat="1" applyFont="1"/>
    <xf numFmtId="42" fontId="3" fillId="0" borderId="0" xfId="0" applyNumberFormat="1" applyFont="1" applyBorder="1"/>
    <xf numFmtId="10" fontId="0" fillId="0" borderId="0" xfId="0" applyNumberFormat="1" applyFont="1" applyBorder="1"/>
    <xf numFmtId="3" fontId="7" fillId="0" borderId="0" xfId="0" applyNumberFormat="1" applyFont="1" applyFill="1" applyBorder="1"/>
    <xf numFmtId="166" fontId="9" fillId="0" borderId="0" xfId="0" applyNumberFormat="1" applyFont="1" applyFill="1" applyBorder="1"/>
    <xf numFmtId="166" fontId="7" fillId="0" borderId="0" xfId="0" applyNumberFormat="1" applyFont="1" applyFill="1" applyBorder="1"/>
    <xf numFmtId="10" fontId="7" fillId="0" borderId="0" xfId="0" applyNumberFormat="1" applyFont="1" applyBorder="1"/>
    <xf numFmtId="10" fontId="0" fillId="0" borderId="0" xfId="0" applyNumberFormat="1" applyBorder="1"/>
    <xf numFmtId="169" fontId="7" fillId="0" borderId="0" xfId="0" applyNumberFormat="1" applyFont="1" applyBorder="1" applyAlignment="1">
      <alignment horizontal="left"/>
    </xf>
    <xf numFmtId="169" fontId="9" fillId="0" borderId="0" xfId="0" applyNumberFormat="1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 applyBorder="1"/>
    <xf numFmtId="165" fontId="2" fillId="0" borderId="6" xfId="0" applyNumberFormat="1" applyFon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Continuous"/>
    </xf>
    <xf numFmtId="168" fontId="0" fillId="0" borderId="0" xfId="0" applyNumberFormat="1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Continuous"/>
    </xf>
    <xf numFmtId="0" fontId="4" fillId="0" borderId="14" xfId="0" applyFont="1" applyFill="1" applyBorder="1" applyAlignment="1">
      <alignment horizontal="center"/>
    </xf>
    <xf numFmtId="10" fontId="4" fillId="0" borderId="0" xfId="0" applyNumberFormat="1" applyFont="1" applyFill="1"/>
    <xf numFmtId="7" fontId="4" fillId="0" borderId="0" xfId="0" applyNumberFormat="1" applyFont="1" applyFill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25" fillId="0" borderId="0" xfId="0" applyNumberFormat="1" applyFont="1" applyFill="1"/>
    <xf numFmtId="168" fontId="10" fillId="0" borderId="0" xfId="0" applyNumberFormat="1" applyFont="1"/>
    <xf numFmtId="168" fontId="3" fillId="0" borderId="5" xfId="0" applyNumberFormat="1" applyFont="1" applyBorder="1"/>
    <xf numFmtId="170" fontId="6" fillId="0" borderId="0" xfId="0" applyNumberFormat="1" applyFont="1" applyAlignment="1">
      <alignment horizontal="center"/>
    </xf>
    <xf numFmtId="168" fontId="10" fillId="0" borderId="2" xfId="0" applyNumberFormat="1" applyFont="1" applyBorder="1"/>
    <xf numFmtId="168" fontId="6" fillId="0" borderId="2" xfId="0" applyNumberFormat="1" applyFont="1" applyBorder="1"/>
    <xf numFmtId="168" fontId="16" fillId="0" borderId="0" xfId="0" applyNumberFormat="1" applyFont="1"/>
    <xf numFmtId="9" fontId="12" fillId="0" borderId="0" xfId="0" applyNumberFormat="1" applyFont="1"/>
    <xf numFmtId="9" fontId="10" fillId="0" borderId="2" xfId="0" applyNumberFormat="1" applyFont="1" applyBorder="1"/>
    <xf numFmtId="9" fontId="10" fillId="0" borderId="0" xfId="0" applyNumberFormat="1" applyFont="1"/>
    <xf numFmtId="9" fontId="6" fillId="0" borderId="0" xfId="0" applyNumberFormat="1" applyFont="1"/>
    <xf numFmtId="9" fontId="6" fillId="0" borderId="2" xfId="0" applyNumberFormat="1" applyFont="1" applyBorder="1"/>
    <xf numFmtId="9" fontId="11" fillId="0" borderId="0" xfId="0" applyNumberFormat="1" applyFont="1"/>
    <xf numFmtId="0" fontId="0" fillId="0" borderId="15" xfId="0" applyBorder="1"/>
    <xf numFmtId="0" fontId="17" fillId="0" borderId="5" xfId="0" applyFont="1" applyFill="1" applyBorder="1" applyAlignment="1">
      <alignment horizontal="center" wrapText="1"/>
    </xf>
    <xf numFmtId="17" fontId="17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10" fontId="0" fillId="0" borderId="0" xfId="0" applyNumberFormat="1" applyFont="1" applyAlignment="1">
      <alignment horizontal="right"/>
    </xf>
    <xf numFmtId="168" fontId="0" fillId="0" borderId="0" xfId="0" applyNumberFormat="1" applyFont="1"/>
    <xf numFmtId="10" fontId="0" fillId="0" borderId="0" xfId="0" applyNumberFormat="1" applyAlignment="1">
      <alignment wrapText="1"/>
    </xf>
    <xf numFmtId="0" fontId="17" fillId="0" borderId="2" xfId="0" applyFont="1" applyFill="1" applyBorder="1" applyAlignment="1">
      <alignment horizontal="center"/>
    </xf>
    <xf numFmtId="10" fontId="17" fillId="0" borderId="2" xfId="0" applyNumberFormat="1" applyFont="1" applyFill="1" applyBorder="1"/>
    <xf numFmtId="168" fontId="17" fillId="0" borderId="2" xfId="0" applyNumberFormat="1" applyFont="1" applyFill="1" applyBorder="1"/>
    <xf numFmtId="37" fontId="4" fillId="0" borderId="0" xfId="0" applyNumberFormat="1" applyFont="1" applyFill="1" applyAlignment="1" applyProtection="1">
      <alignment horizontal="center"/>
    </xf>
    <xf numFmtId="0" fontId="4" fillId="0" borderId="0" xfId="0" quotePrefix="1" applyFont="1" applyFill="1" applyBorder="1" applyAlignment="1"/>
    <xf numFmtId="0" fontId="4" fillId="0" borderId="0" xfId="0" applyFont="1" applyFill="1" applyAlignment="1"/>
    <xf numFmtId="0" fontId="4" fillId="0" borderId="5" xfId="0" applyFont="1" applyFill="1" applyBorder="1" applyAlignment="1">
      <alignment horizontal="centerContinuous"/>
    </xf>
    <xf numFmtId="10" fontId="4" fillId="0" borderId="0" xfId="0" applyNumberFormat="1" applyFont="1" applyFill="1"/>
    <xf numFmtId="0" fontId="4" fillId="0" borderId="0" xfId="0" quotePrefix="1" applyFont="1" applyFill="1" applyAlignment="1"/>
    <xf numFmtId="0" fontId="4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42" fontId="3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9" fontId="9" fillId="0" borderId="0" xfId="0" applyNumberFormat="1" applyFont="1" applyFill="1" applyBorder="1"/>
    <xf numFmtId="169" fontId="0" fillId="0" borderId="0" xfId="0" applyNumberFormat="1" applyBorder="1"/>
    <xf numFmtId="3" fontId="0" fillId="0" borderId="0" xfId="0" applyNumberFormat="1" applyBorder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4" fontId="3" fillId="0" borderId="0" xfId="0" applyNumberFormat="1" applyFont="1"/>
    <xf numFmtId="165" fontId="3" fillId="0" borderId="0" xfId="0" applyNumberFormat="1" applyFo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7" fillId="0" borderId="0" xfId="0" quotePrefix="1" applyFont="1" applyAlignment="1">
      <alignment horizontal="left"/>
    </xf>
    <xf numFmtId="0" fontId="26" fillId="0" borderId="0" xfId="0" applyFont="1"/>
    <xf numFmtId="0" fontId="6" fillId="0" borderId="0" xfId="0" applyFont="1"/>
    <xf numFmtId="0" fontId="26" fillId="0" borderId="5" xfId="0" applyFont="1" applyBorder="1"/>
    <xf numFmtId="0" fontId="27" fillId="0" borderId="0" xfId="0" applyFont="1"/>
    <xf numFmtId="0" fontId="6" fillId="0" borderId="5" xfId="0" applyFont="1" applyBorder="1"/>
    <xf numFmtId="0" fontId="6" fillId="0" borderId="0" xfId="0" applyFont="1" applyFill="1" applyBorder="1"/>
    <xf numFmtId="0" fontId="29" fillId="0" borderId="0" xfId="0" applyFont="1" applyFill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3" fontId="28" fillId="0" borderId="0" xfId="0" applyNumberFormat="1" applyFont="1" applyBorder="1" applyAlignment="1">
      <alignment horizontal="center"/>
    </xf>
    <xf numFmtId="42" fontId="28" fillId="0" borderId="0" xfId="0" applyNumberFormat="1" applyFont="1" applyBorder="1" applyAlignment="1">
      <alignment horizontal="center"/>
    </xf>
    <xf numFmtId="169" fontId="28" fillId="0" borderId="0" xfId="0" applyNumberFormat="1" applyFont="1"/>
    <xf numFmtId="10" fontId="28" fillId="0" borderId="0" xfId="0" applyNumberFormat="1" applyFont="1"/>
    <xf numFmtId="42" fontId="28" fillId="0" borderId="0" xfId="0" applyNumberFormat="1" applyFont="1" applyBorder="1"/>
    <xf numFmtId="169" fontId="28" fillId="0" borderId="2" xfId="0" applyNumberFormat="1" applyFont="1" applyBorder="1"/>
    <xf numFmtId="10" fontId="28" fillId="0" borderId="2" xfId="0" applyNumberFormat="1" applyFont="1" applyBorder="1"/>
    <xf numFmtId="166" fontId="30" fillId="0" borderId="0" xfId="0" applyNumberFormat="1" applyFont="1" applyFill="1" applyBorder="1"/>
    <xf numFmtId="0" fontId="30" fillId="0" borderId="0" xfId="0" applyFont="1" applyBorder="1"/>
    <xf numFmtId="169" fontId="30" fillId="0" borderId="0" xfId="0" applyNumberFormat="1" applyFont="1" applyFill="1"/>
    <xf numFmtId="169" fontId="30" fillId="0" borderId="2" xfId="0" applyNumberFormat="1" applyFont="1" applyFill="1" applyBorder="1"/>
    <xf numFmtId="0" fontId="0" fillId="0" borderId="0" xfId="0" applyFont="1" applyFill="1" applyAlignment="1">
      <alignment horizontal="left"/>
    </xf>
    <xf numFmtId="42" fontId="0" fillId="0" borderId="0" xfId="0" applyNumberFormat="1" applyFont="1" applyFill="1"/>
    <xf numFmtId="164" fontId="0" fillId="0" borderId="0" xfId="0" applyNumberFormat="1" applyFont="1" applyFill="1"/>
    <xf numFmtId="165" fontId="3" fillId="0" borderId="0" xfId="0" applyNumberFormat="1" applyFont="1" applyFill="1"/>
    <xf numFmtId="42" fontId="28" fillId="0" borderId="0" xfId="0" applyNumberFormat="1" applyFont="1"/>
    <xf numFmtId="42" fontId="28" fillId="0" borderId="2" xfId="0" applyNumberFormat="1" applyFont="1" applyBorder="1"/>
    <xf numFmtId="0" fontId="28" fillId="0" borderId="0" xfId="0" applyFont="1"/>
    <xf numFmtId="0" fontId="30" fillId="0" borderId="0" xfId="0" applyFont="1"/>
    <xf numFmtId="169" fontId="30" fillId="0" borderId="0" xfId="0" applyNumberFormat="1" applyFont="1" applyFill="1" applyBorder="1"/>
    <xf numFmtId="169" fontId="30" fillId="0" borderId="0" xfId="0" applyNumberFormat="1" applyFont="1" applyBorder="1"/>
    <xf numFmtId="42" fontId="30" fillId="0" borderId="0" xfId="0" applyNumberFormat="1" applyFont="1" applyBorder="1"/>
    <xf numFmtId="166" fontId="28" fillId="0" borderId="0" xfId="0" applyNumberFormat="1" applyFont="1"/>
    <xf numFmtId="171" fontId="28" fillId="0" borderId="0" xfId="0" applyNumberFormat="1" applyFont="1"/>
    <xf numFmtId="166" fontId="28" fillId="0" borderId="0" xfId="0" applyNumberFormat="1" applyFont="1" applyBorder="1"/>
    <xf numFmtId="0" fontId="28" fillId="0" borderId="5" xfId="0" applyFont="1" applyBorder="1" applyAlignment="1">
      <alignment horizontal="centerContinuous"/>
    </xf>
    <xf numFmtId="44" fontId="28" fillId="0" borderId="0" xfId="0" applyNumberFormat="1" applyFont="1"/>
    <xf numFmtId="44" fontId="28" fillId="0" borderId="2" xfId="0" applyNumberFormat="1" applyFont="1" applyBorder="1"/>
    <xf numFmtId="166" fontId="28" fillId="0" borderId="2" xfId="0" applyNumberFormat="1" applyFont="1" applyBorder="1"/>
    <xf numFmtId="166" fontId="28" fillId="0" borderId="0" xfId="0" applyNumberFormat="1" applyFont="1" applyFill="1"/>
    <xf numFmtId="171" fontId="28" fillId="0" borderId="2" xfId="0" applyNumberFormat="1" applyFont="1" applyBorder="1"/>
    <xf numFmtId="164" fontId="28" fillId="0" borderId="0" xfId="0" applyNumberFormat="1" applyFont="1"/>
    <xf numFmtId="0" fontId="0" fillId="2" borderId="0" xfId="0" applyFill="1"/>
    <xf numFmtId="169" fontId="0" fillId="2" borderId="0" xfId="1" applyNumberFormat="1" applyFont="1" applyFill="1"/>
    <xf numFmtId="0" fontId="0" fillId="2" borderId="0" xfId="0" applyFill="1" applyBorder="1"/>
    <xf numFmtId="10" fontId="0" fillId="2" borderId="0" xfId="2" applyNumberFormat="1" applyFont="1" applyFill="1"/>
    <xf numFmtId="10" fontId="0" fillId="2" borderId="0" xfId="2" applyNumberFormat="1" applyFont="1" applyFill="1" applyBorder="1"/>
    <xf numFmtId="169" fontId="0" fillId="2" borderId="0" xfId="0" applyNumberFormat="1" applyFill="1"/>
    <xf numFmtId="10" fontId="0" fillId="2" borderId="0" xfId="0" applyNumberFormat="1" applyFill="1"/>
    <xf numFmtId="0" fontId="4" fillId="2" borderId="0" xfId="0" applyFont="1" applyFill="1"/>
    <xf numFmtId="44" fontId="4" fillId="2" borderId="0" xfId="1" applyFont="1" applyFill="1"/>
    <xf numFmtId="44" fontId="4" fillId="2" borderId="0" xfId="1" applyFont="1" applyFill="1" applyBorder="1"/>
    <xf numFmtId="44" fontId="4" fillId="2" borderId="0" xfId="0" applyNumberFormat="1" applyFont="1" applyFill="1"/>
    <xf numFmtId="0" fontId="4" fillId="2" borderId="0" xfId="0" applyFont="1" applyFill="1" applyBorder="1"/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42" fontId="0" fillId="2" borderId="0" xfId="0" applyNumberFormat="1" applyFill="1" applyBorder="1" applyAlignment="1">
      <alignment horizontal="center"/>
    </xf>
    <xf numFmtId="169" fontId="3" fillId="2" borderId="0" xfId="0" applyNumberFormat="1" applyFont="1" applyFill="1"/>
    <xf numFmtId="10" fontId="0" fillId="2" borderId="0" xfId="0" applyNumberFormat="1" applyFont="1" applyFill="1"/>
    <xf numFmtId="165" fontId="0" fillId="2" borderId="0" xfId="0" applyNumberFormat="1" applyFill="1" applyBorder="1"/>
    <xf numFmtId="169" fontId="0" fillId="2" borderId="2" xfId="0" applyNumberFormat="1" applyFont="1" applyFill="1" applyBorder="1"/>
    <xf numFmtId="10" fontId="0" fillId="2" borderId="2" xfId="0" applyNumberFormat="1" applyFont="1" applyFill="1" applyBorder="1"/>
    <xf numFmtId="169" fontId="7" fillId="2" borderId="0" xfId="0" applyNumberFormat="1" applyFont="1" applyFill="1" applyBorder="1"/>
    <xf numFmtId="166" fontId="9" fillId="2" borderId="0" xfId="0" applyNumberFormat="1" applyFont="1" applyFill="1" applyBorder="1"/>
    <xf numFmtId="166" fontId="7" fillId="2" borderId="0" xfId="0" applyNumberFormat="1" applyFont="1" applyFill="1" applyBorder="1"/>
    <xf numFmtId="169" fontId="0" fillId="2" borderId="0" xfId="0" applyNumberFormat="1" applyFont="1" applyFill="1"/>
    <xf numFmtId="42" fontId="0" fillId="2" borderId="0" xfId="0" applyNumberFormat="1" applyFont="1" applyFill="1"/>
    <xf numFmtId="42" fontId="9" fillId="2" borderId="0" xfId="0" applyNumberFormat="1" applyFont="1" applyFill="1" applyBorder="1"/>
    <xf numFmtId="0" fontId="7" fillId="2" borderId="0" xfId="0" applyFont="1" applyFill="1" applyBorder="1"/>
    <xf numFmtId="169" fontId="7" fillId="2" borderId="0" xfId="0" applyNumberFormat="1" applyFont="1" applyFill="1"/>
    <xf numFmtId="169" fontId="7" fillId="2" borderId="2" xfId="0" applyNumberFormat="1" applyFont="1" applyFill="1" applyBorder="1"/>
    <xf numFmtId="10" fontId="0" fillId="2" borderId="0" xfId="0" applyNumberFormat="1" applyFont="1" applyFill="1" applyBorder="1"/>
    <xf numFmtId="42" fontId="0" fillId="2" borderId="0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3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vice-2023-21-PSE-WP-Annual-MYRP-Sch.141N-Sch.141R-Rate-Design-(04-28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xh JDT-5 (JDT-Rate Spread)"/>
      <sheetName val="Exh JDT-5 (Rate Des Sum)"/>
      <sheetName val="Exh JDT-5 (JDT-RES_RD)"/>
      <sheetName val="Exh JDT-5 (JDT-C&amp;I-RD)"/>
      <sheetName val="Exh JDT-5 (JDT-INTRPL-RD)"/>
      <sheetName val="Exh JDT-5 (JDT-MYRP)"/>
      <sheetName val="Exh JDT-5 (JDT-MYRP-SUM)"/>
      <sheetName val="Exh JDT-5 (JDT-Balancing)"/>
      <sheetName val="Exh JDT-5 (JDT-Procmnt Chrg)"/>
      <sheetName val="Rev Req Comparis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2.4539999999999999E-2</v>
          </cell>
          <cell r="I11">
            <v>2.2419999999999999E-2</v>
          </cell>
          <cell r="J11">
            <v>3.2599999999999999E-3</v>
          </cell>
          <cell r="N11"/>
          <cell r="O11">
            <v>-4.7999999999999996E-3</v>
          </cell>
          <cell r="P11">
            <v>7.2679999999999995E-2</v>
          </cell>
          <cell r="Q11">
            <v>3.15E-3</v>
          </cell>
          <cell r="T11"/>
          <cell r="U11"/>
        </row>
        <row r="16">
          <cell r="D16">
            <v>12.5</v>
          </cell>
        </row>
        <row r="17">
          <cell r="D17">
            <v>0.45612999999999998</v>
          </cell>
        </row>
        <row r="18">
          <cell r="N18">
            <v>417201989.73536998</v>
          </cell>
        </row>
        <row r="19">
          <cell r="H19">
            <v>15616504.118939999</v>
          </cell>
          <cell r="I19">
            <v>14267401.073619999</v>
          </cell>
          <cell r="J19">
            <v>2074564.11686</v>
          </cell>
        </row>
        <row r="34">
          <cell r="N34">
            <v>5643.18</v>
          </cell>
        </row>
        <row r="35">
          <cell r="H35">
            <v>216.73728</v>
          </cell>
          <cell r="I35">
            <v>198.01344</v>
          </cell>
          <cell r="J35">
            <v>28.79232</v>
          </cell>
        </row>
        <row r="40">
          <cell r="H40">
            <v>2.265E-2</v>
          </cell>
          <cell r="I40">
            <v>2.069E-2</v>
          </cell>
          <cell r="J40">
            <v>3.0100000000000001E-3</v>
          </cell>
          <cell r="N40"/>
          <cell r="O40">
            <v>-4.4000000000000003E-3</v>
          </cell>
          <cell r="P40">
            <v>6.6659999999999997E-2</v>
          </cell>
          <cell r="Q40">
            <v>2.8900000000000002E-3</v>
          </cell>
          <cell r="T40"/>
          <cell r="U40"/>
        </row>
        <row r="48">
          <cell r="N48">
            <v>132871324.84063001</v>
          </cell>
        </row>
        <row r="49">
          <cell r="H49">
            <v>5508304.4172</v>
          </cell>
          <cell r="I49">
            <v>5031647.6111199996</v>
          </cell>
          <cell r="J49">
            <v>732008.66648000001</v>
          </cell>
        </row>
        <row r="58">
          <cell r="N58">
            <v>22706.758830000002</v>
          </cell>
        </row>
        <row r="59">
          <cell r="H59">
            <v>779.09204999999997</v>
          </cell>
          <cell r="I59">
            <v>711.67393000000004</v>
          </cell>
        </row>
        <row r="64">
          <cell r="H64">
            <v>1.0829999999999999E-2</v>
          </cell>
          <cell r="I64">
            <v>9.8899999999999995E-3</v>
          </cell>
          <cell r="J64">
            <v>2.2699999999999999E-3</v>
          </cell>
          <cell r="N64"/>
          <cell r="O64">
            <v>-2.0999999999999999E-3</v>
          </cell>
          <cell r="P64">
            <v>3.1870000000000002E-2</v>
          </cell>
          <cell r="Q64">
            <v>2.2000000000000001E-3</v>
          </cell>
          <cell r="T64"/>
          <cell r="U64"/>
        </row>
        <row r="79">
          <cell r="N79">
            <v>18242726.17379</v>
          </cell>
        </row>
        <row r="80">
          <cell r="H80">
            <v>724774.84454999992</v>
          </cell>
          <cell r="I80">
            <v>661867.33265</v>
          </cell>
          <cell r="J80">
            <v>151914.94894999999</v>
          </cell>
        </row>
        <row r="96">
          <cell r="N96">
            <v>5202113.47</v>
          </cell>
        </row>
        <row r="97">
          <cell r="H97">
            <v>275780.76243</v>
          </cell>
          <cell r="I97">
            <v>251844.11268999998</v>
          </cell>
        </row>
        <row r="102">
          <cell r="H102">
            <v>6.4400000000000004E-3</v>
          </cell>
          <cell r="I102">
            <v>5.8799999999999998E-3</v>
          </cell>
          <cell r="J102">
            <v>1.8400000000000001E-3</v>
          </cell>
          <cell r="N102"/>
          <cell r="O102">
            <v>-1.2800000000000001E-3</v>
          </cell>
          <cell r="P102">
            <v>1.9390000000000001E-2</v>
          </cell>
          <cell r="Q102">
            <v>1.8500000000000001E-3</v>
          </cell>
          <cell r="T102"/>
          <cell r="U102"/>
        </row>
        <row r="116">
          <cell r="N116">
            <v>1431314.4706233121</v>
          </cell>
        </row>
        <row r="117">
          <cell r="H117">
            <v>71642.681600000011</v>
          </cell>
          <cell r="I117">
            <v>65412.883199999997</v>
          </cell>
          <cell r="J117">
            <v>20469.337599999999</v>
          </cell>
        </row>
        <row r="133">
          <cell r="N133">
            <v>6799880.6744118314</v>
          </cell>
        </row>
        <row r="134">
          <cell r="H134">
            <v>404351.61592000001</v>
          </cell>
          <cell r="I134">
            <v>369190.60583999997</v>
          </cell>
        </row>
        <row r="139">
          <cell r="H139">
            <v>5.2500000000000003E-3</v>
          </cell>
          <cell r="I139">
            <v>4.7999999999999996E-3</v>
          </cell>
          <cell r="J139">
            <v>4.8999999999999998E-4</v>
          </cell>
          <cell r="N139"/>
          <cell r="O139">
            <v>-1.06E-3</v>
          </cell>
          <cell r="P139">
            <v>1.6049999999999998E-2</v>
          </cell>
          <cell r="Q139">
            <v>4.8999999999999998E-4</v>
          </cell>
          <cell r="T139"/>
          <cell r="U139"/>
        </row>
        <row r="152">
          <cell r="N152">
            <v>1110674.3605023497</v>
          </cell>
        </row>
        <row r="153">
          <cell r="H153">
            <v>29880.322500000002</v>
          </cell>
          <cell r="I153">
            <v>27319.151999999998</v>
          </cell>
          <cell r="J153">
            <v>2788.8301000000001</v>
          </cell>
        </row>
        <row r="168">
          <cell r="N168">
            <v>153355.14710239385</v>
          </cell>
        </row>
        <row r="169">
          <cell r="H169">
            <v>2847.64725</v>
          </cell>
          <cell r="I169">
            <v>2603.5631999999996</v>
          </cell>
        </row>
        <row r="174">
          <cell r="N174"/>
          <cell r="O174">
            <v>-9.0997416536799137E-3</v>
          </cell>
          <cell r="T174"/>
          <cell r="U174"/>
        </row>
        <row r="185">
          <cell r="H185">
            <v>1.3339999999999999E-2</v>
          </cell>
          <cell r="I185">
            <v>1.221E-2</v>
          </cell>
          <cell r="J185">
            <v>3.47E-3</v>
          </cell>
          <cell r="L185">
            <v>1512193</v>
          </cell>
          <cell r="O185">
            <v>-2.6099999999999999E-3</v>
          </cell>
          <cell r="P185">
            <v>3.9230000000000001E-2</v>
          </cell>
          <cell r="Q185">
            <v>3.3899999999999998E-3</v>
          </cell>
        </row>
        <row r="186">
          <cell r="H186">
            <v>8.0599999999999995E-3</v>
          </cell>
          <cell r="I186">
            <v>7.3800000000000003E-3</v>
          </cell>
          <cell r="J186">
            <v>2.0999999999999999E-3</v>
          </cell>
          <cell r="L186">
            <v>1398016.115</v>
          </cell>
          <cell r="O186">
            <v>-1.58E-3</v>
          </cell>
          <cell r="P186">
            <v>2.3709999999999998E-2</v>
          </cell>
          <cell r="Q186">
            <v>2.0500000000000002E-3</v>
          </cell>
        </row>
        <row r="187">
          <cell r="H187">
            <v>5.13E-3</v>
          </cell>
          <cell r="I187">
            <v>4.6899999999999997E-3</v>
          </cell>
          <cell r="J187">
            <v>1.34E-3</v>
          </cell>
          <cell r="L187">
            <v>2316890.0959999999</v>
          </cell>
          <cell r="O187">
            <v>-1E-3</v>
          </cell>
          <cell r="P187">
            <v>1.5089999999999999E-2</v>
          </cell>
          <cell r="Q187">
            <v>1.2999999999999999E-3</v>
          </cell>
        </row>
        <row r="188">
          <cell r="H188">
            <v>3.29E-3</v>
          </cell>
          <cell r="I188">
            <v>3.0100000000000001E-3</v>
          </cell>
          <cell r="J188">
            <v>8.5999999999999998E-4</v>
          </cell>
          <cell r="L188">
            <v>3045256.878</v>
          </cell>
          <cell r="O188">
            <v>-6.4000000000000005E-4</v>
          </cell>
          <cell r="P188">
            <v>9.6699999999999998E-3</v>
          </cell>
          <cell r="Q188">
            <v>8.4000000000000003E-4</v>
          </cell>
        </row>
        <row r="189">
          <cell r="H189">
            <v>2.3700000000000001E-3</v>
          </cell>
          <cell r="I189">
            <v>2.1700000000000001E-3</v>
          </cell>
          <cell r="J189">
            <v>6.2E-4</v>
          </cell>
          <cell r="L189">
            <v>3792042.2029999997</v>
          </cell>
          <cell r="O189">
            <v>-4.6000000000000001E-4</v>
          </cell>
          <cell r="P189">
            <v>6.96E-3</v>
          </cell>
          <cell r="Q189">
            <v>5.9999999999999995E-4</v>
          </cell>
        </row>
        <row r="190">
          <cell r="H190">
            <v>4.0000000000000002E-4</v>
          </cell>
          <cell r="I190">
            <v>3.6000000000000002E-4</v>
          </cell>
          <cell r="J190">
            <v>1.2E-4</v>
          </cell>
          <cell r="L190">
            <v>9755057.4703552071</v>
          </cell>
          <cell r="O190">
            <v>-6.9999999999999994E-5</v>
          </cell>
          <cell r="P190">
            <v>1.1299999999999999E-3</v>
          </cell>
          <cell r="Q190">
            <v>1.1E-4</v>
          </cell>
        </row>
        <row r="191">
          <cell r="N191">
            <v>1509134.6199999999</v>
          </cell>
        </row>
        <row r="192">
          <cell r="H192">
            <v>66234.368837252085</v>
          </cell>
          <cell r="I192">
            <v>60554.225481557871</v>
          </cell>
          <cell r="J192">
            <v>17428.370257522623</v>
          </cell>
        </row>
        <row r="203">
          <cell r="H203">
            <v>1.3339999999999999E-2</v>
          </cell>
          <cell r="I203">
            <v>1.221E-2</v>
          </cell>
          <cell r="L203">
            <v>3298789.67</v>
          </cell>
          <cell r="O203">
            <v>-2.6099999999999999E-3</v>
          </cell>
          <cell r="P203">
            <v>3.9230000000000001E-2</v>
          </cell>
        </row>
        <row r="204">
          <cell r="H204">
            <v>8.0599999999999995E-3</v>
          </cell>
          <cell r="I204">
            <v>7.3800000000000003E-3</v>
          </cell>
          <cell r="L204">
            <v>3300000</v>
          </cell>
          <cell r="O204">
            <v>-1.58E-3</v>
          </cell>
          <cell r="P204">
            <v>2.3709999999999998E-2</v>
          </cell>
        </row>
        <row r="205">
          <cell r="H205">
            <v>5.13E-3</v>
          </cell>
          <cell r="I205">
            <v>4.6899999999999997E-3</v>
          </cell>
          <cell r="L205">
            <v>6600000</v>
          </cell>
          <cell r="O205">
            <v>-1E-3</v>
          </cell>
          <cell r="P205">
            <v>1.5089999999999999E-2</v>
          </cell>
        </row>
        <row r="206">
          <cell r="H206">
            <v>3.29E-3</v>
          </cell>
          <cell r="I206">
            <v>3.0100000000000001E-3</v>
          </cell>
          <cell r="L206">
            <v>12663691.02</v>
          </cell>
          <cell r="O206">
            <v>-6.4000000000000005E-4</v>
          </cell>
          <cell r="P206">
            <v>9.6699999999999998E-3</v>
          </cell>
        </row>
        <row r="207">
          <cell r="H207">
            <v>2.3700000000000001E-3</v>
          </cell>
          <cell r="I207">
            <v>2.1700000000000001E-3</v>
          </cell>
          <cell r="L207">
            <v>29344602.150000002</v>
          </cell>
          <cell r="O207">
            <v>-4.6000000000000001E-4</v>
          </cell>
          <cell r="P207">
            <v>6.96E-3</v>
          </cell>
        </row>
        <row r="208">
          <cell r="H208">
            <v>4.0000000000000002E-4</v>
          </cell>
          <cell r="I208">
            <v>3.6000000000000002E-4</v>
          </cell>
          <cell r="L208">
            <v>86801883.805479586</v>
          </cell>
          <cell r="O208">
            <v>-6.9999999999999994E-5</v>
          </cell>
          <cell r="P208">
            <v>1.1299999999999999E-3</v>
          </cell>
        </row>
        <row r="211">
          <cell r="N211">
            <v>6088113.25</v>
          </cell>
        </row>
        <row r="212">
          <cell r="H212">
            <v>245170.63667129184</v>
          </cell>
          <cell r="I212">
            <v>223930.39723637264</v>
          </cell>
        </row>
        <row r="215">
          <cell r="N215">
            <v>1638422.5923708156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workbookViewId="0">
      <selection activeCell="B27" sqref="B27"/>
    </sheetView>
  </sheetViews>
  <sheetFormatPr defaultRowHeight="12.75" x14ac:dyDescent="0.2"/>
  <cols>
    <col min="1" max="1" width="28.85546875" style="323" customWidth="1"/>
    <col min="2" max="2" width="13.5703125" style="323" customWidth="1"/>
    <col min="3" max="3" width="63.7109375" style="323" bestFit="1" customWidth="1"/>
    <col min="4" max="16384" width="9.140625" style="323"/>
  </cols>
  <sheetData>
    <row r="1" spans="1:3" x14ac:dyDescent="0.2">
      <c r="A1" s="322" t="s">
        <v>0</v>
      </c>
    </row>
    <row r="2" spans="1:3" x14ac:dyDescent="0.2">
      <c r="A2" s="322" t="s">
        <v>195</v>
      </c>
    </row>
    <row r="3" spans="1:3" x14ac:dyDescent="0.2">
      <c r="A3" s="322" t="s">
        <v>353</v>
      </c>
    </row>
    <row r="4" spans="1:3" x14ac:dyDescent="0.2">
      <c r="A4" s="322" t="s">
        <v>344</v>
      </c>
    </row>
    <row r="6" spans="1:3" x14ac:dyDescent="0.2">
      <c r="A6" s="324" t="s">
        <v>345</v>
      </c>
      <c r="B6" s="324" t="s">
        <v>346</v>
      </c>
      <c r="C6" s="324" t="s">
        <v>111</v>
      </c>
    </row>
    <row r="7" spans="1:3" x14ac:dyDescent="0.2">
      <c r="A7" s="325" t="s">
        <v>354</v>
      </c>
      <c r="B7" s="323" t="s">
        <v>361</v>
      </c>
      <c r="C7" s="323" t="s">
        <v>365</v>
      </c>
    </row>
    <row r="8" spans="1:3" x14ac:dyDescent="0.2">
      <c r="A8" s="325" t="s">
        <v>355</v>
      </c>
      <c r="B8" s="323" t="s">
        <v>361</v>
      </c>
      <c r="C8" s="323" t="s">
        <v>366</v>
      </c>
    </row>
    <row r="9" spans="1:3" x14ac:dyDescent="0.2">
      <c r="A9" s="325" t="s">
        <v>356</v>
      </c>
      <c r="B9" s="323" t="s">
        <v>361</v>
      </c>
      <c r="C9" s="323" t="s">
        <v>366</v>
      </c>
    </row>
    <row r="10" spans="1:3" x14ac:dyDescent="0.2">
      <c r="A10" s="325" t="s">
        <v>357</v>
      </c>
      <c r="B10" s="323" t="s">
        <v>361</v>
      </c>
      <c r="C10" s="323" t="s">
        <v>367</v>
      </c>
    </row>
    <row r="11" spans="1:3" x14ac:dyDescent="0.2">
      <c r="A11" s="325" t="s">
        <v>358</v>
      </c>
      <c r="B11" s="323" t="s">
        <v>361</v>
      </c>
      <c r="C11" s="323" t="s">
        <v>368</v>
      </c>
    </row>
    <row r="12" spans="1:3" x14ac:dyDescent="0.2">
      <c r="A12" s="325" t="s">
        <v>359</v>
      </c>
      <c r="B12" s="323" t="s">
        <v>361</v>
      </c>
      <c r="C12" s="323" t="s">
        <v>369</v>
      </c>
    </row>
    <row r="13" spans="1:3" x14ac:dyDescent="0.2">
      <c r="A13" s="325" t="s">
        <v>360</v>
      </c>
      <c r="B13" s="323" t="s">
        <v>361</v>
      </c>
      <c r="C13" s="323" t="s">
        <v>370</v>
      </c>
    </row>
    <row r="14" spans="1:3" x14ac:dyDescent="0.2">
      <c r="A14" s="325" t="s">
        <v>362</v>
      </c>
      <c r="B14" s="323" t="s">
        <v>347</v>
      </c>
      <c r="C14" s="323" t="s">
        <v>371</v>
      </c>
    </row>
    <row r="15" spans="1:3" x14ac:dyDescent="0.2">
      <c r="A15" s="325" t="s">
        <v>363</v>
      </c>
      <c r="B15" s="323" t="s">
        <v>347</v>
      </c>
      <c r="C15" s="323" t="s">
        <v>372</v>
      </c>
    </row>
    <row r="16" spans="1:3" x14ac:dyDescent="0.2">
      <c r="A16" s="325" t="s">
        <v>364</v>
      </c>
      <c r="B16" s="323" t="s">
        <v>347</v>
      </c>
      <c r="C16" s="323" t="s">
        <v>373</v>
      </c>
    </row>
    <row r="17" spans="1:3" x14ac:dyDescent="0.2">
      <c r="A17" s="325" t="s">
        <v>348</v>
      </c>
      <c r="B17" s="323" t="s">
        <v>347</v>
      </c>
      <c r="C17" s="323" t="s">
        <v>374</v>
      </c>
    </row>
    <row r="20" spans="1:3" x14ac:dyDescent="0.2">
      <c r="A20" s="324" t="s">
        <v>349</v>
      </c>
      <c r="B20" s="326"/>
    </row>
    <row r="21" spans="1:3" x14ac:dyDescent="0.2">
      <c r="A21" s="327" t="s">
        <v>375</v>
      </c>
    </row>
    <row r="23" spans="1:3" x14ac:dyDescent="0.2">
      <c r="A23" s="324" t="s">
        <v>351</v>
      </c>
    </row>
    <row r="24" spans="1:3" x14ac:dyDescent="0.2">
      <c r="A24" s="327" t="s">
        <v>352</v>
      </c>
    </row>
    <row r="25" spans="1:3" x14ac:dyDescent="0.2">
      <c r="A25" s="327" t="s">
        <v>350</v>
      </c>
    </row>
  </sheetData>
  <hyperlinks>
    <hyperlink ref="A7" location="'Rate Impacts_RY#1'!A1" display="Rate Impacts_RY#1"/>
    <hyperlink ref="A8" location="'Rate Impacts_RY#2'!A1" display="Rate Impacts_RY#2"/>
    <hyperlink ref="A9" location="'Rate Impacts_RY#3'!A1" display="Rate Impacts_RY#3"/>
    <hyperlink ref="A10" location="'Res Bill Summary'!A1" display="Res Bill Summary"/>
    <hyperlink ref="A11" location="'Typical Res Bill_RY#1 '!A1" display="Typical Res Bill_RY#1"/>
    <hyperlink ref="A12" location="'Typical Res Bill_RY#2'!A1" display="Typical Res Bill_RY#2"/>
    <hyperlink ref="A13" location="'Typical Res Bill_RY#3'!A1" display="Typical Res Bill_RY#3"/>
    <hyperlink ref="A14" location="'Avg Per Therm Impacts--&gt;'!A1" display="Average Per Therm Impacts"/>
    <hyperlink ref="A15" location="'Revenue Calculations--&gt;'!A1" display="Revenue Calculations"/>
    <hyperlink ref="A16" location="'Rider Revenue Calculation--&gt;'!A1" display="Rider Revenue Calculations"/>
    <hyperlink ref="A17" location="'Data--&gt;'!A1" display="Data"/>
  </hyperlinks>
  <pageMargins left="0.7" right="0.7" top="0.75" bottom="0.75" header="0.3" footer="0.3"/>
  <pageSetup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F43"/>
  <sheetViews>
    <sheetView zoomScale="90" zoomScaleNormal="90" workbookViewId="0">
      <pane xSplit="3" ySplit="10" topLeftCell="D11" activePane="bottomRight" state="frozenSplit"/>
      <selection activeCell="C32" sqref="C32"/>
      <selection pane="topRight" activeCell="C32" sqref="C32"/>
      <selection pane="bottomLeft" activeCell="C32" sqref="C32"/>
      <selection pane="bottomRight" activeCell="R27" sqref="R27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28515625" style="197" customWidth="1"/>
    <col min="6" max="6" width="16" bestFit="1" customWidth="1"/>
    <col min="7" max="7" width="10" bestFit="1" customWidth="1"/>
    <col min="8" max="8" width="2.28515625" style="197" customWidth="1"/>
    <col min="9" max="9" width="16" bestFit="1" customWidth="1"/>
    <col min="10" max="10" width="9.7109375" bestFit="1" customWidth="1"/>
    <col min="11" max="11" width="2.28515625" style="197" customWidth="1"/>
    <col min="12" max="12" width="16" bestFit="1" customWidth="1"/>
    <col min="13" max="13" width="9.5703125" bestFit="1" customWidth="1"/>
    <col min="14" max="14" width="2.28515625" style="197" customWidth="1"/>
    <col min="15" max="15" width="16.140625" style="197" customWidth="1"/>
    <col min="16" max="16" width="9.7109375" style="197" customWidth="1"/>
    <col min="17" max="17" width="2.28515625" style="197" customWidth="1"/>
    <col min="18" max="18" width="16" bestFit="1" customWidth="1"/>
    <col min="19" max="19" width="9.5703125" bestFit="1" customWidth="1"/>
    <col min="20" max="20" width="2.28515625" style="197" customWidth="1"/>
    <col min="21" max="21" width="16" bestFit="1" customWidth="1"/>
    <col min="22" max="22" width="9.5703125" bestFit="1" customWidth="1"/>
    <col min="23" max="23" width="2.28515625" style="197" customWidth="1"/>
    <col min="24" max="24" width="16" style="197" bestFit="1" customWidth="1"/>
    <col min="25" max="25" width="9.5703125" style="197" bestFit="1" customWidth="1"/>
    <col min="26" max="26" width="2.28515625" style="197" customWidth="1"/>
    <col min="27" max="27" width="16.140625" bestFit="1" customWidth="1"/>
    <col min="28" max="28" width="16" bestFit="1" customWidth="1"/>
    <col min="29" max="29" width="9.5703125" bestFit="1" customWidth="1"/>
    <col min="30" max="30" width="7.85546875" customWidth="1"/>
    <col min="31" max="31" width="9.28515625" customWidth="1"/>
  </cols>
  <sheetData>
    <row r="1" spans="2:32" x14ac:dyDescent="0.25">
      <c r="B1" s="52" t="s">
        <v>0</v>
      </c>
      <c r="C1" s="52"/>
      <c r="D1" s="52"/>
      <c r="E1" s="304"/>
      <c r="F1" s="52"/>
      <c r="G1" s="52"/>
      <c r="H1" s="304"/>
      <c r="I1" s="52"/>
      <c r="J1" s="52"/>
      <c r="K1" s="304"/>
      <c r="L1" s="52"/>
      <c r="M1" s="52"/>
      <c r="N1" s="304"/>
      <c r="O1" s="304"/>
      <c r="P1" s="304"/>
      <c r="Q1" s="304"/>
      <c r="R1" s="52"/>
      <c r="S1" s="52"/>
      <c r="T1" s="304"/>
      <c r="U1" s="52"/>
      <c r="V1" s="52"/>
      <c r="W1" s="304"/>
      <c r="X1" s="304"/>
      <c r="Y1" s="304"/>
      <c r="Z1" s="304"/>
      <c r="AA1" s="52"/>
      <c r="AB1" s="52"/>
      <c r="AC1" s="52"/>
      <c r="AD1" s="230"/>
    </row>
    <row r="2" spans="2:32" x14ac:dyDescent="0.25">
      <c r="B2" s="52" t="s">
        <v>195</v>
      </c>
      <c r="C2" s="52"/>
      <c r="D2" s="52"/>
      <c r="E2" s="304"/>
      <c r="F2" s="52"/>
      <c r="G2" s="52"/>
      <c r="H2" s="304"/>
      <c r="I2" s="52"/>
      <c r="J2" s="52"/>
      <c r="K2" s="304"/>
      <c r="L2" s="52"/>
      <c r="M2" s="52"/>
      <c r="N2" s="304"/>
      <c r="O2" s="304"/>
      <c r="P2" s="304"/>
      <c r="Q2" s="304"/>
      <c r="R2" s="52"/>
      <c r="S2" s="52"/>
      <c r="T2" s="304"/>
      <c r="U2" s="52"/>
      <c r="V2" s="52"/>
      <c r="W2" s="304"/>
      <c r="X2" s="304"/>
      <c r="Y2" s="304"/>
      <c r="Z2" s="304"/>
      <c r="AA2" s="52"/>
      <c r="AB2" s="52"/>
      <c r="AC2" s="52"/>
      <c r="AD2" s="230"/>
    </row>
    <row r="3" spans="2:32" x14ac:dyDescent="0.25">
      <c r="B3" s="257" t="s">
        <v>205</v>
      </c>
      <c r="C3" s="257"/>
      <c r="D3" s="257"/>
      <c r="E3" s="305"/>
      <c r="F3" s="257"/>
      <c r="G3" s="257"/>
      <c r="H3" s="305"/>
      <c r="I3" s="257"/>
      <c r="J3" s="257"/>
      <c r="K3" s="305"/>
      <c r="L3" s="257"/>
      <c r="M3" s="257"/>
      <c r="N3" s="305"/>
      <c r="O3" s="305"/>
      <c r="P3" s="305"/>
      <c r="Q3" s="305"/>
      <c r="R3" s="257"/>
      <c r="S3" s="257"/>
      <c r="T3" s="305"/>
      <c r="U3" s="257"/>
      <c r="V3" s="257"/>
      <c r="W3" s="305"/>
      <c r="X3" s="305"/>
      <c r="Y3" s="305"/>
      <c r="Z3" s="305"/>
      <c r="AA3" s="257"/>
      <c r="AB3" s="257"/>
      <c r="AC3" s="257"/>
      <c r="AD3" s="237"/>
    </row>
    <row r="4" spans="2:32" x14ac:dyDescent="0.25">
      <c r="B4" s="257" t="s">
        <v>204</v>
      </c>
      <c r="C4" s="257"/>
      <c r="D4" s="257"/>
      <c r="E4" s="305"/>
      <c r="F4" s="257"/>
      <c r="G4" s="257"/>
      <c r="H4" s="305"/>
      <c r="I4" s="257"/>
      <c r="J4" s="257"/>
      <c r="K4" s="305"/>
      <c r="L4" s="257"/>
      <c r="M4" s="257"/>
      <c r="N4" s="305"/>
      <c r="O4" s="305"/>
      <c r="P4" s="305"/>
      <c r="Q4" s="305"/>
      <c r="R4" s="257"/>
      <c r="S4" s="257"/>
      <c r="T4" s="305"/>
      <c r="U4" s="257"/>
      <c r="V4" s="257"/>
      <c r="W4" s="305"/>
      <c r="X4" s="305"/>
      <c r="Y4" s="305"/>
      <c r="Z4" s="305"/>
      <c r="AA4" s="257"/>
      <c r="AB4" s="257"/>
      <c r="AC4" s="257"/>
      <c r="AD4" s="237"/>
    </row>
    <row r="5" spans="2:32" x14ac:dyDescent="0.25">
      <c r="B5" s="257"/>
      <c r="C5" s="257"/>
      <c r="D5" s="257"/>
      <c r="E5" s="305"/>
      <c r="F5" s="257"/>
      <c r="G5" s="257"/>
      <c r="H5" s="305"/>
      <c r="I5" s="257"/>
      <c r="J5" s="257"/>
      <c r="K5" s="305"/>
      <c r="L5" s="257"/>
      <c r="M5" s="257"/>
      <c r="N5" s="305"/>
      <c r="O5" s="305"/>
      <c r="P5" s="305"/>
      <c r="Q5" s="305"/>
      <c r="R5" s="257"/>
      <c r="S5" s="257"/>
      <c r="T5" s="305"/>
      <c r="U5" s="257"/>
      <c r="V5" s="257"/>
      <c r="W5" s="305"/>
      <c r="X5" s="305"/>
      <c r="Y5" s="305"/>
      <c r="Z5" s="305"/>
      <c r="AA5" s="257"/>
      <c r="AB5" s="257"/>
      <c r="AC5" s="257"/>
      <c r="AD5" s="237"/>
    </row>
    <row r="6" spans="2:32" x14ac:dyDescent="0.25">
      <c r="B6" s="233"/>
      <c r="C6" s="233"/>
      <c r="D6" s="233"/>
      <c r="E6" s="4"/>
      <c r="F6" s="318" t="s">
        <v>342</v>
      </c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4"/>
      <c r="X6" s="318" t="s">
        <v>343</v>
      </c>
      <c r="Y6" s="320"/>
      <c r="Z6" s="4"/>
      <c r="AA6" s="233"/>
      <c r="AB6" s="233"/>
      <c r="AC6" s="233"/>
      <c r="AD6" s="237"/>
    </row>
    <row r="7" spans="2:32" x14ac:dyDescent="0.25">
      <c r="D7" s="85" t="s">
        <v>212</v>
      </c>
      <c r="E7" s="85"/>
      <c r="H7" s="4"/>
      <c r="AA7" s="107" t="str">
        <f>D7</f>
        <v>12ME Dec. 2023</v>
      </c>
      <c r="AE7" s="250"/>
      <c r="AF7" s="250"/>
    </row>
    <row r="8" spans="2:32" x14ac:dyDescent="0.25">
      <c r="B8" s="4"/>
      <c r="C8" s="4"/>
      <c r="D8" s="107" t="s">
        <v>136</v>
      </c>
      <c r="E8" s="107"/>
      <c r="F8" s="329"/>
      <c r="G8" s="4"/>
      <c r="H8" s="4"/>
      <c r="I8" s="395" t="s">
        <v>200</v>
      </c>
      <c r="J8" s="395" t="str">
        <f>I8</f>
        <v>Sch. 141N</v>
      </c>
      <c r="K8" s="395"/>
      <c r="L8" s="395" t="s">
        <v>198</v>
      </c>
      <c r="M8" s="4" t="str">
        <f>L8</f>
        <v>Sch. 141R</v>
      </c>
      <c r="N8" s="4"/>
      <c r="O8" s="334" t="s">
        <v>380</v>
      </c>
      <c r="P8" s="334" t="str">
        <f>O8</f>
        <v>Sch. 141D</v>
      </c>
      <c r="Q8" s="4"/>
      <c r="R8" s="4" t="s">
        <v>187</v>
      </c>
      <c r="S8" s="4" t="str">
        <f>R8</f>
        <v>Sch. 149</v>
      </c>
      <c r="T8" s="4"/>
      <c r="W8" s="4"/>
      <c r="X8" s="4" t="s">
        <v>206</v>
      </c>
      <c r="Y8" s="4" t="str">
        <f>X8</f>
        <v>Sch. 141X</v>
      </c>
      <c r="Z8" s="4"/>
      <c r="AA8" s="4" t="s">
        <v>136</v>
      </c>
      <c r="AB8" s="4"/>
      <c r="AC8" s="4"/>
      <c r="AD8" s="4"/>
    </row>
    <row r="9" spans="2:32" x14ac:dyDescent="0.25">
      <c r="B9" s="4"/>
      <c r="C9" s="4" t="s">
        <v>17</v>
      </c>
      <c r="D9" s="4" t="s">
        <v>188</v>
      </c>
      <c r="E9" s="4"/>
      <c r="F9" s="4" t="s">
        <v>197</v>
      </c>
      <c r="G9" s="4" t="str">
        <f>F9</f>
        <v>Base Rate</v>
      </c>
      <c r="H9" s="4"/>
      <c r="I9" s="395" t="s">
        <v>199</v>
      </c>
      <c r="J9" s="395" t="str">
        <f>I9</f>
        <v>Rate Plan</v>
      </c>
      <c r="K9" s="395"/>
      <c r="L9" s="395" t="s">
        <v>199</v>
      </c>
      <c r="M9" s="4" t="str">
        <f>L9</f>
        <v>Rate Plan</v>
      </c>
      <c r="N9" s="4"/>
      <c r="O9" s="334" t="s">
        <v>381</v>
      </c>
      <c r="P9" s="334" t="str">
        <f>O9</f>
        <v>Pipeline</v>
      </c>
      <c r="Q9" s="4"/>
      <c r="R9" s="4" t="s">
        <v>208</v>
      </c>
      <c r="S9" s="4" t="s">
        <v>208</v>
      </c>
      <c r="T9" s="4"/>
      <c r="U9" s="4" t="s">
        <v>339</v>
      </c>
      <c r="V9" s="4" t="s">
        <v>339</v>
      </c>
      <c r="W9" s="4"/>
      <c r="X9" s="4" t="s">
        <v>207</v>
      </c>
      <c r="Y9" s="4" t="s">
        <v>207</v>
      </c>
      <c r="Z9" s="4"/>
      <c r="AA9" s="4" t="s">
        <v>189</v>
      </c>
      <c r="AB9" s="4" t="s">
        <v>6</v>
      </c>
      <c r="AC9" s="4" t="s">
        <v>6</v>
      </c>
      <c r="AD9" s="4"/>
    </row>
    <row r="10" spans="2:32" x14ac:dyDescent="0.25">
      <c r="B10" s="234" t="s">
        <v>4</v>
      </c>
      <c r="C10" s="234" t="s">
        <v>21</v>
      </c>
      <c r="D10" s="234" t="s">
        <v>161</v>
      </c>
      <c r="E10" s="4"/>
      <c r="F10" s="234" t="s">
        <v>122</v>
      </c>
      <c r="G10" s="234" t="s">
        <v>190</v>
      </c>
      <c r="H10" s="4"/>
      <c r="I10" s="396" t="s">
        <v>122</v>
      </c>
      <c r="J10" s="396" t="s">
        <v>164</v>
      </c>
      <c r="K10" s="395"/>
      <c r="L10" s="396" t="s">
        <v>122</v>
      </c>
      <c r="M10" s="234" t="s">
        <v>164</v>
      </c>
      <c r="N10" s="4"/>
      <c r="O10" s="335" t="s">
        <v>122</v>
      </c>
      <c r="P10" s="335" t="s">
        <v>164</v>
      </c>
      <c r="Q10" s="4"/>
      <c r="R10" s="251" t="s">
        <v>122</v>
      </c>
      <c r="S10" s="251" t="s">
        <v>164</v>
      </c>
      <c r="T10" s="4"/>
      <c r="U10" s="317" t="s">
        <v>122</v>
      </c>
      <c r="V10" s="317" t="s">
        <v>164</v>
      </c>
      <c r="W10" s="4"/>
      <c r="X10" s="251" t="s">
        <v>122</v>
      </c>
      <c r="Y10" s="251" t="s">
        <v>164</v>
      </c>
      <c r="Z10" s="4"/>
      <c r="AA10" s="234" t="s">
        <v>131</v>
      </c>
      <c r="AB10" s="234" t="s">
        <v>122</v>
      </c>
      <c r="AC10" s="234" t="s">
        <v>164</v>
      </c>
      <c r="AD10" s="234"/>
    </row>
    <row r="11" spans="2:32" x14ac:dyDescent="0.25">
      <c r="B11" s="4" t="s">
        <v>25</v>
      </c>
      <c r="C11" s="4" t="s">
        <v>26</v>
      </c>
      <c r="D11" s="4" t="s">
        <v>27</v>
      </c>
      <c r="E11" s="4"/>
      <c r="F11" s="94" t="s">
        <v>28</v>
      </c>
      <c r="G11" s="5" t="s">
        <v>165</v>
      </c>
      <c r="H11" s="4"/>
      <c r="I11" s="397" t="s">
        <v>132</v>
      </c>
      <c r="J11" s="398" t="s">
        <v>191</v>
      </c>
      <c r="K11" s="398"/>
      <c r="L11" s="397" t="s">
        <v>78</v>
      </c>
      <c r="M11" s="5" t="s">
        <v>192</v>
      </c>
      <c r="N11" s="5"/>
      <c r="O11" s="336" t="s">
        <v>29</v>
      </c>
      <c r="P11" s="337" t="s">
        <v>340</v>
      </c>
      <c r="Q11" s="5"/>
      <c r="R11" s="94" t="s">
        <v>79</v>
      </c>
      <c r="S11" s="5" t="s">
        <v>209</v>
      </c>
      <c r="T11" s="5"/>
      <c r="U11" s="94" t="s">
        <v>382</v>
      </c>
      <c r="V11" s="5" t="s">
        <v>341</v>
      </c>
      <c r="W11" s="5"/>
      <c r="X11" s="94" t="s">
        <v>383</v>
      </c>
      <c r="Y11" s="5" t="s">
        <v>384</v>
      </c>
      <c r="Z11" s="5"/>
      <c r="AA11" s="4" t="s">
        <v>385</v>
      </c>
      <c r="AB11" s="94" t="s">
        <v>386</v>
      </c>
      <c r="AC11" s="5" t="s">
        <v>387</v>
      </c>
      <c r="AD11" s="4"/>
    </row>
    <row r="12" spans="2:32" x14ac:dyDescent="0.25">
      <c r="B12" t="s">
        <v>7</v>
      </c>
      <c r="C12" s="6" t="s">
        <v>30</v>
      </c>
      <c r="D12" s="192">
        <f>'Revenue by Sch_RY#1'!O11</f>
        <v>754207139.20534039</v>
      </c>
      <c r="E12" s="306"/>
      <c r="F12" s="238">
        <v>31174372.166929603</v>
      </c>
      <c r="G12" s="81">
        <f>F12/$D12</f>
        <v>4.1333965891354511E-2</v>
      </c>
      <c r="H12" s="196"/>
      <c r="I12" s="399">
        <f>'[1]Exh JDT-5 (JDT-MYRP)'!$H$19</f>
        <v>15616504.118939999</v>
      </c>
      <c r="J12" s="400">
        <f>I12/$D12</f>
        <v>2.0705855602738136E-2</v>
      </c>
      <c r="K12" s="413"/>
      <c r="L12" s="399">
        <f>'[1]Exh JDT-5 (JDT-MYRP)'!$I$19</f>
        <v>14267401.073619999</v>
      </c>
      <c r="M12" s="81">
        <f>L12/$D12</f>
        <v>1.8917085681067196E-2</v>
      </c>
      <c r="N12" s="240"/>
      <c r="O12" s="338">
        <f>'[1]Exh JDT-5 (JDT-MYRP)'!$J$19</f>
        <v>2074564.11686</v>
      </c>
      <c r="P12" s="339">
        <f>O12/$D12</f>
        <v>2.7506556342675767E-3</v>
      </c>
      <c r="Q12" s="240"/>
      <c r="R12" s="238">
        <f>'Sch. 149'!H9</f>
        <v>-14369220.17138</v>
      </c>
      <c r="S12" s="81">
        <f t="shared" ref="S12:S25" si="0">R12/$D12</f>
        <v>-1.9052087184589533E-2</v>
      </c>
      <c r="T12" s="241"/>
      <c r="U12" s="239">
        <f>SUM(F12,I12,L12,O12,R12)</f>
        <v>48763621.304969601</v>
      </c>
      <c r="V12" s="81">
        <f>U12/$D12</f>
        <v>6.4655475624837894E-2</v>
      </c>
      <c r="W12" s="241"/>
      <c r="X12" s="238">
        <f>'Sch. 141X'!H9</f>
        <v>-1998199.79354</v>
      </c>
      <c r="Y12" s="81">
        <f t="shared" ref="Y12:Y25" si="1">X12/$D12</f>
        <v>-2.6494045066258252E-3</v>
      </c>
      <c r="Z12" s="241"/>
      <c r="AA12" s="120">
        <f>SUM(D12,U12,X12)</f>
        <v>800972560.71676993</v>
      </c>
      <c r="AB12" s="239">
        <f>AA12-D12</f>
        <v>46765421.511429548</v>
      </c>
      <c r="AC12" s="81">
        <f>AB12/$D12</f>
        <v>6.2006071118211992E-2</v>
      </c>
      <c r="AD12" s="81"/>
    </row>
    <row r="13" spans="2:32" x14ac:dyDescent="0.25">
      <c r="B13" t="s">
        <v>31</v>
      </c>
      <c r="C13" s="6">
        <v>16</v>
      </c>
      <c r="D13" s="192">
        <f>'Revenue by Sch_RY#1'!O12</f>
        <v>10346.180891708256</v>
      </c>
      <c r="E13" s="306"/>
      <c r="F13" s="238">
        <v>215.27438829174207</v>
      </c>
      <c r="G13" s="81">
        <f t="shared" ref="G13:G23" si="2">F13/$D13</f>
        <v>2.0807135555137017E-2</v>
      </c>
      <c r="H13" s="196"/>
      <c r="I13" s="399">
        <f>'[1]Exh JDT-5 (JDT-MYRP)'!$H$35</f>
        <v>216.73728</v>
      </c>
      <c r="J13" s="400">
        <f t="shared" ref="J13:J23" si="3">I13/$D13</f>
        <v>2.0948529923123599E-2</v>
      </c>
      <c r="K13" s="413"/>
      <c r="L13" s="399">
        <f>'[1]Exh JDT-5 (JDT-MYRP)'!$I$35</f>
        <v>198.01344</v>
      </c>
      <c r="M13" s="81">
        <f t="shared" ref="M13:M25" si="4">L13/$D13</f>
        <v>1.9138795471737208E-2</v>
      </c>
      <c r="N13" s="240"/>
      <c r="O13" s="338">
        <f>'[1]Exh JDT-5 (JDT-MYRP)'!$J$35</f>
        <v>28.79232</v>
      </c>
      <c r="P13" s="339">
        <f t="shared" ref="P13:P23" si="5">O13/$D13</f>
        <v>2.7828935431696384E-3</v>
      </c>
      <c r="Q13" s="240"/>
      <c r="R13" s="238">
        <f>'Sch. 149'!H10</f>
        <v>-199.42655999999999</v>
      </c>
      <c r="S13" s="81">
        <f t="shared" si="0"/>
        <v>-1.9275379203917312E-2</v>
      </c>
      <c r="T13" s="241"/>
      <c r="U13" s="239">
        <f t="shared" ref="U13:U24" si="6">SUM(F13,I13,L13,O13,R13)</f>
        <v>459.39086829174209</v>
      </c>
      <c r="V13" s="81">
        <f t="shared" ref="V13:V16" si="7">U13/$D13</f>
        <v>4.4401975289250155E-2</v>
      </c>
      <c r="W13" s="241"/>
      <c r="X13" s="238">
        <f>'Sch. 141X'!H10</f>
        <v>-27.732479999999999</v>
      </c>
      <c r="Y13" s="81">
        <f t="shared" si="1"/>
        <v>-2.6804557440345596E-3</v>
      </c>
      <c r="Z13" s="241"/>
      <c r="AA13" s="120">
        <f t="shared" ref="AA13:AA24" si="8">SUM(D13,U13,X13)</f>
        <v>10777.839279999998</v>
      </c>
      <c r="AB13" s="239">
        <f t="shared" ref="AB13:AB24" si="9">AA13-D13</f>
        <v>431.65838829174209</v>
      </c>
      <c r="AC13" s="81">
        <f t="shared" ref="AC13:AC25" si="10">AB13/$D13</f>
        <v>4.1721519545215593E-2</v>
      </c>
      <c r="AD13" s="81"/>
    </row>
    <row r="14" spans="2:32" x14ac:dyDescent="0.25">
      <c r="B14" t="s">
        <v>8</v>
      </c>
      <c r="C14" s="6">
        <v>31</v>
      </c>
      <c r="D14" s="192">
        <f>'Revenue by Sch_RY#1'!O13</f>
        <v>263664735.84557974</v>
      </c>
      <c r="E14" s="306"/>
      <c r="F14" s="238">
        <v>11472613.184340313</v>
      </c>
      <c r="G14" s="81">
        <f t="shared" si="2"/>
        <v>4.3512125910760653E-2</v>
      </c>
      <c r="H14" s="196"/>
      <c r="I14" s="399">
        <f>'[1]Exh JDT-5 (JDT-MYRP)'!$H$49</f>
        <v>5508304.4172</v>
      </c>
      <c r="J14" s="400">
        <f t="shared" si="3"/>
        <v>2.0891320181801041E-2</v>
      </c>
      <c r="K14" s="413"/>
      <c r="L14" s="399">
        <f>'[1]Exh JDT-5 (JDT-MYRP)'!$I$49</f>
        <v>5031647.6111199996</v>
      </c>
      <c r="M14" s="81">
        <f t="shared" si="4"/>
        <v>1.9083506161654017E-2</v>
      </c>
      <c r="N14" s="240"/>
      <c r="O14" s="338">
        <f>'[1]Exh JDT-5 (JDT-MYRP)'!$J$49</f>
        <v>732008.66648000001</v>
      </c>
      <c r="P14" s="339">
        <f t="shared" si="5"/>
        <v>2.7762858166543547E-3</v>
      </c>
      <c r="Q14" s="240"/>
      <c r="R14" s="238">
        <f>'Sch. 149'!H11</f>
        <v>-6011712.3705599997</v>
      </c>
      <c r="S14" s="81">
        <f t="shared" si="0"/>
        <v>-2.2800593152058353E-2</v>
      </c>
      <c r="T14" s="241"/>
      <c r="U14" s="239">
        <f t="shared" si="6"/>
        <v>16732861.508580314</v>
      </c>
      <c r="V14" s="81">
        <f t="shared" si="7"/>
        <v>6.346264491881172E-2</v>
      </c>
      <c r="W14" s="241"/>
      <c r="X14" s="238">
        <f>'Sch. 141X'!H11</f>
        <v>-860900.55792000005</v>
      </c>
      <c r="Y14" s="81">
        <f t="shared" si="1"/>
        <v>-3.2651334853675798E-3</v>
      </c>
      <c r="Z14" s="241"/>
      <c r="AA14" s="120">
        <f t="shared" si="8"/>
        <v>279536696.79624009</v>
      </c>
      <c r="AB14" s="239">
        <f t="shared" si="9"/>
        <v>15871960.950660348</v>
      </c>
      <c r="AC14" s="81">
        <f t="shared" si="10"/>
        <v>6.0197511433444262E-2</v>
      </c>
      <c r="AD14" s="81"/>
    </row>
    <row r="15" spans="2:32" x14ac:dyDescent="0.25">
      <c r="B15" t="s">
        <v>9</v>
      </c>
      <c r="C15" s="6">
        <v>41</v>
      </c>
      <c r="D15" s="192">
        <f>'Revenue by Sch_RY#1'!O14</f>
        <v>48031953.478729695</v>
      </c>
      <c r="E15" s="306"/>
      <c r="F15" s="238">
        <v>1706285.3580703046</v>
      </c>
      <c r="G15" s="81">
        <f t="shared" si="2"/>
        <v>3.552396341377017E-2</v>
      </c>
      <c r="H15" s="196"/>
      <c r="I15" s="399">
        <f>'[1]Exh JDT-5 (JDT-MYRP)'!$H$80</f>
        <v>724774.84454999992</v>
      </c>
      <c r="J15" s="400">
        <f t="shared" si="3"/>
        <v>1.5089430932076429E-2</v>
      </c>
      <c r="K15" s="413"/>
      <c r="L15" s="399">
        <f>'[1]Exh JDT-5 (JDT-MYRP)'!$I$80</f>
        <v>661867.33265</v>
      </c>
      <c r="M15" s="81">
        <f t="shared" si="4"/>
        <v>1.3779729632339418E-2</v>
      </c>
      <c r="N15" s="240"/>
      <c r="O15" s="338">
        <f>'[1]Exh JDT-5 (JDT-MYRP)'!$J$80</f>
        <v>151914.94894999999</v>
      </c>
      <c r="P15" s="339">
        <f t="shared" si="5"/>
        <v>3.1627893089393811E-3</v>
      </c>
      <c r="Q15" s="240"/>
      <c r="R15" s="238">
        <f>'Sch. 149'!H12</f>
        <v>-752882.45624999993</v>
      </c>
      <c r="S15" s="81">
        <f t="shared" si="0"/>
        <v>-1.5674616619192967E-2</v>
      </c>
      <c r="T15" s="241"/>
      <c r="U15" s="239">
        <f t="shared" si="6"/>
        <v>2491960.0279703047</v>
      </c>
      <c r="V15" s="81">
        <f t="shared" si="7"/>
        <v>5.1881296667932439E-2</v>
      </c>
      <c r="W15" s="241"/>
      <c r="X15" s="238">
        <f>'Sch. 141X'!H12</f>
        <v>-89007.437050000008</v>
      </c>
      <c r="Y15" s="81">
        <f t="shared" si="1"/>
        <v>-1.8530880092023688E-3</v>
      </c>
      <c r="Z15" s="241"/>
      <c r="AA15" s="120">
        <f t="shared" si="8"/>
        <v>50434906.069650002</v>
      </c>
      <c r="AB15" s="239">
        <f t="shared" si="9"/>
        <v>2402952.5909203067</v>
      </c>
      <c r="AC15" s="81">
        <f t="shared" si="10"/>
        <v>5.002820865873011E-2</v>
      </c>
      <c r="AD15" s="81"/>
    </row>
    <row r="16" spans="2:32" x14ac:dyDescent="0.25">
      <c r="B16" t="s">
        <v>10</v>
      </c>
      <c r="C16" s="6">
        <v>85</v>
      </c>
      <c r="D16" s="192">
        <f>'Revenue by Sch_RY#1'!O15</f>
        <v>6262366.3661821345</v>
      </c>
      <c r="E16" s="306"/>
      <c r="F16" s="238">
        <v>228268.08826498454</v>
      </c>
      <c r="G16" s="81">
        <f t="shared" si="2"/>
        <v>3.6450771947433777E-2</v>
      </c>
      <c r="H16" s="196"/>
      <c r="I16" s="399">
        <f>'[1]Exh JDT-5 (JDT-MYRP)'!$H$117</f>
        <v>71642.681600000011</v>
      </c>
      <c r="J16" s="400">
        <f t="shared" si="3"/>
        <v>1.1440193276918918E-2</v>
      </c>
      <c r="K16" s="413"/>
      <c r="L16" s="399">
        <f>'[1]Exh JDT-5 (JDT-MYRP)'!$I$117</f>
        <v>65412.883199999997</v>
      </c>
      <c r="M16" s="81">
        <f t="shared" si="4"/>
        <v>1.0445393861534662E-2</v>
      </c>
      <c r="N16" s="240"/>
      <c r="O16" s="338">
        <f>'[1]Exh JDT-5 (JDT-MYRP)'!$J$117</f>
        <v>20469.337599999999</v>
      </c>
      <c r="P16" s="339">
        <f t="shared" si="5"/>
        <v>3.2686266505482617E-3</v>
      </c>
      <c r="Q16" s="240"/>
      <c r="R16" s="238">
        <f>'Sch. 149'!H13</f>
        <v>-74646.334399999992</v>
      </c>
      <c r="S16" s="81">
        <f t="shared" si="0"/>
        <v>-1.1919828709336323E-2</v>
      </c>
      <c r="T16" s="241"/>
      <c r="U16" s="239">
        <f t="shared" si="6"/>
        <v>311146.65626498457</v>
      </c>
      <c r="V16" s="81">
        <f t="shared" si="7"/>
        <v>4.9685157027099296E-2</v>
      </c>
      <c r="W16" s="241"/>
      <c r="X16" s="238">
        <f>'Sch. 141X'!H13</f>
        <v>-9010.9583999999995</v>
      </c>
      <c r="Y16" s="81">
        <f t="shared" si="1"/>
        <v>-1.4389062972522239E-3</v>
      </c>
      <c r="Z16" s="241"/>
      <c r="AA16" s="120">
        <f t="shared" si="8"/>
        <v>6564502.0640471196</v>
      </c>
      <c r="AB16" s="239">
        <f t="shared" si="9"/>
        <v>302135.69786498509</v>
      </c>
      <c r="AC16" s="81">
        <f t="shared" si="10"/>
        <v>4.8246250729847159E-2</v>
      </c>
      <c r="AD16" s="81"/>
    </row>
    <row r="17" spans="2:30" x14ac:dyDescent="0.25">
      <c r="B17" t="s">
        <v>11</v>
      </c>
      <c r="C17" s="6">
        <v>86</v>
      </c>
      <c r="D17" s="192">
        <f>'Revenue by Sch_RY#1'!O16</f>
        <v>3697688.1502850014</v>
      </c>
      <c r="E17" s="306"/>
      <c r="F17" s="238">
        <v>50570.074469880899</v>
      </c>
      <c r="G17" s="81">
        <f t="shared" si="2"/>
        <v>1.367613287399133E-2</v>
      </c>
      <c r="H17" s="196"/>
      <c r="I17" s="399">
        <f>'[1]Exh JDT-5 (JDT-MYRP)'!$H$153</f>
        <v>29880.322500000002</v>
      </c>
      <c r="J17" s="400">
        <f t="shared" si="3"/>
        <v>8.0808119250664664E-3</v>
      </c>
      <c r="K17" s="413"/>
      <c r="L17" s="399">
        <f>'[1]Exh JDT-5 (JDT-MYRP)'!$I$153</f>
        <v>27319.151999999998</v>
      </c>
      <c r="M17" s="81">
        <f t="shared" si="4"/>
        <v>7.3881709029179109E-3</v>
      </c>
      <c r="N17" s="240"/>
      <c r="O17" s="338">
        <f>'[1]Exh JDT-5 (JDT-MYRP)'!$J$153</f>
        <v>2788.8301000000001</v>
      </c>
      <c r="P17" s="339">
        <f t="shared" si="5"/>
        <v>7.542091130062035E-4</v>
      </c>
      <c r="Q17" s="240"/>
      <c r="R17" s="238">
        <f>'Sch. 149'!H14</f>
        <v>-48150.005400000002</v>
      </c>
      <c r="S17" s="81">
        <f t="shared" si="0"/>
        <v>-1.3021651216392819E-2</v>
      </c>
      <c r="T17" s="241"/>
      <c r="U17" s="239">
        <f t="shared" si="6"/>
        <v>62408.373669880915</v>
      </c>
      <c r="V17" s="81">
        <f>U17/$D17</f>
        <v>1.6877673598589094E-2</v>
      </c>
      <c r="W17" s="241"/>
      <c r="X17" s="238">
        <f>'Sch. 141X'!H14</f>
        <v>-6943.6178</v>
      </c>
      <c r="Y17" s="81">
        <f t="shared" si="1"/>
        <v>-1.8778267711583026E-3</v>
      </c>
      <c r="Z17" s="241"/>
      <c r="AA17" s="120">
        <f t="shared" si="8"/>
        <v>3753152.9061548822</v>
      </c>
      <c r="AB17" s="239">
        <f t="shared" si="9"/>
        <v>55464.755869880784</v>
      </c>
      <c r="AC17" s="81">
        <f>AB17/$D17</f>
        <v>1.4999846827430758E-2</v>
      </c>
      <c r="AD17" s="81"/>
    </row>
    <row r="18" spans="2:30" x14ac:dyDescent="0.25">
      <c r="B18" t="s">
        <v>12</v>
      </c>
      <c r="C18" s="6">
        <v>87</v>
      </c>
      <c r="D18" s="192">
        <f>'Revenue by Sch_RY#1'!O17</f>
        <v>11062369.983882254</v>
      </c>
      <c r="E18" s="306"/>
      <c r="F18" s="238">
        <v>193717.55461970414</v>
      </c>
      <c r="G18" s="81">
        <f t="shared" si="2"/>
        <v>1.7511397187216518E-2</v>
      </c>
      <c r="H18" s="196"/>
      <c r="I18" s="399">
        <f>'[1]Exh JDT-5 (JDT-MYRP)'!$H$192</f>
        <v>66234.368837252085</v>
      </c>
      <c r="J18" s="400">
        <f t="shared" si="3"/>
        <v>5.9873579471446713E-3</v>
      </c>
      <c r="K18" s="413"/>
      <c r="L18" s="399">
        <f>'[1]Exh JDT-5 (JDT-MYRP)'!$I$192</f>
        <v>60554.225481557871</v>
      </c>
      <c r="M18" s="81">
        <f t="shared" si="4"/>
        <v>5.4738926260633732E-3</v>
      </c>
      <c r="N18" s="240"/>
      <c r="O18" s="338">
        <f>'[1]Exh JDT-5 (JDT-MYRP)'!$J$192</f>
        <v>17428.370257522623</v>
      </c>
      <c r="P18" s="339">
        <f t="shared" si="5"/>
        <v>1.5754644152126134E-3</v>
      </c>
      <c r="Q18" s="240"/>
      <c r="R18" s="238">
        <f>'Sch. 149'!H15</f>
        <v>-81604.764551208456</v>
      </c>
      <c r="S18" s="81">
        <f t="shared" si="0"/>
        <v>-7.3767885787679914E-3</v>
      </c>
      <c r="T18" s="241"/>
      <c r="U18" s="239">
        <f t="shared" si="6"/>
        <v>256329.75464482827</v>
      </c>
      <c r="V18" s="81">
        <f t="shared" ref="V18:V19" si="11">U18/$D18</f>
        <v>2.3171323596869187E-2</v>
      </c>
      <c r="W18" s="241"/>
      <c r="X18" s="238">
        <f>'Sch. 141X'!H15</f>
        <v>-9382.3659778127385</v>
      </c>
      <c r="Y18" s="81">
        <f t="shared" si="1"/>
        <v>-8.4813344622198844E-4</v>
      </c>
      <c r="Z18" s="241"/>
      <c r="AA18" s="120">
        <f t="shared" si="8"/>
        <v>11309317.372549269</v>
      </c>
      <c r="AB18" s="239">
        <f t="shared" si="9"/>
        <v>246947.38866701536</v>
      </c>
      <c r="AC18" s="81">
        <f t="shared" si="10"/>
        <v>2.2323190150647182E-2</v>
      </c>
      <c r="AD18" s="81"/>
    </row>
    <row r="19" spans="2:30" x14ac:dyDescent="0.25">
      <c r="B19" t="s">
        <v>32</v>
      </c>
      <c r="C19" s="6" t="s">
        <v>33</v>
      </c>
      <c r="D19" s="192">
        <f>'Revenue by Sch_RY#1'!O18</f>
        <v>25227.026823518318</v>
      </c>
      <c r="E19" s="306"/>
      <c r="F19" s="238">
        <v>703.26913648168556</v>
      </c>
      <c r="G19" s="81">
        <f t="shared" si="2"/>
        <v>2.7877606877797077E-2</v>
      </c>
      <c r="H19" s="196"/>
      <c r="I19" s="399">
        <f>'[1]Exh JDT-5 (JDT-MYRP)'!$H$59</f>
        <v>779.09204999999997</v>
      </c>
      <c r="J19" s="400">
        <f t="shared" si="3"/>
        <v>3.0883229143502489E-2</v>
      </c>
      <c r="K19" s="413"/>
      <c r="L19" s="399">
        <f>'[1]Exh JDT-5 (JDT-MYRP)'!$I$59</f>
        <v>711.67393000000004</v>
      </c>
      <c r="M19" s="81">
        <f t="shared" si="4"/>
        <v>2.8210773111658569E-2</v>
      </c>
      <c r="N19" s="240"/>
      <c r="O19" s="338"/>
      <c r="P19" s="339">
        <f t="shared" si="5"/>
        <v>0</v>
      </c>
      <c r="Q19" s="240"/>
      <c r="R19" s="238">
        <f>'Sch. 149'!H16</f>
        <v>-850.29383999999993</v>
      </c>
      <c r="S19" s="81">
        <f t="shared" si="0"/>
        <v>-3.3705669952643777E-2</v>
      </c>
      <c r="T19" s="241"/>
      <c r="U19" s="239">
        <f t="shared" si="6"/>
        <v>1343.7412764816859</v>
      </c>
      <c r="V19" s="81">
        <f t="shared" si="11"/>
        <v>5.3265939180314366E-2</v>
      </c>
      <c r="W19" s="241"/>
      <c r="X19" s="238">
        <f>'Sch. 141X'!H16</f>
        <v>-121.76538000000001</v>
      </c>
      <c r="Y19" s="81">
        <f t="shared" si="1"/>
        <v>-4.8267828330242311E-3</v>
      </c>
      <c r="Z19" s="241"/>
      <c r="AA19" s="120">
        <f>SUM(D19,U19,X19)</f>
        <v>26449.002720000004</v>
      </c>
      <c r="AB19" s="239">
        <f>AA19-D19</f>
        <v>1221.9758964816865</v>
      </c>
      <c r="AC19" s="81">
        <f t="shared" si="10"/>
        <v>4.8439156347290166E-2</v>
      </c>
      <c r="AD19" s="81"/>
    </row>
    <row r="20" spans="2:30" x14ac:dyDescent="0.25">
      <c r="B20" t="s">
        <v>34</v>
      </c>
      <c r="C20" t="s">
        <v>35</v>
      </c>
      <c r="D20" s="192">
        <f>'Revenue by Sch_RY#1'!O19</f>
        <v>4847808.8298120676</v>
      </c>
      <c r="E20" s="306"/>
      <c r="F20" s="238">
        <v>370914.63848793134</v>
      </c>
      <c r="G20" s="81">
        <f t="shared" si="2"/>
        <v>7.6511812142210728E-2</v>
      </c>
      <c r="H20" s="196"/>
      <c r="I20" s="399">
        <f>'[1]Exh JDT-5 (JDT-MYRP)'!$H$97</f>
        <v>275780.76243</v>
      </c>
      <c r="J20" s="400">
        <f t="shared" si="3"/>
        <v>5.6887714039806941E-2</v>
      </c>
      <c r="K20" s="413"/>
      <c r="L20" s="399">
        <f>'[1]Exh JDT-5 (JDT-MYRP)'!$I$97</f>
        <v>251844.11268999998</v>
      </c>
      <c r="M20" s="81">
        <f t="shared" si="4"/>
        <v>5.1950091583904949E-2</v>
      </c>
      <c r="N20" s="240"/>
      <c r="O20" s="338"/>
      <c r="P20" s="339">
        <f t="shared" si="5"/>
        <v>0</v>
      </c>
      <c r="Q20" s="240"/>
      <c r="R20" s="238">
        <f>'Sch. 149'!H17</f>
        <v>-286475.86125000002</v>
      </c>
      <c r="S20" s="81">
        <f t="shared" si="0"/>
        <v>-5.9093885775422725E-2</v>
      </c>
      <c r="T20" s="241"/>
      <c r="U20" s="239">
        <f t="shared" si="6"/>
        <v>612063.65235793125</v>
      </c>
      <c r="V20" s="81">
        <f>U20/$D20</f>
        <v>0.12625573199049989</v>
      </c>
      <c r="W20" s="241"/>
      <c r="X20" s="238">
        <f>'Sch. 141X'!H17</f>
        <v>-33867.81293</v>
      </c>
      <c r="Y20" s="81">
        <f t="shared" si="1"/>
        <v>-6.9862104961166413E-3</v>
      </c>
      <c r="Z20" s="241"/>
      <c r="AA20" s="120">
        <f t="shared" si="8"/>
        <v>5426004.6692399988</v>
      </c>
      <c r="AB20" s="239">
        <f t="shared" si="9"/>
        <v>578195.83942793123</v>
      </c>
      <c r="AC20" s="81">
        <f>AB20/$D20</f>
        <v>0.11926952149438323</v>
      </c>
      <c r="AD20" s="81"/>
    </row>
    <row r="21" spans="2:30" x14ac:dyDescent="0.25">
      <c r="B21" t="s">
        <v>36</v>
      </c>
      <c r="C21" t="s">
        <v>37</v>
      </c>
      <c r="D21" s="192">
        <f>'Revenue by Sch_RY#1'!O20</f>
        <v>6975820.2195017952</v>
      </c>
      <c r="E21" s="306"/>
      <c r="F21" s="238">
        <v>666897.40410293639</v>
      </c>
      <c r="G21" s="81">
        <f t="shared" si="2"/>
        <v>9.5601288897689707E-2</v>
      </c>
      <c r="H21" s="196"/>
      <c r="I21" s="399">
        <f>'[1]Exh JDT-5 (JDT-MYRP)'!$H$134</f>
        <v>404351.61592000001</v>
      </c>
      <c r="J21" s="400">
        <f t="shared" si="3"/>
        <v>5.7964741520944517E-2</v>
      </c>
      <c r="K21" s="413"/>
      <c r="L21" s="399">
        <f>'[1]Exh JDT-5 (JDT-MYRP)'!$I$134</f>
        <v>369190.60583999997</v>
      </c>
      <c r="M21" s="81">
        <f t="shared" si="4"/>
        <v>5.2924329214775426E-2</v>
      </c>
      <c r="N21" s="240"/>
      <c r="O21" s="338"/>
      <c r="P21" s="339">
        <f t="shared" si="5"/>
        <v>0</v>
      </c>
      <c r="Q21" s="240"/>
      <c r="R21" s="238">
        <f>'Sch. 149'!H18</f>
        <v>-421304.24578</v>
      </c>
      <c r="S21" s="81">
        <f t="shared" si="0"/>
        <v>-6.0394940311418899E-2</v>
      </c>
      <c r="T21" s="241"/>
      <c r="U21" s="239">
        <f t="shared" si="6"/>
        <v>1019135.3800829365</v>
      </c>
      <c r="V21" s="81">
        <f t="shared" ref="V21:V25" si="12">U21/$D21</f>
        <v>0.14609541932199077</v>
      </c>
      <c r="W21" s="241"/>
      <c r="X21" s="238">
        <f>'Sch. 141X'!H18</f>
        <v>-50857.889579999995</v>
      </c>
      <c r="Y21" s="81">
        <f t="shared" si="1"/>
        <v>-7.2905963714231447E-3</v>
      </c>
      <c r="Z21" s="241"/>
      <c r="AA21" s="120">
        <f t="shared" si="8"/>
        <v>7944097.710004732</v>
      </c>
      <c r="AB21" s="239">
        <f t="shared" si="9"/>
        <v>968277.49050293677</v>
      </c>
      <c r="AC21" s="81">
        <f t="shared" si="10"/>
        <v>0.13880482295056767</v>
      </c>
      <c r="AD21" s="81"/>
    </row>
    <row r="22" spans="2:30" x14ac:dyDescent="0.25">
      <c r="B22" t="s">
        <v>38</v>
      </c>
      <c r="C22" t="s">
        <v>39</v>
      </c>
      <c r="D22" s="192">
        <f>'Revenue by Sch_RY#1'!O21</f>
        <v>140883.25711508218</v>
      </c>
      <c r="E22" s="306"/>
      <c r="F22" s="238">
        <v>8817.8948840305384</v>
      </c>
      <c r="G22" s="81">
        <f t="shared" si="2"/>
        <v>6.259008390775303E-2</v>
      </c>
      <c r="H22" s="196"/>
      <c r="I22" s="399">
        <f>'[1]Exh JDT-5 (JDT-MYRP)'!$H$169</f>
        <v>2847.64725</v>
      </c>
      <c r="J22" s="400">
        <f t="shared" si="3"/>
        <v>2.0212815265009561E-2</v>
      </c>
      <c r="K22" s="413"/>
      <c r="L22" s="399">
        <f>'[1]Exh JDT-5 (JDT-MYRP)'!$I$169</f>
        <v>2603.5631999999996</v>
      </c>
      <c r="M22" s="81">
        <f t="shared" si="4"/>
        <v>1.8480288242294453E-2</v>
      </c>
      <c r="N22" s="240"/>
      <c r="O22" s="338"/>
      <c r="P22" s="339">
        <f t="shared" si="5"/>
        <v>0</v>
      </c>
      <c r="Q22" s="240"/>
      <c r="R22" s="238">
        <f>'Sch. 149'!H19</f>
        <v>-4588.7801399999998</v>
      </c>
      <c r="S22" s="81">
        <f t="shared" si="0"/>
        <v>-3.2571508027043977E-2</v>
      </c>
      <c r="T22" s="241"/>
      <c r="U22" s="239">
        <f t="shared" si="6"/>
        <v>9680.3251940305381</v>
      </c>
      <c r="V22" s="81">
        <f t="shared" si="12"/>
        <v>6.8711679388013078E-2</v>
      </c>
      <c r="W22" s="241"/>
      <c r="X22" s="238">
        <f>'Sch. 141X'!H19</f>
        <v>-661.73897999999997</v>
      </c>
      <c r="Y22" s="81">
        <f t="shared" si="1"/>
        <v>-4.6970732615831739E-3</v>
      </c>
      <c r="Z22" s="241"/>
      <c r="AA22" s="120">
        <f t="shared" si="8"/>
        <v>149901.84332911271</v>
      </c>
      <c r="AB22" s="239">
        <f t="shared" si="9"/>
        <v>9018.5862140305398</v>
      </c>
      <c r="AC22" s="81">
        <f t="shared" si="10"/>
        <v>6.401460612642991E-2</v>
      </c>
      <c r="AD22" s="81"/>
    </row>
    <row r="23" spans="2:30" x14ac:dyDescent="0.25">
      <c r="B23" t="s">
        <v>40</v>
      </c>
      <c r="C23" t="s">
        <v>41</v>
      </c>
      <c r="D23" s="192">
        <f>'Revenue by Sch_RY#1'!O22</f>
        <v>6088383.7285085246</v>
      </c>
      <c r="E23" s="306"/>
      <c r="F23" s="238">
        <v>564949.66697120015</v>
      </c>
      <c r="G23" s="81">
        <f t="shared" si="2"/>
        <v>9.2791402802989267E-2</v>
      </c>
      <c r="H23" s="196"/>
      <c r="I23" s="399">
        <f>'[1]Exh JDT-5 (JDT-MYRP)'!$H$212</f>
        <v>245170.63667129184</v>
      </c>
      <c r="J23" s="400">
        <f t="shared" si="3"/>
        <v>4.0268591403543393E-2</v>
      </c>
      <c r="K23" s="413"/>
      <c r="L23" s="399">
        <f>'[1]Exh JDT-5 (JDT-MYRP)'!$I$212</f>
        <v>223930.39723637264</v>
      </c>
      <c r="M23" s="81">
        <f t="shared" si="4"/>
        <v>3.6779941479021888E-2</v>
      </c>
      <c r="N23" s="240"/>
      <c r="O23" s="338"/>
      <c r="P23" s="339">
        <f t="shared" si="5"/>
        <v>0</v>
      </c>
      <c r="Q23" s="240"/>
      <c r="R23" s="238">
        <f>'Sch. 149'!H20</f>
        <v>-482285.76329409354</v>
      </c>
      <c r="S23" s="81">
        <f t="shared" si="0"/>
        <v>-7.9214087810499975E-2</v>
      </c>
      <c r="T23" s="241"/>
      <c r="U23" s="239">
        <f t="shared" si="6"/>
        <v>551764.93758477108</v>
      </c>
      <c r="V23" s="81">
        <f t="shared" si="12"/>
        <v>9.0625847875054566E-2</v>
      </c>
      <c r="W23" s="241"/>
      <c r="X23" s="238">
        <f>'Sch. 141X'!H20</f>
        <v>-55449.96743755621</v>
      </c>
      <c r="Y23" s="81">
        <f t="shared" si="1"/>
        <v>-9.1075020744692484E-3</v>
      </c>
      <c r="Z23" s="241"/>
      <c r="AA23" s="120">
        <f t="shared" si="8"/>
        <v>6584698.6986557394</v>
      </c>
      <c r="AB23" s="239">
        <f t="shared" si="9"/>
        <v>496314.97014721483</v>
      </c>
      <c r="AC23" s="81">
        <f t="shared" si="10"/>
        <v>8.1518345800585312E-2</v>
      </c>
      <c r="AD23" s="81"/>
    </row>
    <row r="24" spans="2:30" x14ac:dyDescent="0.25">
      <c r="B24" t="s">
        <v>13</v>
      </c>
      <c r="D24" s="192">
        <f>'Revenue by Sch_RY#1'!O23</f>
        <v>1694863.0973755296</v>
      </c>
      <c r="E24" s="306"/>
      <c r="F24" s="238">
        <v>20093.055977700045</v>
      </c>
      <c r="G24" s="81">
        <f>F24/$D24</f>
        <v>1.1855267843646985E-2</v>
      </c>
      <c r="H24" s="196"/>
      <c r="I24" s="399"/>
      <c r="J24" s="400">
        <f>I24/$D24</f>
        <v>0</v>
      </c>
      <c r="K24" s="413"/>
      <c r="L24" s="399"/>
      <c r="M24" s="81">
        <f>L24/$D24</f>
        <v>0</v>
      </c>
      <c r="N24" s="240"/>
      <c r="O24" s="340"/>
      <c r="P24" s="339">
        <f>O24/$D24</f>
        <v>0</v>
      </c>
      <c r="Q24" s="240"/>
      <c r="R24" s="238">
        <f>'Sch. 149'!H21</f>
        <v>-28892.086800000001</v>
      </c>
      <c r="S24" s="81">
        <f t="shared" si="0"/>
        <v>-1.704685578719542E-2</v>
      </c>
      <c r="T24" s="241"/>
      <c r="U24" s="239">
        <f t="shared" si="6"/>
        <v>-8799.0308222999556</v>
      </c>
      <c r="V24" s="81">
        <f t="shared" si="12"/>
        <v>-5.1915879435484348E-3</v>
      </c>
      <c r="W24" s="241"/>
      <c r="X24" s="238">
        <f>'Sch. 141X'!H21</f>
        <v>-6524.0196000000005</v>
      </c>
      <c r="Y24" s="81">
        <f t="shared" si="1"/>
        <v>-3.8492900164634821E-3</v>
      </c>
      <c r="Z24" s="241"/>
      <c r="AA24" s="120">
        <f t="shared" si="8"/>
        <v>1679540.0469532297</v>
      </c>
      <c r="AB24" s="239">
        <f t="shared" si="9"/>
        <v>-15323.050422299886</v>
      </c>
      <c r="AC24" s="81">
        <f t="shared" si="10"/>
        <v>-9.0408779600118748E-3</v>
      </c>
      <c r="AD24" s="241"/>
    </row>
    <row r="25" spans="2:30" x14ac:dyDescent="0.25">
      <c r="B25" t="s">
        <v>6</v>
      </c>
      <c r="D25" s="12">
        <f>SUM(D12:D24)</f>
        <v>1106709585.3700273</v>
      </c>
      <c r="E25" s="200"/>
      <c r="F25" s="102">
        <f>SUM(F12:F24)</f>
        <v>46458417.630643368</v>
      </c>
      <c r="G25" s="82">
        <f t="shared" ref="G25" si="13">F25/$D25</f>
        <v>4.1978869836127822E-2</v>
      </c>
      <c r="H25" s="196"/>
      <c r="I25" s="402">
        <f>SUM(I12:I24)</f>
        <v>22946487.245228548</v>
      </c>
      <c r="J25" s="403">
        <f t="shared" ref="J25" si="14">I25/$D25</f>
        <v>2.0733973527080649E-2</v>
      </c>
      <c r="K25" s="413"/>
      <c r="L25" s="402">
        <f>SUM(L12:L24)</f>
        <v>20962680.644407932</v>
      </c>
      <c r="M25" s="82">
        <f t="shared" si="4"/>
        <v>1.8941446718742459E-2</v>
      </c>
      <c r="N25" s="200"/>
      <c r="O25" s="341">
        <f>SUM(O12:O24)</f>
        <v>2999203.0625675227</v>
      </c>
      <c r="P25" s="342">
        <f t="shared" ref="P25" si="15">O25/$D25</f>
        <v>2.7100181494901774E-3</v>
      </c>
      <c r="Q25" s="200"/>
      <c r="R25" s="102">
        <f>SUM(R12:R24)</f>
        <v>-22562812.560205296</v>
      </c>
      <c r="S25" s="82">
        <f t="shared" si="0"/>
        <v>-2.0387292979541186E-2</v>
      </c>
      <c r="T25" s="241"/>
      <c r="U25" s="102">
        <f>SUM(U12:U24)</f>
        <v>70803976.022642061</v>
      </c>
      <c r="V25" s="82">
        <f t="shared" si="12"/>
        <v>6.3977015251899916E-2</v>
      </c>
      <c r="W25" s="241"/>
      <c r="X25" s="102">
        <f>SUM(X12:X24)</f>
        <v>-3120955.6570753693</v>
      </c>
      <c r="Y25" s="82">
        <f t="shared" si="1"/>
        <v>-2.8200312876407235E-3</v>
      </c>
      <c r="Z25" s="241"/>
      <c r="AA25" s="102">
        <f>SUM(AA12:AA24)</f>
        <v>1174392605.7355945</v>
      </c>
      <c r="AB25" s="102">
        <f>SUM(AB12:AB24)</f>
        <v>67683020.365566686</v>
      </c>
      <c r="AC25" s="82">
        <f t="shared" si="10"/>
        <v>6.1156983964259178E-2</v>
      </c>
      <c r="AD25" s="241"/>
    </row>
    <row r="26" spans="2:30" s="14" customFormat="1" x14ac:dyDescent="0.25">
      <c r="B26" s="13"/>
      <c r="C26" s="242"/>
      <c r="D26" s="242"/>
      <c r="E26" s="242"/>
      <c r="F26" s="67"/>
      <c r="G26" s="243"/>
      <c r="H26" s="244"/>
      <c r="I26" s="404"/>
      <c r="J26" s="405"/>
      <c r="K26" s="405"/>
      <c r="L26" s="404"/>
      <c r="M26" s="243"/>
      <c r="N26" s="244"/>
      <c r="O26" s="343"/>
      <c r="P26" s="343"/>
      <c r="Q26" s="244"/>
      <c r="R26" s="67"/>
      <c r="S26" s="243"/>
      <c r="T26" s="243"/>
      <c r="U26" s="67"/>
      <c r="V26" s="243"/>
      <c r="W26" s="243"/>
      <c r="X26" s="67"/>
      <c r="Y26" s="243"/>
      <c r="Z26" s="243"/>
      <c r="AA26" s="244"/>
      <c r="AB26" s="67"/>
      <c r="AC26" s="243"/>
      <c r="AD26" s="245"/>
    </row>
    <row r="27" spans="2:30" x14ac:dyDescent="0.25">
      <c r="F27" s="141"/>
      <c r="G27" s="120"/>
      <c r="I27" s="407"/>
      <c r="J27" s="408"/>
      <c r="K27" s="414"/>
      <c r="L27" s="407"/>
      <c r="M27" s="120"/>
      <c r="N27" s="200"/>
      <c r="O27" s="340"/>
      <c r="P27" s="340"/>
      <c r="Q27" s="200"/>
      <c r="R27" s="141"/>
      <c r="S27" s="120"/>
      <c r="T27" s="189"/>
      <c r="U27" s="208"/>
      <c r="V27" s="120"/>
      <c r="W27" s="189"/>
      <c r="X27" s="141"/>
      <c r="Y27" s="120"/>
      <c r="Z27" s="189"/>
      <c r="AA27" s="197"/>
      <c r="AB27" s="141"/>
      <c r="AC27" s="120"/>
      <c r="AD27" s="246"/>
    </row>
    <row r="28" spans="2:30" s="14" customFormat="1" x14ac:dyDescent="0.25">
      <c r="B28" s="152" t="s">
        <v>160</v>
      </c>
      <c r="C28" s="17"/>
      <c r="D28" s="17"/>
      <c r="E28" s="307"/>
      <c r="F28" s="202"/>
      <c r="G28" s="203"/>
      <c r="H28" s="22"/>
      <c r="I28" s="404"/>
      <c r="J28" s="409"/>
      <c r="K28" s="409"/>
      <c r="L28" s="404"/>
      <c r="M28" s="203"/>
      <c r="N28" s="22"/>
      <c r="O28" s="344"/>
      <c r="P28" s="344"/>
      <c r="Q28" s="22"/>
      <c r="R28" s="202"/>
      <c r="S28" s="203"/>
      <c r="T28" s="203"/>
      <c r="U28" s="202"/>
      <c r="V28" s="203"/>
      <c r="W28" s="203"/>
      <c r="X28" s="202"/>
      <c r="Y28" s="203"/>
      <c r="Z28" s="203"/>
      <c r="AA28" s="22"/>
      <c r="AB28" s="202"/>
      <c r="AC28" s="203"/>
      <c r="AD28" s="245"/>
    </row>
    <row r="29" spans="2:30" s="14" customFormat="1" x14ac:dyDescent="0.25">
      <c r="B29" s="69" t="s">
        <v>42</v>
      </c>
      <c r="C29" s="69"/>
      <c r="D29" s="18">
        <f>D12+D13</f>
        <v>754217485.38623214</v>
      </c>
      <c r="E29" s="67"/>
      <c r="F29" s="18">
        <f>F12+F13</f>
        <v>31174587.441317894</v>
      </c>
      <c r="G29" s="81">
        <f t="shared" ref="G29:G36" si="16">F29/$D29</f>
        <v>4.1333684309047138E-2</v>
      </c>
      <c r="H29" s="21"/>
      <c r="I29" s="411">
        <f>I12+I13</f>
        <v>15616720.856219999</v>
      </c>
      <c r="J29" s="400">
        <f t="shared" ref="J29:J36" si="17">I29/$D29</f>
        <v>2.0705858931688293E-2</v>
      </c>
      <c r="K29" s="413"/>
      <c r="L29" s="411">
        <f>L12+L13</f>
        <v>14267599.087059999</v>
      </c>
      <c r="M29" s="81">
        <f t="shared" ref="M29:M36" si="18">L29/$D29</f>
        <v>1.8917088722430787E-2</v>
      </c>
      <c r="N29" s="67"/>
      <c r="O29" s="345">
        <f>O12+O13</f>
        <v>2074592.90918</v>
      </c>
      <c r="P29" s="339">
        <f t="shared" ref="P29:P36" si="19">O29/$D29</f>
        <v>2.750656076499749E-3</v>
      </c>
      <c r="Q29" s="67"/>
      <c r="R29" s="18">
        <f>R12+R13</f>
        <v>-14369419.59794</v>
      </c>
      <c r="S29" s="81">
        <f t="shared" ref="S29:S36" si="20">R29/$D29</f>
        <v>-1.905209024765777E-2</v>
      </c>
      <c r="T29" s="241"/>
      <c r="U29" s="18">
        <f>U12+U13</f>
        <v>48764080.695837893</v>
      </c>
      <c r="V29" s="81">
        <f t="shared" ref="V29:V36" si="21">U29/$D29</f>
        <v>6.4655197792008193E-2</v>
      </c>
      <c r="W29" s="241"/>
      <c r="X29" s="18">
        <f>X12+X13</f>
        <v>-1998227.52602</v>
      </c>
      <c r="Y29" s="81">
        <f t="shared" ref="Y29:Y36" si="22">X29/$D29</f>
        <v>-2.6494049325795129E-3</v>
      </c>
      <c r="Z29" s="241"/>
      <c r="AA29" s="18">
        <f>AA12+AA13</f>
        <v>800983338.55604994</v>
      </c>
      <c r="AB29" s="18">
        <f>AB12+AB13</f>
        <v>46765853.169817843</v>
      </c>
      <c r="AC29" s="81">
        <f t="shared" ref="AC29:AC36" si="23">AB29/$D29</f>
        <v>6.2005792859428623E-2</v>
      </c>
      <c r="AD29" s="241"/>
    </row>
    <row r="30" spans="2:30" s="14" customFormat="1" x14ac:dyDescent="0.25">
      <c r="B30" s="20" t="s">
        <v>43</v>
      </c>
      <c r="C30" s="20"/>
      <c r="D30" s="18">
        <f>D14+D19</f>
        <v>263689962.87240326</v>
      </c>
      <c r="E30" s="67"/>
      <c r="F30" s="18">
        <f>F14+F19</f>
        <v>11473316.453476794</v>
      </c>
      <c r="G30" s="81">
        <f t="shared" si="16"/>
        <v>4.3510630167704213E-2</v>
      </c>
      <c r="H30" s="21"/>
      <c r="I30" s="411">
        <f>I14+I19</f>
        <v>5509083.5092500001</v>
      </c>
      <c r="J30" s="400">
        <f t="shared" si="17"/>
        <v>2.0892276100458879E-2</v>
      </c>
      <c r="K30" s="413"/>
      <c r="L30" s="411">
        <f>L14+L19</f>
        <v>5032359.2850499991</v>
      </c>
      <c r="M30" s="81">
        <f t="shared" si="18"/>
        <v>1.9084379360639919E-2</v>
      </c>
      <c r="N30" s="67"/>
      <c r="O30" s="345">
        <f>O14+O19</f>
        <v>732008.66648000001</v>
      </c>
      <c r="P30" s="339">
        <f t="shared" si="19"/>
        <v>2.7760202114109709E-3</v>
      </c>
      <c r="Q30" s="67"/>
      <c r="R30" s="18">
        <f>R14+R19</f>
        <v>-6012562.6644000001</v>
      </c>
      <c r="S30" s="81">
        <f t="shared" si="20"/>
        <v>-2.2801636432818698E-2</v>
      </c>
      <c r="T30" s="241"/>
      <c r="U30" s="18">
        <f>U14+U19</f>
        <v>16734205.249856796</v>
      </c>
      <c r="V30" s="81">
        <f t="shared" si="21"/>
        <v>6.3461669407395296E-2</v>
      </c>
      <c r="W30" s="241"/>
      <c r="X30" s="18">
        <f>X14+X19</f>
        <v>-861022.32330000005</v>
      </c>
      <c r="Y30" s="81">
        <f t="shared" si="22"/>
        <v>-3.2652828872240369E-3</v>
      </c>
      <c r="Z30" s="241"/>
      <c r="AA30" s="18">
        <f t="shared" ref="AA30:AB34" si="24">AA14+AA19</f>
        <v>279563145.79896009</v>
      </c>
      <c r="AB30" s="18">
        <f t="shared" si="24"/>
        <v>15873182.926556829</v>
      </c>
      <c r="AC30" s="81">
        <f t="shared" si="23"/>
        <v>6.019638652017139E-2</v>
      </c>
      <c r="AD30" s="241"/>
    </row>
    <row r="31" spans="2:30" s="14" customFormat="1" x14ac:dyDescent="0.25">
      <c r="B31" s="69" t="s">
        <v>44</v>
      </c>
      <c r="C31" s="69"/>
      <c r="D31" s="18">
        <f>D15+D20</f>
        <v>52879762.30854176</v>
      </c>
      <c r="E31" s="67"/>
      <c r="F31" s="18">
        <f>F15+F20</f>
        <v>2077199.996558236</v>
      </c>
      <c r="G31" s="81">
        <f t="shared" si="16"/>
        <v>3.9281568333046427E-2</v>
      </c>
      <c r="H31" s="21"/>
      <c r="I31" s="411">
        <f>I15+I20</f>
        <v>1000555.6069799999</v>
      </c>
      <c r="J31" s="400">
        <f t="shared" si="17"/>
        <v>1.8921333290833994E-2</v>
      </c>
      <c r="K31" s="413"/>
      <c r="L31" s="411">
        <f>L15+L20</f>
        <v>913711.44533999998</v>
      </c>
      <c r="M31" s="81">
        <f t="shared" si="18"/>
        <v>1.7279038434565856E-2</v>
      </c>
      <c r="N31" s="67"/>
      <c r="O31" s="345">
        <f>O15+O20</f>
        <v>151914.94894999999</v>
      </c>
      <c r="P31" s="339">
        <f t="shared" si="19"/>
        <v>2.8728372125352937E-3</v>
      </c>
      <c r="Q31" s="67"/>
      <c r="R31" s="18">
        <f>R15+R20</f>
        <v>-1039358.3174999999</v>
      </c>
      <c r="S31" s="81">
        <f t="shared" si="20"/>
        <v>-1.9655124609592099E-2</v>
      </c>
      <c r="T31" s="241"/>
      <c r="U31" s="18">
        <f>U15+U20</f>
        <v>3104023.680328236</v>
      </c>
      <c r="V31" s="81">
        <f t="shared" si="21"/>
        <v>5.8699652661389469E-2</v>
      </c>
      <c r="W31" s="241"/>
      <c r="X31" s="18">
        <f>X15+X20</f>
        <v>-122875.24998000001</v>
      </c>
      <c r="Y31" s="81">
        <f t="shared" si="22"/>
        <v>-2.3236725094006663E-3</v>
      </c>
      <c r="Z31" s="241"/>
      <c r="AA31" s="18">
        <f t="shared" si="24"/>
        <v>55860910.73889</v>
      </c>
      <c r="AB31" s="18">
        <f t="shared" si="24"/>
        <v>2981148.430348238</v>
      </c>
      <c r="AC31" s="81">
        <f t="shared" si="23"/>
        <v>5.6375980151988844E-2</v>
      </c>
      <c r="AD31" s="241"/>
    </row>
    <row r="32" spans="2:30" s="14" customFormat="1" x14ac:dyDescent="0.25">
      <c r="B32" s="69" t="s">
        <v>45</v>
      </c>
      <c r="C32" s="69"/>
      <c r="D32" s="18">
        <f>D16+D21</f>
        <v>13238186.585683931</v>
      </c>
      <c r="E32" s="67"/>
      <c r="F32" s="18">
        <f>F16+F21</f>
        <v>895165.49236792093</v>
      </c>
      <c r="G32" s="81">
        <f t="shared" si="16"/>
        <v>6.7619948289290077E-2</v>
      </c>
      <c r="H32" s="21"/>
      <c r="I32" s="411">
        <f>I16+I21</f>
        <v>475994.29752000002</v>
      </c>
      <c r="J32" s="400">
        <f t="shared" si="17"/>
        <v>3.5956155659170937E-2</v>
      </c>
      <c r="K32" s="413"/>
      <c r="L32" s="411">
        <f>L16+L21</f>
        <v>434603.48903999996</v>
      </c>
      <c r="M32" s="81">
        <f t="shared" si="18"/>
        <v>3.2829533427938672E-2</v>
      </c>
      <c r="N32" s="67"/>
      <c r="O32" s="345">
        <f>O16+O21</f>
        <v>20469.337599999999</v>
      </c>
      <c r="P32" s="339">
        <f t="shared" si="19"/>
        <v>1.5462342570496774E-3</v>
      </c>
      <c r="Q32" s="67"/>
      <c r="R32" s="18">
        <f>R16+R21</f>
        <v>-495950.58017999999</v>
      </c>
      <c r="S32" s="81">
        <f t="shared" si="20"/>
        <v>-3.746363423494363E-2</v>
      </c>
      <c r="T32" s="241"/>
      <c r="U32" s="18">
        <f>U16+U21</f>
        <v>1330282.036347921</v>
      </c>
      <c r="V32" s="81">
        <f t="shared" si="21"/>
        <v>0.10048823739850574</v>
      </c>
      <c r="W32" s="241"/>
      <c r="X32" s="18">
        <f>X16+X21</f>
        <v>-59868.847979999991</v>
      </c>
      <c r="Y32" s="81">
        <f t="shared" si="22"/>
        <v>-4.5224357273180825E-3</v>
      </c>
      <c r="Z32" s="241"/>
      <c r="AA32" s="18">
        <f t="shared" si="24"/>
        <v>14508599.774051853</v>
      </c>
      <c r="AB32" s="18">
        <f t="shared" si="24"/>
        <v>1270413.1883679219</v>
      </c>
      <c r="AC32" s="81">
        <f t="shared" si="23"/>
        <v>9.596580167118772E-2</v>
      </c>
      <c r="AD32" s="241"/>
    </row>
    <row r="33" spans="2:30" s="14" customFormat="1" x14ac:dyDescent="0.25">
      <c r="B33" s="69" t="s">
        <v>46</v>
      </c>
      <c r="C33" s="69"/>
      <c r="D33" s="18">
        <f>D17+D22</f>
        <v>3838571.4074000837</v>
      </c>
      <c r="E33" s="67"/>
      <c r="F33" s="18">
        <f>F17+F22</f>
        <v>59387.969353911438</v>
      </c>
      <c r="G33" s="81">
        <f t="shared" si="16"/>
        <v>1.5471372823603589E-2</v>
      </c>
      <c r="H33" s="21"/>
      <c r="I33" s="411">
        <f>I17+I22</f>
        <v>32727.969750000004</v>
      </c>
      <c r="J33" s="400">
        <f t="shared" si="17"/>
        <v>8.5260807411075626E-3</v>
      </c>
      <c r="K33" s="413"/>
      <c r="L33" s="411">
        <f>L17+L22</f>
        <v>29922.715199999999</v>
      </c>
      <c r="M33" s="81">
        <f t="shared" si="18"/>
        <v>7.7952738204411986E-3</v>
      </c>
      <c r="N33" s="67"/>
      <c r="O33" s="345">
        <f>O17+O22</f>
        <v>2788.8301000000001</v>
      </c>
      <c r="P33" s="339">
        <f t="shared" si="19"/>
        <v>7.2652812830930572E-4</v>
      </c>
      <c r="Q33" s="67"/>
      <c r="R33" s="18">
        <f>R17+R22</f>
        <v>-52738.785540000004</v>
      </c>
      <c r="S33" s="81">
        <f t="shared" si="20"/>
        <v>-1.3739170108527614E-2</v>
      </c>
      <c r="T33" s="241"/>
      <c r="U33" s="18">
        <f>U17+U22</f>
        <v>72088.698863911457</v>
      </c>
      <c r="V33" s="81">
        <f t="shared" si="21"/>
        <v>1.8780085404934047E-2</v>
      </c>
      <c r="W33" s="241"/>
      <c r="X33" s="18">
        <f>X17+X22</f>
        <v>-7605.3567800000001</v>
      </c>
      <c r="Y33" s="81">
        <f t="shared" si="22"/>
        <v>-1.9812987626954713E-3</v>
      </c>
      <c r="Z33" s="241"/>
      <c r="AA33" s="18">
        <f t="shared" si="24"/>
        <v>3903054.7494839947</v>
      </c>
      <c r="AB33" s="18">
        <f t="shared" si="24"/>
        <v>64483.342083911324</v>
      </c>
      <c r="AC33" s="81">
        <f t="shared" si="23"/>
        <v>1.679878664223854E-2</v>
      </c>
      <c r="AD33" s="241"/>
    </row>
    <row r="34" spans="2:30" s="14" customFormat="1" x14ac:dyDescent="0.25">
      <c r="B34" s="13" t="s">
        <v>47</v>
      </c>
      <c r="C34" s="13"/>
      <c r="D34" s="18">
        <f>D18+D23</f>
        <v>17150753.71239078</v>
      </c>
      <c r="E34" s="67"/>
      <c r="F34" s="18">
        <f>F18+F23</f>
        <v>758667.22159090429</v>
      </c>
      <c r="G34" s="81">
        <f t="shared" si="16"/>
        <v>4.4235211718001377E-2</v>
      </c>
      <c r="H34" s="21"/>
      <c r="I34" s="411">
        <f>I18+I23</f>
        <v>311405.00550854392</v>
      </c>
      <c r="J34" s="400">
        <f t="shared" si="17"/>
        <v>1.8156928303597841E-2</v>
      </c>
      <c r="K34" s="413"/>
      <c r="L34" s="411">
        <f>L18+L23</f>
        <v>284484.62271793053</v>
      </c>
      <c r="M34" s="81">
        <f t="shared" si="18"/>
        <v>1.6587295665752635E-2</v>
      </c>
      <c r="N34" s="67"/>
      <c r="O34" s="345">
        <f>O18+O23</f>
        <v>17428.370257522623</v>
      </c>
      <c r="P34" s="339">
        <f t="shared" si="19"/>
        <v>1.016186842268703E-3</v>
      </c>
      <c r="Q34" s="67"/>
      <c r="R34" s="18">
        <f>R18+R23</f>
        <v>-563890.52784530201</v>
      </c>
      <c r="S34" s="81">
        <f t="shared" si="20"/>
        <v>-3.2878469209076923E-2</v>
      </c>
      <c r="T34" s="241"/>
      <c r="U34" s="18">
        <f>U18+U23</f>
        <v>808094.69222959934</v>
      </c>
      <c r="V34" s="81">
        <f t="shared" si="21"/>
        <v>4.7117153320543635E-2</v>
      </c>
      <c r="W34" s="241"/>
      <c r="X34" s="18">
        <f>X18+X23</f>
        <v>-64832.33341536895</v>
      </c>
      <c r="Y34" s="81">
        <f t="shared" si="22"/>
        <v>-3.780144855589058E-3</v>
      </c>
      <c r="Z34" s="241"/>
      <c r="AA34" s="18">
        <f t="shared" si="24"/>
        <v>17894016.071205009</v>
      </c>
      <c r="AB34" s="18">
        <f t="shared" si="24"/>
        <v>743262.35881423019</v>
      </c>
      <c r="AC34" s="81">
        <f t="shared" si="23"/>
        <v>4.3337008464954564E-2</v>
      </c>
      <c r="AD34" s="241"/>
    </row>
    <row r="35" spans="2:30" s="14" customFormat="1" x14ac:dyDescent="0.25">
      <c r="B35" s="13" t="s">
        <v>13</v>
      </c>
      <c r="C35" s="13"/>
      <c r="D35" s="18">
        <f>D24</f>
        <v>1694863.0973755296</v>
      </c>
      <c r="E35" s="67"/>
      <c r="F35" s="18">
        <f>F24</f>
        <v>20093.055977700045</v>
      </c>
      <c r="G35" s="81">
        <f t="shared" si="16"/>
        <v>1.1855267843646985E-2</v>
      </c>
      <c r="H35" s="21"/>
      <c r="I35" s="411">
        <f>I24</f>
        <v>0</v>
      </c>
      <c r="J35" s="400">
        <f t="shared" si="17"/>
        <v>0</v>
      </c>
      <c r="K35" s="413"/>
      <c r="L35" s="411">
        <f>L24</f>
        <v>0</v>
      </c>
      <c r="M35" s="81">
        <f t="shared" si="18"/>
        <v>0</v>
      </c>
      <c r="N35" s="67"/>
      <c r="O35" s="345">
        <f>O24</f>
        <v>0</v>
      </c>
      <c r="P35" s="339">
        <f t="shared" si="19"/>
        <v>0</v>
      </c>
      <c r="Q35" s="67"/>
      <c r="R35" s="18">
        <f>R24</f>
        <v>-28892.086800000001</v>
      </c>
      <c r="S35" s="81">
        <f t="shared" si="20"/>
        <v>-1.704685578719542E-2</v>
      </c>
      <c r="T35" s="241"/>
      <c r="U35" s="18">
        <f>U24</f>
        <v>-8799.0308222999556</v>
      </c>
      <c r="V35" s="81">
        <f t="shared" si="21"/>
        <v>-5.1915879435484348E-3</v>
      </c>
      <c r="W35" s="241"/>
      <c r="X35" s="18">
        <f>X24</f>
        <v>-6524.0196000000005</v>
      </c>
      <c r="Y35" s="81">
        <f t="shared" si="22"/>
        <v>-3.8492900164634821E-3</v>
      </c>
      <c r="Z35" s="241"/>
      <c r="AA35" s="18">
        <f>AA24</f>
        <v>1679540.0469532297</v>
      </c>
      <c r="AB35" s="18">
        <f>AB24</f>
        <v>-15323.050422299886</v>
      </c>
      <c r="AC35" s="81">
        <f t="shared" si="23"/>
        <v>-9.0408779600118748E-3</v>
      </c>
      <c r="AD35" s="241"/>
    </row>
    <row r="36" spans="2:30" s="14" customFormat="1" x14ac:dyDescent="0.25">
      <c r="B36" s="13" t="s">
        <v>14</v>
      </c>
      <c r="C36" s="13"/>
      <c r="D36" s="206">
        <f>SUM(D29:D35)</f>
        <v>1106709585.3700278</v>
      </c>
      <c r="E36" s="247"/>
      <c r="F36" s="23">
        <f>SUM(F29:F35)</f>
        <v>46458417.630643368</v>
      </c>
      <c r="G36" s="82">
        <f t="shared" si="16"/>
        <v>4.1978869836127801E-2</v>
      </c>
      <c r="H36" s="21"/>
      <c r="I36" s="412">
        <f>SUM(I29:I35)</f>
        <v>22946487.245228544</v>
      </c>
      <c r="J36" s="403">
        <f t="shared" si="17"/>
        <v>2.0733973527080635E-2</v>
      </c>
      <c r="K36" s="413"/>
      <c r="L36" s="412">
        <f>SUM(L29:L35)</f>
        <v>20962680.644407928</v>
      </c>
      <c r="M36" s="82">
        <f t="shared" si="18"/>
        <v>1.8941446718742448E-2</v>
      </c>
      <c r="N36" s="67"/>
      <c r="O36" s="346">
        <f>SUM(O29:O35)</f>
        <v>2999203.0625675227</v>
      </c>
      <c r="P36" s="342">
        <f t="shared" si="19"/>
        <v>2.7100181494901761E-3</v>
      </c>
      <c r="Q36" s="67"/>
      <c r="R36" s="23">
        <f>SUM(R29:R35)</f>
        <v>-22562812.560205303</v>
      </c>
      <c r="S36" s="82">
        <f t="shared" si="20"/>
        <v>-2.0387292979541186E-2</v>
      </c>
      <c r="T36" s="241"/>
      <c r="U36" s="23">
        <f>SUM(U29:U35)</f>
        <v>70803976.022642046</v>
      </c>
      <c r="V36" s="82">
        <f t="shared" si="21"/>
        <v>6.3977015251899874E-2</v>
      </c>
      <c r="W36" s="241"/>
      <c r="X36" s="23">
        <f>SUM(X29:X35)</f>
        <v>-3120955.6570753693</v>
      </c>
      <c r="Y36" s="82">
        <f t="shared" si="22"/>
        <v>-2.8200312876407222E-3</v>
      </c>
      <c r="Z36" s="241"/>
      <c r="AA36" s="23">
        <f>SUM(AA29:AA35)</f>
        <v>1174392605.735594</v>
      </c>
      <c r="AB36" s="23">
        <f>SUM(AB29:AB35)</f>
        <v>67683020.365566686</v>
      </c>
      <c r="AC36" s="82">
        <f t="shared" si="23"/>
        <v>6.1156983964259157E-2</v>
      </c>
      <c r="AD36" s="241"/>
    </row>
    <row r="37" spans="2:30" s="14" customFormat="1" x14ac:dyDescent="0.25">
      <c r="B37" s="13"/>
      <c r="C37" s="13"/>
      <c r="D37" s="13"/>
      <c r="E37" s="13"/>
      <c r="F37" s="18"/>
      <c r="G37" s="248"/>
      <c r="H37" s="21"/>
      <c r="I37" s="18"/>
      <c r="J37" s="248"/>
      <c r="K37" s="308"/>
      <c r="L37" s="18"/>
      <c r="M37" s="248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21"/>
      <c r="AB37" s="18"/>
      <c r="AC37" s="248"/>
      <c r="AD37" s="241"/>
    </row>
    <row r="38" spans="2:30" x14ac:dyDescent="0.25">
      <c r="B38" s="69" t="s">
        <v>196</v>
      </c>
      <c r="F38" s="16"/>
      <c r="G38" s="16"/>
      <c r="J38" s="50"/>
      <c r="K38" s="309"/>
      <c r="N38" s="310"/>
      <c r="O38" s="310"/>
      <c r="P38" s="310"/>
      <c r="Q38" s="310"/>
      <c r="R38" s="16"/>
      <c r="S38" s="16"/>
      <c r="T38" s="310"/>
      <c r="U38" s="16"/>
      <c r="V38" s="16"/>
      <c r="W38" s="310"/>
      <c r="X38" s="310"/>
      <c r="Y38" s="310"/>
      <c r="Z38" s="310"/>
      <c r="AB38" s="16"/>
    </row>
    <row r="39" spans="2:30" x14ac:dyDescent="0.25">
      <c r="B39" s="321" t="s">
        <v>379</v>
      </c>
      <c r="F39" s="16"/>
      <c r="G39" s="16"/>
      <c r="J39" s="50"/>
      <c r="K39" s="309"/>
      <c r="N39" s="310"/>
      <c r="O39" s="310"/>
      <c r="P39" s="310"/>
      <c r="Q39" s="310"/>
      <c r="R39" s="16"/>
      <c r="S39" s="16"/>
      <c r="T39" s="310"/>
      <c r="U39" s="16"/>
      <c r="V39" s="16"/>
      <c r="W39" s="310"/>
      <c r="X39" s="310"/>
      <c r="Y39" s="310"/>
      <c r="Z39" s="310"/>
      <c r="AB39" s="16"/>
    </row>
    <row r="40" spans="2:30" x14ac:dyDescent="0.25">
      <c r="B40" s="328" t="s">
        <v>388</v>
      </c>
    </row>
    <row r="41" spans="2:30" x14ac:dyDescent="0.25">
      <c r="I41" s="9"/>
    </row>
    <row r="42" spans="2:30" x14ac:dyDescent="0.25">
      <c r="B42" s="394" t="s">
        <v>401</v>
      </c>
      <c r="C42" s="368"/>
      <c r="D42" s="369">
        <v>1106709585.3700273</v>
      </c>
      <c r="E42" s="370"/>
      <c r="F42" s="369">
        <v>46458417.630643368</v>
      </c>
      <c r="G42" s="371">
        <v>4.1978869836127822E-2</v>
      </c>
      <c r="H42" s="370"/>
      <c r="I42" s="369">
        <v>-1589849.677868865</v>
      </c>
      <c r="J42" s="371">
        <v>-1.4365554422638349E-3</v>
      </c>
      <c r="K42" s="370"/>
      <c r="L42" s="369">
        <v>45492653.78557533</v>
      </c>
      <c r="M42" s="371">
        <v>4.1106225505731842E-2</v>
      </c>
      <c r="N42" s="370"/>
      <c r="O42" s="369">
        <v>2999203.0625675227</v>
      </c>
      <c r="P42" s="372">
        <v>2.7100181494901774E-3</v>
      </c>
      <c r="Q42" s="370"/>
      <c r="R42" s="369">
        <v>-22562812.560205296</v>
      </c>
      <c r="S42" s="371">
        <v>-2.0387292979541186E-2</v>
      </c>
      <c r="T42" s="370"/>
      <c r="U42" s="369">
        <v>70797612.240712062</v>
      </c>
      <c r="V42" s="371">
        <v>6.3971265069544828E-2</v>
      </c>
      <c r="W42" s="370"/>
      <c r="X42" s="369">
        <v>-3120955.6570753693</v>
      </c>
      <c r="Y42" s="372">
        <v>-2.8200312876407235E-3</v>
      </c>
      <c r="Z42" s="370"/>
      <c r="AA42" s="369">
        <v>1174386241.9536645</v>
      </c>
      <c r="AB42" s="369">
        <v>67676656.583636746</v>
      </c>
      <c r="AC42" s="371">
        <v>6.1151233781904145E-2</v>
      </c>
    </row>
    <row r="43" spans="2:30" x14ac:dyDescent="0.25">
      <c r="B43" s="394" t="s">
        <v>402</v>
      </c>
      <c r="C43" s="368"/>
      <c r="D43" s="373">
        <f>D36-D42</f>
        <v>0</v>
      </c>
      <c r="E43" s="370"/>
      <c r="F43" s="373">
        <f>F36-F42</f>
        <v>0</v>
      </c>
      <c r="G43" s="374">
        <f>G36-G42</f>
        <v>0</v>
      </c>
      <c r="H43" s="370"/>
      <c r="I43" s="373">
        <f>I36-I42</f>
        <v>24536336.923097409</v>
      </c>
      <c r="J43" s="374">
        <f>J36-J42</f>
        <v>2.2170528969344471E-2</v>
      </c>
      <c r="K43" s="370"/>
      <c r="L43" s="373">
        <f>L36-L42</f>
        <v>-24529973.141167402</v>
      </c>
      <c r="M43" s="374">
        <f>M36-M42</f>
        <v>-2.2164778786989393E-2</v>
      </c>
      <c r="N43" s="370"/>
      <c r="O43" s="373">
        <f>O36-O42</f>
        <v>0</v>
      </c>
      <c r="P43" s="374">
        <f>P36-P42</f>
        <v>0</v>
      </c>
      <c r="Q43" s="370"/>
      <c r="R43" s="373">
        <f>R36-R42</f>
        <v>0</v>
      </c>
      <c r="S43" s="374">
        <f>S36-S42</f>
        <v>0</v>
      </c>
      <c r="T43" s="370"/>
      <c r="U43" s="373">
        <f>U36-U42</f>
        <v>6363.7819299846888</v>
      </c>
      <c r="V43" s="374">
        <f>V36-V42</f>
        <v>5.7501823550465403E-6</v>
      </c>
      <c r="W43" s="370"/>
      <c r="X43" s="373">
        <f>X36-X42</f>
        <v>0</v>
      </c>
      <c r="Y43" s="374">
        <f>Y36-Y42</f>
        <v>0</v>
      </c>
      <c r="Z43" s="370"/>
      <c r="AA43" s="373">
        <f>AA36-AA42</f>
        <v>6363.7819294929504</v>
      </c>
      <c r="AB43" s="373">
        <f>AB36-AB42</f>
        <v>6363.7819299399853</v>
      </c>
      <c r="AC43" s="374">
        <f>AC36-AC42</f>
        <v>5.7501823550118458E-6</v>
      </c>
    </row>
  </sheetData>
  <printOptions horizontalCentered="1"/>
  <pageMargins left="0.45" right="0.45" top="0.75" bottom="0.75" header="0.3" footer="0.3"/>
  <pageSetup scale="42" orientation="landscape" blackAndWhite="1" r:id="rId1"/>
  <headerFooter>
    <oddFooter>&amp;R&amp;A
 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S41"/>
  <sheetViews>
    <sheetView zoomScale="90" zoomScaleNormal="90" workbookViewId="0">
      <pane xSplit="3" ySplit="9" topLeftCell="D10" activePane="bottomRight" state="frozenSplit"/>
      <selection activeCell="C32" sqref="C32"/>
      <selection pane="topRight" activeCell="C32" sqref="C32"/>
      <selection pane="bottomLeft" activeCell="C32" sqref="C32"/>
      <selection pane="bottomRight" activeCell="J47" sqref="J47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28515625" style="197" customWidth="1"/>
    <col min="6" max="6" width="16" bestFit="1" customWidth="1"/>
    <col min="7" max="7" width="10.42578125" customWidth="1"/>
    <col min="8" max="8" width="2.28515625" style="197" customWidth="1"/>
    <col min="9" max="9" width="16" bestFit="1" customWidth="1"/>
    <col min="10" max="10" width="10.42578125" customWidth="1"/>
    <col min="11" max="11" width="2.28515625" style="197" customWidth="1"/>
    <col min="12" max="12" width="16.140625" style="197" customWidth="1"/>
    <col min="13" max="13" width="10.5703125" style="197" customWidth="1"/>
    <col min="14" max="14" width="2.28515625" style="197" customWidth="1"/>
    <col min="15" max="15" width="16.140625" bestFit="1" customWidth="1"/>
    <col min="16" max="16" width="16" bestFit="1" customWidth="1"/>
    <col min="17" max="17" width="11.5703125" customWidth="1"/>
    <col min="18" max="18" width="7.85546875" customWidth="1"/>
    <col min="19" max="19" width="9.28515625" customWidth="1"/>
  </cols>
  <sheetData>
    <row r="1" spans="2:18" x14ac:dyDescent="0.25">
      <c r="B1" s="52" t="s">
        <v>0</v>
      </c>
      <c r="C1" s="52"/>
      <c r="D1" s="52"/>
      <c r="E1" s="304"/>
      <c r="F1" s="52"/>
      <c r="G1" s="52"/>
      <c r="H1" s="304"/>
      <c r="I1" s="52"/>
      <c r="J1" s="52"/>
      <c r="K1" s="304"/>
      <c r="L1" s="304"/>
      <c r="M1" s="304"/>
      <c r="N1" s="304"/>
      <c r="O1" s="52"/>
      <c r="P1" s="52"/>
      <c r="Q1" s="52"/>
      <c r="R1" s="230"/>
    </row>
    <row r="2" spans="2:18" x14ac:dyDescent="0.25">
      <c r="B2" s="52" t="s">
        <v>195</v>
      </c>
      <c r="C2" s="52"/>
      <c r="D2" s="52"/>
      <c r="E2" s="304"/>
      <c r="F2" s="52"/>
      <c r="G2" s="52"/>
      <c r="H2" s="304"/>
      <c r="I2" s="52"/>
      <c r="J2" s="52"/>
      <c r="K2" s="304"/>
      <c r="L2" s="304"/>
      <c r="M2" s="304"/>
      <c r="N2" s="304"/>
      <c r="O2" s="52"/>
      <c r="P2" s="52"/>
      <c r="Q2" s="52"/>
      <c r="R2" s="230"/>
    </row>
    <row r="3" spans="2:18" x14ac:dyDescent="0.25">
      <c r="B3" s="257" t="s">
        <v>213</v>
      </c>
      <c r="C3" s="257"/>
      <c r="D3" s="257"/>
      <c r="E3" s="305"/>
      <c r="F3" s="257"/>
      <c r="G3" s="257"/>
      <c r="H3" s="305"/>
      <c r="I3" s="257"/>
      <c r="J3" s="257"/>
      <c r="K3" s="305"/>
      <c r="L3" s="305"/>
      <c r="M3" s="305"/>
      <c r="N3" s="305"/>
      <c r="O3" s="257"/>
      <c r="P3" s="257"/>
      <c r="Q3" s="257"/>
      <c r="R3" s="237"/>
    </row>
    <row r="4" spans="2:18" x14ac:dyDescent="0.25">
      <c r="B4" s="257" t="s">
        <v>214</v>
      </c>
      <c r="C4" s="257"/>
      <c r="D4" s="257"/>
      <c r="E4" s="305"/>
      <c r="F4" s="257"/>
      <c r="G4" s="257"/>
      <c r="H4" s="305"/>
      <c r="I4" s="257"/>
      <c r="J4" s="257"/>
      <c r="K4" s="305"/>
      <c r="L4" s="305"/>
      <c r="M4" s="305"/>
      <c r="N4" s="305"/>
      <c r="O4" s="257"/>
      <c r="P4" s="257"/>
      <c r="Q4" s="257"/>
      <c r="R4" s="237"/>
    </row>
    <row r="5" spans="2:18" x14ac:dyDescent="0.25">
      <c r="B5" s="250"/>
      <c r="C5" s="250"/>
      <c r="D5" s="250"/>
      <c r="E5" s="4"/>
      <c r="F5" s="250"/>
      <c r="G5" s="250"/>
      <c r="H5" s="4"/>
      <c r="I5" s="250"/>
      <c r="J5" s="250"/>
      <c r="K5" s="4"/>
      <c r="L5" s="4"/>
      <c r="M5" s="4"/>
      <c r="N5" s="4"/>
      <c r="O5" s="250"/>
      <c r="P5" s="250"/>
      <c r="Q5" s="250"/>
      <c r="R5" s="237"/>
    </row>
    <row r="6" spans="2:18" x14ac:dyDescent="0.25">
      <c r="D6" s="85" t="s">
        <v>220</v>
      </c>
      <c r="E6" s="85"/>
      <c r="H6" s="4"/>
      <c r="O6" s="107" t="str">
        <f>D6</f>
        <v>12ME Dec. 2024</v>
      </c>
    </row>
    <row r="7" spans="2:18" x14ac:dyDescent="0.25">
      <c r="B7" s="4"/>
      <c r="C7" s="4"/>
      <c r="D7" s="107" t="s">
        <v>136</v>
      </c>
      <c r="E7" s="107"/>
      <c r="F7" s="395" t="s">
        <v>200</v>
      </c>
      <c r="G7" s="395" t="str">
        <f>F7</f>
        <v>Sch. 141N</v>
      </c>
      <c r="H7" s="395"/>
      <c r="I7" s="395" t="s">
        <v>198</v>
      </c>
      <c r="J7" s="395" t="str">
        <f>I7</f>
        <v>Sch. 141R</v>
      </c>
      <c r="K7" s="4"/>
      <c r="L7" s="334" t="s">
        <v>380</v>
      </c>
      <c r="M7" s="334" t="str">
        <f>L7</f>
        <v>Sch. 141D</v>
      </c>
      <c r="N7" s="4"/>
      <c r="O7" s="4" t="s">
        <v>136</v>
      </c>
      <c r="P7" s="4"/>
      <c r="Q7" s="4"/>
      <c r="R7" s="4"/>
    </row>
    <row r="8" spans="2:18" x14ac:dyDescent="0.25">
      <c r="B8" s="4"/>
      <c r="C8" s="4" t="s">
        <v>17</v>
      </c>
      <c r="D8" s="4" t="s">
        <v>188</v>
      </c>
      <c r="E8" s="4"/>
      <c r="F8" s="395" t="s">
        <v>199</v>
      </c>
      <c r="G8" s="395" t="str">
        <f>F8</f>
        <v>Rate Plan</v>
      </c>
      <c r="H8" s="395"/>
      <c r="I8" s="395" t="s">
        <v>199</v>
      </c>
      <c r="J8" s="395" t="str">
        <f>I8</f>
        <v>Rate Plan</v>
      </c>
      <c r="K8" s="4"/>
      <c r="L8" s="334" t="s">
        <v>381</v>
      </c>
      <c r="M8" s="334" t="str">
        <f>L8</f>
        <v>Pipeline</v>
      </c>
      <c r="N8" s="4"/>
      <c r="O8" s="4" t="s">
        <v>189</v>
      </c>
      <c r="P8" s="4" t="s">
        <v>6</v>
      </c>
      <c r="Q8" s="4" t="s">
        <v>6</v>
      </c>
      <c r="R8" s="4"/>
    </row>
    <row r="9" spans="2:18" x14ac:dyDescent="0.25">
      <c r="B9" s="251" t="s">
        <v>4</v>
      </c>
      <c r="C9" s="251" t="s">
        <v>21</v>
      </c>
      <c r="D9" s="251" t="s">
        <v>259</v>
      </c>
      <c r="E9" s="4"/>
      <c r="F9" s="396" t="s">
        <v>122</v>
      </c>
      <c r="G9" s="396" t="s">
        <v>190</v>
      </c>
      <c r="H9" s="395"/>
      <c r="I9" s="396" t="s">
        <v>122</v>
      </c>
      <c r="J9" s="396" t="s">
        <v>164</v>
      </c>
      <c r="K9" s="4"/>
      <c r="L9" s="335" t="s">
        <v>122</v>
      </c>
      <c r="M9" s="335" t="s">
        <v>164</v>
      </c>
      <c r="N9" s="4"/>
      <c r="O9" s="251" t="s">
        <v>131</v>
      </c>
      <c r="P9" s="251" t="s">
        <v>122</v>
      </c>
      <c r="Q9" s="251" t="s">
        <v>164</v>
      </c>
      <c r="R9" s="251"/>
    </row>
    <row r="10" spans="2:18" x14ac:dyDescent="0.25">
      <c r="B10" s="4" t="s">
        <v>25</v>
      </c>
      <c r="C10" s="4" t="s">
        <v>26</v>
      </c>
      <c r="D10" s="4" t="s">
        <v>27</v>
      </c>
      <c r="E10" s="4"/>
      <c r="F10" s="397" t="s">
        <v>28</v>
      </c>
      <c r="G10" s="398" t="s">
        <v>165</v>
      </c>
      <c r="H10" s="395"/>
      <c r="I10" s="397" t="s">
        <v>132</v>
      </c>
      <c r="J10" s="398" t="s">
        <v>191</v>
      </c>
      <c r="K10" s="5"/>
      <c r="L10" s="336" t="s">
        <v>78</v>
      </c>
      <c r="M10" s="337" t="s">
        <v>192</v>
      </c>
      <c r="N10" s="5"/>
      <c r="O10" s="4" t="s">
        <v>396</v>
      </c>
      <c r="P10" s="94" t="s">
        <v>397</v>
      </c>
      <c r="Q10" s="5" t="s">
        <v>398</v>
      </c>
      <c r="R10" s="4"/>
    </row>
    <row r="11" spans="2:18" x14ac:dyDescent="0.25">
      <c r="B11" t="s">
        <v>7</v>
      </c>
      <c r="C11" s="6" t="s">
        <v>30</v>
      </c>
      <c r="D11" s="192">
        <f>'Revenue by Sch_RY#2'!P11</f>
        <v>805702281.8367393</v>
      </c>
      <c r="E11" s="306"/>
      <c r="F11" s="399">
        <f>'Sch. 141N_2024'!H9</f>
        <v>-18761889.867660001</v>
      </c>
      <c r="G11" s="400">
        <f>F11/$D11</f>
        <v>-2.3286380454190833E-2</v>
      </c>
      <c r="H11" s="401"/>
      <c r="I11" s="399">
        <f>'Sch. 141R_2024'!H9</f>
        <v>32139488.23274</v>
      </c>
      <c r="J11" s="400">
        <f>I11/$D11</f>
        <v>3.9890030048658189E-2</v>
      </c>
      <c r="K11" s="241"/>
      <c r="L11" s="338">
        <f>'Sch. 141D_2024'!H9</f>
        <v>-70341.100389999803</v>
      </c>
      <c r="M11" s="339">
        <f>L11/$D11</f>
        <v>-8.730408486574589E-5</v>
      </c>
      <c r="N11" s="241"/>
      <c r="O11" s="120">
        <f>SUM(D11,F11,I11,L11)</f>
        <v>819009539.10142934</v>
      </c>
      <c r="P11" s="239">
        <f t="shared" ref="P11:P23" si="0">O11-D11</f>
        <v>13307257.264690042</v>
      </c>
      <c r="Q11" s="81">
        <f>P11/$D11</f>
        <v>1.6516345509601661E-2</v>
      </c>
      <c r="R11" s="81"/>
    </row>
    <row r="12" spans="2:18" x14ac:dyDescent="0.25">
      <c r="B12" t="s">
        <v>31</v>
      </c>
      <c r="C12" s="6">
        <v>16</v>
      </c>
      <c r="D12" s="192">
        <f>'Revenue by Sch_RY#2'!P12</f>
        <v>10777.839279999998</v>
      </c>
      <c r="E12" s="306"/>
      <c r="F12" s="399">
        <f>'Sch. 141N_2024'!H10</f>
        <v>-259.13087999999999</v>
      </c>
      <c r="G12" s="400">
        <f t="shared" ref="G12:G22" si="1">F12/$D12</f>
        <v>-2.4042934141805094E-2</v>
      </c>
      <c r="H12" s="401"/>
      <c r="I12" s="399">
        <f>'Sch. 141R_2024'!H10</f>
        <v>443.89632</v>
      </c>
      <c r="J12" s="400">
        <f t="shared" ref="J12:J22" si="2">I12/$D12</f>
        <v>4.1186021471272122E-2</v>
      </c>
      <c r="K12" s="241"/>
      <c r="L12" s="338">
        <f>'Sch. 141D_2024'!H10</f>
        <v>-0.97152000000000172</v>
      </c>
      <c r="M12" s="339">
        <f t="shared" ref="M12:M22" si="3">L12/$D12</f>
        <v>-9.0140516550735007E-5</v>
      </c>
      <c r="N12" s="241"/>
      <c r="O12" s="120">
        <f t="shared" ref="O12:O23" si="4">SUM(D12,F12,I12,L12)</f>
        <v>10961.633199999998</v>
      </c>
      <c r="P12" s="239">
        <f t="shared" si="0"/>
        <v>183.79392000000007</v>
      </c>
      <c r="Q12" s="81">
        <f t="shared" ref="Q12:Q24" si="5">P12/$D12</f>
        <v>1.70529468129163E-2</v>
      </c>
      <c r="R12" s="81"/>
    </row>
    <row r="13" spans="2:18" x14ac:dyDescent="0.25">
      <c r="B13" t="s">
        <v>8</v>
      </c>
      <c r="C13" s="6">
        <v>31</v>
      </c>
      <c r="D13" s="192">
        <f>'Revenue by Sch_RY#2'!P13</f>
        <v>282525988.06661838</v>
      </c>
      <c r="E13" s="306"/>
      <c r="F13" s="399">
        <f>'Sch. 141N_2024'!H11</f>
        <v>-6652575.3731500003</v>
      </c>
      <c r="G13" s="400">
        <f t="shared" si="1"/>
        <v>-2.3546773231995041E-2</v>
      </c>
      <c r="H13" s="401"/>
      <c r="I13" s="399">
        <f>'Sch. 141R_2024'!H11</f>
        <v>11305689.090709999</v>
      </c>
      <c r="J13" s="400">
        <f t="shared" si="2"/>
        <v>4.0016457134004139E-2</v>
      </c>
      <c r="K13" s="241"/>
      <c r="L13" s="338">
        <f>'Sch. 141D_2024'!H11</f>
        <v>-29512.349159999983</v>
      </c>
      <c r="M13" s="339">
        <f t="shared" si="3"/>
        <v>-1.0445888309942342E-4</v>
      </c>
      <c r="N13" s="241"/>
      <c r="O13" s="120">
        <f t="shared" si="4"/>
        <v>287149589.43501836</v>
      </c>
      <c r="P13" s="239">
        <f t="shared" si="0"/>
        <v>4623601.3683999777</v>
      </c>
      <c r="Q13" s="81">
        <f t="shared" si="5"/>
        <v>1.6365225018909597E-2</v>
      </c>
      <c r="R13" s="81"/>
    </row>
    <row r="14" spans="2:18" x14ac:dyDescent="0.25">
      <c r="B14" t="s">
        <v>9</v>
      </c>
      <c r="C14" s="6">
        <v>41</v>
      </c>
      <c r="D14" s="192">
        <f>'Revenue by Sch_RY#2'!P14</f>
        <v>50411853.491752841</v>
      </c>
      <c r="E14" s="306"/>
      <c r="F14" s="399">
        <f>'Sch. 141N_2024'!H12</f>
        <v>-864894.69513000001</v>
      </c>
      <c r="G14" s="400">
        <f t="shared" si="1"/>
        <v>-1.7156574004395474E-2</v>
      </c>
      <c r="H14" s="401"/>
      <c r="I14" s="399">
        <f>'Sch. 141R_2024'!H12</f>
        <v>1470254.0911800002</v>
      </c>
      <c r="J14" s="400">
        <f t="shared" si="2"/>
        <v>2.9164848926265474E-2</v>
      </c>
      <c r="K14" s="241"/>
      <c r="L14" s="338">
        <f>'Sch. 141D_2024'!H12</f>
        <v>-4682.3378699999885</v>
      </c>
      <c r="M14" s="339">
        <f t="shared" si="3"/>
        <v>-9.2881684478552228E-5</v>
      </c>
      <c r="N14" s="241"/>
      <c r="O14" s="120">
        <f t="shared" si="4"/>
        <v>51012530.549932837</v>
      </c>
      <c r="P14" s="239">
        <f t="shared" si="0"/>
        <v>600677.05817999691</v>
      </c>
      <c r="Q14" s="81">
        <f t="shared" si="5"/>
        <v>1.1915393237391382E-2</v>
      </c>
      <c r="R14" s="81"/>
    </row>
    <row r="15" spans="2:18" x14ac:dyDescent="0.25">
      <c r="B15" t="s">
        <v>10</v>
      </c>
      <c r="C15" s="6">
        <v>85</v>
      </c>
      <c r="D15" s="192">
        <f>'Revenue by Sch_RY#2'!P15</f>
        <v>6355026.24745401</v>
      </c>
      <c r="E15" s="306"/>
      <c r="F15" s="399">
        <f>'Sch. 141N_2024'!H13</f>
        <v>-82954.31816000001</v>
      </c>
      <c r="G15" s="400">
        <f t="shared" si="1"/>
        <v>-1.305333997530438E-2</v>
      </c>
      <c r="H15" s="401"/>
      <c r="I15" s="399">
        <f>'Sch. 141R_2024'!H13</f>
        <v>145170.05678000001</v>
      </c>
      <c r="J15" s="400">
        <f t="shared" si="2"/>
        <v>2.2843344956782665E-2</v>
      </c>
      <c r="K15" s="241"/>
      <c r="L15" s="338">
        <f>'Sch. 141D_2024'!H13</f>
        <v>107.45377999999982</v>
      </c>
      <c r="M15" s="339">
        <f t="shared" si="3"/>
        <v>1.6908471470601497E-5</v>
      </c>
      <c r="N15" s="241"/>
      <c r="O15" s="120">
        <f t="shared" si="4"/>
        <v>6417349.43985401</v>
      </c>
      <c r="P15" s="239">
        <f t="shared" si="0"/>
        <v>62323.192400000058</v>
      </c>
      <c r="Q15" s="81">
        <f t="shared" si="5"/>
        <v>9.8069134529488941E-3</v>
      </c>
      <c r="R15" s="81"/>
    </row>
    <row r="16" spans="2:18" x14ac:dyDescent="0.25">
      <c r="B16" t="s">
        <v>11</v>
      </c>
      <c r="C16" s="6">
        <v>86</v>
      </c>
      <c r="D16" s="192">
        <f>'Revenue by Sch_RY#2'!P16</f>
        <v>3618488.4794600722</v>
      </c>
      <c r="E16" s="306"/>
      <c r="F16" s="399">
        <f>'Sch. 141N_2024'!H14</f>
        <v>-34638.164480000007</v>
      </c>
      <c r="G16" s="400">
        <f t="shared" si="1"/>
        <v>-9.5725507146477064E-3</v>
      </c>
      <c r="H16" s="401"/>
      <c r="I16" s="399">
        <f>'Sch. 141R_2024'!H14</f>
        <v>61755.839999999997</v>
      </c>
      <c r="J16" s="400">
        <f t="shared" si="2"/>
        <v>1.7066750481741153E-2</v>
      </c>
      <c r="K16" s="241"/>
      <c r="L16" s="338">
        <f>'Sch. 141D_2024'!H14</f>
        <v>0</v>
      </c>
      <c r="M16" s="339">
        <f t="shared" si="3"/>
        <v>0</v>
      </c>
      <c r="N16" s="241"/>
      <c r="O16" s="120">
        <f t="shared" si="4"/>
        <v>3645606.1549800723</v>
      </c>
      <c r="P16" s="239">
        <f t="shared" si="0"/>
        <v>27117.675520000048</v>
      </c>
      <c r="Q16" s="81">
        <f>P16/$D16</f>
        <v>7.4941997670934617E-3</v>
      </c>
      <c r="R16" s="81"/>
    </row>
    <row r="17" spans="2:19" x14ac:dyDescent="0.25">
      <c r="B17" t="s">
        <v>12</v>
      </c>
      <c r="C17" s="6">
        <v>87</v>
      </c>
      <c r="D17" s="192">
        <f>'Revenue by Sch_RY#2'!P17</f>
        <v>11309317.372549269</v>
      </c>
      <c r="E17" s="306"/>
      <c r="F17" s="399">
        <f>'Sch. 141N_2024'!H23</f>
        <v>-79083.105963176931</v>
      </c>
      <c r="G17" s="400">
        <f t="shared" si="1"/>
        <v>-6.9927391157252987E-3</v>
      </c>
      <c r="H17" s="401"/>
      <c r="I17" s="399">
        <f>'Sch. 141R_2024'!H23</f>
        <v>133741.40222837351</v>
      </c>
      <c r="J17" s="400">
        <f t="shared" si="2"/>
        <v>1.1825771425691843E-2</v>
      </c>
      <c r="K17" s="241"/>
      <c r="L17" s="338">
        <f>'Sch. 141D_2024'!H23</f>
        <v>-517.84840591355191</v>
      </c>
      <c r="M17" s="339">
        <f t="shared" si="3"/>
        <v>-4.5789536968032055E-5</v>
      </c>
      <c r="N17" s="241"/>
      <c r="O17" s="120">
        <f t="shared" si="4"/>
        <v>11363457.820408553</v>
      </c>
      <c r="P17" s="239">
        <f t="shared" si="0"/>
        <v>54140.447859283537</v>
      </c>
      <c r="Q17" s="81">
        <f t="shared" si="5"/>
        <v>4.787242772998559E-3</v>
      </c>
      <c r="R17" s="81"/>
    </row>
    <row r="18" spans="2:19" x14ac:dyDescent="0.25">
      <c r="B18" t="s">
        <v>32</v>
      </c>
      <c r="C18" s="6" t="s">
        <v>33</v>
      </c>
      <c r="D18" s="192">
        <f>'Revenue by Sch_RY#2'!P18</f>
        <v>26176.089889183364</v>
      </c>
      <c r="E18" s="306"/>
      <c r="F18" s="399">
        <f>'Sch. 141N_2024'!H25</f>
        <v>-916.10235</v>
      </c>
      <c r="G18" s="400">
        <f t="shared" si="1"/>
        <v>-3.4997677417762732E-2</v>
      </c>
      <c r="H18" s="401"/>
      <c r="I18" s="399">
        <f>'Sch. 141R_2024'!H25</f>
        <v>1556.86599</v>
      </c>
      <c r="J18" s="400">
        <f t="shared" si="2"/>
        <v>5.9476644395362398E-2</v>
      </c>
      <c r="K18" s="241"/>
      <c r="L18" s="338"/>
      <c r="M18" s="339">
        <f t="shared" si="3"/>
        <v>0</v>
      </c>
      <c r="N18" s="241"/>
      <c r="O18" s="120">
        <f t="shared" si="4"/>
        <v>26816.853529183361</v>
      </c>
      <c r="P18" s="239">
        <f t="shared" si="0"/>
        <v>640.76363999999739</v>
      </c>
      <c r="Q18" s="81">
        <f t="shared" si="5"/>
        <v>2.4478966977599565E-2</v>
      </c>
      <c r="R18" s="81"/>
    </row>
    <row r="19" spans="2:19" x14ac:dyDescent="0.25">
      <c r="B19" t="s">
        <v>34</v>
      </c>
      <c r="C19" t="s">
        <v>35</v>
      </c>
      <c r="D19" s="192">
        <f>'Revenue by Sch_RY#2'!P19</f>
        <v>5563549.180145748</v>
      </c>
      <c r="E19" s="306"/>
      <c r="F19" s="399">
        <f>'Sch. 141N_2024'!H26</f>
        <v>-342777.32561999996</v>
      </c>
      <c r="G19" s="400">
        <f t="shared" si="1"/>
        <v>-6.1611269087589918E-2</v>
      </c>
      <c r="H19" s="401"/>
      <c r="I19" s="399">
        <f>'Sch. 141R_2024'!H26</f>
        <v>582694.94332000008</v>
      </c>
      <c r="J19" s="400">
        <f t="shared" si="2"/>
        <v>0.10473439246289457</v>
      </c>
      <c r="K19" s="241"/>
      <c r="L19" s="338"/>
      <c r="M19" s="339">
        <f t="shared" si="3"/>
        <v>0</v>
      </c>
      <c r="N19" s="241"/>
      <c r="O19" s="120">
        <f t="shared" si="4"/>
        <v>5803466.7978457473</v>
      </c>
      <c r="P19" s="239">
        <f t="shared" si="0"/>
        <v>239917.61769999936</v>
      </c>
      <c r="Q19" s="81">
        <f>P19/$D19</f>
        <v>4.3123123375304516E-2</v>
      </c>
      <c r="R19" s="81"/>
    </row>
    <row r="20" spans="2:19" x14ac:dyDescent="0.25">
      <c r="B20" t="s">
        <v>36</v>
      </c>
      <c r="C20" t="s">
        <v>37</v>
      </c>
      <c r="D20" s="192">
        <f>'Revenue by Sch_RY#2'!P20</f>
        <v>7894042.8385108411</v>
      </c>
      <c r="E20" s="306"/>
      <c r="F20" s="399">
        <f>'Sch. 141N_2024'!H27</f>
        <v>-480870.50872000004</v>
      </c>
      <c r="G20" s="400">
        <f t="shared" si="1"/>
        <v>-6.0915619354646559E-2</v>
      </c>
      <c r="H20" s="401"/>
      <c r="I20" s="399">
        <f>'Sch. 141R_2024'!H27</f>
        <v>841523.39026000001</v>
      </c>
      <c r="J20" s="400">
        <f t="shared" si="2"/>
        <v>0.10660233387063146</v>
      </c>
      <c r="K20" s="241"/>
      <c r="L20" s="338"/>
      <c r="M20" s="339">
        <f t="shared" si="3"/>
        <v>0</v>
      </c>
      <c r="N20" s="241"/>
      <c r="O20" s="120">
        <f t="shared" si="4"/>
        <v>8254695.7200508406</v>
      </c>
      <c r="P20" s="239">
        <f t="shared" si="0"/>
        <v>360652.88153999951</v>
      </c>
      <c r="Q20" s="81">
        <f t="shared" si="5"/>
        <v>4.5686714515984848E-2</v>
      </c>
      <c r="R20" s="81"/>
    </row>
    <row r="21" spans="2:19" x14ac:dyDescent="0.25">
      <c r="B21" t="s">
        <v>38</v>
      </c>
      <c r="C21" t="s">
        <v>39</v>
      </c>
      <c r="D21" s="192">
        <f>'Revenue by Sch_RY#2'!P21</f>
        <v>155244.16480140295</v>
      </c>
      <c r="E21" s="306"/>
      <c r="F21" s="399">
        <f>'Sch. 141N_2024'!H28</f>
        <v>-3651.6096200000002</v>
      </c>
      <c r="G21" s="400">
        <f t="shared" si="1"/>
        <v>-2.3521718994535763E-2</v>
      </c>
      <c r="H21" s="401"/>
      <c r="I21" s="399">
        <f>'Sch. 141R_2024'!H28</f>
        <v>6510.3974999999991</v>
      </c>
      <c r="J21" s="400">
        <f t="shared" si="2"/>
        <v>4.193650375412477E-2</v>
      </c>
      <c r="K21" s="241"/>
      <c r="L21" s="338"/>
      <c r="M21" s="339">
        <f t="shared" si="3"/>
        <v>0</v>
      </c>
      <c r="N21" s="241"/>
      <c r="O21" s="120">
        <f t="shared" si="4"/>
        <v>158102.95268140294</v>
      </c>
      <c r="P21" s="239">
        <f t="shared" si="0"/>
        <v>2858.7878799999889</v>
      </c>
      <c r="Q21" s="81">
        <f t="shared" si="5"/>
        <v>1.841478475958894E-2</v>
      </c>
      <c r="R21" s="81"/>
    </row>
    <row r="22" spans="2:19" x14ac:dyDescent="0.25">
      <c r="B22" t="s">
        <v>40</v>
      </c>
      <c r="C22" t="s">
        <v>41</v>
      </c>
      <c r="D22" s="192">
        <f>'Revenue by Sch_RY#2'!P22</f>
        <v>6954392.598639464</v>
      </c>
      <c r="E22" s="306"/>
      <c r="F22" s="399">
        <f>'Sch. 141N_2024'!H37</f>
        <v>-298496.11041817546</v>
      </c>
      <c r="G22" s="400">
        <f t="shared" si="1"/>
        <v>-4.2921952734818615E-2</v>
      </c>
      <c r="H22" s="401"/>
      <c r="I22" s="399">
        <f>'Sch. 141R_2024'!H37</f>
        <v>503400.57390531932</v>
      </c>
      <c r="J22" s="400">
        <f t="shared" si="2"/>
        <v>7.2385987239748734E-2</v>
      </c>
      <c r="K22" s="241"/>
      <c r="L22" s="338"/>
      <c r="M22" s="339">
        <f t="shared" si="3"/>
        <v>0</v>
      </c>
      <c r="N22" s="241"/>
      <c r="O22" s="120">
        <f t="shared" si="4"/>
        <v>7159297.0621266076</v>
      </c>
      <c r="P22" s="239">
        <f t="shared" si="0"/>
        <v>204904.46348714363</v>
      </c>
      <c r="Q22" s="81">
        <f t="shared" si="5"/>
        <v>2.9464034504930094E-2</v>
      </c>
      <c r="R22" s="81"/>
    </row>
    <row r="23" spans="2:19" x14ac:dyDescent="0.25">
      <c r="B23" t="s">
        <v>13</v>
      </c>
      <c r="D23" s="192">
        <f>'Revenue by Sch_RY#2'!P23</f>
        <v>1676822.7883708156</v>
      </c>
      <c r="E23" s="306"/>
      <c r="F23" s="399"/>
      <c r="G23" s="400">
        <f>F23/$D23</f>
        <v>0</v>
      </c>
      <c r="H23" s="401"/>
      <c r="I23" s="399"/>
      <c r="J23" s="400">
        <f>I23/$D23</f>
        <v>0</v>
      </c>
      <c r="K23" s="241"/>
      <c r="L23" s="338"/>
      <c r="M23" s="339">
        <f>L23/$D23</f>
        <v>0</v>
      </c>
      <c r="N23" s="241"/>
      <c r="O23" s="120">
        <f t="shared" si="4"/>
        <v>1676822.7883708156</v>
      </c>
      <c r="P23" s="239">
        <f t="shared" si="0"/>
        <v>0</v>
      </c>
      <c r="Q23" s="81">
        <f t="shared" si="5"/>
        <v>0</v>
      </c>
      <c r="R23" s="241"/>
      <c r="S23" s="197"/>
    </row>
    <row r="24" spans="2:19" x14ac:dyDescent="0.25">
      <c r="B24" t="s">
        <v>6</v>
      </c>
      <c r="D24" s="12">
        <f>SUM(D11:D23)</f>
        <v>1182203960.9942112</v>
      </c>
      <c r="E24" s="200"/>
      <c r="F24" s="402">
        <f>SUM(F11:F23)</f>
        <v>-27603006.312151354</v>
      </c>
      <c r="G24" s="403">
        <f t="shared" ref="G24" si="6">F24/$D24</f>
        <v>-2.3348768252254667E-2</v>
      </c>
      <c r="H24" s="401"/>
      <c r="I24" s="402">
        <f>SUM(I11:I23)</f>
        <v>47192228.780933693</v>
      </c>
      <c r="J24" s="403">
        <f t="shared" ref="J24" si="7">I24/$D24</f>
        <v>3.9918855238182352E-2</v>
      </c>
      <c r="K24" s="241"/>
      <c r="L24" s="341">
        <f>SUM(L11:L23)</f>
        <v>-104947.15356591334</v>
      </c>
      <c r="M24" s="342">
        <f t="shared" ref="M24" si="8">L24/$D24</f>
        <v>-8.8772459768832757E-5</v>
      </c>
      <c r="N24" s="241"/>
      <c r="O24" s="102">
        <f>SUM(O11:O23)</f>
        <v>1201688236.309428</v>
      </c>
      <c r="P24" s="102">
        <f>SUM(P11:P23)</f>
        <v>19484275.315216444</v>
      </c>
      <c r="Q24" s="82">
        <f t="shared" si="5"/>
        <v>1.6481314526158867E-2</v>
      </c>
      <c r="R24" s="241"/>
      <c r="S24" s="200"/>
    </row>
    <row r="25" spans="2:19" s="14" customFormat="1" x14ac:dyDescent="0.25">
      <c r="B25" s="13"/>
      <c r="C25" s="242"/>
      <c r="D25" s="242"/>
      <c r="E25" s="242"/>
      <c r="F25" s="404"/>
      <c r="G25" s="405"/>
      <c r="H25" s="406"/>
      <c r="I25" s="404"/>
      <c r="J25" s="405"/>
      <c r="K25" s="243"/>
      <c r="L25" s="355"/>
      <c r="M25" s="343"/>
      <c r="N25" s="243"/>
      <c r="O25" s="244"/>
      <c r="P25" s="67"/>
      <c r="Q25" s="243"/>
      <c r="R25" s="245"/>
      <c r="S25" s="22"/>
    </row>
    <row r="26" spans="2:19" x14ac:dyDescent="0.25">
      <c r="F26" s="407"/>
      <c r="G26" s="408"/>
      <c r="H26" s="370"/>
      <c r="I26" s="407"/>
      <c r="J26" s="408"/>
      <c r="K26" s="189"/>
      <c r="L26" s="338"/>
      <c r="M26" s="351"/>
      <c r="N26" s="189"/>
      <c r="O26" s="197"/>
      <c r="P26" s="141"/>
      <c r="Q26" s="120"/>
      <c r="R26" s="246"/>
      <c r="S26" s="197"/>
    </row>
    <row r="27" spans="2:19" s="14" customFormat="1" x14ac:dyDescent="0.25">
      <c r="B27" s="152" t="s">
        <v>160</v>
      </c>
      <c r="C27" s="17"/>
      <c r="D27" s="17"/>
      <c r="E27" s="307"/>
      <c r="F27" s="404"/>
      <c r="G27" s="409"/>
      <c r="H27" s="410"/>
      <c r="I27" s="404"/>
      <c r="J27" s="409"/>
      <c r="K27" s="203"/>
      <c r="L27" s="356"/>
      <c r="M27" s="357"/>
      <c r="N27" s="203"/>
      <c r="O27" s="22"/>
      <c r="P27" s="202"/>
      <c r="Q27" s="203"/>
      <c r="R27" s="245"/>
      <c r="S27" s="22"/>
    </row>
    <row r="28" spans="2:19" s="14" customFormat="1" x14ac:dyDescent="0.25">
      <c r="B28" s="69" t="s">
        <v>42</v>
      </c>
      <c r="C28" s="69"/>
      <c r="D28" s="18">
        <f>D11+D12</f>
        <v>805713059.67601931</v>
      </c>
      <c r="E28" s="67"/>
      <c r="F28" s="411">
        <f>F11+F12</f>
        <v>-18762148.998539999</v>
      </c>
      <c r="G28" s="400">
        <f t="shared" ref="G28:G35" si="9">F28/$D28</f>
        <v>-2.3286390574436436E-2</v>
      </c>
      <c r="H28" s="410"/>
      <c r="I28" s="411">
        <f>I11+I12</f>
        <v>32139932.12906</v>
      </c>
      <c r="J28" s="400">
        <f t="shared" ref="J28:J35" si="10">I28/$D28</f>
        <v>3.9890047384838971E-2</v>
      </c>
      <c r="K28" s="241"/>
      <c r="L28" s="345">
        <f>L11+L12</f>
        <v>-70342.07190999981</v>
      </c>
      <c r="M28" s="339">
        <f t="shared" ref="M28:M35" si="11">L28/$D28</f>
        <v>-8.7304122808043672E-5</v>
      </c>
      <c r="N28" s="241"/>
      <c r="O28" s="120">
        <f>SUM(D28,F28,I28,L28)</f>
        <v>819020500.73462927</v>
      </c>
      <c r="P28" s="18">
        <f>P11+P12</f>
        <v>13307441.058610041</v>
      </c>
      <c r="Q28" s="81">
        <f t="shared" ref="Q28:Q35" si="12">P28/$D28</f>
        <v>1.6516352687594538E-2</v>
      </c>
      <c r="R28" s="241"/>
      <c r="S28" s="19"/>
    </row>
    <row r="29" spans="2:19" s="14" customFormat="1" x14ac:dyDescent="0.25">
      <c r="B29" s="20" t="s">
        <v>43</v>
      </c>
      <c r="C29" s="20"/>
      <c r="D29" s="18">
        <f>D13+D18</f>
        <v>282552164.15650755</v>
      </c>
      <c r="E29" s="67"/>
      <c r="F29" s="411">
        <f>F13+F18</f>
        <v>-6653491.4755000006</v>
      </c>
      <c r="G29" s="400">
        <f t="shared" si="9"/>
        <v>-2.354783406229579E-2</v>
      </c>
      <c r="H29" s="410"/>
      <c r="I29" s="411">
        <f>I13+I18</f>
        <v>11307245.956699999</v>
      </c>
      <c r="J29" s="400">
        <f t="shared" si="10"/>
        <v>4.0018259957254616E-2</v>
      </c>
      <c r="K29" s="241"/>
      <c r="L29" s="345">
        <f>L13+L18</f>
        <v>-29512.349159999983</v>
      </c>
      <c r="M29" s="339">
        <f t="shared" si="11"/>
        <v>-1.0444920585939273E-4</v>
      </c>
      <c r="N29" s="241"/>
      <c r="O29" s="120">
        <f t="shared" ref="O29:O34" si="13">SUM(D29,F29,I29,L29)</f>
        <v>287176406.28854758</v>
      </c>
      <c r="P29" s="18">
        <f>P13+P18</f>
        <v>4624242.1320399772</v>
      </c>
      <c r="Q29" s="81">
        <f t="shared" si="12"/>
        <v>1.6365976689099355E-2</v>
      </c>
      <c r="R29" s="241"/>
      <c r="S29" s="22"/>
    </row>
    <row r="30" spans="2:19" s="14" customFormat="1" x14ac:dyDescent="0.25">
      <c r="B30" s="69" t="s">
        <v>44</v>
      </c>
      <c r="C30" s="69"/>
      <c r="D30" s="18">
        <f>D14+D19</f>
        <v>55975402.671898589</v>
      </c>
      <c r="E30" s="67"/>
      <c r="F30" s="411">
        <f>F14+F19</f>
        <v>-1207672.0207499999</v>
      </c>
      <c r="G30" s="400">
        <f t="shared" si="9"/>
        <v>-2.1575048380246653E-2</v>
      </c>
      <c r="H30" s="410"/>
      <c r="I30" s="411">
        <f>I14+I19</f>
        <v>2052949.0345000003</v>
      </c>
      <c r="J30" s="400">
        <f t="shared" si="10"/>
        <v>3.6675913642522935E-2</v>
      </c>
      <c r="K30" s="241"/>
      <c r="L30" s="345">
        <f>L14+L19</f>
        <v>-4682.3378699999885</v>
      </c>
      <c r="M30" s="339">
        <f t="shared" si="11"/>
        <v>-8.3649918473041544E-5</v>
      </c>
      <c r="N30" s="241"/>
      <c r="O30" s="120">
        <f t="shared" si="13"/>
        <v>56815997.347778589</v>
      </c>
      <c r="P30" s="18">
        <f>P14+P19</f>
        <v>840594.67587999627</v>
      </c>
      <c r="Q30" s="81">
        <f t="shared" si="12"/>
        <v>1.5017215343803167E-2</v>
      </c>
      <c r="R30" s="241"/>
      <c r="S30" s="22"/>
    </row>
    <row r="31" spans="2:19" s="14" customFormat="1" x14ac:dyDescent="0.25">
      <c r="B31" s="69" t="s">
        <v>45</v>
      </c>
      <c r="C31" s="69"/>
      <c r="D31" s="18">
        <f>D15+D20</f>
        <v>14249069.085964851</v>
      </c>
      <c r="E31" s="67"/>
      <c r="F31" s="411">
        <f>F15+F20</f>
        <v>-563824.82688000007</v>
      </c>
      <c r="G31" s="400">
        <f t="shared" si="9"/>
        <v>-3.9569239469500521E-2</v>
      </c>
      <c r="H31" s="410"/>
      <c r="I31" s="411">
        <f>I15+I20</f>
        <v>986693.44704</v>
      </c>
      <c r="J31" s="400">
        <f t="shared" si="10"/>
        <v>6.9246169071625896E-2</v>
      </c>
      <c r="K31" s="241"/>
      <c r="L31" s="345">
        <f>L15+L20</f>
        <v>107.45377999999982</v>
      </c>
      <c r="M31" s="339">
        <f t="shared" si="11"/>
        <v>7.5411087806318804E-6</v>
      </c>
      <c r="N31" s="241"/>
      <c r="O31" s="120">
        <f t="shared" si="13"/>
        <v>14672045.159904849</v>
      </c>
      <c r="P31" s="18">
        <f>P15+P20</f>
        <v>422976.07393999957</v>
      </c>
      <c r="Q31" s="81">
        <f t="shared" si="12"/>
        <v>2.9684470710905988E-2</v>
      </c>
      <c r="R31" s="241"/>
      <c r="S31" s="22"/>
    </row>
    <row r="32" spans="2:19" s="14" customFormat="1" x14ac:dyDescent="0.25">
      <c r="B32" s="69" t="s">
        <v>46</v>
      </c>
      <c r="C32" s="69"/>
      <c r="D32" s="18">
        <f>D16+D21</f>
        <v>3773732.6442614752</v>
      </c>
      <c r="E32" s="67"/>
      <c r="F32" s="411">
        <f>F16+F21</f>
        <v>-38289.77410000001</v>
      </c>
      <c r="G32" s="400">
        <f t="shared" si="9"/>
        <v>-1.0146392897818381E-2</v>
      </c>
      <c r="H32" s="410"/>
      <c r="I32" s="411">
        <f>I16+I21</f>
        <v>68266.237499999988</v>
      </c>
      <c r="J32" s="400">
        <f t="shared" si="10"/>
        <v>1.8089844706886963E-2</v>
      </c>
      <c r="K32" s="241"/>
      <c r="L32" s="345">
        <f>L16+L21</f>
        <v>0</v>
      </c>
      <c r="M32" s="339">
        <f t="shared" si="11"/>
        <v>0</v>
      </c>
      <c r="N32" s="241"/>
      <c r="O32" s="120">
        <f t="shared" si="13"/>
        <v>3803709.107661475</v>
      </c>
      <c r="P32" s="18">
        <f>P16+P21</f>
        <v>29976.463400000037</v>
      </c>
      <c r="Q32" s="81">
        <f t="shared" si="12"/>
        <v>7.9434518090685975E-3</v>
      </c>
      <c r="R32" s="241"/>
      <c r="S32" s="22"/>
    </row>
    <row r="33" spans="2:19" s="14" customFormat="1" x14ac:dyDescent="0.25">
      <c r="B33" s="13" t="s">
        <v>47</v>
      </c>
      <c r="C33" s="13"/>
      <c r="D33" s="18">
        <f>D17+D22</f>
        <v>18263709.971188731</v>
      </c>
      <c r="E33" s="67"/>
      <c r="F33" s="411">
        <f>F17+F22</f>
        <v>-377579.21638135239</v>
      </c>
      <c r="G33" s="400">
        <f t="shared" si="9"/>
        <v>-2.0673741368921708E-2</v>
      </c>
      <c r="H33" s="410"/>
      <c r="I33" s="411">
        <f>I17+I22</f>
        <v>637141.97613369278</v>
      </c>
      <c r="J33" s="400">
        <f t="shared" si="10"/>
        <v>3.4885681887129913E-2</v>
      </c>
      <c r="K33" s="241"/>
      <c r="L33" s="345">
        <f>L17+L22</f>
        <v>-517.84840591355191</v>
      </c>
      <c r="M33" s="339">
        <f t="shared" si="11"/>
        <v>-2.835395474032742E-5</v>
      </c>
      <c r="N33" s="241"/>
      <c r="O33" s="120">
        <f t="shared" si="13"/>
        <v>18522754.88253516</v>
      </c>
      <c r="P33" s="18">
        <f>P17+P22</f>
        <v>259044.91134642716</v>
      </c>
      <c r="Q33" s="81">
        <f t="shared" si="12"/>
        <v>1.4183586563467899E-2</v>
      </c>
      <c r="R33" s="241"/>
      <c r="S33" s="22"/>
    </row>
    <row r="34" spans="2:19" s="14" customFormat="1" x14ac:dyDescent="0.25">
      <c r="B34" s="13" t="s">
        <v>13</v>
      </c>
      <c r="C34" s="13"/>
      <c r="D34" s="18">
        <f>D23</f>
        <v>1676822.7883708156</v>
      </c>
      <c r="E34" s="67"/>
      <c r="F34" s="411">
        <f>F23</f>
        <v>0</v>
      </c>
      <c r="G34" s="400">
        <f t="shared" si="9"/>
        <v>0</v>
      </c>
      <c r="H34" s="410"/>
      <c r="I34" s="411">
        <f>I23</f>
        <v>0</v>
      </c>
      <c r="J34" s="400">
        <f t="shared" si="10"/>
        <v>0</v>
      </c>
      <c r="K34" s="241"/>
      <c r="L34" s="345">
        <f>L23</f>
        <v>0</v>
      </c>
      <c r="M34" s="339">
        <f t="shared" si="11"/>
        <v>0</v>
      </c>
      <c r="N34" s="241"/>
      <c r="O34" s="120">
        <f t="shared" si="13"/>
        <v>1676822.7883708156</v>
      </c>
      <c r="P34" s="18">
        <f>P23</f>
        <v>0</v>
      </c>
      <c r="Q34" s="81">
        <f t="shared" si="12"/>
        <v>0</v>
      </c>
      <c r="R34" s="241"/>
      <c r="S34" s="22"/>
    </row>
    <row r="35" spans="2:19" s="14" customFormat="1" x14ac:dyDescent="0.25">
      <c r="B35" s="13" t="s">
        <v>14</v>
      </c>
      <c r="C35" s="13"/>
      <c r="D35" s="206">
        <f>SUM(D28:D34)</f>
        <v>1182203960.9942114</v>
      </c>
      <c r="E35" s="247"/>
      <c r="F35" s="412">
        <f>SUM(F28:F34)</f>
        <v>-27603006.312151354</v>
      </c>
      <c r="G35" s="403">
        <f t="shared" si="9"/>
        <v>-2.3348768252254664E-2</v>
      </c>
      <c r="H35" s="410"/>
      <c r="I35" s="412">
        <f>SUM(I28:I34)</f>
        <v>47192228.780933686</v>
      </c>
      <c r="J35" s="403">
        <f t="shared" si="10"/>
        <v>3.9918855238182338E-2</v>
      </c>
      <c r="K35" s="241"/>
      <c r="L35" s="346">
        <f>SUM(L28:L34)</f>
        <v>-104947.15356591334</v>
      </c>
      <c r="M35" s="342">
        <f t="shared" si="11"/>
        <v>-8.877245976883273E-5</v>
      </c>
      <c r="N35" s="241"/>
      <c r="O35" s="23">
        <f>SUM(O28:O34)</f>
        <v>1201688236.309428</v>
      </c>
      <c r="P35" s="23">
        <f>SUM(P28:P34)</f>
        <v>19484275.315216437</v>
      </c>
      <c r="Q35" s="82">
        <f t="shared" si="12"/>
        <v>1.6481314526158856E-2</v>
      </c>
      <c r="R35" s="241"/>
      <c r="S35" s="22"/>
    </row>
    <row r="36" spans="2:19" s="14" customFormat="1" x14ac:dyDescent="0.25">
      <c r="B36" s="13"/>
      <c r="C36" s="13"/>
      <c r="D36" s="13"/>
      <c r="E36" s="13"/>
      <c r="F36" s="18"/>
      <c r="G36" s="248"/>
      <c r="H36" s="21"/>
      <c r="I36" s="18"/>
      <c r="J36" s="248"/>
      <c r="K36" s="308"/>
      <c r="L36" s="308"/>
      <c r="M36" s="308"/>
      <c r="N36" s="308"/>
      <c r="O36" s="21"/>
      <c r="P36" s="18"/>
      <c r="Q36" s="248"/>
      <c r="R36" s="241"/>
      <c r="S36" s="22"/>
    </row>
    <row r="37" spans="2:19" x14ac:dyDescent="0.25">
      <c r="B37" s="69" t="s">
        <v>260</v>
      </c>
      <c r="F37" s="16"/>
      <c r="G37" s="16"/>
      <c r="J37" s="50"/>
      <c r="K37" s="309"/>
      <c r="L37" s="309"/>
      <c r="M37" s="309"/>
      <c r="N37" s="309"/>
      <c r="P37" s="16"/>
    </row>
    <row r="38" spans="2:19" x14ac:dyDescent="0.25">
      <c r="B38" s="328" t="s">
        <v>388</v>
      </c>
    </row>
    <row r="40" spans="2:19" x14ac:dyDescent="0.25">
      <c r="B40" s="394" t="s">
        <v>401</v>
      </c>
      <c r="C40" s="368"/>
      <c r="D40" s="369">
        <v>1182197566.2604012</v>
      </c>
      <c r="E40" s="370"/>
      <c r="F40" s="369">
        <v>-27436268.282150317</v>
      </c>
      <c r="G40" s="371">
        <v>-2.3207853801406796E-2</v>
      </c>
      <c r="H40" s="370"/>
      <c r="I40" s="369">
        <v>47029336.614741705</v>
      </c>
      <c r="J40" s="371">
        <v>3.9781283566255127E-2</v>
      </c>
      <c r="K40" s="370"/>
      <c r="L40" s="369">
        <v>-104947.15356591334</v>
      </c>
      <c r="M40" s="372">
        <v>-8.8772939956126385E-5</v>
      </c>
      <c r="N40" s="370"/>
      <c r="O40" s="369">
        <v>1201685687.4394271</v>
      </c>
      <c r="P40" s="369">
        <v>19488121.179025438</v>
      </c>
      <c r="Q40" s="371">
        <v>1.6484656824892172E-2</v>
      </c>
    </row>
    <row r="41" spans="2:19" x14ac:dyDescent="0.25">
      <c r="B41" s="394" t="s">
        <v>402</v>
      </c>
      <c r="C41" s="368"/>
      <c r="D41" s="373">
        <f>D35-D40</f>
        <v>6394.7338101863861</v>
      </c>
      <c r="E41" s="370"/>
      <c r="F41" s="373">
        <f>F35-F40</f>
        <v>-166738.03000103682</v>
      </c>
      <c r="G41" s="374">
        <f>G35-G40</f>
        <v>-1.4091445084786838E-4</v>
      </c>
      <c r="H41" s="370"/>
      <c r="I41" s="373">
        <f>I35-I40</f>
        <v>162892.16619198024</v>
      </c>
      <c r="J41" s="374">
        <f>J35-J40</f>
        <v>1.3757167192721131E-4</v>
      </c>
      <c r="K41" s="370"/>
      <c r="L41" s="373">
        <f>L35-L40</f>
        <v>0</v>
      </c>
      <c r="M41" s="374">
        <f>M35-M40</f>
        <v>4.8018729365494582E-10</v>
      </c>
      <c r="N41" s="370"/>
      <c r="O41" s="373">
        <f>O35-O40</f>
        <v>2548.8700008392334</v>
      </c>
      <c r="P41" s="373">
        <f>P35-P40</f>
        <v>-3845.8638090007007</v>
      </c>
      <c r="Q41" s="374">
        <f>Q35-Q40</f>
        <v>-3.3422987333157905E-6</v>
      </c>
    </row>
  </sheetData>
  <printOptions horizontalCentered="1"/>
  <pageMargins left="0.45" right="0.45" top="0.75" bottom="0.75" header="0.3" footer="0.3"/>
  <pageSetup scale="65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zoomScale="90" zoomScaleNormal="90" workbookViewId="0">
      <pane xSplit="3" ySplit="9" topLeftCell="D10" activePane="bottomRight" state="frozenSplit"/>
      <selection activeCell="C32" sqref="C32"/>
      <selection pane="topRight" activeCell="C32" sqref="C32"/>
      <selection pane="bottomLeft" activeCell="C32" sqref="C32"/>
      <selection pane="bottomRight" activeCell="Q26" sqref="Q26"/>
    </sheetView>
  </sheetViews>
  <sheetFormatPr defaultRowHeight="15" x14ac:dyDescent="0.25"/>
  <cols>
    <col min="1" max="1" width="2.85546875" customWidth="1"/>
    <col min="2" max="2" width="37.5703125" customWidth="1"/>
    <col min="3" max="3" width="9.140625" bestFit="1" customWidth="1"/>
    <col min="4" max="4" width="16.140625" bestFit="1" customWidth="1"/>
    <col min="5" max="5" width="2.28515625" style="197" customWidth="1"/>
    <col min="6" max="6" width="16" bestFit="1" customWidth="1"/>
    <col min="7" max="7" width="10.42578125" customWidth="1"/>
    <col min="8" max="8" width="2.28515625" style="197" customWidth="1"/>
    <col min="9" max="9" width="16" bestFit="1" customWidth="1"/>
    <col min="10" max="10" width="10.42578125" customWidth="1"/>
    <col min="11" max="11" width="2.28515625" style="197" customWidth="1"/>
    <col min="12" max="12" width="16.140625" bestFit="1" customWidth="1"/>
    <col min="13" max="13" width="16" bestFit="1" customWidth="1"/>
    <col min="14" max="14" width="11.5703125" customWidth="1"/>
    <col min="15" max="15" width="7.85546875" customWidth="1"/>
    <col min="16" max="16" width="9.28515625" customWidth="1"/>
  </cols>
  <sheetData>
    <row r="1" spans="2:15" x14ac:dyDescent="0.25">
      <c r="B1" s="52" t="s">
        <v>0</v>
      </c>
      <c r="C1" s="52"/>
      <c r="D1" s="52"/>
      <c r="E1" s="304"/>
      <c r="F1" s="52"/>
      <c r="G1" s="52"/>
      <c r="H1" s="304"/>
      <c r="I1" s="52"/>
      <c r="J1" s="52"/>
      <c r="K1" s="304"/>
      <c r="L1" s="52"/>
      <c r="M1" s="52"/>
      <c r="N1" s="52"/>
      <c r="O1" s="230"/>
    </row>
    <row r="2" spans="2:15" x14ac:dyDescent="0.25">
      <c r="B2" s="52" t="s">
        <v>195</v>
      </c>
      <c r="C2" s="52"/>
      <c r="D2" s="52"/>
      <c r="E2" s="304"/>
      <c r="F2" s="52"/>
      <c r="G2" s="52"/>
      <c r="H2" s="304"/>
      <c r="I2" s="52"/>
      <c r="J2" s="52"/>
      <c r="K2" s="304"/>
      <c r="L2" s="52"/>
      <c r="M2" s="52"/>
      <c r="N2" s="52"/>
      <c r="O2" s="230"/>
    </row>
    <row r="3" spans="2:15" x14ac:dyDescent="0.25">
      <c r="B3" s="257" t="s">
        <v>218</v>
      </c>
      <c r="C3" s="257"/>
      <c r="D3" s="257"/>
      <c r="E3" s="305"/>
      <c r="F3" s="257"/>
      <c r="G3" s="257"/>
      <c r="H3" s="305"/>
      <c r="I3" s="257"/>
      <c r="J3" s="257"/>
      <c r="K3" s="305"/>
      <c r="L3" s="257"/>
      <c r="M3" s="257"/>
      <c r="N3" s="257"/>
      <c r="O3" s="237"/>
    </row>
    <row r="4" spans="2:15" x14ac:dyDescent="0.25">
      <c r="B4" s="257" t="s">
        <v>219</v>
      </c>
      <c r="C4" s="257"/>
      <c r="D4" s="257"/>
      <c r="E4" s="305"/>
      <c r="F4" s="257"/>
      <c r="G4" s="257"/>
      <c r="H4" s="305"/>
      <c r="I4" s="257"/>
      <c r="J4" s="257"/>
      <c r="K4" s="305"/>
      <c r="L4" s="257"/>
      <c r="M4" s="257"/>
      <c r="N4" s="257"/>
      <c r="O4" s="237"/>
    </row>
    <row r="5" spans="2:15" x14ac:dyDescent="0.25">
      <c r="B5" s="250"/>
      <c r="C5" s="250"/>
      <c r="D5" s="250"/>
      <c r="E5" s="4"/>
      <c r="F5" s="250"/>
      <c r="G5" s="250"/>
      <c r="H5" s="4"/>
      <c r="I5" s="250"/>
      <c r="J5" s="250"/>
      <c r="K5" s="4"/>
      <c r="L5" s="250"/>
      <c r="M5" s="250"/>
      <c r="N5" s="250"/>
      <c r="O5" s="237"/>
    </row>
    <row r="6" spans="2:15" x14ac:dyDescent="0.25">
      <c r="D6" s="85" t="s">
        <v>252</v>
      </c>
      <c r="E6" s="85"/>
      <c r="H6" s="4"/>
      <c r="L6" s="107" t="str">
        <f>D6</f>
        <v>12ME Dec. 2025</v>
      </c>
    </row>
    <row r="7" spans="2:15" x14ac:dyDescent="0.25">
      <c r="B7" s="4"/>
      <c r="C7" s="4"/>
      <c r="D7" s="107" t="s">
        <v>136</v>
      </c>
      <c r="E7" s="107"/>
      <c r="F7" s="4" t="s">
        <v>200</v>
      </c>
      <c r="G7" s="4" t="str">
        <f>F7</f>
        <v>Sch. 141N</v>
      </c>
      <c r="H7" s="4"/>
      <c r="I7" s="4" t="s">
        <v>198</v>
      </c>
      <c r="J7" s="4" t="str">
        <f>I7</f>
        <v>Sch. 141R</v>
      </c>
      <c r="K7" s="4"/>
      <c r="L7" s="4" t="s">
        <v>136</v>
      </c>
      <c r="M7" s="4"/>
      <c r="N7" s="4"/>
      <c r="O7" s="4"/>
    </row>
    <row r="8" spans="2:15" x14ac:dyDescent="0.25">
      <c r="B8" s="4"/>
      <c r="C8" s="4" t="s">
        <v>17</v>
      </c>
      <c r="D8" s="4" t="s">
        <v>188</v>
      </c>
      <c r="E8" s="4"/>
      <c r="F8" s="4" t="s">
        <v>199</v>
      </c>
      <c r="G8" s="4" t="str">
        <f>F8</f>
        <v>Rate Plan</v>
      </c>
      <c r="H8" s="4"/>
      <c r="I8" s="4" t="s">
        <v>199</v>
      </c>
      <c r="J8" s="4" t="str">
        <f>I8</f>
        <v>Rate Plan</v>
      </c>
      <c r="K8" s="4"/>
      <c r="L8" s="4" t="s">
        <v>189</v>
      </c>
      <c r="M8" s="4" t="s">
        <v>6</v>
      </c>
      <c r="N8" s="4" t="s">
        <v>6</v>
      </c>
      <c r="O8" s="4"/>
    </row>
    <row r="9" spans="2:15" x14ac:dyDescent="0.25">
      <c r="B9" s="251" t="s">
        <v>4</v>
      </c>
      <c r="C9" s="251" t="s">
        <v>21</v>
      </c>
      <c r="D9" s="269" t="s">
        <v>276</v>
      </c>
      <c r="E9" s="4"/>
      <c r="F9" s="251" t="s">
        <v>122</v>
      </c>
      <c r="G9" s="251" t="s">
        <v>190</v>
      </c>
      <c r="H9" s="4"/>
      <c r="I9" s="251" t="s">
        <v>122</v>
      </c>
      <c r="J9" s="251" t="s">
        <v>164</v>
      </c>
      <c r="K9" s="4"/>
      <c r="L9" s="251" t="s">
        <v>131</v>
      </c>
      <c r="M9" s="251" t="s">
        <v>122</v>
      </c>
      <c r="N9" s="251" t="s">
        <v>164</v>
      </c>
      <c r="O9" s="251"/>
    </row>
    <row r="10" spans="2:15" x14ac:dyDescent="0.25">
      <c r="B10" s="4" t="s">
        <v>25</v>
      </c>
      <c r="C10" s="4" t="s">
        <v>26</v>
      </c>
      <c r="D10" s="4" t="s">
        <v>27</v>
      </c>
      <c r="E10" s="4"/>
      <c r="F10" s="94" t="s">
        <v>28</v>
      </c>
      <c r="G10" s="5" t="s">
        <v>165</v>
      </c>
      <c r="H10" s="4"/>
      <c r="I10" s="94" t="s">
        <v>132</v>
      </c>
      <c r="J10" s="5" t="s">
        <v>191</v>
      </c>
      <c r="K10" s="5"/>
      <c r="L10" s="4" t="s">
        <v>215</v>
      </c>
      <c r="M10" s="94" t="s">
        <v>216</v>
      </c>
      <c r="N10" s="5" t="s">
        <v>217</v>
      </c>
      <c r="O10" s="4"/>
    </row>
    <row r="11" spans="2:15" x14ac:dyDescent="0.25">
      <c r="B11" t="s">
        <v>7</v>
      </c>
      <c r="C11" s="6" t="s">
        <v>30</v>
      </c>
      <c r="D11" s="192"/>
      <c r="E11" s="306"/>
      <c r="F11" s="238"/>
      <c r="G11" s="81" t="e">
        <f>F11/$D11</f>
        <v>#DIV/0!</v>
      </c>
      <c r="H11" s="196"/>
      <c r="I11" s="238"/>
      <c r="J11" s="81" t="e">
        <f>I11/$D11</f>
        <v>#DIV/0!</v>
      </c>
      <c r="K11" s="241"/>
      <c r="L11" s="120"/>
      <c r="M11" s="239">
        <f t="shared" ref="M11:M23" si="0">L11-D11</f>
        <v>0</v>
      </c>
      <c r="N11" s="81" t="e">
        <f>M11/$D11</f>
        <v>#DIV/0!</v>
      </c>
      <c r="O11" s="81"/>
    </row>
    <row r="12" spans="2:15" x14ac:dyDescent="0.25">
      <c r="B12" t="s">
        <v>31</v>
      </c>
      <c r="C12" s="6">
        <v>16</v>
      </c>
      <c r="D12" s="192"/>
      <c r="E12" s="306"/>
      <c r="F12" s="238"/>
      <c r="G12" s="81" t="e">
        <f t="shared" ref="G12:G22" si="1">F12/$D12</f>
        <v>#DIV/0!</v>
      </c>
      <c r="H12" s="196"/>
      <c r="I12" s="238"/>
      <c r="J12" s="81" t="e">
        <f t="shared" ref="J12:J22" si="2">I12/$D12</f>
        <v>#DIV/0!</v>
      </c>
      <c r="K12" s="241"/>
      <c r="L12" s="120"/>
      <c r="M12" s="239">
        <f t="shared" si="0"/>
        <v>0</v>
      </c>
      <c r="N12" s="81" t="e">
        <f t="shared" ref="N12:N24" si="3">M12/$D12</f>
        <v>#DIV/0!</v>
      </c>
      <c r="O12" s="81"/>
    </row>
    <row r="13" spans="2:15" x14ac:dyDescent="0.25">
      <c r="B13" t="s">
        <v>8</v>
      </c>
      <c r="C13" s="6">
        <v>31</v>
      </c>
      <c r="D13" s="192"/>
      <c r="E13" s="306"/>
      <c r="F13" s="238"/>
      <c r="G13" s="81" t="e">
        <f t="shared" si="1"/>
        <v>#DIV/0!</v>
      </c>
      <c r="H13" s="196"/>
      <c r="I13" s="238"/>
      <c r="J13" s="81" t="e">
        <f t="shared" si="2"/>
        <v>#DIV/0!</v>
      </c>
      <c r="K13" s="241"/>
      <c r="L13" s="120"/>
      <c r="M13" s="239">
        <f t="shared" si="0"/>
        <v>0</v>
      </c>
      <c r="N13" s="81" t="e">
        <f t="shared" si="3"/>
        <v>#DIV/0!</v>
      </c>
      <c r="O13" s="81"/>
    </row>
    <row r="14" spans="2:15" x14ac:dyDescent="0.25">
      <c r="B14" t="s">
        <v>9</v>
      </c>
      <c r="C14" s="6">
        <v>41</v>
      </c>
      <c r="D14" s="192"/>
      <c r="E14" s="306"/>
      <c r="F14" s="238"/>
      <c r="G14" s="81" t="e">
        <f t="shared" si="1"/>
        <v>#DIV/0!</v>
      </c>
      <c r="H14" s="196"/>
      <c r="I14" s="238"/>
      <c r="J14" s="81" t="e">
        <f t="shared" si="2"/>
        <v>#DIV/0!</v>
      </c>
      <c r="K14" s="241"/>
      <c r="L14" s="120"/>
      <c r="M14" s="239">
        <f t="shared" si="0"/>
        <v>0</v>
      </c>
      <c r="N14" s="81" t="e">
        <f t="shared" si="3"/>
        <v>#DIV/0!</v>
      </c>
      <c r="O14" s="81"/>
    </row>
    <row r="15" spans="2:15" x14ac:dyDescent="0.25">
      <c r="B15" t="s">
        <v>10</v>
      </c>
      <c r="C15" s="6">
        <v>85</v>
      </c>
      <c r="D15" s="192"/>
      <c r="E15" s="306"/>
      <c r="F15" s="238"/>
      <c r="G15" s="81" t="e">
        <f t="shared" si="1"/>
        <v>#DIV/0!</v>
      </c>
      <c r="H15" s="196"/>
      <c r="I15" s="238"/>
      <c r="J15" s="81" t="e">
        <f t="shared" si="2"/>
        <v>#DIV/0!</v>
      </c>
      <c r="K15" s="241"/>
      <c r="L15" s="120"/>
      <c r="M15" s="239">
        <f t="shared" si="0"/>
        <v>0</v>
      </c>
      <c r="N15" s="81" t="e">
        <f t="shared" si="3"/>
        <v>#DIV/0!</v>
      </c>
      <c r="O15" s="81"/>
    </row>
    <row r="16" spans="2:15" x14ac:dyDescent="0.25">
      <c r="B16" t="s">
        <v>11</v>
      </c>
      <c r="C16" s="6">
        <v>86</v>
      </c>
      <c r="D16" s="192"/>
      <c r="E16" s="306"/>
      <c r="F16" s="238"/>
      <c r="G16" s="81" t="e">
        <f t="shared" si="1"/>
        <v>#DIV/0!</v>
      </c>
      <c r="H16" s="196"/>
      <c r="I16" s="238"/>
      <c r="J16" s="81" t="e">
        <f t="shared" si="2"/>
        <v>#DIV/0!</v>
      </c>
      <c r="K16" s="241"/>
      <c r="L16" s="120"/>
      <c r="M16" s="239">
        <f t="shared" si="0"/>
        <v>0</v>
      </c>
      <c r="N16" s="81" t="e">
        <f>M16/$D16</f>
        <v>#DIV/0!</v>
      </c>
      <c r="O16" s="81"/>
    </row>
    <row r="17" spans="2:16" x14ac:dyDescent="0.25">
      <c r="B17" t="s">
        <v>12</v>
      </c>
      <c r="C17" s="6">
        <v>87</v>
      </c>
      <c r="D17" s="192"/>
      <c r="E17" s="306"/>
      <c r="F17" s="238"/>
      <c r="G17" s="81" t="e">
        <f t="shared" si="1"/>
        <v>#DIV/0!</v>
      </c>
      <c r="H17" s="196"/>
      <c r="I17" s="238"/>
      <c r="J17" s="81" t="e">
        <f t="shared" si="2"/>
        <v>#DIV/0!</v>
      </c>
      <c r="K17" s="241"/>
      <c r="L17" s="120"/>
      <c r="M17" s="239">
        <f t="shared" si="0"/>
        <v>0</v>
      </c>
      <c r="N17" s="81" t="e">
        <f t="shared" si="3"/>
        <v>#DIV/0!</v>
      </c>
      <c r="O17" s="81"/>
    </row>
    <row r="18" spans="2:16" x14ac:dyDescent="0.25">
      <c r="B18" t="s">
        <v>32</v>
      </c>
      <c r="C18" s="6" t="s">
        <v>33</v>
      </c>
      <c r="D18" s="192"/>
      <c r="E18" s="306"/>
      <c r="F18" s="238"/>
      <c r="G18" s="81" t="e">
        <f t="shared" si="1"/>
        <v>#DIV/0!</v>
      </c>
      <c r="H18" s="196"/>
      <c r="I18" s="238"/>
      <c r="J18" s="81" t="e">
        <f t="shared" si="2"/>
        <v>#DIV/0!</v>
      </c>
      <c r="K18" s="241"/>
      <c r="L18" s="120"/>
      <c r="M18" s="239">
        <f t="shared" si="0"/>
        <v>0</v>
      </c>
      <c r="N18" s="81" t="e">
        <f t="shared" si="3"/>
        <v>#DIV/0!</v>
      </c>
      <c r="O18" s="81"/>
    </row>
    <row r="19" spans="2:16" x14ac:dyDescent="0.25">
      <c r="B19" t="s">
        <v>34</v>
      </c>
      <c r="C19" t="s">
        <v>35</v>
      </c>
      <c r="D19" s="192"/>
      <c r="E19" s="306"/>
      <c r="F19" s="238"/>
      <c r="G19" s="81" t="e">
        <f t="shared" si="1"/>
        <v>#DIV/0!</v>
      </c>
      <c r="H19" s="196"/>
      <c r="I19" s="238"/>
      <c r="J19" s="81" t="e">
        <f t="shared" si="2"/>
        <v>#DIV/0!</v>
      </c>
      <c r="K19" s="241"/>
      <c r="L19" s="120"/>
      <c r="M19" s="239">
        <f t="shared" si="0"/>
        <v>0</v>
      </c>
      <c r="N19" s="81" t="e">
        <f>M19/$D19</f>
        <v>#DIV/0!</v>
      </c>
      <c r="O19" s="81"/>
    </row>
    <row r="20" spans="2:16" x14ac:dyDescent="0.25">
      <c r="B20" t="s">
        <v>36</v>
      </c>
      <c r="C20" t="s">
        <v>37</v>
      </c>
      <c r="D20" s="192"/>
      <c r="E20" s="306"/>
      <c r="F20" s="238"/>
      <c r="G20" s="81" t="e">
        <f t="shared" si="1"/>
        <v>#DIV/0!</v>
      </c>
      <c r="H20" s="196"/>
      <c r="I20" s="238"/>
      <c r="J20" s="81" t="e">
        <f t="shared" si="2"/>
        <v>#DIV/0!</v>
      </c>
      <c r="K20" s="241"/>
      <c r="L20" s="120"/>
      <c r="M20" s="239">
        <f t="shared" si="0"/>
        <v>0</v>
      </c>
      <c r="N20" s="81" t="e">
        <f t="shared" si="3"/>
        <v>#DIV/0!</v>
      </c>
      <c r="O20" s="81"/>
    </row>
    <row r="21" spans="2:16" x14ac:dyDescent="0.25">
      <c r="B21" t="s">
        <v>38</v>
      </c>
      <c r="C21" t="s">
        <v>39</v>
      </c>
      <c r="D21" s="192"/>
      <c r="E21" s="306"/>
      <c r="F21" s="238"/>
      <c r="G21" s="81" t="e">
        <f t="shared" si="1"/>
        <v>#DIV/0!</v>
      </c>
      <c r="H21" s="196"/>
      <c r="I21" s="238"/>
      <c r="J21" s="81" t="e">
        <f t="shared" si="2"/>
        <v>#DIV/0!</v>
      </c>
      <c r="K21" s="241"/>
      <c r="L21" s="120"/>
      <c r="M21" s="239">
        <f t="shared" si="0"/>
        <v>0</v>
      </c>
      <c r="N21" s="81" t="e">
        <f t="shared" si="3"/>
        <v>#DIV/0!</v>
      </c>
      <c r="O21" s="81"/>
    </row>
    <row r="22" spans="2:16" x14ac:dyDescent="0.25">
      <c r="B22" t="s">
        <v>40</v>
      </c>
      <c r="C22" t="s">
        <v>41</v>
      </c>
      <c r="D22" s="192"/>
      <c r="E22" s="306"/>
      <c r="F22" s="238"/>
      <c r="G22" s="81" t="e">
        <f t="shared" si="1"/>
        <v>#DIV/0!</v>
      </c>
      <c r="H22" s="196"/>
      <c r="I22" s="238"/>
      <c r="J22" s="81" t="e">
        <f t="shared" si="2"/>
        <v>#DIV/0!</v>
      </c>
      <c r="K22" s="241"/>
      <c r="L22" s="120"/>
      <c r="M22" s="239">
        <f t="shared" si="0"/>
        <v>0</v>
      </c>
      <c r="N22" s="81" t="e">
        <f t="shared" si="3"/>
        <v>#DIV/0!</v>
      </c>
      <c r="O22" s="81"/>
    </row>
    <row r="23" spans="2:16" x14ac:dyDescent="0.25">
      <c r="B23" t="s">
        <v>13</v>
      </c>
      <c r="D23" s="192"/>
      <c r="E23" s="306"/>
      <c r="F23" s="238"/>
      <c r="G23" s="81" t="e">
        <f>F23/$D23</f>
        <v>#DIV/0!</v>
      </c>
      <c r="H23" s="196"/>
      <c r="I23" s="238"/>
      <c r="J23" s="81" t="e">
        <f>I23/$D23</f>
        <v>#DIV/0!</v>
      </c>
      <c r="K23" s="241"/>
      <c r="L23" s="120"/>
      <c r="M23" s="239">
        <f t="shared" si="0"/>
        <v>0</v>
      </c>
      <c r="N23" s="81" t="e">
        <f t="shared" si="3"/>
        <v>#DIV/0!</v>
      </c>
      <c r="O23" s="241"/>
      <c r="P23" s="197"/>
    </row>
    <row r="24" spans="2:16" x14ac:dyDescent="0.25">
      <c r="B24" t="s">
        <v>6</v>
      </c>
      <c r="D24" s="12">
        <f>SUM(D11:D23)</f>
        <v>0</v>
      </c>
      <c r="E24" s="200"/>
      <c r="F24" s="102">
        <f>SUM(F11:F23)</f>
        <v>0</v>
      </c>
      <c r="G24" s="82" t="e">
        <f t="shared" ref="G24" si="4">F24/$D24</f>
        <v>#DIV/0!</v>
      </c>
      <c r="H24" s="196"/>
      <c r="I24" s="102">
        <f>SUM(I11:I23)</f>
        <v>0</v>
      </c>
      <c r="J24" s="82" t="e">
        <f t="shared" ref="J24" si="5">I24/$D24</f>
        <v>#DIV/0!</v>
      </c>
      <c r="K24" s="241"/>
      <c r="L24" s="102">
        <f>SUM(L11:L23)</f>
        <v>0</v>
      </c>
      <c r="M24" s="102">
        <f>SUM(M11:M23)</f>
        <v>0</v>
      </c>
      <c r="N24" s="82" t="e">
        <f t="shared" si="3"/>
        <v>#DIV/0!</v>
      </c>
      <c r="O24" s="241"/>
      <c r="P24" s="200"/>
    </row>
    <row r="25" spans="2:16" s="14" customFormat="1" x14ac:dyDescent="0.25">
      <c r="B25" s="13"/>
      <c r="C25" s="242"/>
      <c r="D25" s="242"/>
      <c r="E25" s="242"/>
      <c r="F25" s="67"/>
      <c r="G25" s="243"/>
      <c r="H25" s="244"/>
      <c r="I25" s="67"/>
      <c r="J25" s="243"/>
      <c r="K25" s="243"/>
      <c r="L25" s="244"/>
      <c r="M25" s="67"/>
      <c r="N25" s="243"/>
      <c r="O25" s="245"/>
      <c r="P25" s="22"/>
    </row>
    <row r="26" spans="2:16" x14ac:dyDescent="0.25">
      <c r="F26" s="141"/>
      <c r="G26" s="120"/>
      <c r="I26" s="141"/>
      <c r="J26" s="120"/>
      <c r="K26" s="189"/>
      <c r="L26" s="197"/>
      <c r="M26" s="141"/>
      <c r="N26" s="120"/>
      <c r="O26" s="246"/>
      <c r="P26" s="197"/>
    </row>
    <row r="27" spans="2:16" s="14" customFormat="1" x14ac:dyDescent="0.25">
      <c r="B27" s="152" t="s">
        <v>160</v>
      </c>
      <c r="C27" s="17"/>
      <c r="D27" s="17"/>
      <c r="E27" s="307"/>
      <c r="F27" s="202"/>
      <c r="G27" s="203"/>
      <c r="H27" s="22"/>
      <c r="I27" s="202"/>
      <c r="J27" s="203"/>
      <c r="K27" s="203"/>
      <c r="L27" s="22"/>
      <c r="M27" s="202"/>
      <c r="N27" s="203"/>
      <c r="O27" s="245"/>
      <c r="P27" s="22"/>
    </row>
    <row r="28" spans="2:16" s="14" customFormat="1" x14ac:dyDescent="0.25">
      <c r="B28" s="69" t="s">
        <v>42</v>
      </c>
      <c r="C28" s="69"/>
      <c r="D28" s="18">
        <f>D11+D12</f>
        <v>0</v>
      </c>
      <c r="E28" s="67"/>
      <c r="F28" s="18">
        <f>F11+F12</f>
        <v>0</v>
      </c>
      <c r="G28" s="81" t="e">
        <f t="shared" ref="G28:G35" si="6">F28/$D28</f>
        <v>#DIV/0!</v>
      </c>
      <c r="H28" s="21"/>
      <c r="I28" s="18">
        <f>I11+I12</f>
        <v>0</v>
      </c>
      <c r="J28" s="81" t="e">
        <f t="shared" ref="J28:J35" si="7">I28/$D28</f>
        <v>#DIV/0!</v>
      </c>
      <c r="K28" s="241"/>
      <c r="L28" s="120">
        <f t="shared" ref="L28:L34" si="8">SUM(D28,F28,I28)</f>
        <v>0</v>
      </c>
      <c r="M28" s="18">
        <f>M11+M12</f>
        <v>0</v>
      </c>
      <c r="N28" s="81" t="e">
        <f t="shared" ref="N28:N35" si="9">M28/$D28</f>
        <v>#DIV/0!</v>
      </c>
      <c r="O28" s="241"/>
      <c r="P28" s="19"/>
    </row>
    <row r="29" spans="2:16" s="14" customFormat="1" x14ac:dyDescent="0.25">
      <c r="B29" s="20" t="s">
        <v>43</v>
      </c>
      <c r="C29" s="20"/>
      <c r="D29" s="18">
        <f>D13+D18</f>
        <v>0</v>
      </c>
      <c r="E29" s="67"/>
      <c r="F29" s="18">
        <f>F13+F18</f>
        <v>0</v>
      </c>
      <c r="G29" s="81" t="e">
        <f t="shared" si="6"/>
        <v>#DIV/0!</v>
      </c>
      <c r="H29" s="21"/>
      <c r="I29" s="18">
        <f>I13+I18</f>
        <v>0</v>
      </c>
      <c r="J29" s="81" t="e">
        <f t="shared" si="7"/>
        <v>#DIV/0!</v>
      </c>
      <c r="K29" s="241"/>
      <c r="L29" s="120">
        <f t="shared" si="8"/>
        <v>0</v>
      </c>
      <c r="M29" s="18">
        <f>M13+M18</f>
        <v>0</v>
      </c>
      <c r="N29" s="81" t="e">
        <f t="shared" si="9"/>
        <v>#DIV/0!</v>
      </c>
      <c r="O29" s="241"/>
      <c r="P29" s="22"/>
    </row>
    <row r="30" spans="2:16" s="14" customFormat="1" x14ac:dyDescent="0.25">
      <c r="B30" s="69" t="s">
        <v>44</v>
      </c>
      <c r="C30" s="69"/>
      <c r="D30" s="18">
        <f>D14+D19</f>
        <v>0</v>
      </c>
      <c r="E30" s="67"/>
      <c r="F30" s="18">
        <f>F14+F19</f>
        <v>0</v>
      </c>
      <c r="G30" s="81" t="e">
        <f t="shared" si="6"/>
        <v>#DIV/0!</v>
      </c>
      <c r="H30" s="21"/>
      <c r="I30" s="18">
        <f>I14+I19</f>
        <v>0</v>
      </c>
      <c r="J30" s="81" t="e">
        <f t="shared" si="7"/>
        <v>#DIV/0!</v>
      </c>
      <c r="K30" s="241"/>
      <c r="L30" s="120">
        <f t="shared" si="8"/>
        <v>0</v>
      </c>
      <c r="M30" s="18">
        <f>M14+M19</f>
        <v>0</v>
      </c>
      <c r="N30" s="81" t="e">
        <f t="shared" si="9"/>
        <v>#DIV/0!</v>
      </c>
      <c r="O30" s="241"/>
      <c r="P30" s="22"/>
    </row>
    <row r="31" spans="2:16" s="14" customFormat="1" x14ac:dyDescent="0.25">
      <c r="B31" s="69" t="s">
        <v>45</v>
      </c>
      <c r="C31" s="69"/>
      <c r="D31" s="18">
        <f>D15+D20</f>
        <v>0</v>
      </c>
      <c r="E31" s="67"/>
      <c r="F31" s="18">
        <f>F15+F20</f>
        <v>0</v>
      </c>
      <c r="G31" s="81" t="e">
        <f t="shared" si="6"/>
        <v>#DIV/0!</v>
      </c>
      <c r="H31" s="21"/>
      <c r="I31" s="18">
        <f>I15+I20</f>
        <v>0</v>
      </c>
      <c r="J31" s="81" t="e">
        <f t="shared" si="7"/>
        <v>#DIV/0!</v>
      </c>
      <c r="K31" s="241"/>
      <c r="L31" s="120">
        <f t="shared" si="8"/>
        <v>0</v>
      </c>
      <c r="M31" s="18">
        <f>M15+M20</f>
        <v>0</v>
      </c>
      <c r="N31" s="81" t="e">
        <f t="shared" si="9"/>
        <v>#DIV/0!</v>
      </c>
      <c r="O31" s="241"/>
      <c r="P31" s="22"/>
    </row>
    <row r="32" spans="2:16" s="14" customFormat="1" x14ac:dyDescent="0.25">
      <c r="B32" s="69" t="s">
        <v>46</v>
      </c>
      <c r="C32" s="69"/>
      <c r="D32" s="18">
        <f>D16+D21</f>
        <v>0</v>
      </c>
      <c r="E32" s="67"/>
      <c r="F32" s="18">
        <f>F16+F21</f>
        <v>0</v>
      </c>
      <c r="G32" s="81" t="e">
        <f t="shared" si="6"/>
        <v>#DIV/0!</v>
      </c>
      <c r="H32" s="21"/>
      <c r="I32" s="18">
        <f>I16+I21</f>
        <v>0</v>
      </c>
      <c r="J32" s="81" t="e">
        <f t="shared" si="7"/>
        <v>#DIV/0!</v>
      </c>
      <c r="K32" s="241"/>
      <c r="L32" s="120">
        <f t="shared" si="8"/>
        <v>0</v>
      </c>
      <c r="M32" s="18">
        <f>M16+M21</f>
        <v>0</v>
      </c>
      <c r="N32" s="81" t="e">
        <f t="shared" si="9"/>
        <v>#DIV/0!</v>
      </c>
      <c r="O32" s="241"/>
      <c r="P32" s="22"/>
    </row>
    <row r="33" spans="2:16" s="14" customFormat="1" x14ac:dyDescent="0.25">
      <c r="B33" s="13" t="s">
        <v>47</v>
      </c>
      <c r="C33" s="13"/>
      <c r="D33" s="18">
        <f>D17+D22</f>
        <v>0</v>
      </c>
      <c r="E33" s="67"/>
      <c r="F33" s="18">
        <f>F17+F22</f>
        <v>0</v>
      </c>
      <c r="G33" s="81" t="e">
        <f t="shared" si="6"/>
        <v>#DIV/0!</v>
      </c>
      <c r="H33" s="21"/>
      <c r="I33" s="18">
        <f>I17+I22</f>
        <v>0</v>
      </c>
      <c r="J33" s="81" t="e">
        <f t="shared" si="7"/>
        <v>#DIV/0!</v>
      </c>
      <c r="K33" s="241"/>
      <c r="L33" s="120">
        <f t="shared" si="8"/>
        <v>0</v>
      </c>
      <c r="M33" s="18">
        <f>M17+M22</f>
        <v>0</v>
      </c>
      <c r="N33" s="81" t="e">
        <f t="shared" si="9"/>
        <v>#DIV/0!</v>
      </c>
      <c r="O33" s="241"/>
      <c r="P33" s="22"/>
    </row>
    <row r="34" spans="2:16" s="14" customFormat="1" x14ac:dyDescent="0.25">
      <c r="B34" s="13" t="s">
        <v>13</v>
      </c>
      <c r="C34" s="13"/>
      <c r="D34" s="18">
        <f>D23</f>
        <v>0</v>
      </c>
      <c r="E34" s="67"/>
      <c r="F34" s="18">
        <f>F23</f>
        <v>0</v>
      </c>
      <c r="G34" s="81" t="e">
        <f t="shared" si="6"/>
        <v>#DIV/0!</v>
      </c>
      <c r="H34" s="21"/>
      <c r="I34" s="18">
        <f>I23</f>
        <v>0</v>
      </c>
      <c r="J34" s="81" t="e">
        <f t="shared" si="7"/>
        <v>#DIV/0!</v>
      </c>
      <c r="K34" s="241"/>
      <c r="L34" s="120">
        <f t="shared" si="8"/>
        <v>0</v>
      </c>
      <c r="M34" s="18">
        <f>M23</f>
        <v>0</v>
      </c>
      <c r="N34" s="81" t="e">
        <f t="shared" si="9"/>
        <v>#DIV/0!</v>
      </c>
      <c r="O34" s="241"/>
      <c r="P34" s="22"/>
    </row>
    <row r="35" spans="2:16" s="14" customFormat="1" x14ac:dyDescent="0.25">
      <c r="B35" s="13" t="s">
        <v>14</v>
      </c>
      <c r="C35" s="13"/>
      <c r="D35" s="206">
        <f>SUM(D28:D34)</f>
        <v>0</v>
      </c>
      <c r="E35" s="247"/>
      <c r="F35" s="23">
        <f>SUM(F28:F34)</f>
        <v>0</v>
      </c>
      <c r="G35" s="82" t="e">
        <f t="shared" si="6"/>
        <v>#DIV/0!</v>
      </c>
      <c r="H35" s="21"/>
      <c r="I35" s="23">
        <f>SUM(I28:I34)</f>
        <v>0</v>
      </c>
      <c r="J35" s="82" t="e">
        <f t="shared" si="7"/>
        <v>#DIV/0!</v>
      </c>
      <c r="K35" s="241"/>
      <c r="L35" s="23">
        <f>SUM(L28:L34)</f>
        <v>0</v>
      </c>
      <c r="M35" s="23">
        <f>SUM(M28:M34)</f>
        <v>0</v>
      </c>
      <c r="N35" s="82" t="e">
        <f t="shared" si="9"/>
        <v>#DIV/0!</v>
      </c>
      <c r="O35" s="241"/>
      <c r="P35" s="22"/>
    </row>
    <row r="36" spans="2:16" s="14" customFormat="1" x14ac:dyDescent="0.25">
      <c r="B36" s="13"/>
      <c r="C36" s="13"/>
      <c r="D36" s="13"/>
      <c r="E36" s="13"/>
      <c r="F36" s="18"/>
      <c r="G36" s="248"/>
      <c r="H36" s="21"/>
      <c r="I36" s="18"/>
      <c r="J36" s="248"/>
      <c r="K36" s="308"/>
      <c r="L36" s="21"/>
      <c r="M36" s="18"/>
      <c r="N36" s="248"/>
      <c r="O36" s="241"/>
      <c r="P36" s="22"/>
    </row>
    <row r="37" spans="2:16" x14ac:dyDescent="0.25">
      <c r="B37" s="69" t="s">
        <v>277</v>
      </c>
      <c r="F37" s="16"/>
      <c r="G37" s="16"/>
      <c r="J37" s="50"/>
      <c r="K37" s="309"/>
      <c r="M37" s="16"/>
    </row>
    <row r="38" spans="2:16" x14ac:dyDescent="0.25">
      <c r="B38" s="51"/>
    </row>
  </sheetData>
  <printOptions horizontalCentered="1"/>
  <pageMargins left="0.45" right="0.45" top="0.75" bottom="0.75" header="0.3" footer="0.3"/>
  <pageSetup scale="77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90" zoomScaleNormal="90" zoomScaleSheetLayoutView="75" workbookViewId="0">
      <selection activeCell="Q41" sqref="Q41"/>
    </sheetView>
  </sheetViews>
  <sheetFormatPr defaultColWidth="9.42578125" defaultRowHeight="15" x14ac:dyDescent="0.25"/>
  <cols>
    <col min="1" max="1" width="2.85546875" style="261" customWidth="1"/>
    <col min="2" max="2" width="11.28515625" style="261" customWidth="1"/>
    <col min="3" max="3" width="2.5703125" style="261" customWidth="1"/>
    <col min="4" max="4" width="11.28515625" style="261" customWidth="1"/>
    <col min="5" max="5" width="2.5703125" style="261" customWidth="1"/>
    <col min="6" max="9" width="11.28515625" style="261" customWidth="1"/>
    <col min="10" max="10" width="2.5703125" style="261" customWidth="1"/>
    <col min="11" max="13" width="12" style="261" customWidth="1"/>
    <col min="14" max="14" width="2.5703125" style="261" customWidth="1"/>
    <col min="15" max="17" width="12" style="261" customWidth="1"/>
    <col min="18" max="16384" width="9.42578125" style="261"/>
  </cols>
  <sheetData>
    <row r="1" spans="1:17" ht="15" customHeight="1" x14ac:dyDescent="0.25">
      <c r="B1" s="262" t="s">
        <v>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</row>
    <row r="2" spans="1:17" ht="15" customHeight="1" x14ac:dyDescent="0.25">
      <c r="A2" s="262"/>
      <c r="B2" s="52" t="s">
        <v>195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17" ht="15" customHeight="1" x14ac:dyDescent="0.25">
      <c r="A3" s="262"/>
      <c r="B3" s="52" t="s">
        <v>330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</row>
    <row r="4" spans="1:17" ht="15" customHeight="1" x14ac:dyDescent="0.25">
      <c r="A4" s="262"/>
      <c r="B4" s="5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17" ht="15" customHeight="1" x14ac:dyDescent="0.25">
      <c r="A5" s="262"/>
      <c r="B5" s="230"/>
      <c r="C5" s="300"/>
      <c r="D5" s="300"/>
      <c r="E5" s="300"/>
      <c r="F5" s="301" t="s">
        <v>329</v>
      </c>
      <c r="G5" s="301"/>
      <c r="H5" s="301"/>
      <c r="I5" s="301"/>
      <c r="J5" s="300"/>
      <c r="K5" s="301" t="s">
        <v>324</v>
      </c>
      <c r="L5" s="301"/>
      <c r="M5" s="301"/>
      <c r="N5" s="300"/>
      <c r="O5" s="301" t="s">
        <v>325</v>
      </c>
      <c r="P5" s="301"/>
      <c r="Q5" s="301"/>
    </row>
    <row r="6" spans="1:17" ht="15" customHeight="1" x14ac:dyDescent="0.25">
      <c r="G6" s="263" t="s">
        <v>320</v>
      </c>
      <c r="H6" s="263" t="s">
        <v>320</v>
      </c>
      <c r="I6" s="263" t="s">
        <v>320</v>
      </c>
      <c r="J6" s="263"/>
      <c r="K6" s="263" t="s">
        <v>320</v>
      </c>
      <c r="L6" s="263" t="s">
        <v>320</v>
      </c>
      <c r="M6" s="263" t="s">
        <v>320</v>
      </c>
      <c r="N6" s="263"/>
      <c r="O6" s="263" t="s">
        <v>320</v>
      </c>
      <c r="P6" s="263" t="s">
        <v>320</v>
      </c>
      <c r="Q6" s="263" t="s">
        <v>320</v>
      </c>
    </row>
    <row r="7" spans="1:17" ht="15" customHeight="1" x14ac:dyDescent="0.25">
      <c r="F7" s="299"/>
      <c r="G7" s="264" t="s">
        <v>321</v>
      </c>
      <c r="H7" s="264" t="s">
        <v>322</v>
      </c>
      <c r="I7" s="264" t="s">
        <v>323</v>
      </c>
      <c r="J7" s="264"/>
      <c r="K7" s="264" t="s">
        <v>321</v>
      </c>
      <c r="L7" s="264" t="s">
        <v>322</v>
      </c>
      <c r="M7" s="264" t="s">
        <v>323</v>
      </c>
      <c r="N7" s="264"/>
      <c r="O7" s="264" t="s">
        <v>321</v>
      </c>
      <c r="P7" s="264" t="s">
        <v>322</v>
      </c>
      <c r="Q7" s="264" t="s">
        <v>323</v>
      </c>
    </row>
    <row r="8" spans="1:17" ht="15" customHeight="1" x14ac:dyDescent="0.25">
      <c r="D8" s="263" t="s">
        <v>245</v>
      </c>
      <c r="F8" s="264" t="s">
        <v>5</v>
      </c>
      <c r="G8" s="264" t="s">
        <v>1</v>
      </c>
      <c r="H8" s="264" t="s">
        <v>1</v>
      </c>
      <c r="I8" s="264" t="s">
        <v>1</v>
      </c>
      <c r="J8" s="264"/>
      <c r="K8" s="264" t="s">
        <v>1</v>
      </c>
      <c r="L8" s="264" t="s">
        <v>1</v>
      </c>
      <c r="M8" s="264" t="s">
        <v>1</v>
      </c>
      <c r="N8" s="264"/>
      <c r="O8" s="264" t="s">
        <v>1</v>
      </c>
      <c r="P8" s="264" t="s">
        <v>1</v>
      </c>
      <c r="Q8" s="264" t="s">
        <v>1</v>
      </c>
    </row>
    <row r="9" spans="1:17" ht="15" customHeight="1" x14ac:dyDescent="0.25">
      <c r="B9" s="274" t="s">
        <v>121</v>
      </c>
      <c r="D9" s="265" t="s">
        <v>247</v>
      </c>
      <c r="F9" s="266" t="s">
        <v>250</v>
      </c>
      <c r="G9" s="266" t="s">
        <v>326</v>
      </c>
      <c r="H9" s="266" t="s">
        <v>327</v>
      </c>
      <c r="I9" s="266" t="s">
        <v>327</v>
      </c>
      <c r="J9" s="264"/>
      <c r="K9" s="266" t="s">
        <v>326</v>
      </c>
      <c r="L9" s="266" t="s">
        <v>327</v>
      </c>
      <c r="M9" s="266" t="s">
        <v>327</v>
      </c>
      <c r="N9" s="264"/>
      <c r="O9" s="266" t="s">
        <v>326</v>
      </c>
      <c r="P9" s="266" t="s">
        <v>327</v>
      </c>
      <c r="Q9" s="266" t="s">
        <v>327</v>
      </c>
    </row>
    <row r="10" spans="1:17" ht="15" customHeight="1" x14ac:dyDescent="0.25">
      <c r="B10" s="298">
        <v>0</v>
      </c>
      <c r="D10" s="267">
        <f>'Res Billing Data'!B7</f>
        <v>2.1339277840482448E-2</v>
      </c>
      <c r="F10" s="268">
        <f>ROUND((($B10*'Typical Res Bill_RY#1 '!$D$32+'Typical Res Bill_RY#1 '!$D$12)),2)</f>
        <v>11.52</v>
      </c>
      <c r="G10" s="268">
        <f>ROUND((($B10*'Typical Res Bill_RY#1 '!$Y$32+'Typical Res Bill_RY#1 '!$Y$12)),2)</f>
        <v>12.5</v>
      </c>
      <c r="H10" s="268">
        <f>ROUND((($B10*'Typical Res Bill_RY#2'!$P$32+'Typical Res Bill_RY#2'!$P$12)),2)</f>
        <v>12.5</v>
      </c>
      <c r="I10" s="268"/>
      <c r="J10" s="268"/>
      <c r="K10" s="268">
        <f>G10-F10</f>
        <v>0.98000000000000043</v>
      </c>
      <c r="L10" s="268">
        <f t="shared" ref="L10" si="0">H10-G10</f>
        <v>0</v>
      </c>
      <c r="M10" s="268"/>
      <c r="N10" s="268"/>
      <c r="O10" s="302">
        <f>K10/F10</f>
        <v>8.5069444444444489E-2</v>
      </c>
      <c r="P10" s="302">
        <f t="shared" ref="P10" si="1">L10/G10</f>
        <v>0</v>
      </c>
      <c r="Q10" s="302"/>
    </row>
    <row r="11" spans="1:17" ht="15" customHeight="1" x14ac:dyDescent="0.25">
      <c r="B11" s="298">
        <v>10</v>
      </c>
      <c r="D11" s="267">
        <f>'Res Billing Data'!B8</f>
        <v>8.6434762008379296E-2</v>
      </c>
      <c r="F11" s="268">
        <f>ROUND((($B11*'Typical Res Bill_RY#1 '!$D$32+'Typical Res Bill_RY#1 '!$D$12)),2)</f>
        <v>21.55</v>
      </c>
      <c r="G11" s="268">
        <f>ROUND((($B11*'Typical Res Bill_RY#1 '!$Y$32+'Typical Res Bill_RY#1 '!$Y$12)),2)</f>
        <v>23.14</v>
      </c>
      <c r="H11" s="268">
        <f>ROUND((($B11*'Typical Res Bill_RY#2'!$P$32+'Typical Res Bill_RY#2'!$P$12)),2)</f>
        <v>23.34</v>
      </c>
      <c r="I11" s="268"/>
      <c r="J11" s="268"/>
      <c r="K11" s="268">
        <f t="shared" ref="K11:K35" si="2">G11-F11</f>
        <v>1.5899999999999999</v>
      </c>
      <c r="L11" s="268">
        <f t="shared" ref="L11:L35" si="3">H11-G11</f>
        <v>0.19999999999999929</v>
      </c>
      <c r="M11" s="268"/>
      <c r="N11" s="268"/>
      <c r="O11" s="302">
        <f t="shared" ref="O11:O35" si="4">K11/F11</f>
        <v>7.3781902552204168E-2</v>
      </c>
      <c r="P11" s="302">
        <f t="shared" ref="P11:P35" si="5">L11/G11</f>
        <v>8.6430423509074889E-3</v>
      </c>
      <c r="Q11" s="302"/>
    </row>
    <row r="12" spans="1:17" ht="15" customHeight="1" x14ac:dyDescent="0.25">
      <c r="B12" s="298">
        <v>20</v>
      </c>
      <c r="D12" s="267">
        <f>'Res Billing Data'!B9</f>
        <v>0.14576440820271019</v>
      </c>
      <c r="F12" s="268">
        <f>ROUND((($B12*'Typical Res Bill_RY#1 '!$D$32+'Typical Res Bill_RY#1 '!$D$12)),2)</f>
        <v>31.57</v>
      </c>
      <c r="G12" s="268">
        <f>ROUND((($B12*'Typical Res Bill_RY#1 '!$Y$32+'Typical Res Bill_RY#1 '!$Y$12)),2)</f>
        <v>33.770000000000003</v>
      </c>
      <c r="H12" s="268">
        <f>ROUND((($B12*'Typical Res Bill_RY#2'!$P$32+'Typical Res Bill_RY#2'!$P$12)),2)</f>
        <v>34.19</v>
      </c>
      <c r="I12" s="268"/>
      <c r="J12" s="268"/>
      <c r="K12" s="268">
        <f t="shared" si="2"/>
        <v>2.2000000000000028</v>
      </c>
      <c r="L12" s="268">
        <f t="shared" si="3"/>
        <v>0.4199999999999946</v>
      </c>
      <c r="M12" s="268"/>
      <c r="N12" s="268"/>
      <c r="O12" s="302">
        <f t="shared" si="4"/>
        <v>6.9686411149825878E-2</v>
      </c>
      <c r="P12" s="302">
        <f t="shared" si="5"/>
        <v>1.243707432632498E-2</v>
      </c>
      <c r="Q12" s="302"/>
    </row>
    <row r="13" spans="1:17" ht="15" customHeight="1" x14ac:dyDescent="0.25">
      <c r="B13" s="298">
        <v>30</v>
      </c>
      <c r="D13" s="267">
        <f>'Res Billing Data'!B10</f>
        <v>0.12357926957494582</v>
      </c>
      <c r="F13" s="268">
        <f>ROUND((($B13*'Typical Res Bill_RY#1 '!$D$32+'Typical Res Bill_RY#1 '!$D$12)),2)</f>
        <v>41.6</v>
      </c>
      <c r="G13" s="268">
        <f>ROUND((($B13*'Typical Res Bill_RY#1 '!$Y$32+'Typical Res Bill_RY#1 '!$Y$12)),2)</f>
        <v>44.41</v>
      </c>
      <c r="H13" s="268">
        <f>ROUND((($B13*'Typical Res Bill_RY#2'!$P$32+'Typical Res Bill_RY#2'!$P$12)),2)</f>
        <v>45.03</v>
      </c>
      <c r="I13" s="268"/>
      <c r="J13" s="268"/>
      <c r="K13" s="268">
        <f t="shared" si="2"/>
        <v>2.8099999999999952</v>
      </c>
      <c r="L13" s="268">
        <f t="shared" si="3"/>
        <v>0.62000000000000455</v>
      </c>
      <c r="M13" s="268"/>
      <c r="N13" s="268"/>
      <c r="O13" s="302">
        <f t="shared" si="4"/>
        <v>6.7548076923076808E-2</v>
      </c>
      <c r="P13" s="302">
        <f t="shared" si="5"/>
        <v>1.3960819635217397E-2</v>
      </c>
      <c r="Q13" s="302"/>
    </row>
    <row r="14" spans="1:17" ht="15" customHeight="1" x14ac:dyDescent="0.25">
      <c r="B14" s="298">
        <v>40</v>
      </c>
      <c r="D14" s="267">
        <f>'Res Billing Data'!B11</f>
        <v>8.4035669130151411E-2</v>
      </c>
      <c r="F14" s="268">
        <f>ROUND((($B14*'Typical Res Bill_RY#1 '!$D$32+'Typical Res Bill_RY#1 '!$D$12)),2)</f>
        <v>51.63</v>
      </c>
      <c r="G14" s="268">
        <f>ROUND((($B14*'Typical Res Bill_RY#1 '!$Y$32+'Typical Res Bill_RY#1 '!$Y$12)),2)</f>
        <v>55.05</v>
      </c>
      <c r="H14" s="268">
        <f>ROUND((($B14*'Typical Res Bill_RY#2'!$P$32+'Typical Res Bill_RY#2'!$P$12)),2)</f>
        <v>55.88</v>
      </c>
      <c r="I14" s="268"/>
      <c r="J14" s="268"/>
      <c r="K14" s="268">
        <f t="shared" si="2"/>
        <v>3.4199999999999946</v>
      </c>
      <c r="L14" s="268">
        <f t="shared" si="3"/>
        <v>0.8300000000000054</v>
      </c>
      <c r="M14" s="268"/>
      <c r="N14" s="268"/>
      <c r="O14" s="302">
        <f t="shared" si="4"/>
        <v>6.6240557815223602E-2</v>
      </c>
      <c r="P14" s="302">
        <f t="shared" si="5"/>
        <v>1.5077202543142697E-2</v>
      </c>
      <c r="Q14" s="302"/>
    </row>
    <row r="15" spans="1:17" ht="15" customHeight="1" x14ac:dyDescent="0.25">
      <c r="B15" s="298">
        <v>50</v>
      </c>
      <c r="D15" s="267">
        <f>'Res Billing Data'!B12</f>
        <v>6.5732828008480529E-2</v>
      </c>
      <c r="F15" s="268">
        <f>ROUND((($B15*'Typical Res Bill_RY#1 '!$D$32+'Typical Res Bill_RY#1 '!$D$12)),2)</f>
        <v>61.65</v>
      </c>
      <c r="G15" s="268">
        <f>ROUND((($B15*'Typical Res Bill_RY#1 '!$Y$32+'Typical Res Bill_RY#1 '!$Y$12)),2)</f>
        <v>65.680000000000007</v>
      </c>
      <c r="H15" s="268">
        <f>ROUND((($B15*'Typical Res Bill_RY#2'!$P$32+'Typical Res Bill_RY#2'!$P$12)),2)</f>
        <v>66.72</v>
      </c>
      <c r="I15" s="268"/>
      <c r="J15" s="268"/>
      <c r="K15" s="268">
        <f t="shared" si="2"/>
        <v>4.0300000000000082</v>
      </c>
      <c r="L15" s="268">
        <f t="shared" si="3"/>
        <v>1.039999999999992</v>
      </c>
      <c r="M15" s="268"/>
      <c r="N15" s="268"/>
      <c r="O15" s="302">
        <f t="shared" si="4"/>
        <v>6.5369018653690325E-2</v>
      </c>
      <c r="P15" s="302">
        <f t="shared" si="5"/>
        <v>1.5834348355663701E-2</v>
      </c>
      <c r="Q15" s="302"/>
    </row>
    <row r="16" spans="1:17" ht="15" customHeight="1" x14ac:dyDescent="0.25">
      <c r="B16" s="298">
        <v>60</v>
      </c>
      <c r="C16" s="261" t="s">
        <v>248</v>
      </c>
      <c r="D16" s="267">
        <f>'Res Billing Data'!B13</f>
        <v>5.7745522703874105E-2</v>
      </c>
      <c r="F16" s="268">
        <f>ROUND((($B16*'Typical Res Bill_RY#1 '!$D$32+'Typical Res Bill_RY#1 '!$D$12)),2)</f>
        <v>71.680000000000007</v>
      </c>
      <c r="G16" s="268">
        <f>ROUND((($B16*'Typical Res Bill_RY#1 '!$Y$32+'Typical Res Bill_RY#1 '!$Y$12)),2)</f>
        <v>76.319999999999993</v>
      </c>
      <c r="H16" s="268">
        <f>ROUND((($B16*'Typical Res Bill_RY#2'!$P$32+'Typical Res Bill_RY#2'!$P$12)),2)</f>
        <v>77.569999999999993</v>
      </c>
      <c r="I16" s="268"/>
      <c r="J16" s="268"/>
      <c r="K16" s="268">
        <f t="shared" si="2"/>
        <v>4.6399999999999864</v>
      </c>
      <c r="L16" s="268">
        <f t="shared" si="3"/>
        <v>1.25</v>
      </c>
      <c r="M16" s="268"/>
      <c r="N16" s="268"/>
      <c r="O16" s="302">
        <f t="shared" si="4"/>
        <v>6.4732142857142655E-2</v>
      </c>
      <c r="P16" s="302">
        <f t="shared" si="5"/>
        <v>1.6378406708595389E-2</v>
      </c>
      <c r="Q16" s="302"/>
    </row>
    <row r="17" spans="2:17" ht="15" customHeight="1" x14ac:dyDescent="0.25">
      <c r="B17" s="298">
        <v>70</v>
      </c>
      <c r="D17" s="267">
        <f>'Res Billing Data'!B14</f>
        <v>5.3409873037391642E-2</v>
      </c>
      <c r="F17" s="268">
        <f>ROUND((($B17*'Typical Res Bill_RY#1 '!$D$32+'Typical Res Bill_RY#1 '!$D$12)),2)</f>
        <v>81.709999999999994</v>
      </c>
      <c r="G17" s="268">
        <f>ROUND((($B17*'Typical Res Bill_RY#1 '!$Y$32+'Typical Res Bill_RY#1 '!$Y$12)),2)</f>
        <v>86.96</v>
      </c>
      <c r="H17" s="268">
        <f>ROUND((($B17*'Typical Res Bill_RY#2'!$P$32+'Typical Res Bill_RY#2'!$P$12)),2)</f>
        <v>88.41</v>
      </c>
      <c r="I17" s="268"/>
      <c r="J17" s="268"/>
      <c r="K17" s="268">
        <f t="shared" si="2"/>
        <v>5.25</v>
      </c>
      <c r="L17" s="268">
        <f t="shared" si="3"/>
        <v>1.4500000000000028</v>
      </c>
      <c r="M17" s="268"/>
      <c r="N17" s="268"/>
      <c r="O17" s="302">
        <f t="shared" si="4"/>
        <v>6.425162158854486E-2</v>
      </c>
      <c r="P17" s="302">
        <f t="shared" si="5"/>
        <v>1.6674333026678968E-2</v>
      </c>
      <c r="Q17" s="302"/>
    </row>
    <row r="18" spans="2:17" ht="15" customHeight="1" x14ac:dyDescent="0.25">
      <c r="B18" s="298">
        <v>80</v>
      </c>
      <c r="D18" s="267">
        <f>'Res Billing Data'!B15</f>
        <v>5.0728374324446317E-2</v>
      </c>
      <c r="F18" s="268">
        <f>ROUND((($B18*'Typical Res Bill_RY#1 '!$D$32+'Typical Res Bill_RY#1 '!$D$12)),2)</f>
        <v>91.73</v>
      </c>
      <c r="G18" s="268">
        <f>ROUND((($B18*'Typical Res Bill_RY#1 '!$Y$32+'Typical Res Bill_RY#1 '!$Y$12)),2)</f>
        <v>97.59</v>
      </c>
      <c r="H18" s="268">
        <f>ROUND((($B18*'Typical Res Bill_RY#2'!$P$32+'Typical Res Bill_RY#2'!$P$12)),2)</f>
        <v>99.26</v>
      </c>
      <c r="I18" s="268"/>
      <c r="J18" s="268"/>
      <c r="K18" s="268">
        <f t="shared" si="2"/>
        <v>5.8599999999999994</v>
      </c>
      <c r="L18" s="268">
        <f t="shared" si="3"/>
        <v>1.6700000000000017</v>
      </c>
      <c r="M18" s="268"/>
      <c r="N18" s="268"/>
      <c r="O18" s="302">
        <f t="shared" si="4"/>
        <v>6.3883135288346229E-2</v>
      </c>
      <c r="P18" s="302">
        <f t="shared" si="5"/>
        <v>1.7112409058305172E-2</v>
      </c>
      <c r="Q18" s="302"/>
    </row>
    <row r="19" spans="2:17" ht="15" customHeight="1" x14ac:dyDescent="0.25">
      <c r="B19" s="298">
        <v>90</v>
      </c>
      <c r="D19" s="267">
        <f>'Res Billing Data'!B16</f>
        <v>4.8666477769933172E-2</v>
      </c>
      <c r="F19" s="268">
        <f>ROUND((($B19*'Typical Res Bill_RY#1 '!$D$32+'Typical Res Bill_RY#1 '!$D$12)),2)</f>
        <v>101.76</v>
      </c>
      <c r="G19" s="268">
        <f>ROUND((($B19*'Typical Res Bill_RY#1 '!$Y$32+'Typical Res Bill_RY#1 '!$Y$12)),2)</f>
        <v>108.23</v>
      </c>
      <c r="H19" s="268">
        <f>ROUND((($B19*'Typical Res Bill_RY#2'!$P$32+'Typical Res Bill_RY#2'!$P$12)),2)</f>
        <v>110.1</v>
      </c>
      <c r="I19" s="268"/>
      <c r="J19" s="268"/>
      <c r="K19" s="268">
        <f t="shared" si="2"/>
        <v>6.4699999999999989</v>
      </c>
      <c r="L19" s="268">
        <f t="shared" si="3"/>
        <v>1.8699999999999903</v>
      </c>
      <c r="M19" s="268"/>
      <c r="N19" s="268"/>
      <c r="O19" s="302">
        <f t="shared" si="4"/>
        <v>6.3580974842767285E-2</v>
      </c>
      <c r="P19" s="302">
        <f t="shared" si="5"/>
        <v>1.7278019033539593E-2</v>
      </c>
      <c r="Q19" s="302"/>
    </row>
    <row r="20" spans="2:17" ht="15" customHeight="1" x14ac:dyDescent="0.25">
      <c r="B20" s="298">
        <v>100</v>
      </c>
      <c r="D20" s="267">
        <f>'Res Billing Data'!B17</f>
        <v>4.5571910951366396E-2</v>
      </c>
      <c r="F20" s="268">
        <f>ROUND((($B20*'Typical Res Bill_RY#1 '!$D$32+'Typical Res Bill_RY#1 '!$D$12)),2)</f>
        <v>111.79</v>
      </c>
      <c r="G20" s="268">
        <f>ROUND((($B20*'Typical Res Bill_RY#1 '!$Y$32+'Typical Res Bill_RY#1 '!$Y$12)),2)</f>
        <v>118.87</v>
      </c>
      <c r="H20" s="268">
        <f>ROUND((($B20*'Typical Res Bill_RY#2'!$P$32+'Typical Res Bill_RY#2'!$P$12)),2)</f>
        <v>120.95</v>
      </c>
      <c r="I20" s="268"/>
      <c r="J20" s="268"/>
      <c r="K20" s="268">
        <f t="shared" si="2"/>
        <v>7.0799999999999983</v>
      </c>
      <c r="L20" s="268">
        <f t="shared" si="3"/>
        <v>2.0799999999999983</v>
      </c>
      <c r="M20" s="268"/>
      <c r="N20" s="268"/>
      <c r="O20" s="302">
        <f t="shared" si="4"/>
        <v>6.3333035155201695E-2</v>
      </c>
      <c r="P20" s="302">
        <f t="shared" si="5"/>
        <v>1.7498107175906438E-2</v>
      </c>
      <c r="Q20" s="302"/>
    </row>
    <row r="21" spans="2:17" ht="15" customHeight="1" x14ac:dyDescent="0.25">
      <c r="B21" s="298">
        <v>110</v>
      </c>
      <c r="D21" s="267">
        <f>'Res Billing Data'!B18</f>
        <v>4.1214240726448831E-2</v>
      </c>
      <c r="F21" s="268">
        <f>ROUND((($B21*'Typical Res Bill_RY#1 '!$D$32+'Typical Res Bill_RY#1 '!$D$12)),2)</f>
        <v>121.81</v>
      </c>
      <c r="G21" s="268">
        <f>ROUND((($B21*'Typical Res Bill_RY#1 '!$Y$32+'Typical Res Bill_RY#1 '!$Y$12)),2)</f>
        <v>129.5</v>
      </c>
      <c r="H21" s="268">
        <f>ROUND((($B21*'Typical Res Bill_RY#2'!$P$32+'Typical Res Bill_RY#2'!$P$12)),2)</f>
        <v>131.79</v>
      </c>
      <c r="I21" s="268"/>
      <c r="J21" s="268"/>
      <c r="K21" s="268">
        <f t="shared" si="2"/>
        <v>7.6899999999999977</v>
      </c>
      <c r="L21" s="268">
        <f t="shared" si="3"/>
        <v>2.289999999999992</v>
      </c>
      <c r="M21" s="268"/>
      <c r="N21" s="268"/>
      <c r="O21" s="302">
        <f t="shared" si="4"/>
        <v>6.313110582054017E-2</v>
      </c>
      <c r="P21" s="302">
        <f t="shared" si="5"/>
        <v>1.7683397683397623E-2</v>
      </c>
      <c r="Q21" s="302"/>
    </row>
    <row r="22" spans="2:17" ht="15" customHeight="1" x14ac:dyDescent="0.25">
      <c r="B22" s="298">
        <v>120</v>
      </c>
      <c r="D22" s="267">
        <f>'Res Billing Data'!B19</f>
        <v>3.5529283950926506E-2</v>
      </c>
      <c r="F22" s="268">
        <f>ROUND((($B22*'Typical Res Bill_RY#1 '!$D$32+'Typical Res Bill_RY#1 '!$D$12)),2)</f>
        <v>131.84</v>
      </c>
      <c r="G22" s="268">
        <f>ROUND((($B22*'Typical Res Bill_RY#1 '!$Y$32+'Typical Res Bill_RY#1 '!$Y$12)),2)</f>
        <v>140.13999999999999</v>
      </c>
      <c r="H22" s="268">
        <f>ROUND((($B22*'Typical Res Bill_RY#2'!$P$32+'Typical Res Bill_RY#2'!$P$12)),2)</f>
        <v>142.63999999999999</v>
      </c>
      <c r="I22" s="268"/>
      <c r="J22" s="268"/>
      <c r="K22" s="268">
        <f t="shared" si="2"/>
        <v>8.2999999999999829</v>
      </c>
      <c r="L22" s="268">
        <f t="shared" si="3"/>
        <v>2.5</v>
      </c>
      <c r="M22" s="268"/>
      <c r="N22" s="268"/>
      <c r="O22" s="302">
        <f t="shared" si="4"/>
        <v>6.2955097087378509E-2</v>
      </c>
      <c r="P22" s="302">
        <f t="shared" si="5"/>
        <v>1.7839303553589269E-2</v>
      </c>
      <c r="Q22" s="302"/>
    </row>
    <row r="23" spans="2:17" ht="15" customHeight="1" x14ac:dyDescent="0.25">
      <c r="B23" s="298">
        <v>130</v>
      </c>
      <c r="D23" s="267">
        <f>'Res Billing Data'!B20</f>
        <v>2.9627252476138743E-2</v>
      </c>
      <c r="F23" s="268">
        <f>ROUND((($B23*'Typical Res Bill_RY#1 '!$D$32+'Typical Res Bill_RY#1 '!$D$12)),2)</f>
        <v>141.87</v>
      </c>
      <c r="G23" s="268">
        <f>ROUND((($B23*'Typical Res Bill_RY#1 '!$Y$32+'Typical Res Bill_RY#1 '!$Y$12)),2)</f>
        <v>150.78</v>
      </c>
      <c r="H23" s="268">
        <f>ROUND((($B23*'Typical Res Bill_RY#2'!$P$32+'Typical Res Bill_RY#2'!$P$12)),2)</f>
        <v>153.47999999999999</v>
      </c>
      <c r="I23" s="268"/>
      <c r="J23" s="268"/>
      <c r="K23" s="268">
        <f t="shared" si="2"/>
        <v>8.9099999999999966</v>
      </c>
      <c r="L23" s="268">
        <f t="shared" si="3"/>
        <v>2.6999999999999886</v>
      </c>
      <c r="M23" s="268"/>
      <c r="N23" s="268"/>
      <c r="O23" s="302">
        <f t="shared" si="4"/>
        <v>6.2803975470501136E-2</v>
      </c>
      <c r="P23" s="302">
        <f t="shared" si="5"/>
        <v>1.7906884202148751E-2</v>
      </c>
      <c r="Q23" s="302"/>
    </row>
    <row r="24" spans="2:17" ht="15" customHeight="1" x14ac:dyDescent="0.25">
      <c r="B24" s="298">
        <v>140</v>
      </c>
      <c r="D24" s="267">
        <f>'Res Billing Data'!B21</f>
        <v>2.4005539579344717E-2</v>
      </c>
      <c r="F24" s="268">
        <f>ROUND((($B24*'Typical Res Bill_RY#1 '!$D$32+'Typical Res Bill_RY#1 '!$D$12)),2)</f>
        <v>151.9</v>
      </c>
      <c r="G24" s="268">
        <f>ROUND((($B24*'Typical Res Bill_RY#1 '!$Y$32+'Typical Res Bill_RY#1 '!$Y$12)),2)</f>
        <v>161.41</v>
      </c>
      <c r="H24" s="268">
        <f>ROUND((($B24*'Typical Res Bill_RY#2'!$P$32+'Typical Res Bill_RY#2'!$P$12)),2)</f>
        <v>164.33</v>
      </c>
      <c r="I24" s="268"/>
      <c r="J24" s="268"/>
      <c r="K24" s="268">
        <f t="shared" si="2"/>
        <v>9.5099999999999909</v>
      </c>
      <c r="L24" s="268">
        <f t="shared" si="3"/>
        <v>2.9200000000000159</v>
      </c>
      <c r="M24" s="268"/>
      <c r="N24" s="268"/>
      <c r="O24" s="302">
        <f t="shared" si="4"/>
        <v>6.2606978275180983E-2</v>
      </c>
      <c r="P24" s="302">
        <f t="shared" si="5"/>
        <v>1.8090576792020419E-2</v>
      </c>
      <c r="Q24" s="302"/>
    </row>
    <row r="25" spans="2:17" ht="15" customHeight="1" x14ac:dyDescent="0.25">
      <c r="B25" s="298">
        <v>150</v>
      </c>
      <c r="D25" s="267">
        <f>'Res Billing Data'!B22</f>
        <v>1.9050392117266259E-2</v>
      </c>
      <c r="F25" s="268">
        <f>ROUND((($B25*'Typical Res Bill_RY#1 '!$D$32+'Typical Res Bill_RY#1 '!$D$12)),2)</f>
        <v>161.91999999999999</v>
      </c>
      <c r="G25" s="268">
        <f>ROUND((($B25*'Typical Res Bill_RY#1 '!$Y$32+'Typical Res Bill_RY#1 '!$Y$12)),2)</f>
        <v>172.05</v>
      </c>
      <c r="H25" s="268">
        <f>ROUND((($B25*'Typical Res Bill_RY#2'!$P$32+'Typical Res Bill_RY#2'!$P$12)),2)</f>
        <v>175.17</v>
      </c>
      <c r="I25" s="268"/>
      <c r="J25" s="268"/>
      <c r="K25" s="268">
        <f t="shared" si="2"/>
        <v>10.130000000000024</v>
      </c>
      <c r="L25" s="268">
        <f t="shared" si="3"/>
        <v>3.1199999999999761</v>
      </c>
      <c r="M25" s="268"/>
      <c r="N25" s="268"/>
      <c r="O25" s="302">
        <f t="shared" si="4"/>
        <v>6.2561758893280778E-2</v>
      </c>
      <c r="P25" s="302">
        <f t="shared" si="5"/>
        <v>1.8134263295553479E-2</v>
      </c>
      <c r="Q25" s="302"/>
    </row>
    <row r="26" spans="2:17" ht="15" customHeight="1" x14ac:dyDescent="0.25">
      <c r="B26" s="298">
        <v>160</v>
      </c>
      <c r="D26" s="267">
        <f>'Res Billing Data'!B23</f>
        <v>1.4726952902617472E-2</v>
      </c>
      <c r="F26" s="268">
        <f>ROUND((($B26*'Typical Res Bill_RY#1 '!$D$32+'Typical Res Bill_RY#1 '!$D$12)),2)</f>
        <v>171.95</v>
      </c>
      <c r="G26" s="268">
        <f>ROUND((($B26*'Typical Res Bill_RY#1 '!$Y$32+'Typical Res Bill_RY#1 '!$Y$12)),2)</f>
        <v>182.69</v>
      </c>
      <c r="H26" s="268">
        <f>ROUND((($B26*'Typical Res Bill_RY#2'!$P$32+'Typical Res Bill_RY#2'!$P$12)),2)</f>
        <v>186.02</v>
      </c>
      <c r="I26" s="268"/>
      <c r="J26" s="268"/>
      <c r="K26" s="268">
        <f t="shared" si="2"/>
        <v>10.740000000000009</v>
      </c>
      <c r="L26" s="268">
        <f t="shared" si="3"/>
        <v>3.3300000000000125</v>
      </c>
      <c r="M26" s="268"/>
      <c r="N26" s="268"/>
      <c r="O26" s="302">
        <f t="shared" si="4"/>
        <v>6.2460017446932303E-2</v>
      </c>
      <c r="P26" s="302">
        <f t="shared" si="5"/>
        <v>1.8227598664404251E-2</v>
      </c>
      <c r="Q26" s="302"/>
    </row>
    <row r="27" spans="2:17" ht="15" customHeight="1" x14ac:dyDescent="0.25">
      <c r="B27" s="298">
        <v>170</v>
      </c>
      <c r="D27" s="267">
        <f>'Res Billing Data'!B24</f>
        <v>1.1404144561313428E-2</v>
      </c>
      <c r="F27" s="268">
        <f>ROUND((($B27*'Typical Res Bill_RY#1 '!$D$32+'Typical Res Bill_RY#1 '!$D$12)),2)</f>
        <v>181.98</v>
      </c>
      <c r="G27" s="268">
        <f>ROUND((($B27*'Typical Res Bill_RY#1 '!$Y$32+'Typical Res Bill_RY#1 '!$Y$12)),2)</f>
        <v>193.32</v>
      </c>
      <c r="H27" s="268">
        <f>ROUND((($B27*'Typical Res Bill_RY#2'!$P$32+'Typical Res Bill_RY#2'!$P$12)),2)</f>
        <v>196.86</v>
      </c>
      <c r="I27" s="268"/>
      <c r="J27" s="268"/>
      <c r="K27" s="268">
        <f t="shared" si="2"/>
        <v>11.340000000000003</v>
      </c>
      <c r="L27" s="268">
        <f t="shared" si="3"/>
        <v>3.5400000000000205</v>
      </c>
      <c r="M27" s="268"/>
      <c r="N27" s="268"/>
      <c r="O27" s="302">
        <f t="shared" si="4"/>
        <v>6.2314540059347202E-2</v>
      </c>
      <c r="P27" s="302">
        <f t="shared" si="5"/>
        <v>1.8311607697082663E-2</v>
      </c>
      <c r="Q27" s="302"/>
    </row>
    <row r="28" spans="2:17" ht="15" customHeight="1" x14ac:dyDescent="0.25">
      <c r="B28" s="298">
        <v>180</v>
      </c>
      <c r="D28" s="267">
        <f>'Res Billing Data'!B25</f>
        <v>8.7338126718399332E-3</v>
      </c>
      <c r="F28" s="268">
        <f>ROUND((($B28*'Typical Res Bill_RY#1 '!$D$32+'Typical Res Bill_RY#1 '!$D$12)),2)</f>
        <v>192</v>
      </c>
      <c r="G28" s="268">
        <f>ROUND((($B28*'Typical Res Bill_RY#1 '!$Y$32+'Typical Res Bill_RY#1 '!$Y$12)),2)</f>
        <v>203.96</v>
      </c>
      <c r="H28" s="268">
        <f>ROUND((($B28*'Typical Res Bill_RY#2'!$P$32+'Typical Res Bill_RY#2'!$P$12)),2)</f>
        <v>207.71</v>
      </c>
      <c r="I28" s="268"/>
      <c r="J28" s="268"/>
      <c r="K28" s="268">
        <f t="shared" si="2"/>
        <v>11.960000000000008</v>
      </c>
      <c r="L28" s="268">
        <f t="shared" si="3"/>
        <v>3.75</v>
      </c>
      <c r="M28" s="268"/>
      <c r="N28" s="268"/>
      <c r="O28" s="302">
        <f t="shared" si="4"/>
        <v>6.229166666666671E-2</v>
      </c>
      <c r="P28" s="302">
        <f t="shared" si="5"/>
        <v>1.8385958030986468E-2</v>
      </c>
      <c r="Q28" s="302"/>
    </row>
    <row r="29" spans="2:17" ht="15" customHeight="1" x14ac:dyDescent="0.25">
      <c r="B29" s="298">
        <v>190</v>
      </c>
      <c r="D29" s="267">
        <f>'Res Billing Data'!B26</f>
        <v>6.6665936126813373E-3</v>
      </c>
      <c r="F29" s="268">
        <f>ROUND((($B29*'Typical Res Bill_RY#1 '!$D$32+'Typical Res Bill_RY#1 '!$D$12)),2)</f>
        <v>202.03</v>
      </c>
      <c r="G29" s="268">
        <f>ROUND((($B29*'Typical Res Bill_RY#1 '!$Y$32+'Typical Res Bill_RY#1 '!$Y$12)),2)</f>
        <v>214.6</v>
      </c>
      <c r="H29" s="268">
        <f>ROUND((($B29*'Typical Res Bill_RY#2'!$P$32+'Typical Res Bill_RY#2'!$P$12)),2)</f>
        <v>218.55</v>
      </c>
      <c r="I29" s="268"/>
      <c r="J29" s="268"/>
      <c r="K29" s="268">
        <f t="shared" si="2"/>
        <v>12.569999999999993</v>
      </c>
      <c r="L29" s="268">
        <f t="shared" si="3"/>
        <v>3.9500000000000171</v>
      </c>
      <c r="M29" s="268"/>
      <c r="N29" s="268"/>
      <c r="O29" s="302">
        <f t="shared" si="4"/>
        <v>6.2218482403603392E-2</v>
      </c>
      <c r="P29" s="302">
        <f t="shared" si="5"/>
        <v>1.8406337371854695E-2</v>
      </c>
      <c r="Q29" s="302"/>
    </row>
    <row r="30" spans="2:17" ht="15" customHeight="1" x14ac:dyDescent="0.25">
      <c r="B30" s="298">
        <v>200</v>
      </c>
      <c r="D30" s="267">
        <f>'Res Billing Data'!B27</f>
        <v>5.1327730092658548E-3</v>
      </c>
      <c r="F30" s="268">
        <f>ROUND((($B30*'Typical Res Bill_RY#1 '!$D$32+'Typical Res Bill_RY#1 '!$D$12)),2)</f>
        <v>212.06</v>
      </c>
      <c r="G30" s="268">
        <f>ROUND((($B30*'Typical Res Bill_RY#1 '!$Y$32+'Typical Res Bill_RY#1 '!$Y$12)),2)</f>
        <v>225.23</v>
      </c>
      <c r="H30" s="268">
        <f>ROUND((($B30*'Typical Res Bill_RY#2'!$P$32+'Typical Res Bill_RY#2'!$P$12)),2)</f>
        <v>229.4</v>
      </c>
      <c r="I30" s="268"/>
      <c r="J30" s="268"/>
      <c r="K30" s="268">
        <f t="shared" si="2"/>
        <v>13.169999999999987</v>
      </c>
      <c r="L30" s="268">
        <f t="shared" si="3"/>
        <v>4.1700000000000159</v>
      </c>
      <c r="M30" s="268"/>
      <c r="N30" s="268"/>
      <c r="O30" s="302">
        <f t="shared" si="4"/>
        <v>6.2105064604357198E-2</v>
      </c>
      <c r="P30" s="302">
        <f t="shared" si="5"/>
        <v>1.8514407494561187E-2</v>
      </c>
      <c r="Q30" s="302"/>
    </row>
    <row r="31" spans="2:17" ht="15" customHeight="1" x14ac:dyDescent="0.25">
      <c r="B31" s="298">
        <v>210</v>
      </c>
      <c r="C31" s="261" t="s">
        <v>246</v>
      </c>
      <c r="D31" s="267">
        <f>'Res Billing Data'!B28</f>
        <v>3.9329134816433594E-3</v>
      </c>
      <c r="F31" s="268">
        <f>ROUND((($B31*'Typical Res Bill_RY#1 '!$D$32+'Typical Res Bill_RY#1 '!$D$12)),2)</f>
        <v>222.08</v>
      </c>
      <c r="G31" s="268">
        <f>ROUND((($B31*'Typical Res Bill_RY#1 '!$Y$32+'Typical Res Bill_RY#1 '!$Y$12)),2)</f>
        <v>235.87</v>
      </c>
      <c r="H31" s="268">
        <f>ROUND((($B31*'Typical Res Bill_RY#2'!$P$32+'Typical Res Bill_RY#2'!$P$12)),2)</f>
        <v>240.24</v>
      </c>
      <c r="I31" s="268"/>
      <c r="J31" s="268"/>
      <c r="K31" s="268">
        <f t="shared" si="2"/>
        <v>13.789999999999992</v>
      </c>
      <c r="L31" s="268">
        <f t="shared" si="3"/>
        <v>4.3700000000000045</v>
      </c>
      <c r="M31" s="268"/>
      <c r="N31" s="268"/>
      <c r="O31" s="302">
        <f t="shared" si="4"/>
        <v>6.2094740634005725E-2</v>
      </c>
      <c r="P31" s="302">
        <f t="shared" si="5"/>
        <v>1.8527154788654788E-2</v>
      </c>
      <c r="Q31" s="302"/>
    </row>
    <row r="32" spans="2:17" ht="15" customHeight="1" x14ac:dyDescent="0.25">
      <c r="B32" s="298">
        <v>220</v>
      </c>
      <c r="D32" s="267">
        <f>'Res Billing Data'!B29</f>
        <v>3.0481253564643125E-3</v>
      </c>
      <c r="F32" s="268">
        <f>ROUND((($B32*'Typical Res Bill_RY#1 '!$D$32+'Typical Res Bill_RY#1 '!$D$12)),2)</f>
        <v>232.11</v>
      </c>
      <c r="G32" s="268">
        <f>ROUND((($B32*'Typical Res Bill_RY#1 '!$Y$32+'Typical Res Bill_RY#1 '!$Y$12)),2)</f>
        <v>246.51</v>
      </c>
      <c r="H32" s="268">
        <f>ROUND((($B32*'Typical Res Bill_RY#2'!$P$32+'Typical Res Bill_RY#2'!$P$12)),2)</f>
        <v>251.09</v>
      </c>
      <c r="I32" s="268"/>
      <c r="J32" s="268"/>
      <c r="K32" s="268">
        <f t="shared" si="2"/>
        <v>14.399999999999977</v>
      </c>
      <c r="L32" s="268">
        <f t="shared" si="3"/>
        <v>4.5800000000000125</v>
      </c>
      <c r="M32" s="268"/>
      <c r="N32" s="268"/>
      <c r="O32" s="302">
        <f t="shared" si="4"/>
        <v>6.2039550213260852E-2</v>
      </c>
      <c r="P32" s="302">
        <f t="shared" si="5"/>
        <v>1.8579367976958389E-2</v>
      </c>
      <c r="Q32" s="302"/>
    </row>
    <row r="33" spans="2:17" ht="15" customHeight="1" x14ac:dyDescent="0.25">
      <c r="B33" s="298">
        <v>230</v>
      </c>
      <c r="D33" s="267">
        <f>'Res Billing Data'!B30</f>
        <v>2.4191305427754568E-3</v>
      </c>
      <c r="F33" s="268">
        <f>ROUND((($B33*'Typical Res Bill_RY#1 '!$D$32+'Typical Res Bill_RY#1 '!$D$12)),2)</f>
        <v>242.14</v>
      </c>
      <c r="G33" s="268">
        <f>ROUND((($B33*'Typical Res Bill_RY#1 '!$Y$32+'Typical Res Bill_RY#1 '!$Y$12)),2)</f>
        <v>257.14</v>
      </c>
      <c r="H33" s="268">
        <f>ROUND((($B33*'Typical Res Bill_RY#2'!$P$32+'Typical Res Bill_RY#2'!$P$12)),2)</f>
        <v>261.93</v>
      </c>
      <c r="I33" s="268"/>
      <c r="J33" s="268"/>
      <c r="K33" s="268">
        <f t="shared" si="2"/>
        <v>15</v>
      </c>
      <c r="L33" s="268">
        <f t="shared" si="3"/>
        <v>4.7900000000000205</v>
      </c>
      <c r="M33" s="268"/>
      <c r="N33" s="268"/>
      <c r="O33" s="302">
        <f t="shared" si="4"/>
        <v>6.1947633600396471E-2</v>
      </c>
      <c r="P33" s="302">
        <f t="shared" si="5"/>
        <v>1.862798475538625E-2</v>
      </c>
      <c r="Q33" s="302"/>
    </row>
    <row r="34" spans="2:17" ht="15" customHeight="1" x14ac:dyDescent="0.25">
      <c r="B34" s="298">
        <v>240</v>
      </c>
      <c r="D34" s="267">
        <f>'Res Billing Data'!B31</f>
        <v>1.8763394317756659E-3</v>
      </c>
      <c r="F34" s="268">
        <f>ROUND((($B34*'Typical Res Bill_RY#1 '!$D$32+'Typical Res Bill_RY#1 '!$D$12)),2)</f>
        <v>252.16</v>
      </c>
      <c r="G34" s="268">
        <f>ROUND((($B34*'Typical Res Bill_RY#1 '!$Y$32+'Typical Res Bill_RY#1 '!$Y$12)),2)</f>
        <v>267.77999999999997</v>
      </c>
      <c r="H34" s="268">
        <f>ROUND((($B34*'Typical Res Bill_RY#2'!$P$32+'Typical Res Bill_RY#2'!$P$12)),2)</f>
        <v>272.77999999999997</v>
      </c>
      <c r="I34" s="268"/>
      <c r="J34" s="268"/>
      <c r="K34" s="268">
        <f t="shared" si="2"/>
        <v>15.619999999999976</v>
      </c>
      <c r="L34" s="268">
        <f t="shared" si="3"/>
        <v>5</v>
      </c>
      <c r="M34" s="268"/>
      <c r="N34" s="268"/>
      <c r="O34" s="302">
        <f t="shared" si="4"/>
        <v>6.1944796954314624E-2</v>
      </c>
      <c r="P34" s="302">
        <f t="shared" si="5"/>
        <v>1.8672044215400703E-2</v>
      </c>
      <c r="Q34" s="302"/>
    </row>
    <row r="35" spans="2:17" ht="15" customHeight="1" x14ac:dyDescent="0.25">
      <c r="B35" s="298">
        <v>250</v>
      </c>
      <c r="D35" s="267">
        <f>'Res Billing Data'!B32</f>
        <v>1.5378907540267097E-3</v>
      </c>
      <c r="F35" s="268">
        <f>ROUND((($B35*'Typical Res Bill_RY#1 '!$D$32+'Typical Res Bill_RY#1 '!$D$12)),2)</f>
        <v>262.19</v>
      </c>
      <c r="G35" s="268">
        <f>ROUND((($B35*'Typical Res Bill_RY#1 '!$Y$32+'Typical Res Bill_RY#1 '!$Y$12)),2)</f>
        <v>278.42</v>
      </c>
      <c r="H35" s="268">
        <f>ROUND((($B35*'Typical Res Bill_RY#2'!$P$32+'Typical Res Bill_RY#2'!$P$12)),2)</f>
        <v>283.62</v>
      </c>
      <c r="I35" s="268"/>
      <c r="J35" s="268"/>
      <c r="K35" s="268">
        <f t="shared" si="2"/>
        <v>16.230000000000018</v>
      </c>
      <c r="L35" s="268">
        <f t="shared" si="3"/>
        <v>5.1999999999999886</v>
      </c>
      <c r="M35" s="268"/>
      <c r="N35" s="268"/>
      <c r="O35" s="302">
        <f t="shared" si="4"/>
        <v>6.190167435828986E-2</v>
      </c>
      <c r="P35" s="302">
        <f t="shared" si="5"/>
        <v>1.8676819194023375E-2</v>
      </c>
      <c r="Q35" s="302"/>
    </row>
    <row r="36" spans="2:17" ht="15" customHeight="1" x14ac:dyDescent="0.25">
      <c r="B36" s="298" t="s">
        <v>251</v>
      </c>
      <c r="D36" s="267">
        <f>'Res Billing Data'!B33</f>
        <v>8.0862412733100925E-3</v>
      </c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</row>
    <row r="37" spans="2:17" ht="15" customHeight="1" x14ac:dyDescent="0.25"/>
    <row r="38" spans="2:17" ht="15" customHeight="1" x14ac:dyDescent="0.25">
      <c r="B38" s="303" t="s">
        <v>249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</row>
    <row r="39" spans="2:17" ht="15" customHeight="1" x14ac:dyDescent="0.25">
      <c r="B39" s="299" t="s">
        <v>328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</row>
    <row r="40" spans="2:17" ht="15" customHeight="1" x14ac:dyDescent="0.25">
      <c r="B40" s="299" t="s">
        <v>319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</row>
    <row r="41" spans="2:17" ht="15" customHeight="1" x14ac:dyDescent="0.25"/>
    <row r="42" spans="2:17" ht="15" customHeight="1" x14ac:dyDescent="0.25"/>
    <row r="43" spans="2:17" ht="15" customHeight="1" x14ac:dyDescent="0.25"/>
    <row r="44" spans="2:17" ht="15" customHeight="1" x14ac:dyDescent="0.25"/>
    <row r="45" spans="2:17" ht="15" customHeight="1" x14ac:dyDescent="0.25"/>
    <row r="46" spans="2:17" ht="15" customHeight="1" x14ac:dyDescent="0.25"/>
    <row r="47" spans="2:17" ht="15" customHeight="1" x14ac:dyDescent="0.25"/>
    <row r="48" spans="2:1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rintOptions horizontalCentered="1"/>
  <pageMargins left="0.7" right="0.7" top="0.75" bottom="0.71" header="0.3" footer="0.3"/>
  <pageSetup scale="81" orientation="landscape" r:id="rId1"/>
  <headerFooter alignWithMargins="0">
    <oddFooter>&amp;R&amp;A
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U27" sqref="U27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Z43"/>
  <sheetViews>
    <sheetView topLeftCell="A4" zoomScale="90" zoomScaleNormal="90" workbookViewId="0">
      <selection activeCell="C41" sqref="C41:C42"/>
    </sheetView>
  </sheetViews>
  <sheetFormatPr defaultColWidth="9.140625" defaultRowHeight="15" x14ac:dyDescent="0.25"/>
  <cols>
    <col min="1" max="1" width="2.140625" style="63" customWidth="1"/>
    <col min="2" max="2" width="2.42578125" style="63" customWidth="1"/>
    <col min="3" max="3" width="31.28515625" style="63" customWidth="1"/>
    <col min="4" max="5" width="11.7109375" style="63" customWidth="1"/>
    <col min="6" max="6" width="2.5703125" style="64" customWidth="1"/>
    <col min="7" max="8" width="11.7109375" style="63" customWidth="1"/>
    <col min="9" max="9" width="2.5703125" style="63" customWidth="1"/>
    <col min="10" max="11" width="11.7109375" style="63" customWidth="1"/>
    <col min="12" max="12" width="2.5703125" style="63" customWidth="1"/>
    <col min="13" max="14" width="11.7109375" style="63" customWidth="1"/>
    <col min="15" max="15" width="2.5703125" style="63" customWidth="1"/>
    <col min="16" max="17" width="11.7109375" style="63" customWidth="1"/>
    <col min="18" max="18" width="2.5703125" style="63" customWidth="1"/>
    <col min="19" max="20" width="11.7109375" style="63" customWidth="1"/>
    <col min="21" max="21" width="2.5703125" style="63" customWidth="1"/>
    <col min="22" max="23" width="11.7109375" style="63" customWidth="1"/>
    <col min="24" max="24" width="2.5703125" style="63" customWidth="1"/>
    <col min="25" max="26" width="11.7109375" style="63" customWidth="1"/>
    <col min="27" max="16384" width="9.140625" style="63"/>
  </cols>
  <sheetData>
    <row r="1" spans="2:26" x14ac:dyDescent="0.25">
      <c r="B1" s="260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2"/>
      <c r="Q1" s="262"/>
      <c r="R1" s="262"/>
      <c r="S1" s="260"/>
      <c r="T1" s="260"/>
      <c r="U1" s="260"/>
      <c r="V1" s="260"/>
      <c r="W1" s="260"/>
      <c r="X1" s="260"/>
      <c r="Y1" s="260"/>
      <c r="Z1" s="260"/>
    </row>
    <row r="2" spans="2:26" x14ac:dyDescent="0.25">
      <c r="B2" s="52" t="s">
        <v>195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2"/>
      <c r="Q2" s="262"/>
      <c r="R2" s="262"/>
      <c r="S2" s="260"/>
      <c r="T2" s="260"/>
      <c r="U2" s="260"/>
      <c r="V2" s="260"/>
      <c r="W2" s="260"/>
      <c r="X2" s="260"/>
      <c r="Y2" s="260"/>
      <c r="Z2" s="260"/>
    </row>
    <row r="3" spans="2:26" x14ac:dyDescent="0.25">
      <c r="B3" s="52" t="s">
        <v>331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2:26" x14ac:dyDescent="0.25">
      <c r="B4" s="257" t="s">
        <v>204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2:26" x14ac:dyDescent="0.25">
      <c r="I5" s="249"/>
    </row>
    <row r="6" spans="2:26" x14ac:dyDescent="0.25">
      <c r="D6" s="212" t="s">
        <v>23</v>
      </c>
      <c r="E6" s="212"/>
      <c r="F6" s="24"/>
      <c r="G6" s="212" t="s">
        <v>224</v>
      </c>
      <c r="H6" s="212"/>
      <c r="I6" s="249"/>
      <c r="J6" s="212" t="s">
        <v>239</v>
      </c>
      <c r="K6" s="212"/>
      <c r="M6" s="212" t="s">
        <v>240</v>
      </c>
      <c r="N6" s="212"/>
      <c r="O6" s="259"/>
      <c r="P6" s="361" t="s">
        <v>400</v>
      </c>
      <c r="Q6" s="361"/>
      <c r="R6" s="259"/>
      <c r="S6" s="212" t="s">
        <v>241</v>
      </c>
      <c r="T6" s="212"/>
      <c r="U6" s="259"/>
      <c r="V6" s="212" t="s">
        <v>242</v>
      </c>
      <c r="W6" s="212"/>
      <c r="Y6" s="212" t="s">
        <v>193</v>
      </c>
      <c r="Z6" s="212"/>
    </row>
    <row r="7" spans="2:26" ht="17.25" x14ac:dyDescent="0.25">
      <c r="D7" s="92" t="s">
        <v>175</v>
      </c>
      <c r="E7" s="92" t="s">
        <v>176</v>
      </c>
      <c r="F7" s="60"/>
      <c r="G7" s="92" t="s">
        <v>22</v>
      </c>
      <c r="H7" s="92" t="s">
        <v>176</v>
      </c>
      <c r="I7" s="249"/>
      <c r="J7" s="92" t="s">
        <v>22</v>
      </c>
      <c r="K7" s="92" t="s">
        <v>176</v>
      </c>
      <c r="M7" s="92" t="s">
        <v>22</v>
      </c>
      <c r="N7" s="92" t="s">
        <v>176</v>
      </c>
      <c r="O7" s="60"/>
      <c r="P7" s="335" t="s">
        <v>22</v>
      </c>
      <c r="Q7" s="335" t="s">
        <v>176</v>
      </c>
      <c r="R7" s="60"/>
      <c r="S7" s="92" t="s">
        <v>22</v>
      </c>
      <c r="T7" s="92" t="s">
        <v>176</v>
      </c>
      <c r="U7" s="60"/>
      <c r="V7" s="92" t="s">
        <v>22</v>
      </c>
      <c r="W7" s="92" t="s">
        <v>176</v>
      </c>
      <c r="Y7" s="92" t="s">
        <v>22</v>
      </c>
      <c r="Z7" s="92" t="s">
        <v>176</v>
      </c>
    </row>
    <row r="8" spans="2:26" x14ac:dyDescent="0.25">
      <c r="B8" s="63" t="s">
        <v>177</v>
      </c>
      <c r="D8" s="213">
        <v>64</v>
      </c>
      <c r="E8" s="214"/>
      <c r="F8" s="215"/>
      <c r="G8" s="213">
        <v>64</v>
      </c>
      <c r="H8" s="214"/>
      <c r="I8" s="249"/>
      <c r="J8" s="213">
        <v>64</v>
      </c>
      <c r="K8" s="214"/>
      <c r="M8" s="213">
        <v>64</v>
      </c>
      <c r="N8" s="214"/>
      <c r="O8" s="214"/>
      <c r="P8" s="353">
        <v>64</v>
      </c>
      <c r="Q8" s="359"/>
      <c r="R8" s="214"/>
      <c r="S8" s="213">
        <v>64</v>
      </c>
      <c r="T8" s="214"/>
      <c r="U8" s="214"/>
      <c r="V8" s="213">
        <v>64</v>
      </c>
      <c r="W8" s="214"/>
      <c r="Y8" s="213">
        <v>64</v>
      </c>
      <c r="Z8" s="214"/>
    </row>
    <row r="9" spans="2:26" x14ac:dyDescent="0.25">
      <c r="D9" s="213"/>
      <c r="E9" s="214"/>
      <c r="F9" s="215"/>
      <c r="G9" s="213"/>
      <c r="H9" s="214"/>
      <c r="I9" s="249"/>
      <c r="J9" s="213"/>
      <c r="K9" s="214"/>
      <c r="M9" s="213"/>
      <c r="N9" s="214"/>
      <c r="O9" s="214"/>
      <c r="P9" s="353"/>
      <c r="Q9" s="359"/>
      <c r="R9" s="214"/>
      <c r="S9" s="213"/>
      <c r="T9" s="214"/>
      <c r="U9" s="214"/>
      <c r="V9" s="213"/>
      <c r="W9" s="214"/>
      <c r="Y9" s="213"/>
      <c r="Z9" s="214"/>
    </row>
    <row r="10" spans="2:26" x14ac:dyDescent="0.25">
      <c r="B10" s="63" t="s">
        <v>178</v>
      </c>
      <c r="D10" s="213"/>
      <c r="E10" s="214"/>
      <c r="F10" s="215"/>
      <c r="G10" s="213"/>
      <c r="H10" s="214"/>
      <c r="I10" s="249"/>
      <c r="J10" s="213"/>
      <c r="K10" s="214"/>
      <c r="M10" s="213"/>
      <c r="N10" s="214"/>
      <c r="O10" s="214"/>
      <c r="P10" s="353"/>
      <c r="Q10" s="359"/>
      <c r="R10" s="214"/>
      <c r="S10" s="213"/>
      <c r="T10" s="214"/>
      <c r="U10" s="214"/>
      <c r="V10" s="213"/>
      <c r="W10" s="214"/>
      <c r="Y10" s="213"/>
      <c r="Z10" s="214"/>
    </row>
    <row r="11" spans="2:26" x14ac:dyDescent="0.25">
      <c r="C11" s="63" t="s">
        <v>238</v>
      </c>
      <c r="D11" s="101">
        <v>11.52</v>
      </c>
      <c r="E11" s="214">
        <f>D11</f>
        <v>11.52</v>
      </c>
      <c r="F11" s="216"/>
      <c r="G11" s="315">
        <f>'[1]Exh JDT-5 (JDT-MYRP)'!$D$16</f>
        <v>12.5</v>
      </c>
      <c r="H11" s="214">
        <f>G11</f>
        <v>12.5</v>
      </c>
      <c r="J11" s="217">
        <f>$D$11</f>
        <v>11.52</v>
      </c>
      <c r="K11" s="214">
        <f>J11</f>
        <v>11.52</v>
      </c>
      <c r="M11" s="217">
        <f>$D$11</f>
        <v>11.52</v>
      </c>
      <c r="N11" s="214">
        <f>M11</f>
        <v>11.52</v>
      </c>
      <c r="O11" s="214"/>
      <c r="P11" s="362">
        <f>$D$11</f>
        <v>11.52</v>
      </c>
      <c r="Q11" s="359">
        <f>P11</f>
        <v>11.52</v>
      </c>
      <c r="R11" s="214"/>
      <c r="S11" s="217">
        <f>$D$11</f>
        <v>11.52</v>
      </c>
      <c r="T11" s="214">
        <f>S11</f>
        <v>11.52</v>
      </c>
      <c r="U11" s="214"/>
      <c r="V11" s="217">
        <f>$D$11</f>
        <v>11.52</v>
      </c>
      <c r="W11" s="214">
        <f>V11</f>
        <v>11.52</v>
      </c>
      <c r="Y11" s="315">
        <f>'[1]Exh JDT-5 (JDT-MYRP)'!$D$16</f>
        <v>12.5</v>
      </c>
      <c r="Z11" s="214">
        <f>Y11</f>
        <v>12.5</v>
      </c>
    </row>
    <row r="12" spans="2:26" x14ac:dyDescent="0.25">
      <c r="C12" s="63" t="s">
        <v>14</v>
      </c>
      <c r="D12" s="220">
        <f>SUM(D11:D11)</f>
        <v>11.52</v>
      </c>
      <c r="E12" s="220">
        <f>SUM(E11:E11)</f>
        <v>11.52</v>
      </c>
      <c r="F12" s="216"/>
      <c r="G12" s="220">
        <f>SUM(G11:G11)</f>
        <v>12.5</v>
      </c>
      <c r="H12" s="220">
        <f>SUM(H11:H11)</f>
        <v>12.5</v>
      </c>
      <c r="J12" s="220">
        <f>SUM(J11:J11)</f>
        <v>11.52</v>
      </c>
      <c r="K12" s="220">
        <f>SUM(K11:K11)</f>
        <v>11.52</v>
      </c>
      <c r="M12" s="220">
        <f>SUM(M11:M11)</f>
        <v>11.52</v>
      </c>
      <c r="N12" s="220">
        <f>SUM(N11:N11)</f>
        <v>11.52</v>
      </c>
      <c r="O12" s="219"/>
      <c r="P12" s="363">
        <f>SUM(P11:P11)</f>
        <v>11.52</v>
      </c>
      <c r="Q12" s="363">
        <f>SUM(Q11:Q11)</f>
        <v>11.52</v>
      </c>
      <c r="R12" s="219"/>
      <c r="S12" s="220">
        <f>SUM(S11:S11)</f>
        <v>11.52</v>
      </c>
      <c r="T12" s="220">
        <f>SUM(T11:T11)</f>
        <v>11.52</v>
      </c>
      <c r="U12" s="219"/>
      <c r="V12" s="220">
        <f>SUM(V11:V11)</f>
        <v>11.52</v>
      </c>
      <c r="W12" s="220">
        <f>SUM(W11:W11)</f>
        <v>11.52</v>
      </c>
      <c r="Y12" s="220">
        <f>SUM(Y11:Y11)</f>
        <v>12.5</v>
      </c>
      <c r="Z12" s="220">
        <f>SUM(Z11:Z11)</f>
        <v>12.5</v>
      </c>
    </row>
    <row r="13" spans="2:26" x14ac:dyDescent="0.25">
      <c r="D13" s="221"/>
      <c r="E13" s="214"/>
      <c r="F13" s="216"/>
      <c r="G13" s="217"/>
      <c r="H13" s="214"/>
      <c r="J13" s="217"/>
      <c r="K13" s="214"/>
      <c r="M13" s="217"/>
      <c r="N13" s="214"/>
      <c r="O13" s="214"/>
      <c r="P13" s="362"/>
      <c r="Q13" s="359"/>
      <c r="R13" s="214"/>
      <c r="S13" s="217"/>
      <c r="T13" s="214"/>
      <c r="U13" s="214"/>
      <c r="V13" s="217"/>
      <c r="W13" s="214"/>
      <c r="Y13" s="217"/>
      <c r="Z13" s="214"/>
    </row>
    <row r="14" spans="2:26" x14ac:dyDescent="0.25">
      <c r="B14" s="63" t="s">
        <v>179</v>
      </c>
      <c r="E14" s="214"/>
      <c r="H14" s="214"/>
      <c r="K14" s="214"/>
      <c r="N14" s="214"/>
      <c r="O14" s="214"/>
      <c r="P14" s="353"/>
      <c r="Q14" s="359"/>
      <c r="R14" s="214"/>
      <c r="T14" s="214"/>
      <c r="U14" s="214"/>
      <c r="W14" s="214"/>
      <c r="Z14" s="214"/>
    </row>
    <row r="15" spans="2:26" x14ac:dyDescent="0.25">
      <c r="C15" s="63" t="s">
        <v>226</v>
      </c>
      <c r="D15" s="144">
        <v>0.41964000000000001</v>
      </c>
      <c r="E15" s="214"/>
      <c r="F15" s="222"/>
      <c r="G15" s="132">
        <f>'[1]Exh JDT-5 (JDT-MYRP)'!$D$17</f>
        <v>0.45612999999999998</v>
      </c>
      <c r="H15" s="214"/>
      <c r="J15" s="223">
        <f>$D$15</f>
        <v>0.41964000000000001</v>
      </c>
      <c r="K15" s="214"/>
      <c r="M15" s="223">
        <f>$D$15</f>
        <v>0.41964000000000001</v>
      </c>
      <c r="N15" s="214"/>
      <c r="O15" s="214"/>
      <c r="P15" s="358">
        <f>$D$15</f>
        <v>0.41964000000000001</v>
      </c>
      <c r="Q15" s="359"/>
      <c r="R15" s="214"/>
      <c r="S15" s="223">
        <f>$D$15</f>
        <v>0.41964000000000001</v>
      </c>
      <c r="T15" s="214"/>
      <c r="U15" s="214"/>
      <c r="V15" s="223">
        <f>$D$15</f>
        <v>0.41964000000000001</v>
      </c>
      <c r="W15" s="214"/>
      <c r="Y15" s="132">
        <f>'[1]Exh JDT-5 (JDT-MYRP)'!$D$17</f>
        <v>0.45612999999999998</v>
      </c>
      <c r="Z15" s="214"/>
    </row>
    <row r="16" spans="2:26" x14ac:dyDescent="0.25">
      <c r="C16" s="63" t="s">
        <v>227</v>
      </c>
      <c r="D16" s="224">
        <f>'Sch. 129'!$E$9</f>
        <v>3.65E-3</v>
      </c>
      <c r="E16" s="214"/>
      <c r="F16" s="222"/>
      <c r="G16" s="223">
        <f>$D$16</f>
        <v>3.65E-3</v>
      </c>
      <c r="H16" s="214"/>
      <c r="J16" s="223">
        <f>$D$16</f>
        <v>3.65E-3</v>
      </c>
      <c r="K16" s="214"/>
      <c r="M16" s="223">
        <f>$D$16</f>
        <v>3.65E-3</v>
      </c>
      <c r="N16" s="214"/>
      <c r="O16" s="214"/>
      <c r="P16" s="358">
        <f>$D$16</f>
        <v>3.65E-3</v>
      </c>
      <c r="Q16" s="359"/>
      <c r="R16" s="214"/>
      <c r="S16" s="223">
        <f>$D$16</f>
        <v>3.65E-3</v>
      </c>
      <c r="T16" s="214"/>
      <c r="U16" s="214"/>
      <c r="V16" s="223">
        <f>$D$16</f>
        <v>3.65E-3</v>
      </c>
      <c r="W16" s="214"/>
      <c r="Y16" s="223">
        <f>$D$16</f>
        <v>3.65E-3</v>
      </c>
      <c r="Z16" s="214"/>
    </row>
    <row r="17" spans="3:26" x14ac:dyDescent="0.25">
      <c r="C17" s="63" t="s">
        <v>228</v>
      </c>
      <c r="D17" s="132">
        <f>'Sch. 140'!$D$9</f>
        <v>2.2749999999999999E-2</v>
      </c>
      <c r="E17" s="214"/>
      <c r="F17" s="222"/>
      <c r="G17" s="84">
        <f>$D$17</f>
        <v>2.2749999999999999E-2</v>
      </c>
      <c r="H17" s="214"/>
      <c r="J17" s="84">
        <f>$D$17</f>
        <v>2.2749999999999999E-2</v>
      </c>
      <c r="K17" s="214"/>
      <c r="M17" s="84">
        <f>$D$17</f>
        <v>2.2749999999999999E-2</v>
      </c>
      <c r="N17" s="214"/>
      <c r="O17" s="214"/>
      <c r="P17" s="358">
        <f>$D$17</f>
        <v>2.2749999999999999E-2</v>
      </c>
      <c r="Q17" s="359"/>
      <c r="R17" s="214"/>
      <c r="S17" s="84">
        <f>$D$17</f>
        <v>2.2749999999999999E-2</v>
      </c>
      <c r="T17" s="214"/>
      <c r="U17" s="214"/>
      <c r="V17" s="84">
        <f>$D$17</f>
        <v>2.2749999999999999E-2</v>
      </c>
      <c r="W17" s="214"/>
      <c r="Y17" s="84">
        <f>$D$17</f>
        <v>2.2749999999999999E-2</v>
      </c>
      <c r="Z17" s="214"/>
    </row>
    <row r="18" spans="3:26" x14ac:dyDescent="0.25">
      <c r="C18" s="353" t="s">
        <v>399</v>
      </c>
      <c r="D18" s="358">
        <v>0</v>
      </c>
      <c r="E18" s="359"/>
      <c r="F18" s="360"/>
      <c r="G18" s="358">
        <f>$D$18</f>
        <v>0</v>
      </c>
      <c r="H18" s="359"/>
      <c r="I18" s="353"/>
      <c r="J18" s="358">
        <f>$D$18</f>
        <v>0</v>
      </c>
      <c r="K18" s="359"/>
      <c r="L18" s="353"/>
      <c r="M18" s="358">
        <f>$D$18</f>
        <v>0</v>
      </c>
      <c r="N18" s="359"/>
      <c r="O18" s="359"/>
      <c r="P18" s="358">
        <f>'[1]Exh JDT-5 (JDT-MYRP)'!$J$11</f>
        <v>3.2599999999999999E-3</v>
      </c>
      <c r="Q18" s="359"/>
      <c r="R18" s="359"/>
      <c r="S18" s="358">
        <f>$D$18</f>
        <v>0</v>
      </c>
      <c r="T18" s="359"/>
      <c r="U18" s="359"/>
      <c r="V18" s="358">
        <f>$D$18</f>
        <v>0</v>
      </c>
      <c r="W18" s="359"/>
      <c r="X18" s="353"/>
      <c r="Y18" s="358">
        <f>'[1]Exh JDT-5 (JDT-MYRP)'!$J$11</f>
        <v>3.2599999999999999E-3</v>
      </c>
      <c r="Z18" s="214"/>
    </row>
    <row r="19" spans="3:26" x14ac:dyDescent="0.25">
      <c r="C19" s="63" t="s">
        <v>229</v>
      </c>
      <c r="D19" s="144">
        <v>0</v>
      </c>
      <c r="E19" s="214"/>
      <c r="F19" s="222"/>
      <c r="G19" s="223">
        <f>$D$19</f>
        <v>0</v>
      </c>
      <c r="H19" s="214"/>
      <c r="J19" s="132">
        <f>'[1]Exh JDT-5 (JDT-MYRP)'!$H$11</f>
        <v>2.4539999999999999E-2</v>
      </c>
      <c r="K19" s="214"/>
      <c r="M19" s="223">
        <f>$D$19</f>
        <v>0</v>
      </c>
      <c r="N19" s="214"/>
      <c r="O19" s="214"/>
      <c r="P19" s="358">
        <f>$D$19</f>
        <v>0</v>
      </c>
      <c r="Q19" s="359"/>
      <c r="R19" s="214"/>
      <c r="S19" s="223">
        <f>$D$19</f>
        <v>0</v>
      </c>
      <c r="T19" s="214"/>
      <c r="U19" s="214"/>
      <c r="V19" s="223">
        <f>$D$19</f>
        <v>0</v>
      </c>
      <c r="W19" s="214"/>
      <c r="Y19" s="132">
        <f>'[1]Exh JDT-5 (JDT-MYRP)'!$H$11</f>
        <v>2.4539999999999999E-2</v>
      </c>
      <c r="Z19" s="214"/>
    </row>
    <row r="20" spans="3:26" x14ac:dyDescent="0.25">
      <c r="C20" s="63" t="s">
        <v>230</v>
      </c>
      <c r="D20" s="144">
        <v>0</v>
      </c>
      <c r="E20" s="214"/>
      <c r="F20" s="222"/>
      <c r="G20" s="223">
        <f>$D$20</f>
        <v>0</v>
      </c>
      <c r="H20" s="214"/>
      <c r="J20" s="223">
        <f>$D$20</f>
        <v>0</v>
      </c>
      <c r="K20" s="214"/>
      <c r="M20" s="132">
        <f>'[1]Exh JDT-5 (JDT-MYRP)'!$I$11</f>
        <v>2.2419999999999999E-2</v>
      </c>
      <c r="N20" s="214"/>
      <c r="O20" s="214"/>
      <c r="P20" s="358">
        <f>$D$20</f>
        <v>0</v>
      </c>
      <c r="Q20" s="359"/>
      <c r="R20" s="214"/>
      <c r="S20" s="223">
        <f>$D$20</f>
        <v>0</v>
      </c>
      <c r="T20" s="214"/>
      <c r="U20" s="214"/>
      <c r="V20" s="223">
        <f>$D$20</f>
        <v>0</v>
      </c>
      <c r="W20" s="214"/>
      <c r="Y20" s="132">
        <f>'[1]Exh JDT-5 (JDT-MYRP)'!$I$11</f>
        <v>2.2419999999999999E-2</v>
      </c>
      <c r="Z20" s="214"/>
    </row>
    <row r="21" spans="3:26" x14ac:dyDescent="0.25">
      <c r="C21" s="63" t="s">
        <v>231</v>
      </c>
      <c r="D21" s="132">
        <f>'Sch. 141X'!$D$9</f>
        <v>3.14E-3</v>
      </c>
      <c r="E21" s="214"/>
      <c r="F21" s="222"/>
      <c r="G21" s="84">
        <f>$D$21</f>
        <v>3.14E-3</v>
      </c>
      <c r="H21" s="214"/>
      <c r="J21" s="84">
        <f>$D$21</f>
        <v>3.14E-3</v>
      </c>
      <c r="K21" s="214"/>
      <c r="M21" s="84">
        <f>$D$21</f>
        <v>3.14E-3</v>
      </c>
      <c r="N21" s="214"/>
      <c r="O21" s="214"/>
      <c r="P21" s="358">
        <f>$D$21</f>
        <v>3.14E-3</v>
      </c>
      <c r="Q21" s="359"/>
      <c r="R21" s="214"/>
      <c r="S21" s="132">
        <f>'Sch. 141X'!$E$9</f>
        <v>0</v>
      </c>
      <c r="T21" s="214"/>
      <c r="U21" s="214"/>
      <c r="V21" s="84">
        <f>$D$21</f>
        <v>3.14E-3</v>
      </c>
      <c r="W21" s="214"/>
      <c r="Y21" s="132">
        <f>'Sch. 141X'!$E$9</f>
        <v>0</v>
      </c>
      <c r="Z21" s="214"/>
    </row>
    <row r="22" spans="3:26" x14ac:dyDescent="0.25">
      <c r="C22" s="63" t="s">
        <v>232</v>
      </c>
      <c r="D22" s="132">
        <f>'Sch. 141Z'!$D$9</f>
        <v>-1.3699999999999999E-3</v>
      </c>
      <c r="E22" s="214"/>
      <c r="F22" s="222"/>
      <c r="G22" s="84">
        <f>$D$22</f>
        <v>-1.3699999999999999E-3</v>
      </c>
      <c r="H22" s="214"/>
      <c r="J22" s="84">
        <f>$D$22</f>
        <v>-1.3699999999999999E-3</v>
      </c>
      <c r="K22" s="214"/>
      <c r="M22" s="84">
        <f>$D$22</f>
        <v>-1.3699999999999999E-3</v>
      </c>
      <c r="N22" s="214"/>
      <c r="O22" s="214"/>
      <c r="P22" s="358">
        <f>$D$22</f>
        <v>-1.3699999999999999E-3</v>
      </c>
      <c r="Q22" s="359"/>
      <c r="R22" s="214"/>
      <c r="S22" s="84">
        <f>$D$22</f>
        <v>-1.3699999999999999E-3</v>
      </c>
      <c r="T22" s="214"/>
      <c r="U22" s="214"/>
      <c r="V22" s="84">
        <f>$D$22</f>
        <v>-1.3699999999999999E-3</v>
      </c>
      <c r="W22" s="214"/>
      <c r="Y22" s="84">
        <f>$D$22</f>
        <v>-1.3699999999999999E-3</v>
      </c>
      <c r="Z22" s="214"/>
    </row>
    <row r="23" spans="3:26" x14ac:dyDescent="0.25">
      <c r="C23" s="63" t="s">
        <v>233</v>
      </c>
      <c r="D23" s="132">
        <f>'Sch. 142'!$E$10</f>
        <v>2.2519999999999998E-2</v>
      </c>
      <c r="E23" s="214"/>
      <c r="F23" s="222"/>
      <c r="G23" s="84">
        <f>$D$23</f>
        <v>2.2519999999999998E-2</v>
      </c>
      <c r="H23" s="214"/>
      <c r="J23" s="84">
        <f>$D$23</f>
        <v>2.2519999999999998E-2</v>
      </c>
      <c r="K23" s="214"/>
      <c r="M23" s="84">
        <f>$D$23</f>
        <v>2.2519999999999998E-2</v>
      </c>
      <c r="N23" s="214"/>
      <c r="O23" s="214"/>
      <c r="P23" s="358">
        <f>$D$23</f>
        <v>2.2519999999999998E-2</v>
      </c>
      <c r="Q23" s="359"/>
      <c r="R23" s="214"/>
      <c r="S23" s="84">
        <f>$D$23</f>
        <v>2.2519999999999998E-2</v>
      </c>
      <c r="T23" s="214"/>
      <c r="U23" s="214"/>
      <c r="V23" s="84">
        <f>$D$23</f>
        <v>2.2519999999999998E-2</v>
      </c>
      <c r="W23" s="214"/>
      <c r="Y23" s="84">
        <f>$D$23</f>
        <v>2.2519999999999998E-2</v>
      </c>
      <c r="Z23" s="214"/>
    </row>
    <row r="24" spans="3:26" x14ac:dyDescent="0.25">
      <c r="C24" s="63" t="s">
        <v>234</v>
      </c>
      <c r="D24" s="224">
        <f>'Sch. 149'!$D$9</f>
        <v>2.2579999999999999E-2</v>
      </c>
      <c r="E24" s="214"/>
      <c r="F24" s="222"/>
      <c r="G24" s="84">
        <f>$D$24</f>
        <v>2.2579999999999999E-2</v>
      </c>
      <c r="H24" s="214"/>
      <c r="J24" s="84">
        <f>$D$24</f>
        <v>2.2579999999999999E-2</v>
      </c>
      <c r="K24" s="214"/>
      <c r="M24" s="84">
        <f>$D$24</f>
        <v>2.2579999999999999E-2</v>
      </c>
      <c r="N24" s="214"/>
      <c r="O24" s="214"/>
      <c r="P24" s="358">
        <f>$D$24</f>
        <v>2.2579999999999999E-2</v>
      </c>
      <c r="Q24" s="359"/>
      <c r="R24" s="214"/>
      <c r="S24" s="84">
        <f>$D$24</f>
        <v>2.2579999999999999E-2</v>
      </c>
      <c r="T24" s="214"/>
      <c r="U24" s="214"/>
      <c r="V24" s="132">
        <f>'Sch. 149'!$E$9</f>
        <v>0</v>
      </c>
      <c r="W24" s="214"/>
      <c r="Y24" s="132">
        <f>'Sch. 149'!$E$9</f>
        <v>0</v>
      </c>
      <c r="Z24" s="214"/>
    </row>
    <row r="25" spans="3:26" x14ac:dyDescent="0.25">
      <c r="C25" s="63" t="s">
        <v>14</v>
      </c>
      <c r="D25" s="225">
        <f>SUM(D15:D24)</f>
        <v>0.49290999999999996</v>
      </c>
      <c r="E25" s="214">
        <f>ROUND(D25*D$8,2)</f>
        <v>31.55</v>
      </c>
      <c r="F25" s="222"/>
      <c r="G25" s="225">
        <f>SUM(G15:G24)</f>
        <v>0.52939999999999998</v>
      </c>
      <c r="H25" s="214">
        <f>ROUND(G25*G$8,2)</f>
        <v>33.880000000000003</v>
      </c>
      <c r="J25" s="225">
        <f>SUM(J15:J24)</f>
        <v>0.51744999999999997</v>
      </c>
      <c r="K25" s="214">
        <f>ROUND(J25*J$8,2)</f>
        <v>33.119999999999997</v>
      </c>
      <c r="M25" s="225">
        <f>SUM(M15:M24)</f>
        <v>0.51532999999999995</v>
      </c>
      <c r="N25" s="214">
        <f>ROUND(M25*M$8,2)</f>
        <v>32.979999999999997</v>
      </c>
      <c r="O25" s="214"/>
      <c r="P25" s="364">
        <f>SUM(P15:P24)</f>
        <v>0.49616999999999994</v>
      </c>
      <c r="Q25" s="359">
        <f>ROUND(P25*P$8,2)</f>
        <v>31.75</v>
      </c>
      <c r="R25" s="214"/>
      <c r="S25" s="225">
        <f>SUM(S15:S24)</f>
        <v>0.48976999999999998</v>
      </c>
      <c r="T25" s="214">
        <f>ROUND(S25*S$8,2)</f>
        <v>31.35</v>
      </c>
      <c r="U25" s="214"/>
      <c r="V25" s="225">
        <f>SUM(V15:V24)</f>
        <v>0.47032999999999997</v>
      </c>
      <c r="W25" s="214">
        <f>ROUND(V25*V$8,2)</f>
        <v>30.1</v>
      </c>
      <c r="Y25" s="225">
        <f>SUM(Y15:Y24)</f>
        <v>0.55389999999999995</v>
      </c>
      <c r="Z25" s="214">
        <f>ROUND(Y25*Y$8,2)</f>
        <v>35.450000000000003</v>
      </c>
    </row>
    <row r="26" spans="3:26" x14ac:dyDescent="0.25">
      <c r="P26" s="353"/>
      <c r="Q26" s="353"/>
      <c r="Z26" s="214"/>
    </row>
    <row r="27" spans="3:26" x14ac:dyDescent="0.25">
      <c r="C27" s="63" t="s">
        <v>235</v>
      </c>
      <c r="D27" s="132">
        <f>'Sch. 120'!$D$9</f>
        <v>2.019E-2</v>
      </c>
      <c r="E27" s="214">
        <f>ROUND(D27*D$8,2)</f>
        <v>1.29</v>
      </c>
      <c r="F27" s="222"/>
      <c r="G27" s="231">
        <f>$D$27</f>
        <v>2.019E-2</v>
      </c>
      <c r="H27" s="214">
        <f>ROUND(G27*G$8,2)</f>
        <v>1.29</v>
      </c>
      <c r="J27" s="231">
        <f>$D$27</f>
        <v>2.019E-2</v>
      </c>
      <c r="K27" s="214">
        <f>ROUND(J27*J$8,2)</f>
        <v>1.29</v>
      </c>
      <c r="M27" s="231">
        <f>$D$27</f>
        <v>2.019E-2</v>
      </c>
      <c r="N27" s="214">
        <f>ROUND(M27*M$8,2)</f>
        <v>1.29</v>
      </c>
      <c r="O27" s="214"/>
      <c r="P27" s="365">
        <f>$D$27</f>
        <v>2.019E-2</v>
      </c>
      <c r="Q27" s="359">
        <f>ROUND(P27*P$8,2)</f>
        <v>1.29</v>
      </c>
      <c r="R27" s="214"/>
      <c r="S27" s="231">
        <f>$D$27</f>
        <v>2.019E-2</v>
      </c>
      <c r="T27" s="214">
        <f>ROUND(S27*S$8,2)</f>
        <v>1.29</v>
      </c>
      <c r="U27" s="214"/>
      <c r="V27" s="231">
        <f>$D$27</f>
        <v>2.019E-2</v>
      </c>
      <c r="W27" s="214">
        <f>ROUND(V27*V$8,2)</f>
        <v>1.29</v>
      </c>
      <c r="Y27" s="231">
        <f>$D$27</f>
        <v>2.019E-2</v>
      </c>
      <c r="Z27" s="214">
        <f>ROUND(Y27*Y$8,2)</f>
        <v>1.29</v>
      </c>
    </row>
    <row r="28" spans="3:26" x14ac:dyDescent="0.25">
      <c r="D28" s="223"/>
      <c r="E28" s="214"/>
      <c r="F28" s="222"/>
      <c r="G28" s="223"/>
      <c r="H28" s="214"/>
      <c r="J28" s="223"/>
      <c r="K28" s="214"/>
      <c r="M28" s="223"/>
      <c r="N28" s="214"/>
      <c r="O28" s="214"/>
      <c r="P28" s="358"/>
      <c r="Q28" s="359"/>
      <c r="R28" s="214"/>
      <c r="S28" s="223"/>
      <c r="T28" s="214"/>
      <c r="U28" s="214"/>
      <c r="V28" s="223"/>
      <c r="W28" s="214"/>
      <c r="Y28" s="223"/>
      <c r="Z28" s="214"/>
    </row>
    <row r="29" spans="3:26" x14ac:dyDescent="0.25">
      <c r="C29" s="63" t="s">
        <v>236</v>
      </c>
      <c r="D29" s="132">
        <f>'Sch. 101'!$E$10</f>
        <v>0.46339999999999998</v>
      </c>
      <c r="E29" s="214"/>
      <c r="F29" s="222"/>
      <c r="G29" s="84">
        <f>$D$29</f>
        <v>0.46339999999999998</v>
      </c>
      <c r="H29" s="214"/>
      <c r="J29" s="223">
        <f>$D$29</f>
        <v>0.46339999999999998</v>
      </c>
      <c r="K29" s="214"/>
      <c r="M29" s="223">
        <f>$D$29</f>
        <v>0.46339999999999998</v>
      </c>
      <c r="N29" s="214"/>
      <c r="O29" s="214"/>
      <c r="P29" s="358">
        <f>$D$29</f>
        <v>0.46339999999999998</v>
      </c>
      <c r="Q29" s="359"/>
      <c r="R29" s="214"/>
      <c r="S29" s="223">
        <f>$D$29</f>
        <v>0.46339999999999998</v>
      </c>
      <c r="T29" s="214"/>
      <c r="U29" s="214"/>
      <c r="V29" s="84">
        <f>$D$29</f>
        <v>0.46339999999999998</v>
      </c>
      <c r="W29" s="214"/>
      <c r="Y29" s="84">
        <f>$D$29</f>
        <v>0.46339999999999998</v>
      </c>
      <c r="Z29" s="214"/>
    </row>
    <row r="30" spans="3:26" x14ac:dyDescent="0.25">
      <c r="C30" s="63" t="s">
        <v>237</v>
      </c>
      <c r="D30" s="132">
        <f>'Sch. 106'!$G$10</f>
        <v>2.6179999999999998E-2</v>
      </c>
      <c r="E30" s="214"/>
      <c r="F30" s="222"/>
      <c r="G30" s="84">
        <f>$D$30</f>
        <v>2.6179999999999998E-2</v>
      </c>
      <c r="H30" s="214"/>
      <c r="J30" s="84">
        <f>$D$30</f>
        <v>2.6179999999999998E-2</v>
      </c>
      <c r="K30" s="214"/>
      <c r="M30" s="84">
        <f>$D$30</f>
        <v>2.6179999999999998E-2</v>
      </c>
      <c r="N30" s="214"/>
      <c r="O30" s="214"/>
      <c r="P30" s="358">
        <f>$D$30</f>
        <v>2.6179999999999998E-2</v>
      </c>
      <c r="Q30" s="359"/>
      <c r="R30" s="214"/>
      <c r="S30" s="84">
        <f>$D$30</f>
        <v>2.6179999999999998E-2</v>
      </c>
      <c r="T30" s="214"/>
      <c r="U30" s="214"/>
      <c r="V30" s="84">
        <f>$D$30</f>
        <v>2.6179999999999998E-2</v>
      </c>
      <c r="W30" s="214"/>
      <c r="Y30" s="84">
        <f>$D$30</f>
        <v>2.6179999999999998E-2</v>
      </c>
      <c r="Z30" s="214"/>
    </row>
    <row r="31" spans="3:26" x14ac:dyDescent="0.25">
      <c r="C31" s="63" t="s">
        <v>14</v>
      </c>
      <c r="D31" s="225">
        <f>SUM(D29:D30)</f>
        <v>0.48957999999999996</v>
      </c>
      <c r="E31" s="214">
        <f>ROUND(D31*D$8,2)</f>
        <v>31.33</v>
      </c>
      <c r="F31" s="222"/>
      <c r="G31" s="225">
        <f>SUM(G29:G30)</f>
        <v>0.48957999999999996</v>
      </c>
      <c r="H31" s="214">
        <f>ROUND(G31*G$8,2)</f>
        <v>31.33</v>
      </c>
      <c r="J31" s="225">
        <f>SUM(J29:J30)</f>
        <v>0.48957999999999996</v>
      </c>
      <c r="K31" s="214">
        <f>ROUND(J31*J$8,2)</f>
        <v>31.33</v>
      </c>
      <c r="M31" s="225">
        <f>SUM(M29:M30)</f>
        <v>0.48957999999999996</v>
      </c>
      <c r="N31" s="214">
        <f>ROUND(M31*M$8,2)</f>
        <v>31.33</v>
      </c>
      <c r="O31" s="214"/>
      <c r="P31" s="364">
        <f>SUM(P29:P30)</f>
        <v>0.48957999999999996</v>
      </c>
      <c r="Q31" s="359">
        <f>ROUND(P31*P$8,2)</f>
        <v>31.33</v>
      </c>
      <c r="R31" s="214"/>
      <c r="S31" s="225">
        <f>SUM(S29:S30)</f>
        <v>0.48957999999999996</v>
      </c>
      <c r="T31" s="214">
        <f>ROUND(S31*S$8,2)</f>
        <v>31.33</v>
      </c>
      <c r="U31" s="214"/>
      <c r="V31" s="225">
        <f>SUM(V29:V30)</f>
        <v>0.48957999999999996</v>
      </c>
      <c r="W31" s="214">
        <f>ROUND(V31*V$8,2)</f>
        <v>31.33</v>
      </c>
      <c r="Y31" s="225">
        <f>SUM(Y29:Y30)</f>
        <v>0.48957999999999996</v>
      </c>
      <c r="Z31" s="214">
        <f>ROUND(Y31*Y$8,2)</f>
        <v>31.33</v>
      </c>
    </row>
    <row r="32" spans="3:26" x14ac:dyDescent="0.25">
      <c r="C32" s="63" t="s">
        <v>180</v>
      </c>
      <c r="D32" s="225">
        <f>D25+D27+D31</f>
        <v>1.00268</v>
      </c>
      <c r="E32" s="226">
        <f>SUM(E25,E27,E31)</f>
        <v>64.17</v>
      </c>
      <c r="F32" s="227"/>
      <c r="G32" s="225">
        <f>G25+G27+G31</f>
        <v>1.0391699999999999</v>
      </c>
      <c r="H32" s="226">
        <f>SUM(H25,H27,H31)</f>
        <v>66.5</v>
      </c>
      <c r="J32" s="225">
        <f>J25+J27+J31</f>
        <v>1.02722</v>
      </c>
      <c r="K32" s="226">
        <f>SUM(K25,K27,K31)</f>
        <v>65.739999999999995</v>
      </c>
      <c r="M32" s="225">
        <f>M25+M27+M31</f>
        <v>1.0250999999999999</v>
      </c>
      <c r="N32" s="226">
        <f>SUM(N25,N27,N31)</f>
        <v>65.599999999999994</v>
      </c>
      <c r="O32" s="218"/>
      <c r="P32" s="364">
        <f>P25+P27+P31</f>
        <v>1.0059399999999998</v>
      </c>
      <c r="Q32" s="366">
        <f>SUM(Q25,Q27,Q31)</f>
        <v>64.37</v>
      </c>
      <c r="R32" s="218"/>
      <c r="S32" s="225">
        <f>S25+S27+S31</f>
        <v>0.99953999999999987</v>
      </c>
      <c r="T32" s="226">
        <f>SUM(T25,T27,T31)</f>
        <v>63.97</v>
      </c>
      <c r="U32" s="218"/>
      <c r="V32" s="225">
        <f>V25+V27+V31</f>
        <v>0.98009999999999997</v>
      </c>
      <c r="W32" s="226">
        <f>SUM(W25,W27,W31)</f>
        <v>62.72</v>
      </c>
      <c r="Y32" s="225">
        <f>Y25+Y27+Y31</f>
        <v>1.0636699999999999</v>
      </c>
      <c r="Z32" s="226">
        <f>SUM(Z25,Z27,Z31)</f>
        <v>68.069999999999993</v>
      </c>
    </row>
    <row r="33" spans="2:26" x14ac:dyDescent="0.25">
      <c r="E33" s="214"/>
      <c r="H33" s="214"/>
      <c r="K33" s="214"/>
      <c r="N33" s="214"/>
      <c r="O33" s="214"/>
      <c r="P33" s="353"/>
      <c r="Q33" s="359"/>
      <c r="R33" s="214"/>
      <c r="T33" s="214"/>
      <c r="U33" s="214"/>
      <c r="W33" s="214"/>
      <c r="Z33" s="214"/>
    </row>
    <row r="34" spans="2:26" x14ac:dyDescent="0.25">
      <c r="B34" s="63" t="s">
        <v>181</v>
      </c>
      <c r="D34" s="217"/>
      <c r="E34" s="214">
        <f>E12+E32</f>
        <v>75.69</v>
      </c>
      <c r="F34" s="219"/>
      <c r="G34" s="217"/>
      <c r="H34" s="214">
        <f>H12+H32</f>
        <v>79</v>
      </c>
      <c r="J34" s="217"/>
      <c r="K34" s="214">
        <f>K12+K32</f>
        <v>77.259999999999991</v>
      </c>
      <c r="M34" s="217"/>
      <c r="N34" s="214">
        <f>N12+N32</f>
        <v>77.11999999999999</v>
      </c>
      <c r="O34" s="214"/>
      <c r="P34" s="362"/>
      <c r="Q34" s="359">
        <f>Q12+Q32</f>
        <v>75.89</v>
      </c>
      <c r="R34" s="214"/>
      <c r="S34" s="217"/>
      <c r="T34" s="214">
        <f>T12+T32</f>
        <v>75.489999999999995</v>
      </c>
      <c r="U34" s="214"/>
      <c r="V34" s="217"/>
      <c r="W34" s="214">
        <f>W12+W32</f>
        <v>74.239999999999995</v>
      </c>
      <c r="Y34" s="217"/>
      <c r="Z34" s="214">
        <f>Z12+Z32</f>
        <v>80.569999999999993</v>
      </c>
    </row>
    <row r="35" spans="2:26" x14ac:dyDescent="0.25">
      <c r="B35" s="63" t="s">
        <v>182</v>
      </c>
      <c r="D35" s="217"/>
      <c r="E35" s="214"/>
      <c r="F35" s="219"/>
      <c r="G35" s="217"/>
      <c r="H35" s="214">
        <f>H34-$E34</f>
        <v>3.3100000000000023</v>
      </c>
      <c r="J35" s="217"/>
      <c r="K35" s="214">
        <f>K34-$E34</f>
        <v>1.5699999999999932</v>
      </c>
      <c r="M35" s="217"/>
      <c r="N35" s="214">
        <f>N34-$E34</f>
        <v>1.4299999999999926</v>
      </c>
      <c r="O35" s="214"/>
      <c r="P35" s="362"/>
      <c r="Q35" s="359">
        <f>Q34-$E34</f>
        <v>0.20000000000000284</v>
      </c>
      <c r="R35" s="214"/>
      <c r="S35" s="217"/>
      <c r="T35" s="214">
        <f>T34-$E34</f>
        <v>-0.20000000000000284</v>
      </c>
      <c r="U35" s="214"/>
      <c r="V35" s="217"/>
      <c r="W35" s="214">
        <f>W34-$E34</f>
        <v>-1.4500000000000028</v>
      </c>
      <c r="Y35" s="217"/>
      <c r="Z35" s="214">
        <f>Z34-$E34</f>
        <v>4.8799999999999955</v>
      </c>
    </row>
    <row r="36" spans="2:26" x14ac:dyDescent="0.25">
      <c r="B36" s="63" t="s">
        <v>183</v>
      </c>
      <c r="D36" s="142"/>
      <c r="E36" s="142"/>
      <c r="F36" s="228"/>
      <c r="G36" s="142"/>
      <c r="H36" s="86">
        <f>H35/$E34</f>
        <v>4.3731008059188829E-2</v>
      </c>
      <c r="J36" s="142"/>
      <c r="K36" s="86">
        <f>K35/$E34</f>
        <v>2.0742502312062271E-2</v>
      </c>
      <c r="M36" s="142"/>
      <c r="N36" s="86">
        <f>N35/$E34</f>
        <v>1.8892852424362436E-2</v>
      </c>
      <c r="O36" s="86"/>
      <c r="P36" s="367"/>
      <c r="Q36" s="339">
        <f>Q35/$E34</f>
        <v>2.6423569824283637E-3</v>
      </c>
      <c r="R36" s="86"/>
      <c r="S36" s="142"/>
      <c r="T36" s="86">
        <f>T35/$E34</f>
        <v>-2.6423569824283637E-3</v>
      </c>
      <c r="U36" s="86"/>
      <c r="V36" s="142"/>
      <c r="W36" s="86">
        <f>W35/$E34</f>
        <v>-1.9157088122605401E-2</v>
      </c>
      <c r="Y36" s="142"/>
      <c r="Z36" s="86">
        <f>Z35/$E34</f>
        <v>6.4473510371251097E-2</v>
      </c>
    </row>
    <row r="37" spans="2:26" x14ac:dyDescent="0.25">
      <c r="E37" s="214"/>
    </row>
    <row r="38" spans="2:26" ht="17.25" x14ac:dyDescent="0.25">
      <c r="B38" s="229" t="s">
        <v>225</v>
      </c>
    </row>
    <row r="39" spans="2:26" x14ac:dyDescent="0.25">
      <c r="C39" s="328" t="s">
        <v>388</v>
      </c>
    </row>
    <row r="41" spans="2:26" x14ac:dyDescent="0.25">
      <c r="C41" s="394" t="s">
        <v>401</v>
      </c>
      <c r="D41" s="375"/>
      <c r="E41" s="376">
        <v>75.69</v>
      </c>
      <c r="F41" s="377"/>
      <c r="G41" s="376"/>
      <c r="H41" s="376">
        <v>79</v>
      </c>
      <c r="I41" s="376"/>
      <c r="J41" s="376"/>
      <c r="K41" s="376">
        <v>75.58</v>
      </c>
      <c r="L41" s="376"/>
      <c r="M41" s="376"/>
      <c r="N41" s="376">
        <v>78.8</v>
      </c>
      <c r="O41" s="376"/>
      <c r="P41" s="376"/>
      <c r="Q41" s="376">
        <v>75.89</v>
      </c>
      <c r="R41" s="376"/>
      <c r="S41" s="376"/>
      <c r="T41" s="376">
        <v>75.489999999999995</v>
      </c>
      <c r="U41" s="376"/>
      <c r="V41" s="376"/>
      <c r="W41" s="376">
        <v>74.239999999999995</v>
      </c>
      <c r="X41" s="376"/>
      <c r="Y41" s="376"/>
      <c r="Z41" s="376">
        <v>80.569999999999993</v>
      </c>
    </row>
    <row r="42" spans="2:26" x14ac:dyDescent="0.25">
      <c r="C42" s="394" t="s">
        <v>402</v>
      </c>
      <c r="D42" s="375"/>
      <c r="E42" s="378">
        <f>E34-E41</f>
        <v>0</v>
      </c>
      <c r="F42" s="379"/>
      <c r="G42" s="375"/>
      <c r="H42" s="378">
        <f>H34-H41</f>
        <v>0</v>
      </c>
      <c r="I42" s="375"/>
      <c r="J42" s="375"/>
      <c r="K42" s="378">
        <f>K34-K41</f>
        <v>1.6799999999999926</v>
      </c>
      <c r="L42" s="375"/>
      <c r="M42" s="375"/>
      <c r="N42" s="378">
        <f>N34-N41</f>
        <v>-1.6800000000000068</v>
      </c>
      <c r="O42" s="375"/>
      <c r="P42" s="375"/>
      <c r="Q42" s="378">
        <f>Q34-Q41</f>
        <v>0</v>
      </c>
      <c r="R42" s="375"/>
      <c r="S42" s="375"/>
      <c r="T42" s="378">
        <f>T34-T41</f>
        <v>0</v>
      </c>
      <c r="U42" s="375"/>
      <c r="V42" s="375"/>
      <c r="W42" s="378">
        <f>W34-W41</f>
        <v>0</v>
      </c>
      <c r="X42" s="375"/>
      <c r="Y42" s="375"/>
      <c r="Z42" s="378">
        <f>Z34-Z41</f>
        <v>0</v>
      </c>
    </row>
    <row r="43" spans="2:26" ht="14.25" customHeight="1" x14ac:dyDescent="0.25"/>
  </sheetData>
  <printOptions horizontalCentered="1"/>
  <pageMargins left="0.45" right="0.45" top="1" bottom="1" header="0.5" footer="0.5"/>
  <pageSetup scale="53" orientation="landscape" blackAndWhite="1" r:id="rId1"/>
  <headerFooter alignWithMargins="0">
    <oddFooter>&amp;R&amp;A
 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43"/>
  <sheetViews>
    <sheetView topLeftCell="A7" zoomScale="90" zoomScaleNormal="90" workbookViewId="0">
      <selection activeCell="D46" sqref="D46"/>
    </sheetView>
  </sheetViews>
  <sheetFormatPr defaultColWidth="9.140625" defaultRowHeight="15" x14ac:dyDescent="0.25"/>
  <cols>
    <col min="1" max="1" width="2.140625" style="63" customWidth="1"/>
    <col min="2" max="2" width="2.42578125" style="63" customWidth="1"/>
    <col min="3" max="3" width="31.28515625" style="63" customWidth="1"/>
    <col min="4" max="5" width="11.7109375" style="63" customWidth="1"/>
    <col min="6" max="6" width="2.5703125" style="64" customWidth="1"/>
    <col min="7" max="8" width="11.7109375" style="63" customWidth="1"/>
    <col min="9" max="9" width="2.5703125" style="63" customWidth="1"/>
    <col min="10" max="11" width="11.7109375" style="63" customWidth="1"/>
    <col min="12" max="12" width="2.5703125" style="63" customWidth="1"/>
    <col min="13" max="14" width="11.7109375" style="63" customWidth="1"/>
    <col min="15" max="15" width="2.5703125" style="63" customWidth="1"/>
    <col min="16" max="17" width="11.7109375" style="63" customWidth="1"/>
    <col min="18" max="16384" width="9.140625" style="63"/>
  </cols>
  <sheetData>
    <row r="1" spans="2:17" x14ac:dyDescent="0.25">
      <c r="B1" s="260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2"/>
      <c r="N1" s="262"/>
      <c r="O1" s="262"/>
      <c r="P1" s="260"/>
      <c r="Q1" s="260"/>
    </row>
    <row r="2" spans="2:17" x14ac:dyDescent="0.25">
      <c r="B2" s="52" t="s">
        <v>195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2"/>
      <c r="N2" s="262"/>
      <c r="O2" s="262"/>
      <c r="P2" s="260"/>
      <c r="Q2" s="260"/>
    </row>
    <row r="3" spans="2:17" x14ac:dyDescent="0.25">
      <c r="B3" s="52" t="s">
        <v>332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2:17" x14ac:dyDescent="0.25">
      <c r="B4" s="257" t="s">
        <v>214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6" spans="2:17" x14ac:dyDescent="0.25">
      <c r="D6" s="212" t="s">
        <v>253</v>
      </c>
      <c r="E6" s="212"/>
      <c r="F6" s="24"/>
      <c r="G6" s="212" t="s">
        <v>239</v>
      </c>
      <c r="H6" s="212"/>
      <c r="J6" s="212" t="s">
        <v>240</v>
      </c>
      <c r="K6" s="212"/>
      <c r="L6" s="259"/>
      <c r="M6" s="361" t="s">
        <v>400</v>
      </c>
      <c r="N6" s="361"/>
      <c r="O6" s="259"/>
      <c r="P6" s="212" t="s">
        <v>193</v>
      </c>
      <c r="Q6" s="212"/>
    </row>
    <row r="7" spans="2:17" ht="17.25" x14ac:dyDescent="0.25">
      <c r="D7" s="92" t="s">
        <v>175</v>
      </c>
      <c r="E7" s="92" t="s">
        <v>176</v>
      </c>
      <c r="F7" s="60"/>
      <c r="G7" s="92" t="s">
        <v>22</v>
      </c>
      <c r="H7" s="92" t="s">
        <v>176</v>
      </c>
      <c r="J7" s="92" t="s">
        <v>22</v>
      </c>
      <c r="K7" s="92" t="s">
        <v>176</v>
      </c>
      <c r="L7" s="60"/>
      <c r="M7" s="335" t="s">
        <v>22</v>
      </c>
      <c r="N7" s="335" t="s">
        <v>176</v>
      </c>
      <c r="O7" s="60"/>
      <c r="P7" s="92" t="s">
        <v>22</v>
      </c>
      <c r="Q7" s="92" t="s">
        <v>176</v>
      </c>
    </row>
    <row r="8" spans="2:17" x14ac:dyDescent="0.25">
      <c r="B8" s="63" t="s">
        <v>177</v>
      </c>
      <c r="D8" s="213">
        <v>64</v>
      </c>
      <c r="E8" s="214"/>
      <c r="F8" s="215"/>
      <c r="G8" s="213">
        <v>64</v>
      </c>
      <c r="H8" s="214"/>
      <c r="J8" s="213">
        <v>64</v>
      </c>
      <c r="K8" s="214"/>
      <c r="L8" s="214"/>
      <c r="M8" s="353">
        <v>64</v>
      </c>
      <c r="N8" s="359"/>
      <c r="O8" s="214"/>
      <c r="P8" s="213">
        <v>64</v>
      </c>
      <c r="Q8" s="214"/>
    </row>
    <row r="9" spans="2:17" x14ac:dyDescent="0.25">
      <c r="D9" s="213"/>
      <c r="E9" s="214"/>
      <c r="F9" s="215"/>
      <c r="G9" s="213"/>
      <c r="H9" s="214"/>
      <c r="J9" s="213"/>
      <c r="K9" s="214"/>
      <c r="L9" s="214"/>
      <c r="M9" s="353"/>
      <c r="N9" s="359"/>
      <c r="O9" s="214"/>
      <c r="P9" s="213"/>
      <c r="Q9" s="214"/>
    </row>
    <row r="10" spans="2:17" x14ac:dyDescent="0.25">
      <c r="B10" s="63" t="s">
        <v>178</v>
      </c>
      <c r="D10" s="213"/>
      <c r="E10" s="214"/>
      <c r="F10" s="215"/>
      <c r="G10" s="213"/>
      <c r="H10" s="214"/>
      <c r="J10" s="213"/>
      <c r="K10" s="214"/>
      <c r="L10" s="214"/>
      <c r="M10" s="353"/>
      <c r="N10" s="359"/>
      <c r="O10" s="214"/>
      <c r="P10" s="213"/>
      <c r="Q10" s="214"/>
    </row>
    <row r="11" spans="2:17" x14ac:dyDescent="0.25">
      <c r="C11" s="63" t="s">
        <v>238</v>
      </c>
      <c r="D11" s="315">
        <f>'Typical Res Bill_RY#1 '!Y11</f>
        <v>12.5</v>
      </c>
      <c r="E11" s="214">
        <f>D11</f>
        <v>12.5</v>
      </c>
      <c r="F11" s="216"/>
      <c r="G11" s="217">
        <f>$D$11</f>
        <v>12.5</v>
      </c>
      <c r="H11" s="214">
        <f>G11</f>
        <v>12.5</v>
      </c>
      <c r="J11" s="217">
        <f>$D$11</f>
        <v>12.5</v>
      </c>
      <c r="K11" s="214">
        <f>J11</f>
        <v>12.5</v>
      </c>
      <c r="L11" s="214"/>
      <c r="M11" s="362">
        <f>$D$11</f>
        <v>12.5</v>
      </c>
      <c r="N11" s="359">
        <f>M11</f>
        <v>12.5</v>
      </c>
      <c r="O11" s="214"/>
      <c r="P11" s="217">
        <f>$D$11</f>
        <v>12.5</v>
      </c>
      <c r="Q11" s="214">
        <f>P11</f>
        <v>12.5</v>
      </c>
    </row>
    <row r="12" spans="2:17" x14ac:dyDescent="0.25">
      <c r="C12" s="63" t="s">
        <v>14</v>
      </c>
      <c r="D12" s="220">
        <f>SUM(D11:D11)</f>
        <v>12.5</v>
      </c>
      <c r="E12" s="220">
        <f>SUM(E11:E11)</f>
        <v>12.5</v>
      </c>
      <c r="F12" s="216"/>
      <c r="G12" s="220">
        <f>SUM(G11:G11)</f>
        <v>12.5</v>
      </c>
      <c r="H12" s="220">
        <f>SUM(H11:H11)</f>
        <v>12.5</v>
      </c>
      <c r="J12" s="220">
        <f>SUM(J11:J11)</f>
        <v>12.5</v>
      </c>
      <c r="K12" s="220">
        <f>SUM(K11:K11)</f>
        <v>12.5</v>
      </c>
      <c r="L12" s="219"/>
      <c r="M12" s="363">
        <f>SUM(M11:M11)</f>
        <v>12.5</v>
      </c>
      <c r="N12" s="363">
        <f>SUM(N11:N11)</f>
        <v>12.5</v>
      </c>
      <c r="O12" s="219"/>
      <c r="P12" s="220">
        <f>SUM(P11:P11)</f>
        <v>12.5</v>
      </c>
      <c r="Q12" s="220">
        <f>SUM(Q11:Q11)</f>
        <v>12.5</v>
      </c>
    </row>
    <row r="13" spans="2:17" x14ac:dyDescent="0.25">
      <c r="D13" s="221"/>
      <c r="E13" s="214"/>
      <c r="F13" s="216"/>
      <c r="G13" s="217"/>
      <c r="H13" s="214"/>
      <c r="J13" s="217"/>
      <c r="K13" s="214"/>
      <c r="L13" s="214"/>
      <c r="M13" s="362"/>
      <c r="N13" s="359"/>
      <c r="O13" s="214"/>
      <c r="P13" s="217"/>
      <c r="Q13" s="214"/>
    </row>
    <row r="14" spans="2:17" x14ac:dyDescent="0.25">
      <c r="B14" s="63" t="s">
        <v>179</v>
      </c>
      <c r="E14" s="214"/>
      <c r="H14" s="214"/>
      <c r="K14" s="214"/>
      <c r="L14" s="214"/>
      <c r="M14" s="353"/>
      <c r="N14" s="359"/>
      <c r="O14" s="214"/>
      <c r="Q14" s="214"/>
    </row>
    <row r="15" spans="2:17" x14ac:dyDescent="0.25">
      <c r="C15" s="63" t="s">
        <v>226</v>
      </c>
      <c r="D15" s="132">
        <f>'Typical Res Bill_RY#1 '!Y15</f>
        <v>0.45612999999999998</v>
      </c>
      <c r="E15" s="214"/>
      <c r="F15" s="222"/>
      <c r="G15" s="223">
        <f>$D$15</f>
        <v>0.45612999999999998</v>
      </c>
      <c r="H15" s="214"/>
      <c r="J15" s="223">
        <f>$D$15</f>
        <v>0.45612999999999998</v>
      </c>
      <c r="K15" s="214"/>
      <c r="L15" s="214"/>
      <c r="M15" s="358">
        <f>$D$15</f>
        <v>0.45612999999999998</v>
      </c>
      <c r="N15" s="359"/>
      <c r="O15" s="214"/>
      <c r="P15" s="223">
        <f>$D$15</f>
        <v>0.45612999999999998</v>
      </c>
      <c r="Q15" s="214"/>
    </row>
    <row r="16" spans="2:17" x14ac:dyDescent="0.25">
      <c r="C16" s="63" t="s">
        <v>227</v>
      </c>
      <c r="D16" s="132">
        <f>'Typical Res Bill_RY#1 '!Y16</f>
        <v>3.65E-3</v>
      </c>
      <c r="E16" s="214"/>
      <c r="F16" s="222"/>
      <c r="G16" s="223">
        <f>$D$16</f>
        <v>3.65E-3</v>
      </c>
      <c r="H16" s="214"/>
      <c r="J16" s="223">
        <f>$D$16</f>
        <v>3.65E-3</v>
      </c>
      <c r="K16" s="214"/>
      <c r="L16" s="214"/>
      <c r="M16" s="358">
        <f>$D$16</f>
        <v>3.65E-3</v>
      </c>
      <c r="N16" s="359"/>
      <c r="O16" s="214"/>
      <c r="P16" s="223">
        <f>$D$16</f>
        <v>3.65E-3</v>
      </c>
      <c r="Q16" s="214"/>
    </row>
    <row r="17" spans="3:17" x14ac:dyDescent="0.25">
      <c r="C17" s="63" t="s">
        <v>228</v>
      </c>
      <c r="D17" s="132">
        <f>'Typical Res Bill_RY#1 '!Y17</f>
        <v>2.2749999999999999E-2</v>
      </c>
      <c r="E17" s="214"/>
      <c r="F17" s="222"/>
      <c r="G17" s="84">
        <f>$D$17</f>
        <v>2.2749999999999999E-2</v>
      </c>
      <c r="H17" s="214"/>
      <c r="J17" s="84">
        <f>$D$17</f>
        <v>2.2749999999999999E-2</v>
      </c>
      <c r="K17" s="214"/>
      <c r="L17" s="214"/>
      <c r="M17" s="358">
        <f>$D$17</f>
        <v>2.2749999999999999E-2</v>
      </c>
      <c r="N17" s="359"/>
      <c r="O17" s="214"/>
      <c r="P17" s="84">
        <f>$D$17</f>
        <v>2.2749999999999999E-2</v>
      </c>
      <c r="Q17" s="214"/>
    </row>
    <row r="18" spans="3:17" x14ac:dyDescent="0.25">
      <c r="C18" s="353" t="s">
        <v>399</v>
      </c>
      <c r="D18" s="358">
        <f>'Typical Res Bill_RY#1 '!Y18</f>
        <v>3.2599999999999999E-3</v>
      </c>
      <c r="E18" s="359"/>
      <c r="F18" s="360"/>
      <c r="G18" s="358">
        <f>$D$18</f>
        <v>3.2599999999999999E-3</v>
      </c>
      <c r="H18" s="359"/>
      <c r="I18" s="353"/>
      <c r="J18" s="358">
        <f>$D$18</f>
        <v>3.2599999999999999E-3</v>
      </c>
      <c r="K18" s="359"/>
      <c r="L18" s="359"/>
      <c r="M18" s="358">
        <f>'Sch. 141D_2024'!$E$9</f>
        <v>3.15E-3</v>
      </c>
      <c r="N18" s="359"/>
      <c r="O18" s="359"/>
      <c r="P18" s="358">
        <f>'Sch. 141D_2024'!$E$9</f>
        <v>3.15E-3</v>
      </c>
      <c r="Q18" s="214"/>
    </row>
    <row r="19" spans="3:17" x14ac:dyDescent="0.25">
      <c r="C19" s="63" t="s">
        <v>229</v>
      </c>
      <c r="D19" s="132">
        <f>'Typical Res Bill_RY#1 '!Y19</f>
        <v>2.4539999999999999E-2</v>
      </c>
      <c r="E19" s="214"/>
      <c r="F19" s="222"/>
      <c r="G19" s="132">
        <f>'Sch. 141N_2024'!$E$9</f>
        <v>-4.7999999999999996E-3</v>
      </c>
      <c r="H19" s="214"/>
      <c r="J19" s="223">
        <f>$D$19</f>
        <v>2.4539999999999999E-2</v>
      </c>
      <c r="K19" s="214"/>
      <c r="L19" s="214"/>
      <c r="M19" s="358">
        <f>$D$19</f>
        <v>2.4539999999999999E-2</v>
      </c>
      <c r="N19" s="359"/>
      <c r="O19" s="214"/>
      <c r="P19" s="132">
        <f>'Sch. 141N_2024'!$E$9</f>
        <v>-4.7999999999999996E-3</v>
      </c>
      <c r="Q19" s="214"/>
    </row>
    <row r="20" spans="3:17" x14ac:dyDescent="0.25">
      <c r="C20" s="63" t="s">
        <v>230</v>
      </c>
      <c r="D20" s="132">
        <f>'Typical Res Bill_RY#1 '!Y20</f>
        <v>2.2419999999999999E-2</v>
      </c>
      <c r="E20" s="214"/>
      <c r="F20" s="222"/>
      <c r="G20" s="223">
        <f>$D$20</f>
        <v>2.2419999999999999E-2</v>
      </c>
      <c r="H20" s="214"/>
      <c r="J20" s="132">
        <f>'Sch. 141R_2024'!$E$9</f>
        <v>7.2679999999999995E-2</v>
      </c>
      <c r="K20" s="214"/>
      <c r="L20" s="214"/>
      <c r="M20" s="358">
        <f>$D$20</f>
        <v>2.2419999999999999E-2</v>
      </c>
      <c r="N20" s="359"/>
      <c r="O20" s="214"/>
      <c r="P20" s="132">
        <f>'Sch. 141R_2024'!$E$9</f>
        <v>7.2679999999999995E-2</v>
      </c>
      <c r="Q20" s="214"/>
    </row>
    <row r="21" spans="3:17" x14ac:dyDescent="0.25">
      <c r="C21" s="63" t="s">
        <v>231</v>
      </c>
      <c r="D21" s="132">
        <f>'Typical Res Bill_RY#1 '!Y21</f>
        <v>0</v>
      </c>
      <c r="E21" s="214"/>
      <c r="F21" s="222"/>
      <c r="G21" s="84">
        <f>$D$21</f>
        <v>0</v>
      </c>
      <c r="H21" s="214"/>
      <c r="J21" s="84">
        <f>$D$21</f>
        <v>0</v>
      </c>
      <c r="K21" s="214"/>
      <c r="L21" s="214"/>
      <c r="M21" s="358">
        <f>$D$21</f>
        <v>0</v>
      </c>
      <c r="N21" s="359"/>
      <c r="O21" s="214"/>
      <c r="P21" s="84">
        <f>$D$21</f>
        <v>0</v>
      </c>
      <c r="Q21" s="214"/>
    </row>
    <row r="22" spans="3:17" x14ac:dyDescent="0.25">
      <c r="C22" s="63" t="s">
        <v>232</v>
      </c>
      <c r="D22" s="132">
        <f>'Typical Res Bill_RY#1 '!Y22</f>
        <v>-1.3699999999999999E-3</v>
      </c>
      <c r="E22" s="214"/>
      <c r="F22" s="222"/>
      <c r="G22" s="84">
        <f>$D$22</f>
        <v>-1.3699999999999999E-3</v>
      </c>
      <c r="H22" s="214"/>
      <c r="J22" s="84">
        <f>$D$22</f>
        <v>-1.3699999999999999E-3</v>
      </c>
      <c r="K22" s="214"/>
      <c r="L22" s="214"/>
      <c r="M22" s="358">
        <f>$D$22</f>
        <v>-1.3699999999999999E-3</v>
      </c>
      <c r="N22" s="359"/>
      <c r="O22" s="214"/>
      <c r="P22" s="84">
        <f>$D$22</f>
        <v>-1.3699999999999999E-3</v>
      </c>
      <c r="Q22" s="214"/>
    </row>
    <row r="23" spans="3:17" x14ac:dyDescent="0.25">
      <c r="C23" s="63" t="s">
        <v>233</v>
      </c>
      <c r="D23" s="132">
        <f>'Typical Res Bill_RY#1 '!Y23</f>
        <v>2.2519999999999998E-2</v>
      </c>
      <c r="E23" s="214"/>
      <c r="F23" s="222"/>
      <c r="G23" s="84">
        <f>$D$23</f>
        <v>2.2519999999999998E-2</v>
      </c>
      <c r="H23" s="214"/>
      <c r="J23" s="84">
        <f>$D$23</f>
        <v>2.2519999999999998E-2</v>
      </c>
      <c r="K23" s="214"/>
      <c r="L23" s="214"/>
      <c r="M23" s="358">
        <f>$D$23</f>
        <v>2.2519999999999998E-2</v>
      </c>
      <c r="N23" s="359"/>
      <c r="O23" s="214"/>
      <c r="P23" s="84">
        <f>$D$23</f>
        <v>2.2519999999999998E-2</v>
      </c>
      <c r="Q23" s="214"/>
    </row>
    <row r="24" spans="3:17" x14ac:dyDescent="0.25">
      <c r="C24" s="63" t="s">
        <v>234</v>
      </c>
      <c r="D24" s="132">
        <f>'Typical Res Bill_RY#1 '!Y24</f>
        <v>0</v>
      </c>
      <c r="E24" s="214"/>
      <c r="F24" s="222"/>
      <c r="G24" s="84">
        <f>$D$24</f>
        <v>0</v>
      </c>
      <c r="H24" s="214"/>
      <c r="J24" s="84">
        <f>$D$24</f>
        <v>0</v>
      </c>
      <c r="K24" s="214"/>
      <c r="L24" s="214"/>
      <c r="M24" s="358">
        <f>$D$24</f>
        <v>0</v>
      </c>
      <c r="N24" s="359"/>
      <c r="O24" s="214"/>
      <c r="P24" s="84">
        <f>$D$24</f>
        <v>0</v>
      </c>
      <c r="Q24" s="214"/>
    </row>
    <row r="25" spans="3:17" x14ac:dyDescent="0.25">
      <c r="C25" s="63" t="s">
        <v>14</v>
      </c>
      <c r="D25" s="225">
        <f>SUM(D15:D24)</f>
        <v>0.55389999999999995</v>
      </c>
      <c r="E25" s="214">
        <f>ROUND(D25*D$8,2)</f>
        <v>35.450000000000003</v>
      </c>
      <c r="F25" s="222"/>
      <c r="G25" s="225">
        <f>SUM(G15:G24)</f>
        <v>0.52455999999999992</v>
      </c>
      <c r="H25" s="214">
        <f>ROUND(G25*G$8,2)</f>
        <v>33.57</v>
      </c>
      <c r="J25" s="225">
        <f>SUM(J15:J24)</f>
        <v>0.60415999999999992</v>
      </c>
      <c r="K25" s="214">
        <f>ROUND(J25*J$8,2)</f>
        <v>38.67</v>
      </c>
      <c r="L25" s="214"/>
      <c r="M25" s="364">
        <f>SUM(M15:M24)</f>
        <v>0.55378999999999989</v>
      </c>
      <c r="N25" s="359">
        <f>ROUND(M25*M$8,2)</f>
        <v>35.44</v>
      </c>
      <c r="O25" s="214"/>
      <c r="P25" s="225">
        <f>SUM(P15:P24)</f>
        <v>0.57470999999999994</v>
      </c>
      <c r="Q25" s="214">
        <f>ROUND(P25*P$8,2)</f>
        <v>36.78</v>
      </c>
    </row>
    <row r="26" spans="3:17" x14ac:dyDescent="0.25">
      <c r="M26" s="353"/>
      <c r="N26" s="353"/>
      <c r="Q26" s="214"/>
    </row>
    <row r="27" spans="3:17" x14ac:dyDescent="0.25">
      <c r="C27" s="63" t="s">
        <v>235</v>
      </c>
      <c r="D27" s="132">
        <f>'Typical Res Bill_RY#1 '!Y27</f>
        <v>2.019E-2</v>
      </c>
      <c r="E27" s="214">
        <f>ROUND(D27*D$8,2)</f>
        <v>1.29</v>
      </c>
      <c r="F27" s="222"/>
      <c r="G27" s="231">
        <f>$D$27</f>
        <v>2.019E-2</v>
      </c>
      <c r="H27" s="214">
        <f>ROUND(G27*G$8,2)</f>
        <v>1.29</v>
      </c>
      <c r="J27" s="231">
        <f>$D$27</f>
        <v>2.019E-2</v>
      </c>
      <c r="K27" s="214">
        <f>ROUND(J27*J$8,2)</f>
        <v>1.29</v>
      </c>
      <c r="L27" s="214"/>
      <c r="M27" s="365">
        <f>$D$27</f>
        <v>2.019E-2</v>
      </c>
      <c r="N27" s="359">
        <f>ROUND(M27*M$8,2)</f>
        <v>1.29</v>
      </c>
      <c r="O27" s="214"/>
      <c r="P27" s="231">
        <f>$D$27</f>
        <v>2.019E-2</v>
      </c>
      <c r="Q27" s="214">
        <f>ROUND(P27*P$8,2)</f>
        <v>1.29</v>
      </c>
    </row>
    <row r="28" spans="3:17" x14ac:dyDescent="0.25">
      <c r="D28" s="223"/>
      <c r="E28" s="214"/>
      <c r="F28" s="222"/>
      <c r="G28" s="223"/>
      <c r="H28" s="214"/>
      <c r="J28" s="223"/>
      <c r="K28" s="214"/>
      <c r="L28" s="214"/>
      <c r="M28" s="358"/>
      <c r="N28" s="359"/>
      <c r="O28" s="214"/>
      <c r="P28" s="223"/>
      <c r="Q28" s="214"/>
    </row>
    <row r="29" spans="3:17" x14ac:dyDescent="0.25">
      <c r="C29" s="63" t="s">
        <v>236</v>
      </c>
      <c r="D29" s="132">
        <f>'Typical Res Bill_RY#1 '!Y29</f>
        <v>0.46339999999999998</v>
      </c>
      <c r="E29" s="214"/>
      <c r="F29" s="222"/>
      <c r="G29" s="223">
        <f>$D$29</f>
        <v>0.46339999999999998</v>
      </c>
      <c r="H29" s="214"/>
      <c r="J29" s="223">
        <f>$D$29</f>
        <v>0.46339999999999998</v>
      </c>
      <c r="K29" s="214"/>
      <c r="L29" s="214"/>
      <c r="M29" s="358">
        <f>$D$29</f>
        <v>0.46339999999999998</v>
      </c>
      <c r="N29" s="359"/>
      <c r="O29" s="214"/>
      <c r="P29" s="84">
        <f>$D$29</f>
        <v>0.46339999999999998</v>
      </c>
      <c r="Q29" s="214"/>
    </row>
    <row r="30" spans="3:17" x14ac:dyDescent="0.25">
      <c r="C30" s="63" t="s">
        <v>237</v>
      </c>
      <c r="D30" s="132">
        <f>'Typical Res Bill_RY#1 '!Y30</f>
        <v>2.6179999999999998E-2</v>
      </c>
      <c r="E30" s="214"/>
      <c r="F30" s="222"/>
      <c r="G30" s="84">
        <f>$D$30</f>
        <v>2.6179999999999998E-2</v>
      </c>
      <c r="H30" s="214"/>
      <c r="J30" s="84">
        <f>$D$30</f>
        <v>2.6179999999999998E-2</v>
      </c>
      <c r="K30" s="214"/>
      <c r="L30" s="214"/>
      <c r="M30" s="358">
        <f>$D$30</f>
        <v>2.6179999999999998E-2</v>
      </c>
      <c r="N30" s="359"/>
      <c r="O30" s="214"/>
      <c r="P30" s="84">
        <f>$D$30</f>
        <v>2.6179999999999998E-2</v>
      </c>
      <c r="Q30" s="214"/>
    </row>
    <row r="31" spans="3:17" x14ac:dyDescent="0.25">
      <c r="C31" s="63" t="s">
        <v>14</v>
      </c>
      <c r="D31" s="225">
        <f>SUM(D29:D30)</f>
        <v>0.48957999999999996</v>
      </c>
      <c r="E31" s="214">
        <f>ROUND(D31*D$8,2)</f>
        <v>31.33</v>
      </c>
      <c r="F31" s="222"/>
      <c r="G31" s="225">
        <f>SUM(G29:G30)</f>
        <v>0.48957999999999996</v>
      </c>
      <c r="H31" s="214">
        <f>ROUND(G31*G$8,2)</f>
        <v>31.33</v>
      </c>
      <c r="J31" s="225">
        <f>SUM(J29:J30)</f>
        <v>0.48957999999999996</v>
      </c>
      <c r="K31" s="214">
        <f>ROUND(J31*J$8,2)</f>
        <v>31.33</v>
      </c>
      <c r="L31" s="214"/>
      <c r="M31" s="364">
        <f>SUM(M29:M30)</f>
        <v>0.48957999999999996</v>
      </c>
      <c r="N31" s="359">
        <f>ROUND(M31*M$8,2)</f>
        <v>31.33</v>
      </c>
      <c r="O31" s="214"/>
      <c r="P31" s="225">
        <f>SUM(P29:P30)</f>
        <v>0.48957999999999996</v>
      </c>
      <c r="Q31" s="214">
        <f>ROUND(P31*P$8,2)</f>
        <v>31.33</v>
      </c>
    </row>
    <row r="32" spans="3:17" x14ac:dyDescent="0.25">
      <c r="C32" s="63" t="s">
        <v>180</v>
      </c>
      <c r="D32" s="225">
        <f>D25+D27+D31</f>
        <v>1.0636699999999999</v>
      </c>
      <c r="E32" s="226">
        <f>SUM(E25,E27,E31)</f>
        <v>68.069999999999993</v>
      </c>
      <c r="F32" s="227"/>
      <c r="G32" s="225">
        <f>G25+G27+G31</f>
        <v>1.03433</v>
      </c>
      <c r="H32" s="226">
        <f>SUM(H25,H27,H31)</f>
        <v>66.19</v>
      </c>
      <c r="J32" s="225">
        <f>J25+J27+J31</f>
        <v>1.1139299999999999</v>
      </c>
      <c r="K32" s="226">
        <f>SUM(K25,K27,K31)</f>
        <v>71.289999999999992</v>
      </c>
      <c r="L32" s="218"/>
      <c r="M32" s="364">
        <f>M25+M27+M31</f>
        <v>1.0635599999999998</v>
      </c>
      <c r="N32" s="366">
        <f>SUM(N25,N27,N31)</f>
        <v>68.06</v>
      </c>
      <c r="O32" s="218"/>
      <c r="P32" s="225">
        <f>P25+P27+P31</f>
        <v>1.0844799999999999</v>
      </c>
      <c r="Q32" s="226">
        <f>SUM(Q25,Q27,Q31)</f>
        <v>69.400000000000006</v>
      </c>
    </row>
    <row r="33" spans="2:17" x14ac:dyDescent="0.25">
      <c r="E33" s="214"/>
      <c r="H33" s="214"/>
      <c r="K33" s="214"/>
      <c r="L33" s="214"/>
      <c r="M33" s="353"/>
      <c r="N33" s="359"/>
      <c r="O33" s="214"/>
      <c r="Q33" s="214"/>
    </row>
    <row r="34" spans="2:17" x14ac:dyDescent="0.25">
      <c r="B34" s="63" t="s">
        <v>181</v>
      </c>
      <c r="D34" s="217"/>
      <c r="E34" s="214">
        <f>E12+E32</f>
        <v>80.569999999999993</v>
      </c>
      <c r="F34" s="219"/>
      <c r="G34" s="217"/>
      <c r="H34" s="214">
        <f>H12+H32</f>
        <v>78.69</v>
      </c>
      <c r="J34" s="217"/>
      <c r="K34" s="214">
        <f>K12+K32</f>
        <v>83.789999999999992</v>
      </c>
      <c r="L34" s="214"/>
      <c r="M34" s="362"/>
      <c r="N34" s="359">
        <f>N12+N32</f>
        <v>80.56</v>
      </c>
      <c r="O34" s="214"/>
      <c r="P34" s="217"/>
      <c r="Q34" s="214">
        <f>Q12+Q32</f>
        <v>81.900000000000006</v>
      </c>
    </row>
    <row r="35" spans="2:17" x14ac:dyDescent="0.25">
      <c r="B35" s="63" t="s">
        <v>182</v>
      </c>
      <c r="D35" s="217"/>
      <c r="E35" s="214"/>
      <c r="F35" s="219"/>
      <c r="G35" s="217"/>
      <c r="H35" s="214">
        <f>H34-$E34</f>
        <v>-1.8799999999999955</v>
      </c>
      <c r="J35" s="217"/>
      <c r="K35" s="214">
        <f>K34-$E34</f>
        <v>3.2199999999999989</v>
      </c>
      <c r="L35" s="214"/>
      <c r="M35" s="362"/>
      <c r="N35" s="359">
        <f>N34-$E34</f>
        <v>-9.9999999999909051E-3</v>
      </c>
      <c r="O35" s="214"/>
      <c r="P35" s="217"/>
      <c r="Q35" s="214">
        <f>Q34-$E34</f>
        <v>1.3300000000000125</v>
      </c>
    </row>
    <row r="36" spans="2:17" x14ac:dyDescent="0.25">
      <c r="B36" s="63" t="s">
        <v>183</v>
      </c>
      <c r="D36" s="142"/>
      <c r="E36" s="142"/>
      <c r="F36" s="228"/>
      <c r="G36" s="142"/>
      <c r="H36" s="86">
        <f>H35/$E34</f>
        <v>-2.3333747052252645E-2</v>
      </c>
      <c r="J36" s="142"/>
      <c r="K36" s="86">
        <f>K35/$E34</f>
        <v>3.9965247610773233E-2</v>
      </c>
      <c r="L36" s="86"/>
      <c r="M36" s="367"/>
      <c r="N36" s="339">
        <f>N35/$E34</f>
        <v>-1.2411567580974191E-4</v>
      </c>
      <c r="O36" s="86"/>
      <c r="P36" s="142"/>
      <c r="Q36" s="86">
        <f>Q35/$E34</f>
        <v>1.6507384882710842E-2</v>
      </c>
    </row>
    <row r="37" spans="2:17" x14ac:dyDescent="0.25">
      <c r="E37" s="214"/>
    </row>
    <row r="38" spans="2:17" ht="17.25" x14ac:dyDescent="0.25">
      <c r="B38" s="229" t="s">
        <v>278</v>
      </c>
    </row>
    <row r="39" spans="2:17" x14ac:dyDescent="0.25">
      <c r="C39" s="328" t="s">
        <v>388</v>
      </c>
    </row>
    <row r="41" spans="2:17" x14ac:dyDescent="0.25">
      <c r="C41" s="394" t="s">
        <v>401</v>
      </c>
      <c r="D41" s="375"/>
      <c r="E41" s="376">
        <v>80.569999999999993</v>
      </c>
      <c r="F41" s="377"/>
      <c r="G41" s="376"/>
      <c r="H41" s="376">
        <v>78.699999999999989</v>
      </c>
      <c r="I41" s="376"/>
      <c r="J41" s="376"/>
      <c r="K41" s="376">
        <v>83.78</v>
      </c>
      <c r="L41" s="376"/>
      <c r="M41" s="376"/>
      <c r="N41" s="376">
        <v>80.56</v>
      </c>
      <c r="O41" s="376"/>
      <c r="P41" s="376"/>
      <c r="Q41" s="376">
        <v>81.900000000000006</v>
      </c>
    </row>
    <row r="42" spans="2:17" x14ac:dyDescent="0.25">
      <c r="C42" s="394" t="s">
        <v>402</v>
      </c>
      <c r="D42" s="375"/>
      <c r="E42" s="378">
        <f>E34-E41</f>
        <v>0</v>
      </c>
      <c r="F42" s="379"/>
      <c r="G42" s="375"/>
      <c r="H42" s="378">
        <f>H34-H41</f>
        <v>-9.9999999999909051E-3</v>
      </c>
      <c r="I42" s="375"/>
      <c r="J42" s="375"/>
      <c r="K42" s="378">
        <f>K34-K41</f>
        <v>9.9999999999909051E-3</v>
      </c>
      <c r="L42" s="375"/>
      <c r="M42" s="375"/>
      <c r="N42" s="378">
        <f>N34-N41</f>
        <v>0</v>
      </c>
      <c r="O42" s="375"/>
      <c r="P42" s="375"/>
      <c r="Q42" s="378">
        <f>Q34-Q41</f>
        <v>0</v>
      </c>
    </row>
    <row r="43" spans="2:17" ht="14.25" customHeight="1" x14ac:dyDescent="0.25"/>
  </sheetData>
  <printOptions horizontalCentered="1"/>
  <pageMargins left="0.45" right="0.45" top="1" bottom="1" header="0.5" footer="0.5"/>
  <pageSetup scale="79" orientation="landscape" blackAndWhite="1" r:id="rId1"/>
  <headerFooter alignWithMargins="0"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zoomScale="90" zoomScaleNormal="90" workbookViewId="0">
      <selection activeCell="P35" sqref="P35"/>
    </sheetView>
  </sheetViews>
  <sheetFormatPr defaultColWidth="9.140625" defaultRowHeight="15" x14ac:dyDescent="0.25"/>
  <cols>
    <col min="1" max="1" width="2.140625" style="63" customWidth="1"/>
    <col min="2" max="2" width="2.42578125" style="63" customWidth="1"/>
    <col min="3" max="3" width="31.28515625" style="63" customWidth="1"/>
    <col min="4" max="5" width="11.7109375" style="63" customWidth="1"/>
    <col min="6" max="6" width="2.5703125" style="64" customWidth="1"/>
    <col min="7" max="8" width="11.7109375" style="63" customWidth="1"/>
    <col min="9" max="9" width="2.5703125" style="63" customWidth="1"/>
    <col min="10" max="11" width="11.7109375" style="63" customWidth="1"/>
    <col min="12" max="12" width="2.5703125" style="63" customWidth="1"/>
    <col min="13" max="14" width="11.7109375" style="63" customWidth="1"/>
    <col min="15" max="16384" width="9.140625" style="63"/>
  </cols>
  <sheetData>
    <row r="1" spans="2:14" x14ac:dyDescent="0.25">
      <c r="B1" s="260" t="s">
        <v>0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</row>
    <row r="2" spans="2:14" x14ac:dyDescent="0.25">
      <c r="B2" s="52" t="s">
        <v>195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pans="2:14" x14ac:dyDescent="0.25">
      <c r="B3" s="52" t="s">
        <v>333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2:14" x14ac:dyDescent="0.25">
      <c r="B4" s="257" t="s">
        <v>219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6" spans="2:14" x14ac:dyDescent="0.25">
      <c r="D6" s="212" t="s">
        <v>254</v>
      </c>
      <c r="E6" s="212"/>
      <c r="F6" s="24"/>
      <c r="G6" s="212" t="s">
        <v>239</v>
      </c>
      <c r="H6" s="212"/>
      <c r="J6" s="212" t="s">
        <v>240</v>
      </c>
      <c r="K6" s="212"/>
      <c r="L6" s="259"/>
      <c r="M6" s="212" t="s">
        <v>193</v>
      </c>
      <c r="N6" s="212"/>
    </row>
    <row r="7" spans="2:14" ht="17.25" x14ac:dyDescent="0.25">
      <c r="D7" s="92" t="s">
        <v>175</v>
      </c>
      <c r="E7" s="92" t="s">
        <v>176</v>
      </c>
      <c r="F7" s="60"/>
      <c r="G7" s="92" t="s">
        <v>22</v>
      </c>
      <c r="H7" s="92" t="s">
        <v>176</v>
      </c>
      <c r="J7" s="92" t="s">
        <v>22</v>
      </c>
      <c r="K7" s="92" t="s">
        <v>176</v>
      </c>
      <c r="L7" s="60"/>
      <c r="M7" s="92" t="s">
        <v>22</v>
      </c>
      <c r="N7" s="92" t="s">
        <v>176</v>
      </c>
    </row>
    <row r="8" spans="2:14" x14ac:dyDescent="0.25">
      <c r="B8" s="63" t="s">
        <v>177</v>
      </c>
      <c r="D8" s="213">
        <v>64</v>
      </c>
      <c r="E8" s="214"/>
      <c r="F8" s="215"/>
      <c r="G8" s="213">
        <v>64</v>
      </c>
      <c r="H8" s="214"/>
      <c r="J8" s="213">
        <v>64</v>
      </c>
      <c r="K8" s="214"/>
      <c r="L8" s="214"/>
      <c r="M8" s="213">
        <v>64</v>
      </c>
      <c r="N8" s="214"/>
    </row>
    <row r="9" spans="2:14" x14ac:dyDescent="0.25">
      <c r="D9" s="213"/>
      <c r="E9" s="214"/>
      <c r="F9" s="215"/>
      <c r="G9" s="213"/>
      <c r="H9" s="214"/>
      <c r="J9" s="213"/>
      <c r="K9" s="214"/>
      <c r="L9" s="214"/>
      <c r="M9" s="213"/>
      <c r="N9" s="214"/>
    </row>
    <row r="10" spans="2:14" x14ac:dyDescent="0.25">
      <c r="B10" s="63" t="s">
        <v>178</v>
      </c>
      <c r="D10" s="213"/>
      <c r="E10" s="214"/>
      <c r="F10" s="215"/>
      <c r="G10" s="213"/>
      <c r="H10" s="214"/>
      <c r="J10" s="213"/>
      <c r="K10" s="214"/>
      <c r="L10" s="214"/>
      <c r="M10" s="213"/>
      <c r="N10" s="214"/>
    </row>
    <row r="11" spans="2:14" x14ac:dyDescent="0.25">
      <c r="C11" s="63" t="s">
        <v>238</v>
      </c>
      <c r="D11" s="315"/>
      <c r="E11" s="214">
        <f>D11</f>
        <v>0</v>
      </c>
      <c r="F11" s="216"/>
      <c r="G11" s="217">
        <f>$D$11</f>
        <v>0</v>
      </c>
      <c r="H11" s="214">
        <f>G11</f>
        <v>0</v>
      </c>
      <c r="J11" s="217">
        <f>$D$11</f>
        <v>0</v>
      </c>
      <c r="K11" s="214">
        <f>J11</f>
        <v>0</v>
      </c>
      <c r="L11" s="214"/>
      <c r="M11" s="217">
        <f>$D$11</f>
        <v>0</v>
      </c>
      <c r="N11" s="214">
        <f>M11</f>
        <v>0</v>
      </c>
    </row>
    <row r="12" spans="2:14" x14ac:dyDescent="0.25">
      <c r="C12" s="63" t="s">
        <v>14</v>
      </c>
      <c r="D12" s="220">
        <f>SUM(D11:D11)</f>
        <v>0</v>
      </c>
      <c r="E12" s="220">
        <f>SUM(E11:E11)</f>
        <v>0</v>
      </c>
      <c r="F12" s="216"/>
      <c r="G12" s="220">
        <f>SUM(G11:G11)</f>
        <v>0</v>
      </c>
      <c r="H12" s="220">
        <f>SUM(H11:H11)</f>
        <v>0</v>
      </c>
      <c r="J12" s="220">
        <f>SUM(J11:J11)</f>
        <v>0</v>
      </c>
      <c r="K12" s="220">
        <f>SUM(K11:K11)</f>
        <v>0</v>
      </c>
      <c r="L12" s="219"/>
      <c r="M12" s="220">
        <f>SUM(M11:M11)</f>
        <v>0</v>
      </c>
      <c r="N12" s="220">
        <f>SUM(N11:N11)</f>
        <v>0</v>
      </c>
    </row>
    <row r="13" spans="2:14" x14ac:dyDescent="0.25">
      <c r="D13" s="221"/>
      <c r="E13" s="214"/>
      <c r="F13" s="216"/>
      <c r="G13" s="217"/>
      <c r="H13" s="214"/>
      <c r="J13" s="217"/>
      <c r="K13" s="214"/>
      <c r="L13" s="214"/>
      <c r="M13" s="217"/>
      <c r="N13" s="214"/>
    </row>
    <row r="14" spans="2:14" x14ac:dyDescent="0.25">
      <c r="B14" s="63" t="s">
        <v>179</v>
      </c>
      <c r="E14" s="214"/>
      <c r="H14" s="214"/>
      <c r="K14" s="214"/>
      <c r="L14" s="214"/>
      <c r="N14" s="214"/>
    </row>
    <row r="15" spans="2:14" x14ac:dyDescent="0.25">
      <c r="C15" s="63" t="s">
        <v>226</v>
      </c>
      <c r="D15" s="132"/>
      <c r="E15" s="214"/>
      <c r="F15" s="222"/>
      <c r="G15" s="223">
        <f>$D$15</f>
        <v>0</v>
      </c>
      <c r="H15" s="214"/>
      <c r="J15" s="223">
        <f>$D$15</f>
        <v>0</v>
      </c>
      <c r="K15" s="214"/>
      <c r="L15" s="214"/>
      <c r="M15" s="223">
        <f>$D$15</f>
        <v>0</v>
      </c>
      <c r="N15" s="214"/>
    </row>
    <row r="16" spans="2:14" x14ac:dyDescent="0.25">
      <c r="C16" s="63" t="s">
        <v>227</v>
      </c>
      <c r="D16" s="132"/>
      <c r="E16" s="214"/>
      <c r="F16" s="222"/>
      <c r="G16" s="223">
        <f>$D$16</f>
        <v>0</v>
      </c>
      <c r="H16" s="214"/>
      <c r="J16" s="223">
        <f>$D$16</f>
        <v>0</v>
      </c>
      <c r="K16" s="214"/>
      <c r="L16" s="214"/>
      <c r="M16" s="223">
        <f>$D$16</f>
        <v>0</v>
      </c>
      <c r="N16" s="214"/>
    </row>
    <row r="17" spans="3:14" x14ac:dyDescent="0.25">
      <c r="C17" s="63" t="s">
        <v>228</v>
      </c>
      <c r="D17" s="132"/>
      <c r="E17" s="214"/>
      <c r="F17" s="222"/>
      <c r="G17" s="84">
        <f>$D$17</f>
        <v>0</v>
      </c>
      <c r="H17" s="214"/>
      <c r="J17" s="84">
        <f>$D$17</f>
        <v>0</v>
      </c>
      <c r="K17" s="214"/>
      <c r="L17" s="214"/>
      <c r="M17" s="84">
        <f>$D$17</f>
        <v>0</v>
      </c>
      <c r="N17" s="214"/>
    </row>
    <row r="18" spans="3:14" x14ac:dyDescent="0.25">
      <c r="C18" s="63" t="s">
        <v>229</v>
      </c>
      <c r="D18" s="132"/>
      <c r="E18" s="214"/>
      <c r="F18" s="222"/>
      <c r="G18" s="132">
        <f>'Sch. 141N_2025'!$E$9</f>
        <v>0</v>
      </c>
      <c r="H18" s="214"/>
      <c r="J18" s="223">
        <f>$D$18</f>
        <v>0</v>
      </c>
      <c r="K18" s="214"/>
      <c r="L18" s="214"/>
      <c r="M18" s="132">
        <f>'Sch. 141N_2025'!$E$9</f>
        <v>0</v>
      </c>
      <c r="N18" s="214"/>
    </row>
    <row r="19" spans="3:14" x14ac:dyDescent="0.25">
      <c r="C19" s="63" t="s">
        <v>230</v>
      </c>
      <c r="D19" s="132"/>
      <c r="E19" s="214"/>
      <c r="F19" s="222"/>
      <c r="G19" s="223">
        <f>$D$19</f>
        <v>0</v>
      </c>
      <c r="H19" s="214"/>
      <c r="J19" s="132">
        <f>'Sch. 141R_2025'!$E$9</f>
        <v>0</v>
      </c>
      <c r="K19" s="214"/>
      <c r="L19" s="214"/>
      <c r="M19" s="132">
        <f>'Sch. 141R_2025'!$E$9</f>
        <v>0</v>
      </c>
      <c r="N19" s="214"/>
    </row>
    <row r="20" spans="3:14" x14ac:dyDescent="0.25">
      <c r="C20" s="63" t="s">
        <v>231</v>
      </c>
      <c r="D20" s="132"/>
      <c r="E20" s="214"/>
      <c r="F20" s="222"/>
      <c r="G20" s="84">
        <f>$D$20</f>
        <v>0</v>
      </c>
      <c r="H20" s="214"/>
      <c r="J20" s="84">
        <f>$D$20</f>
        <v>0</v>
      </c>
      <c r="K20" s="214"/>
      <c r="L20" s="214"/>
      <c r="M20" s="84">
        <f>$D$20</f>
        <v>0</v>
      </c>
      <c r="N20" s="214"/>
    </row>
    <row r="21" spans="3:14" x14ac:dyDescent="0.25">
      <c r="C21" s="63" t="s">
        <v>232</v>
      </c>
      <c r="D21" s="132"/>
      <c r="E21" s="214"/>
      <c r="F21" s="222"/>
      <c r="G21" s="84">
        <f>$D$21</f>
        <v>0</v>
      </c>
      <c r="H21" s="214"/>
      <c r="J21" s="84">
        <f>$D$21</f>
        <v>0</v>
      </c>
      <c r="K21" s="214"/>
      <c r="L21" s="214"/>
      <c r="M21" s="84">
        <f>$D$21</f>
        <v>0</v>
      </c>
      <c r="N21" s="214"/>
    </row>
    <row r="22" spans="3:14" x14ac:dyDescent="0.25">
      <c r="C22" s="63" t="s">
        <v>233</v>
      </c>
      <c r="D22" s="132"/>
      <c r="E22" s="214"/>
      <c r="F22" s="222"/>
      <c r="G22" s="84">
        <f>$D$22</f>
        <v>0</v>
      </c>
      <c r="H22" s="214"/>
      <c r="J22" s="84">
        <f>$D$22</f>
        <v>0</v>
      </c>
      <c r="K22" s="214"/>
      <c r="L22" s="214"/>
      <c r="M22" s="84">
        <f>$D$22</f>
        <v>0</v>
      </c>
      <c r="N22" s="214"/>
    </row>
    <row r="23" spans="3:14" x14ac:dyDescent="0.25">
      <c r="C23" s="63" t="s">
        <v>234</v>
      </c>
      <c r="D23" s="132"/>
      <c r="E23" s="214"/>
      <c r="F23" s="222"/>
      <c r="G23" s="84">
        <f>$D$23</f>
        <v>0</v>
      </c>
      <c r="H23" s="214"/>
      <c r="J23" s="84">
        <f>$D$23</f>
        <v>0</v>
      </c>
      <c r="K23" s="214"/>
      <c r="L23" s="214"/>
      <c r="M23" s="84">
        <f>$D$23</f>
        <v>0</v>
      </c>
      <c r="N23" s="214"/>
    </row>
    <row r="24" spans="3:14" x14ac:dyDescent="0.25">
      <c r="C24" s="63" t="s">
        <v>14</v>
      </c>
      <c r="D24" s="225">
        <f>SUM(D15:D23)</f>
        <v>0</v>
      </c>
      <c r="E24" s="214">
        <f>ROUND(D24*D$8,2)</f>
        <v>0</v>
      </c>
      <c r="F24" s="222"/>
      <c r="G24" s="225">
        <f>SUM(G15:G23)</f>
        <v>0</v>
      </c>
      <c r="H24" s="214">
        <f>ROUND(G24*G$8,2)</f>
        <v>0</v>
      </c>
      <c r="J24" s="225">
        <f>SUM(J15:J23)</f>
        <v>0</v>
      </c>
      <c r="K24" s="214">
        <f>ROUND(J24*J$8,2)</f>
        <v>0</v>
      </c>
      <c r="L24" s="214"/>
      <c r="M24" s="225">
        <f>SUM(M15:M23)</f>
        <v>0</v>
      </c>
      <c r="N24" s="214">
        <f>ROUND(M24*M$8,2)</f>
        <v>0</v>
      </c>
    </row>
    <row r="25" spans="3:14" x14ac:dyDescent="0.25">
      <c r="N25" s="214"/>
    </row>
    <row r="26" spans="3:14" x14ac:dyDescent="0.25">
      <c r="C26" s="63" t="s">
        <v>235</v>
      </c>
      <c r="D26" s="132"/>
      <c r="E26" s="214">
        <f>ROUND(D26*D$8,2)</f>
        <v>0</v>
      </c>
      <c r="F26" s="222"/>
      <c r="G26" s="231">
        <f>$D$26</f>
        <v>0</v>
      </c>
      <c r="H26" s="214">
        <f>ROUND(G26*G$8,2)</f>
        <v>0</v>
      </c>
      <c r="J26" s="231">
        <f>$D$26</f>
        <v>0</v>
      </c>
      <c r="K26" s="214">
        <f>ROUND(J26*J$8,2)</f>
        <v>0</v>
      </c>
      <c r="L26" s="214"/>
      <c r="M26" s="231">
        <f>$D$26</f>
        <v>0</v>
      </c>
      <c r="N26" s="214">
        <f>ROUND(M26*M$8,2)</f>
        <v>0</v>
      </c>
    </row>
    <row r="27" spans="3:14" x14ac:dyDescent="0.25">
      <c r="D27" s="223"/>
      <c r="E27" s="214"/>
      <c r="F27" s="222"/>
      <c r="G27" s="223"/>
      <c r="H27" s="214"/>
      <c r="J27" s="223"/>
      <c r="K27" s="214"/>
      <c r="L27" s="214"/>
      <c r="M27" s="223"/>
      <c r="N27" s="214"/>
    </row>
    <row r="28" spans="3:14" x14ac:dyDescent="0.25">
      <c r="C28" s="63" t="s">
        <v>236</v>
      </c>
      <c r="D28" s="132"/>
      <c r="E28" s="214"/>
      <c r="F28" s="222"/>
      <c r="G28" s="223">
        <f>$D$28</f>
        <v>0</v>
      </c>
      <c r="H28" s="214"/>
      <c r="J28" s="223">
        <f>$D$28</f>
        <v>0</v>
      </c>
      <c r="K28" s="214"/>
      <c r="L28" s="214"/>
      <c r="M28" s="84">
        <f>$D$28</f>
        <v>0</v>
      </c>
      <c r="N28" s="214"/>
    </row>
    <row r="29" spans="3:14" x14ac:dyDescent="0.25">
      <c r="C29" s="63" t="s">
        <v>237</v>
      </c>
      <c r="D29" s="132"/>
      <c r="E29" s="214"/>
      <c r="F29" s="222"/>
      <c r="G29" s="84">
        <f>$D$29</f>
        <v>0</v>
      </c>
      <c r="H29" s="214"/>
      <c r="J29" s="84">
        <f>$D$29</f>
        <v>0</v>
      </c>
      <c r="K29" s="214"/>
      <c r="L29" s="214"/>
      <c r="M29" s="84">
        <f>$D$29</f>
        <v>0</v>
      </c>
      <c r="N29" s="214"/>
    </row>
    <row r="30" spans="3:14" x14ac:dyDescent="0.25">
      <c r="C30" s="63" t="s">
        <v>14</v>
      </c>
      <c r="D30" s="225">
        <f>SUM(D28:D29)</f>
        <v>0</v>
      </c>
      <c r="E30" s="214">
        <f>ROUND(D30*D$8,2)</f>
        <v>0</v>
      </c>
      <c r="F30" s="222"/>
      <c r="G30" s="225">
        <f>SUM(G28:G29)</f>
        <v>0</v>
      </c>
      <c r="H30" s="214">
        <f>ROUND(G30*G$8,2)</f>
        <v>0</v>
      </c>
      <c r="J30" s="225">
        <f>SUM(J28:J29)</f>
        <v>0</v>
      </c>
      <c r="K30" s="214">
        <f>ROUND(J30*J$8,2)</f>
        <v>0</v>
      </c>
      <c r="L30" s="214"/>
      <c r="M30" s="225">
        <f>SUM(M28:M29)</f>
        <v>0</v>
      </c>
      <c r="N30" s="214">
        <f>ROUND(M30*M$8,2)</f>
        <v>0</v>
      </c>
    </row>
    <row r="31" spans="3:14" x14ac:dyDescent="0.25">
      <c r="C31" s="63" t="s">
        <v>180</v>
      </c>
      <c r="D31" s="225">
        <f>D24+D26+D30</f>
        <v>0</v>
      </c>
      <c r="E31" s="226">
        <f>SUM(E24,E26,E30)</f>
        <v>0</v>
      </c>
      <c r="F31" s="227"/>
      <c r="G31" s="225">
        <f>G24+G26+G30</f>
        <v>0</v>
      </c>
      <c r="H31" s="226">
        <f>SUM(H24,H26,H30)</f>
        <v>0</v>
      </c>
      <c r="J31" s="225">
        <f>J24+J26+J30</f>
        <v>0</v>
      </c>
      <c r="K31" s="226">
        <f>SUM(K24,K26,K30)</f>
        <v>0</v>
      </c>
      <c r="L31" s="218"/>
      <c r="M31" s="225">
        <f>M24+M26+M30</f>
        <v>0</v>
      </c>
      <c r="N31" s="226">
        <f>SUM(N24,N26,N30)</f>
        <v>0</v>
      </c>
    </row>
    <row r="32" spans="3:14" x14ac:dyDescent="0.25">
      <c r="E32" s="214"/>
      <c r="H32" s="214"/>
      <c r="K32" s="214"/>
      <c r="L32" s="214"/>
      <c r="N32" s="214"/>
    </row>
    <row r="33" spans="2:14" x14ac:dyDescent="0.25">
      <c r="B33" s="63" t="s">
        <v>181</v>
      </c>
      <c r="D33" s="217"/>
      <c r="E33" s="214">
        <f>E12+E31</f>
        <v>0</v>
      </c>
      <c r="F33" s="219"/>
      <c r="G33" s="217"/>
      <c r="H33" s="214">
        <f>H12+H31</f>
        <v>0</v>
      </c>
      <c r="J33" s="217"/>
      <c r="K33" s="214">
        <f>K12+K31</f>
        <v>0</v>
      </c>
      <c r="L33" s="214"/>
      <c r="M33" s="217"/>
      <c r="N33" s="214">
        <f>N12+N31</f>
        <v>0</v>
      </c>
    </row>
    <row r="34" spans="2:14" x14ac:dyDescent="0.25">
      <c r="B34" s="63" t="s">
        <v>182</v>
      </c>
      <c r="D34" s="217"/>
      <c r="E34" s="214"/>
      <c r="F34" s="219"/>
      <c r="G34" s="217"/>
      <c r="H34" s="214">
        <f>H33-$E33</f>
        <v>0</v>
      </c>
      <c r="J34" s="217"/>
      <c r="K34" s="214">
        <f>K33-$E33</f>
        <v>0</v>
      </c>
      <c r="L34" s="214"/>
      <c r="M34" s="217"/>
      <c r="N34" s="214">
        <f>N33-$E33</f>
        <v>0</v>
      </c>
    </row>
    <row r="35" spans="2:14" x14ac:dyDescent="0.25">
      <c r="B35" s="63" t="s">
        <v>183</v>
      </c>
      <c r="D35" s="142"/>
      <c r="E35" s="142"/>
      <c r="F35" s="228"/>
      <c r="G35" s="142"/>
      <c r="H35" s="86" t="e">
        <f>H34/$E33</f>
        <v>#DIV/0!</v>
      </c>
      <c r="J35" s="142"/>
      <c r="K35" s="86" t="e">
        <f>K34/$E33</f>
        <v>#DIV/0!</v>
      </c>
      <c r="L35" s="86"/>
      <c r="M35" s="142"/>
      <c r="N35" s="86" t="e">
        <f>N34/$E33</f>
        <v>#DIV/0!</v>
      </c>
    </row>
    <row r="36" spans="2:14" x14ac:dyDescent="0.25">
      <c r="E36" s="214"/>
    </row>
    <row r="37" spans="2:14" ht="17.25" x14ac:dyDescent="0.25">
      <c r="B37" s="229" t="s">
        <v>279</v>
      </c>
    </row>
    <row r="42" spans="2:14" ht="14.25" customHeight="1" x14ac:dyDescent="0.25"/>
  </sheetData>
  <printOptions horizontalCentered="1"/>
  <pageMargins left="0.45" right="0.45" top="1" bottom="1" header="0.5" footer="0.5"/>
  <pageSetup scale="86" orientation="landscape" blackAndWhite="1" r:id="rId1"/>
  <headerFooter alignWithMargins="0">
    <oddFooter>&amp;R&amp;A
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R27" sqref="R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zoomScale="90" zoomScaleNormal="90" workbookViewId="0">
      <selection activeCell="I15" sqref="I15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2:14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4" x14ac:dyDescent="0.25">
      <c r="B2" s="52" t="s">
        <v>195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4" x14ac:dyDescent="0.25">
      <c r="B3" s="257" t="s">
        <v>221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2:14" x14ac:dyDescent="0.25">
      <c r="B4" s="257" t="s">
        <v>204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2:14" x14ac:dyDescent="0.25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</row>
    <row r="6" spans="2:14" x14ac:dyDescent="0.25">
      <c r="D6" s="380" t="s">
        <v>161</v>
      </c>
      <c r="E6" s="380"/>
      <c r="F6" s="380"/>
      <c r="G6" s="233"/>
      <c r="H6" s="380" t="s">
        <v>131</v>
      </c>
      <c r="I6" s="380"/>
      <c r="J6" s="380"/>
    </row>
    <row r="7" spans="2:14" x14ac:dyDescent="0.25">
      <c r="B7" s="4"/>
      <c r="C7" s="4"/>
      <c r="D7" s="4" t="s">
        <v>15</v>
      </c>
      <c r="E7" s="107" t="s">
        <v>15</v>
      </c>
      <c r="F7" s="4"/>
      <c r="G7" s="4"/>
      <c r="H7" s="4" t="s">
        <v>15</v>
      </c>
      <c r="I7" s="107" t="s">
        <v>15</v>
      </c>
      <c r="J7" s="4"/>
      <c r="K7" s="4"/>
      <c r="L7" s="4"/>
    </row>
    <row r="8" spans="2:14" x14ac:dyDescent="0.25">
      <c r="B8" s="4"/>
      <c r="C8" s="4" t="s">
        <v>17</v>
      </c>
      <c r="D8" s="4" t="s">
        <v>3</v>
      </c>
      <c r="E8" s="4" t="s">
        <v>2</v>
      </c>
      <c r="F8" s="4" t="s">
        <v>162</v>
      </c>
      <c r="G8" s="4"/>
      <c r="H8" s="4" t="s">
        <v>3</v>
      </c>
      <c r="I8" s="4" t="s">
        <v>2</v>
      </c>
      <c r="J8" s="4" t="s">
        <v>162</v>
      </c>
      <c r="K8" s="4"/>
      <c r="L8" s="4" t="s">
        <v>6</v>
      </c>
    </row>
    <row r="9" spans="2:14" x14ac:dyDescent="0.25">
      <c r="B9" s="234" t="s">
        <v>4</v>
      </c>
      <c r="C9" s="234" t="s">
        <v>21</v>
      </c>
      <c r="D9" s="93" t="s">
        <v>212</v>
      </c>
      <c r="E9" s="106" t="str">
        <f>D9</f>
        <v>12ME Dec. 2023</v>
      </c>
      <c r="F9" s="234" t="s">
        <v>163</v>
      </c>
      <c r="G9" s="4"/>
      <c r="H9" s="106" t="str">
        <f>D9</f>
        <v>12ME Dec. 2023</v>
      </c>
      <c r="I9" s="106" t="str">
        <f>D9</f>
        <v>12ME Dec. 2023</v>
      </c>
      <c r="J9" s="234" t="s">
        <v>163</v>
      </c>
      <c r="K9" s="4"/>
      <c r="L9" s="234" t="s">
        <v>164</v>
      </c>
      <c r="N9" s="190" t="s">
        <v>76</v>
      </c>
    </row>
    <row r="10" spans="2:14" x14ac:dyDescent="0.25">
      <c r="B10" s="4" t="s">
        <v>25</v>
      </c>
      <c r="C10" s="4" t="s">
        <v>26</v>
      </c>
      <c r="D10" s="4" t="s">
        <v>27</v>
      </c>
      <c r="E10" s="4" t="s">
        <v>28</v>
      </c>
      <c r="F10" s="94" t="s">
        <v>165</v>
      </c>
      <c r="G10" s="4"/>
      <c r="H10" s="4" t="s">
        <v>132</v>
      </c>
      <c r="I10" s="4" t="s">
        <v>133</v>
      </c>
      <c r="J10" s="94" t="s">
        <v>166</v>
      </c>
      <c r="K10" s="94"/>
      <c r="L10" s="5" t="s">
        <v>167</v>
      </c>
    </row>
    <row r="11" spans="2:14" x14ac:dyDescent="0.25">
      <c r="B11" t="s">
        <v>7</v>
      </c>
      <c r="C11" s="6" t="s">
        <v>30</v>
      </c>
      <c r="D11" s="191">
        <f>'Revenue by Sch_RY#1'!D11</f>
        <v>636369361</v>
      </c>
      <c r="E11" s="192">
        <f>'Revenue by Sch_RY#1'!O11</f>
        <v>754207139.20534039</v>
      </c>
      <c r="F11" s="193">
        <f>E11/D11</f>
        <v>1.1851719856848049</v>
      </c>
      <c r="G11" s="7"/>
      <c r="H11" s="258">
        <f>D11</f>
        <v>636369361</v>
      </c>
      <c r="I11" s="192">
        <f>'Rate Impacts_RY#1'!AA12</f>
        <v>800972560.71676993</v>
      </c>
      <c r="J11" s="193">
        <f>I11/H11</f>
        <v>1.2586598441164893</v>
      </c>
      <c r="K11" s="194"/>
      <c r="L11" s="81">
        <f>(I11-E11)/E11</f>
        <v>6.2006071118211992E-2</v>
      </c>
      <c r="N11" s="195">
        <f>L11-'Rate Impacts_RY#1'!AC12</f>
        <v>0</v>
      </c>
    </row>
    <row r="12" spans="2:14" x14ac:dyDescent="0.25">
      <c r="B12" t="s">
        <v>31</v>
      </c>
      <c r="C12" s="6">
        <v>16</v>
      </c>
      <c r="D12" s="191">
        <f>'Revenue by Sch_RY#1'!D12</f>
        <v>8832</v>
      </c>
      <c r="E12" s="192">
        <f>'Revenue by Sch_RY#1'!O12</f>
        <v>10346.180891708256</v>
      </c>
      <c r="F12" s="193">
        <f t="shared" ref="F12:F23" si="0">E12/D12</f>
        <v>1.1714425828474022</v>
      </c>
      <c r="G12" s="7"/>
      <c r="H12" s="258">
        <f t="shared" ref="H12:H23" si="1">D12</f>
        <v>8832</v>
      </c>
      <c r="I12" s="192">
        <f>'Rate Impacts_RY#1'!AA13</f>
        <v>10777.839279999998</v>
      </c>
      <c r="J12" s="193">
        <f t="shared" ref="J12:J23" si="2">I12/H12</f>
        <v>1.2203169474637678</v>
      </c>
      <c r="K12" s="194"/>
      <c r="L12" s="81">
        <f t="shared" ref="L12:L23" si="3">(I12-E12)/E12</f>
        <v>4.1721519545215593E-2</v>
      </c>
      <c r="N12" s="195">
        <f>L12-'Rate Impacts_RY#1'!AC13</f>
        <v>0</v>
      </c>
    </row>
    <row r="13" spans="2:14" x14ac:dyDescent="0.25">
      <c r="B13" t="s">
        <v>8</v>
      </c>
      <c r="C13" s="6">
        <v>31</v>
      </c>
      <c r="D13" s="191">
        <f>'Revenue by Sch_RY#1'!D13</f>
        <v>243192248</v>
      </c>
      <c r="E13" s="192">
        <f>'Revenue by Sch_RY#1'!O13</f>
        <v>263664735.84557974</v>
      </c>
      <c r="F13" s="193">
        <f t="shared" si="0"/>
        <v>1.0841823208344197</v>
      </c>
      <c r="G13" s="7"/>
      <c r="H13" s="258">
        <f t="shared" si="1"/>
        <v>243192248</v>
      </c>
      <c r="I13" s="192">
        <f>'Rate Impacts_RY#1'!AA14</f>
        <v>279536696.79624009</v>
      </c>
      <c r="J13" s="193">
        <f t="shared" si="2"/>
        <v>1.1494473984887876</v>
      </c>
      <c r="K13" s="194"/>
      <c r="L13" s="81">
        <f t="shared" si="3"/>
        <v>6.0197511433444262E-2</v>
      </c>
      <c r="N13" s="195">
        <f>L13-'Rate Impacts_RY#1'!AC14</f>
        <v>0</v>
      </c>
    </row>
    <row r="14" spans="2:14" x14ac:dyDescent="0.25">
      <c r="B14" t="s">
        <v>9</v>
      </c>
      <c r="C14" s="6">
        <v>41</v>
      </c>
      <c r="D14" s="191">
        <f>'Revenue by Sch_RY#1'!D14</f>
        <v>66922885</v>
      </c>
      <c r="E14" s="192">
        <f>'Revenue by Sch_RY#1'!O14</f>
        <v>48031953.478729695</v>
      </c>
      <c r="F14" s="193">
        <f t="shared" si="0"/>
        <v>0.7177209033760229</v>
      </c>
      <c r="G14" s="7"/>
      <c r="H14" s="258">
        <f t="shared" si="1"/>
        <v>66922885</v>
      </c>
      <c r="I14" s="192">
        <f>'Rate Impacts_RY#1'!AA15</f>
        <v>50434906.069650002</v>
      </c>
      <c r="J14" s="193">
        <f t="shared" si="2"/>
        <v>0.75362719448885085</v>
      </c>
      <c r="K14" s="194"/>
      <c r="L14" s="81">
        <f t="shared" si="3"/>
        <v>5.002820865873011E-2</v>
      </c>
      <c r="N14" s="195">
        <f>L14-'Rate Impacts_RY#1'!AC15</f>
        <v>0</v>
      </c>
    </row>
    <row r="15" spans="2:14" x14ac:dyDescent="0.25">
      <c r="B15" t="s">
        <v>10</v>
      </c>
      <c r="C15" s="6">
        <v>85</v>
      </c>
      <c r="D15" s="191">
        <f>'Revenue by Sch_RY#1'!D15</f>
        <v>11124640</v>
      </c>
      <c r="E15" s="192">
        <f>'Revenue by Sch_RY#1'!O15</f>
        <v>6262366.3661821345</v>
      </c>
      <c r="F15" s="193">
        <f t="shared" si="0"/>
        <v>0.56292755236862801</v>
      </c>
      <c r="G15" s="7"/>
      <c r="H15" s="258">
        <f t="shared" si="1"/>
        <v>11124640</v>
      </c>
      <c r="I15" s="192">
        <f>'Rate Impacts_RY#1'!AA16</f>
        <v>6564502.0640471196</v>
      </c>
      <c r="J15" s="193">
        <f t="shared" si="2"/>
        <v>0.59008669620294407</v>
      </c>
      <c r="K15" s="194"/>
      <c r="L15" s="81">
        <f t="shared" si="3"/>
        <v>4.8246250729847159E-2</v>
      </c>
      <c r="N15" s="195">
        <f>L15-'Rate Impacts_RY#1'!AC16</f>
        <v>0</v>
      </c>
    </row>
    <row r="16" spans="2:14" x14ac:dyDescent="0.25">
      <c r="B16" t="s">
        <v>11</v>
      </c>
      <c r="C16" s="6">
        <v>86</v>
      </c>
      <c r="D16" s="191">
        <f>'Revenue by Sch_RY#1'!D16</f>
        <v>5691490</v>
      </c>
      <c r="E16" s="192">
        <f>'Revenue by Sch_RY#1'!O16</f>
        <v>3697688.1502850014</v>
      </c>
      <c r="F16" s="193">
        <f t="shared" si="0"/>
        <v>0.64968719092627791</v>
      </c>
      <c r="G16" s="7"/>
      <c r="H16" s="258">
        <f t="shared" si="1"/>
        <v>5691490</v>
      </c>
      <c r="I16" s="192">
        <f>'Rate Impacts_RY#1'!AA17</f>
        <v>3753152.9061548822</v>
      </c>
      <c r="J16" s="193">
        <f>I16/H16</f>
        <v>0.65943239927591579</v>
      </c>
      <c r="K16" s="194"/>
      <c r="L16" s="81">
        <f t="shared" si="3"/>
        <v>1.4999846827430758E-2</v>
      </c>
      <c r="N16" s="195">
        <f>L16-'Rate Impacts_RY#1'!AC17</f>
        <v>0</v>
      </c>
    </row>
    <row r="17" spans="2:14" x14ac:dyDescent="0.25">
      <c r="B17" t="s">
        <v>12</v>
      </c>
      <c r="C17" s="6">
        <v>87</v>
      </c>
      <c r="D17" s="191">
        <f>'Revenue by Sch_RY#1'!D17</f>
        <v>21819455.762355205</v>
      </c>
      <c r="E17" s="192">
        <f>'Revenue by Sch_RY#1'!O17</f>
        <v>11062369.983882254</v>
      </c>
      <c r="F17" s="193">
        <f t="shared" si="0"/>
        <v>0.50699568790198712</v>
      </c>
      <c r="G17" s="7"/>
      <c r="H17" s="258">
        <f t="shared" si="1"/>
        <v>21819455.762355205</v>
      </c>
      <c r="I17" s="192">
        <f>'Rate Impacts_RY#1'!AA18</f>
        <v>11309317.372549269</v>
      </c>
      <c r="J17" s="193">
        <f t="shared" si="2"/>
        <v>0.51831344904858134</v>
      </c>
      <c r="K17" s="194"/>
      <c r="L17" s="81">
        <f t="shared" si="3"/>
        <v>2.2323190150647182E-2</v>
      </c>
      <c r="N17" s="195">
        <f>L17-'Rate Impacts_RY#1'!AC18</f>
        <v>0</v>
      </c>
    </row>
    <row r="18" spans="2:14" x14ac:dyDescent="0.25">
      <c r="B18" t="s">
        <v>32</v>
      </c>
      <c r="C18" s="6" t="s">
        <v>33</v>
      </c>
      <c r="D18" s="191">
        <f>'Revenue by Sch_RY#1'!D18</f>
        <v>34397</v>
      </c>
      <c r="E18" s="192">
        <f>'Revenue by Sch_RY#1'!O18</f>
        <v>25227.026823518318</v>
      </c>
      <c r="F18" s="193">
        <f t="shared" si="0"/>
        <v>0.73340776298858379</v>
      </c>
      <c r="G18" s="7"/>
      <c r="H18" s="258">
        <f t="shared" si="1"/>
        <v>34397</v>
      </c>
      <c r="I18" s="192">
        <f>'Rate Impacts_RY#1'!AA19</f>
        <v>26449.002720000004</v>
      </c>
      <c r="J18" s="193">
        <f t="shared" si="2"/>
        <v>0.76893341628630418</v>
      </c>
      <c r="K18" s="194"/>
      <c r="L18" s="81">
        <f t="shared" si="3"/>
        <v>4.8439156347290166E-2</v>
      </c>
      <c r="N18" s="195">
        <f>L18-'Rate Impacts_RY#1'!AC19</f>
        <v>0</v>
      </c>
    </row>
    <row r="19" spans="2:14" x14ac:dyDescent="0.25">
      <c r="B19" t="s">
        <v>34</v>
      </c>
      <c r="C19" t="s">
        <v>35</v>
      </c>
      <c r="D19" s="191">
        <f>'Revenue by Sch_RY#1'!D19</f>
        <v>25464521</v>
      </c>
      <c r="E19" s="192">
        <f>'Revenue by Sch_RY#1'!O19</f>
        <v>4847808.8298120676</v>
      </c>
      <c r="F19" s="193">
        <f t="shared" si="0"/>
        <v>0.1903750253072527</v>
      </c>
      <c r="G19" s="7"/>
      <c r="H19" s="258">
        <f t="shared" si="1"/>
        <v>25464521</v>
      </c>
      <c r="I19" s="192">
        <f>'Rate Impacts_RY#1'!AA20</f>
        <v>5426004.6692399988</v>
      </c>
      <c r="J19" s="193">
        <f t="shared" si="2"/>
        <v>0.21308096348012981</v>
      </c>
      <c r="K19" s="194"/>
      <c r="L19" s="81">
        <f t="shared" si="3"/>
        <v>0.11926952149438323</v>
      </c>
      <c r="N19" s="195">
        <f>L19-'Rate Impacts_RY#1'!AC20</f>
        <v>0</v>
      </c>
    </row>
    <row r="20" spans="2:14" x14ac:dyDescent="0.25">
      <c r="B20" t="s">
        <v>36</v>
      </c>
      <c r="C20" t="s">
        <v>37</v>
      </c>
      <c r="D20" s="191">
        <f>'Revenue by Sch_RY#1'!D20</f>
        <v>62787518</v>
      </c>
      <c r="E20" s="192">
        <f>'Revenue by Sch_RY#1'!O20</f>
        <v>6975820.2195017952</v>
      </c>
      <c r="F20" s="193">
        <f t="shared" si="0"/>
        <v>0.11110202221246897</v>
      </c>
      <c r="G20" s="7"/>
      <c r="H20" s="258">
        <f t="shared" si="1"/>
        <v>62787518</v>
      </c>
      <c r="I20" s="192">
        <f>'Rate Impacts_RY#1'!AA21</f>
        <v>7944097.710004732</v>
      </c>
      <c r="J20" s="193">
        <f t="shared" si="2"/>
        <v>0.12652351873512077</v>
      </c>
      <c r="K20" s="194"/>
      <c r="L20" s="81">
        <f t="shared" si="3"/>
        <v>0.13880482295056767</v>
      </c>
      <c r="N20" s="195">
        <f>L20-'Rate Impacts_RY#1'!AC21</f>
        <v>0</v>
      </c>
    </row>
    <row r="21" spans="2:14" x14ac:dyDescent="0.25">
      <c r="B21" t="s">
        <v>38</v>
      </c>
      <c r="C21" t="s">
        <v>39</v>
      </c>
      <c r="D21" s="191">
        <f>'Revenue by Sch_RY#1'!D21</f>
        <v>542409</v>
      </c>
      <c r="E21" s="192">
        <f>'Revenue by Sch_RY#1'!O21</f>
        <v>140883.25711508218</v>
      </c>
      <c r="F21" s="193">
        <f t="shared" si="0"/>
        <v>0.2597362084977981</v>
      </c>
      <c r="G21" s="7"/>
      <c r="H21" s="258">
        <f t="shared" si="1"/>
        <v>542409</v>
      </c>
      <c r="I21" s="192">
        <f>'Rate Impacts_RY#1'!AA22</f>
        <v>149901.84332911271</v>
      </c>
      <c r="J21" s="193">
        <f t="shared" si="2"/>
        <v>0.27636311958155696</v>
      </c>
      <c r="K21" s="194"/>
      <c r="L21" s="81">
        <f t="shared" si="3"/>
        <v>6.401460612642991E-2</v>
      </c>
      <c r="N21" s="195">
        <f>L21-'Rate Impacts_RY#1'!AC22</f>
        <v>0</v>
      </c>
    </row>
    <row r="22" spans="2:14" x14ac:dyDescent="0.25">
      <c r="B22" t="s">
        <v>40</v>
      </c>
      <c r="C22" t="s">
        <v>41</v>
      </c>
      <c r="D22" s="191">
        <f>'Revenue by Sch_RY#1'!D22</f>
        <v>128953412.64547956</v>
      </c>
      <c r="E22" s="192">
        <f>'Revenue by Sch_RY#1'!O22</f>
        <v>6088383.7285085246</v>
      </c>
      <c r="F22" s="193">
        <f t="shared" si="0"/>
        <v>4.7213823997405868E-2</v>
      </c>
      <c r="G22" s="7"/>
      <c r="H22" s="258">
        <f t="shared" si="1"/>
        <v>128953412.64547956</v>
      </c>
      <c r="I22" s="192">
        <f>'Rate Impacts_RY#1'!AA23</f>
        <v>6584698.6986557394</v>
      </c>
      <c r="J22" s="193">
        <f t="shared" si="2"/>
        <v>5.1062616828594379E-2</v>
      </c>
      <c r="K22" s="194"/>
      <c r="L22" s="81">
        <f t="shared" si="3"/>
        <v>8.1518345800585312E-2</v>
      </c>
      <c r="N22" s="195">
        <f>L22-'Rate Impacts_RY#1'!AC23</f>
        <v>0</v>
      </c>
    </row>
    <row r="23" spans="2:14" x14ac:dyDescent="0.25">
      <c r="B23" t="s">
        <v>13</v>
      </c>
      <c r="D23" s="191">
        <f>'Revenue by Sch_RY#1'!D23</f>
        <v>31066760</v>
      </c>
      <c r="E23" s="192">
        <f>'Revenue by Sch_RY#1'!O23</f>
        <v>1694863.0973755296</v>
      </c>
      <c r="F23" s="193">
        <f t="shared" si="0"/>
        <v>5.4555515199381253E-2</v>
      </c>
      <c r="G23" s="196"/>
      <c r="H23" s="258">
        <f t="shared" si="1"/>
        <v>31066760</v>
      </c>
      <c r="I23" s="192">
        <f>'Rate Impacts_RY#1'!AA24</f>
        <v>1679540.0469532297</v>
      </c>
      <c r="J23" s="193">
        <f t="shared" si="2"/>
        <v>5.4062285444418073E-2</v>
      </c>
      <c r="K23" s="194"/>
      <c r="L23" s="81">
        <f t="shared" si="3"/>
        <v>-9.0408779600118748E-3</v>
      </c>
      <c r="M23" s="197"/>
      <c r="N23" s="195">
        <f>L23-'Rate Impacts_RY#1'!AC24</f>
        <v>0</v>
      </c>
    </row>
    <row r="24" spans="2:14" x14ac:dyDescent="0.25">
      <c r="B24" t="s">
        <v>6</v>
      </c>
      <c r="D24" s="198">
        <f>SUM(D11:D23)</f>
        <v>1233977929.407835</v>
      </c>
      <c r="E24" s="12">
        <f>SUM(E11:E23)</f>
        <v>1106709585.3700273</v>
      </c>
      <c r="F24" s="199">
        <f>E24/D24</f>
        <v>0.8968633546801914</v>
      </c>
      <c r="G24" s="196"/>
      <c r="H24" s="198">
        <f>SUM(H11:H23)</f>
        <v>1233977929.407835</v>
      </c>
      <c r="I24" s="12">
        <f>SUM(I11:I23)</f>
        <v>1174392605.7355945</v>
      </c>
      <c r="J24" s="199">
        <f>I24/H24</f>
        <v>0.95171281248049999</v>
      </c>
      <c r="K24" s="49"/>
      <c r="L24" s="82">
        <f>(I24-E24)/E24</f>
        <v>6.1156983964259649E-2</v>
      </c>
      <c r="M24" s="200"/>
      <c r="N24" s="195">
        <f>L24-'Rate Impacts_RY#1'!AC25</f>
        <v>4.7184478546569153E-16</v>
      </c>
    </row>
    <row r="25" spans="2:14" s="14" customFormat="1" x14ac:dyDescent="0.25">
      <c r="B25" s="13"/>
      <c r="C25" s="242"/>
      <c r="D25" s="242"/>
      <c r="E25" s="242"/>
      <c r="F25" s="67"/>
      <c r="G25" s="244"/>
      <c r="H25" s="242"/>
      <c r="I25" s="242"/>
      <c r="J25" s="67"/>
      <c r="K25" s="67"/>
      <c r="L25" s="243"/>
      <c r="M25" s="22"/>
      <c r="N25" s="201"/>
    </row>
    <row r="26" spans="2:14" x14ac:dyDescent="0.25">
      <c r="F26" s="141"/>
      <c r="G26" s="197"/>
      <c r="J26" s="141"/>
      <c r="K26" s="49"/>
      <c r="L26" s="120"/>
      <c r="M26" s="197"/>
      <c r="N26" s="201"/>
    </row>
    <row r="27" spans="2:14" s="14" customFormat="1" x14ac:dyDescent="0.25">
      <c r="B27" s="152" t="s">
        <v>160</v>
      </c>
      <c r="C27" s="17"/>
      <c r="D27" s="17"/>
      <c r="E27" s="17"/>
      <c r="F27" s="202"/>
      <c r="G27" s="22"/>
      <c r="H27" s="17"/>
      <c r="I27" s="17"/>
      <c r="J27" s="202"/>
      <c r="K27" s="202"/>
      <c r="L27" s="203"/>
      <c r="M27" s="22"/>
      <c r="N27" s="201"/>
    </row>
    <row r="28" spans="2:14" s="14" customFormat="1" x14ac:dyDescent="0.25">
      <c r="B28" s="69" t="s">
        <v>42</v>
      </c>
      <c r="C28" s="69"/>
      <c r="D28" s="95">
        <f>D11+D12</f>
        <v>636378193</v>
      </c>
      <c r="E28" s="18">
        <f>E11+E12</f>
        <v>754217485.38623214</v>
      </c>
      <c r="F28" s="204">
        <f>E28/D28</f>
        <v>1.1851717951407428</v>
      </c>
      <c r="G28" s="21"/>
      <c r="H28" s="95">
        <f>H11+H12</f>
        <v>636378193</v>
      </c>
      <c r="I28" s="18">
        <f>I11+I12</f>
        <v>800983338.55604994</v>
      </c>
      <c r="J28" s="204">
        <f>I28/H28</f>
        <v>1.2586593119730769</v>
      </c>
      <c r="K28" s="67"/>
      <c r="L28" s="81">
        <f>(I28-E28)/E28</f>
        <v>6.2005792859428574E-2</v>
      </c>
      <c r="M28" s="19"/>
      <c r="N28" s="195">
        <f>L28-'Rate Impacts_RY#1'!AC29</f>
        <v>0</v>
      </c>
    </row>
    <row r="29" spans="2:14" s="14" customFormat="1" x14ac:dyDescent="0.25">
      <c r="B29" s="20" t="s">
        <v>43</v>
      </c>
      <c r="C29" s="20"/>
      <c r="D29" s="95">
        <f t="shared" ref="D29:E33" si="4">D13+D18</f>
        <v>243226645</v>
      </c>
      <c r="E29" s="18">
        <f t="shared" si="4"/>
        <v>263689962.87240326</v>
      </c>
      <c r="F29" s="204">
        <f t="shared" ref="F29:F34" si="5">E29/D29</f>
        <v>1.0841327144581683</v>
      </c>
      <c r="G29" s="21"/>
      <c r="H29" s="95">
        <f t="shared" ref="H29:I33" si="6">H13+H18</f>
        <v>243226645</v>
      </c>
      <c r="I29" s="18">
        <f t="shared" si="6"/>
        <v>279563145.79896009</v>
      </c>
      <c r="J29" s="204">
        <f t="shared" ref="J29:J34" si="7">I29/H29</f>
        <v>1.1493935863768547</v>
      </c>
      <c r="K29" s="67"/>
      <c r="L29" s="81">
        <f t="shared" ref="L29:L35" si="8">(I29-E29)/E29</f>
        <v>6.0196386520171376E-2</v>
      </c>
      <c r="M29" s="22"/>
      <c r="N29" s="195">
        <f>L29-'Rate Impacts_RY#1'!AC30</f>
        <v>0</v>
      </c>
    </row>
    <row r="30" spans="2:14" s="14" customFormat="1" x14ac:dyDescent="0.25">
      <c r="B30" s="69" t="s">
        <v>44</v>
      </c>
      <c r="C30" s="69"/>
      <c r="D30" s="95">
        <f t="shared" si="4"/>
        <v>92387406</v>
      </c>
      <c r="E30" s="18">
        <f t="shared" si="4"/>
        <v>52879762.30854176</v>
      </c>
      <c r="F30" s="204">
        <f t="shared" si="5"/>
        <v>0.57236981313818636</v>
      </c>
      <c r="G30" s="21"/>
      <c r="H30" s="95">
        <f t="shared" si="6"/>
        <v>92387406</v>
      </c>
      <c r="I30" s="18">
        <f t="shared" si="6"/>
        <v>55860910.73889</v>
      </c>
      <c r="J30" s="204">
        <f t="shared" si="7"/>
        <v>0.60463772236326241</v>
      </c>
      <c r="K30" s="67"/>
      <c r="L30" s="81">
        <f t="shared" si="8"/>
        <v>5.6375980151988879E-2</v>
      </c>
      <c r="M30" s="22"/>
      <c r="N30" s="195">
        <f>L30-'Rate Impacts_RY#1'!AC31</f>
        <v>0</v>
      </c>
    </row>
    <row r="31" spans="2:14" s="14" customFormat="1" x14ac:dyDescent="0.25">
      <c r="B31" s="69" t="s">
        <v>45</v>
      </c>
      <c r="C31" s="69"/>
      <c r="D31" s="95">
        <f t="shared" si="4"/>
        <v>73912158</v>
      </c>
      <c r="E31" s="18">
        <f t="shared" si="4"/>
        <v>13238186.585683931</v>
      </c>
      <c r="F31" s="204">
        <f t="shared" si="5"/>
        <v>0.17910702303785977</v>
      </c>
      <c r="G31" s="21"/>
      <c r="H31" s="95">
        <f t="shared" si="6"/>
        <v>73912158</v>
      </c>
      <c r="I31" s="18">
        <f t="shared" si="6"/>
        <v>14508599.774051853</v>
      </c>
      <c r="J31" s="204">
        <f t="shared" si="7"/>
        <v>0.19629517208862787</v>
      </c>
      <c r="K31" s="67"/>
      <c r="L31" s="81">
        <f t="shared" si="8"/>
        <v>9.596580167118772E-2</v>
      </c>
      <c r="M31" s="22"/>
      <c r="N31" s="195">
        <f>L31-'Rate Impacts_RY#1'!AC32</f>
        <v>0</v>
      </c>
    </row>
    <row r="32" spans="2:14" s="14" customFormat="1" x14ac:dyDescent="0.25">
      <c r="B32" s="69" t="s">
        <v>46</v>
      </c>
      <c r="C32" s="69"/>
      <c r="D32" s="95">
        <f t="shared" si="4"/>
        <v>6233899</v>
      </c>
      <c r="E32" s="18">
        <f t="shared" si="4"/>
        <v>3838571.4074000837</v>
      </c>
      <c r="F32" s="204">
        <f t="shared" si="5"/>
        <v>0.61575771558058345</v>
      </c>
      <c r="G32" s="21"/>
      <c r="H32" s="95">
        <f t="shared" si="6"/>
        <v>6233899</v>
      </c>
      <c r="I32" s="18">
        <f t="shared" si="6"/>
        <v>3903054.7494839947</v>
      </c>
      <c r="J32" s="204">
        <f t="shared" si="7"/>
        <v>0.62610169806793381</v>
      </c>
      <c r="K32" s="67"/>
      <c r="L32" s="81">
        <f t="shared" si="8"/>
        <v>1.6798786642238443E-2</v>
      </c>
      <c r="M32" s="22"/>
      <c r="N32" s="195">
        <f>L32-'Rate Impacts_RY#1'!AC33</f>
        <v>-9.7144514654701197E-17</v>
      </c>
    </row>
    <row r="33" spans="2:14" s="14" customFormat="1" x14ac:dyDescent="0.25">
      <c r="B33" s="13" t="s">
        <v>47</v>
      </c>
      <c r="C33" s="13"/>
      <c r="D33" s="95">
        <f t="shared" si="4"/>
        <v>150772868.40783477</v>
      </c>
      <c r="E33" s="18">
        <f t="shared" si="4"/>
        <v>17150753.71239078</v>
      </c>
      <c r="F33" s="204">
        <f t="shared" si="5"/>
        <v>0.11375225458998801</v>
      </c>
      <c r="G33" s="21"/>
      <c r="H33" s="95">
        <f t="shared" si="6"/>
        <v>150772868.40783477</v>
      </c>
      <c r="I33" s="18">
        <f t="shared" si="6"/>
        <v>17894016.071205009</v>
      </c>
      <c r="J33" s="204">
        <f t="shared" si="7"/>
        <v>0.11868193701006197</v>
      </c>
      <c r="K33" s="67"/>
      <c r="L33" s="81">
        <f t="shared" si="8"/>
        <v>4.333700846495446E-2</v>
      </c>
      <c r="M33" s="22"/>
      <c r="N33" s="195">
        <f>L33-'Rate Impacts_RY#1'!AC34</f>
        <v>-1.0408340855860843E-16</v>
      </c>
    </row>
    <row r="34" spans="2:14" s="14" customFormat="1" x14ac:dyDescent="0.25">
      <c r="B34" s="13" t="s">
        <v>13</v>
      </c>
      <c r="C34" s="13"/>
      <c r="D34" s="95">
        <f>D23</f>
        <v>31066760</v>
      </c>
      <c r="E34" s="18">
        <f>E23</f>
        <v>1694863.0973755296</v>
      </c>
      <c r="F34" s="204">
        <f t="shared" si="5"/>
        <v>5.4555515199381253E-2</v>
      </c>
      <c r="G34" s="21"/>
      <c r="H34" s="95">
        <f>H23</f>
        <v>31066760</v>
      </c>
      <c r="I34" s="18">
        <f>I23</f>
        <v>1679540.0469532297</v>
      </c>
      <c r="J34" s="204">
        <f t="shared" si="7"/>
        <v>5.4062285444418073E-2</v>
      </c>
      <c r="K34" s="67"/>
      <c r="L34" s="81">
        <f t="shared" si="8"/>
        <v>-9.0408779600118748E-3</v>
      </c>
      <c r="M34" s="22"/>
      <c r="N34" s="195">
        <f>L34-'Rate Impacts_RY#1'!AC35</f>
        <v>0</v>
      </c>
    </row>
    <row r="35" spans="2:14" s="14" customFormat="1" x14ac:dyDescent="0.25">
      <c r="B35" s="13" t="s">
        <v>14</v>
      </c>
      <c r="C35" s="13"/>
      <c r="D35" s="205">
        <f>SUM(D28:D34)</f>
        <v>1233977929.4078348</v>
      </c>
      <c r="E35" s="206">
        <f>SUM(E28:E34)</f>
        <v>1106709585.3700278</v>
      </c>
      <c r="F35" s="207">
        <f>E35/D35</f>
        <v>0.89686335468019196</v>
      </c>
      <c r="G35" s="21"/>
      <c r="H35" s="205">
        <f>SUM(H28:H34)</f>
        <v>1233977929.4078348</v>
      </c>
      <c r="I35" s="206">
        <f>SUM(I28:I34)</f>
        <v>1174392605.735594</v>
      </c>
      <c r="J35" s="207">
        <f>I35/H35</f>
        <v>0.95171281248049977</v>
      </c>
      <c r="K35" s="67"/>
      <c r="L35" s="82">
        <f t="shared" si="8"/>
        <v>6.1156983964258761E-2</v>
      </c>
      <c r="M35" s="22"/>
      <c r="N35" s="195">
        <f>L35-'Rate Impacts_RY#1'!AC36</f>
        <v>-3.9551695252271202E-16</v>
      </c>
    </row>
    <row r="36" spans="2:14" s="14" customFormat="1" x14ac:dyDescent="0.25">
      <c r="B36" s="13"/>
      <c r="C36" s="13"/>
      <c r="D36" s="13"/>
      <c r="E36" s="13"/>
      <c r="F36" s="18"/>
      <c r="G36" s="21"/>
      <c r="H36" s="13"/>
      <c r="I36" s="13"/>
      <c r="J36" s="18"/>
      <c r="K36" s="67"/>
      <c r="L36" s="248"/>
      <c r="M36" s="22"/>
      <c r="N36" s="195"/>
    </row>
    <row r="37" spans="2:14" x14ac:dyDescent="0.25">
      <c r="B37" s="69" t="s">
        <v>196</v>
      </c>
      <c r="F37" s="16"/>
      <c r="I37" s="50"/>
      <c r="K37" s="197"/>
    </row>
    <row r="38" spans="2:14" x14ac:dyDescent="0.25">
      <c r="F38" s="16"/>
    </row>
    <row r="39" spans="2:14" x14ac:dyDescent="0.25">
      <c r="B39" s="51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4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zoomScale="90" zoomScaleNormal="90" workbookViewId="0">
      <selection activeCell="P34" sqref="P34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2:14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4" x14ac:dyDescent="0.25">
      <c r="B2" s="52" t="s">
        <v>195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4" x14ac:dyDescent="0.25">
      <c r="B3" s="257" t="s">
        <v>223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2:14" x14ac:dyDescent="0.25">
      <c r="B4" s="257" t="s">
        <v>214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2:14" x14ac:dyDescent="0.25"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2:14" x14ac:dyDescent="0.25">
      <c r="D6" s="380" t="s">
        <v>161</v>
      </c>
      <c r="E6" s="380"/>
      <c r="F6" s="380"/>
      <c r="G6" s="255"/>
      <c r="H6" s="380" t="s">
        <v>131</v>
      </c>
      <c r="I6" s="380"/>
      <c r="J6" s="380"/>
    </row>
    <row r="7" spans="2:14" x14ac:dyDescent="0.25">
      <c r="B7" s="4"/>
      <c r="C7" s="4"/>
      <c r="D7" s="4" t="s">
        <v>15</v>
      </c>
      <c r="E7" s="107" t="s">
        <v>15</v>
      </c>
      <c r="F7" s="4"/>
      <c r="G7" s="4"/>
      <c r="H7" s="4" t="s">
        <v>15</v>
      </c>
      <c r="I7" s="107" t="s">
        <v>15</v>
      </c>
      <c r="J7" s="4"/>
      <c r="K7" s="4"/>
      <c r="L7" s="4"/>
    </row>
    <row r="8" spans="2:14" x14ac:dyDescent="0.25">
      <c r="B8" s="4"/>
      <c r="C8" s="4" t="s">
        <v>17</v>
      </c>
      <c r="D8" s="4" t="s">
        <v>3</v>
      </c>
      <c r="E8" s="4" t="s">
        <v>2</v>
      </c>
      <c r="F8" s="4" t="s">
        <v>162</v>
      </c>
      <c r="G8" s="4"/>
      <c r="H8" s="4" t="s">
        <v>3</v>
      </c>
      <c r="I8" s="4" t="s">
        <v>2</v>
      </c>
      <c r="J8" s="4" t="s">
        <v>162</v>
      </c>
      <c r="K8" s="4"/>
      <c r="L8" s="4" t="s">
        <v>6</v>
      </c>
    </row>
    <row r="9" spans="2:14" x14ac:dyDescent="0.25">
      <c r="B9" s="256" t="s">
        <v>4</v>
      </c>
      <c r="C9" s="256" t="s">
        <v>21</v>
      </c>
      <c r="D9" s="93" t="s">
        <v>280</v>
      </c>
      <c r="E9" s="106" t="str">
        <f>D9</f>
        <v>12 ME Dec. 2024</v>
      </c>
      <c r="F9" s="256" t="s">
        <v>163</v>
      </c>
      <c r="G9" s="4"/>
      <c r="H9" s="106" t="str">
        <f>D9</f>
        <v>12 ME Dec. 2024</v>
      </c>
      <c r="I9" s="106" t="str">
        <f>D9</f>
        <v>12 ME Dec. 2024</v>
      </c>
      <c r="J9" s="256" t="s">
        <v>163</v>
      </c>
      <c r="K9" s="4"/>
      <c r="L9" s="256" t="s">
        <v>164</v>
      </c>
      <c r="N9" s="190" t="s">
        <v>76</v>
      </c>
    </row>
    <row r="10" spans="2:14" x14ac:dyDescent="0.25">
      <c r="B10" s="4" t="s">
        <v>25</v>
      </c>
      <c r="C10" s="4" t="s">
        <v>26</v>
      </c>
      <c r="D10" s="4" t="s">
        <v>27</v>
      </c>
      <c r="E10" s="4" t="s">
        <v>28</v>
      </c>
      <c r="F10" s="94" t="s">
        <v>165</v>
      </c>
      <c r="G10" s="4"/>
      <c r="H10" s="4" t="s">
        <v>132</v>
      </c>
      <c r="I10" s="4" t="s">
        <v>133</v>
      </c>
      <c r="J10" s="94" t="s">
        <v>166</v>
      </c>
      <c r="K10" s="94"/>
      <c r="L10" s="5" t="s">
        <v>167</v>
      </c>
    </row>
    <row r="11" spans="2:14" x14ac:dyDescent="0.25">
      <c r="B11" t="s">
        <v>7</v>
      </c>
      <c r="C11" s="6" t="s">
        <v>30</v>
      </c>
      <c r="D11" s="191">
        <f>'Revenue by Sch_RY#2'!D11</f>
        <v>639464549</v>
      </c>
      <c r="E11" s="192">
        <f>'Revenue by Sch_RY#2'!P11</f>
        <v>805702281.8367393</v>
      </c>
      <c r="F11" s="193">
        <f>E11/D11</f>
        <v>1.2599639543688594</v>
      </c>
      <c r="G11" s="7"/>
      <c r="H11" s="258">
        <f>D11</f>
        <v>639464549</v>
      </c>
      <c r="I11" s="192">
        <f>'Rate Impacts_RY#2'!O11</f>
        <v>819009539.10142934</v>
      </c>
      <c r="J11" s="193">
        <f>I11/H11</f>
        <v>1.2807739543688594</v>
      </c>
      <c r="K11" s="194"/>
      <c r="L11" s="81">
        <f>(I11-E11)/E11</f>
        <v>1.6516345509601661E-2</v>
      </c>
      <c r="N11" s="195">
        <f>L11-'Rate Impacts_RY#2'!Q11</f>
        <v>0</v>
      </c>
    </row>
    <row r="12" spans="2:14" x14ac:dyDescent="0.25">
      <c r="B12" t="s">
        <v>31</v>
      </c>
      <c r="C12" s="6">
        <v>16</v>
      </c>
      <c r="D12" s="191">
        <f>'Revenue by Sch_RY#2'!D12</f>
        <v>8832</v>
      </c>
      <c r="E12" s="192">
        <f>'Revenue by Sch_RY#2'!P12</f>
        <v>10777.839279999998</v>
      </c>
      <c r="F12" s="193">
        <f t="shared" ref="F12:F23" si="0">E12/D12</f>
        <v>1.2203169474637678</v>
      </c>
      <c r="G12" s="7"/>
      <c r="H12" s="258">
        <f t="shared" ref="H12:H23" si="1">D12</f>
        <v>8832</v>
      </c>
      <c r="I12" s="192">
        <f>'Rate Impacts_RY#2'!O12</f>
        <v>10961.633199999998</v>
      </c>
      <c r="J12" s="193">
        <f t="shared" ref="J12:J23" si="2">I12/H12</f>
        <v>1.2411269474637678</v>
      </c>
      <c r="K12" s="194"/>
      <c r="L12" s="81">
        <f t="shared" ref="L12:L23" si="3">(I12-E12)/E12</f>
        <v>1.70529468129163E-2</v>
      </c>
      <c r="N12" s="195">
        <f>L12-'Rate Impacts_RY#2'!Q12</f>
        <v>0</v>
      </c>
    </row>
    <row r="13" spans="2:14" x14ac:dyDescent="0.25">
      <c r="B13" t="s">
        <v>8</v>
      </c>
      <c r="C13" s="6">
        <v>31</v>
      </c>
      <c r="D13" s="191">
        <f>'Revenue by Sch_RY#2'!D13</f>
        <v>245936243</v>
      </c>
      <c r="E13" s="192">
        <f>'Revenue by Sch_RY#2'!P13</f>
        <v>282525988.06661838</v>
      </c>
      <c r="F13" s="193">
        <f t="shared" si="0"/>
        <v>1.1487773604259637</v>
      </c>
      <c r="G13" s="7"/>
      <c r="H13" s="258">
        <f t="shared" si="1"/>
        <v>245936243</v>
      </c>
      <c r="I13" s="192">
        <f>'Rate Impacts_RY#2'!O13</f>
        <v>287149589.43501836</v>
      </c>
      <c r="J13" s="193">
        <f t="shared" si="2"/>
        <v>1.1675773604259636</v>
      </c>
      <c r="K13" s="194"/>
      <c r="L13" s="81">
        <f t="shared" si="3"/>
        <v>1.6365225018909597E-2</v>
      </c>
      <c r="N13" s="195">
        <f>L13-'Rate Impacts_RY#2'!Q13</f>
        <v>0</v>
      </c>
    </row>
    <row r="14" spans="2:14" x14ac:dyDescent="0.25">
      <c r="B14" t="s">
        <v>9</v>
      </c>
      <c r="C14" s="6">
        <v>41</v>
      </c>
      <c r="D14" s="191">
        <f>'Revenue by Sch_RY#2'!D14</f>
        <v>66890541</v>
      </c>
      <c r="E14" s="192">
        <f>'Revenue by Sch_RY#2'!P14</f>
        <v>50411853.491752841</v>
      </c>
      <c r="F14" s="193">
        <f t="shared" si="0"/>
        <v>0.75364696918437002</v>
      </c>
      <c r="G14" s="7"/>
      <c r="H14" s="258">
        <f t="shared" si="1"/>
        <v>66890541</v>
      </c>
      <c r="I14" s="192">
        <f>'Rate Impacts_RY#2'!O14</f>
        <v>51012530.549932837</v>
      </c>
      <c r="J14" s="193">
        <f t="shared" si="2"/>
        <v>0.76262696918437001</v>
      </c>
      <c r="K14" s="194"/>
      <c r="L14" s="81">
        <f t="shared" si="3"/>
        <v>1.1915393237391382E-2</v>
      </c>
      <c r="N14" s="195">
        <f>L14-'Rate Impacts_RY#2'!Q14</f>
        <v>0</v>
      </c>
    </row>
    <row r="15" spans="2:14" x14ac:dyDescent="0.25">
      <c r="B15" t="s">
        <v>10</v>
      </c>
      <c r="C15" s="6">
        <v>85</v>
      </c>
      <c r="D15" s="191">
        <f>'Revenue by Sch_RY#2'!D15</f>
        <v>10745378</v>
      </c>
      <c r="E15" s="192">
        <f>'Revenue by Sch_RY#2'!P15</f>
        <v>6355026.24745401</v>
      </c>
      <c r="F15" s="193">
        <f t="shared" si="0"/>
        <v>0.59141951520495695</v>
      </c>
      <c r="G15" s="7"/>
      <c r="H15" s="258">
        <f t="shared" si="1"/>
        <v>10745378</v>
      </c>
      <c r="I15" s="192">
        <f>'Rate Impacts_RY#2'!O15</f>
        <v>6417349.43985401</v>
      </c>
      <c r="J15" s="193">
        <f t="shared" si="2"/>
        <v>0.59721951520495697</v>
      </c>
      <c r="K15" s="194"/>
      <c r="L15" s="81">
        <f t="shared" si="3"/>
        <v>9.8069134529488941E-3</v>
      </c>
      <c r="N15" s="195">
        <f>L15-'Rate Impacts_RY#2'!Q15</f>
        <v>0</v>
      </c>
    </row>
    <row r="16" spans="2:14" x14ac:dyDescent="0.25">
      <c r="B16" t="s">
        <v>11</v>
      </c>
      <c r="C16" s="6">
        <v>86</v>
      </c>
      <c r="D16" s="191">
        <f>'Revenue by Sch_RY#2'!D16</f>
        <v>5489408</v>
      </c>
      <c r="E16" s="192">
        <f>'Revenue by Sch_RY#2'!P16</f>
        <v>3618488.4794600722</v>
      </c>
      <c r="F16" s="193">
        <f t="shared" si="0"/>
        <v>0.65917645025840166</v>
      </c>
      <c r="G16" s="7"/>
      <c r="H16" s="258">
        <f t="shared" si="1"/>
        <v>5489408</v>
      </c>
      <c r="I16" s="192">
        <f>'Rate Impacts_RY#2'!O16</f>
        <v>3645606.1549800723</v>
      </c>
      <c r="J16" s="193">
        <f>I16/H16</f>
        <v>0.66411645025840171</v>
      </c>
      <c r="K16" s="194"/>
      <c r="L16" s="81">
        <f t="shared" si="3"/>
        <v>7.4941997670934617E-3</v>
      </c>
      <c r="N16" s="195">
        <f>L16-'Rate Impacts_RY#2'!Q16</f>
        <v>0</v>
      </c>
    </row>
    <row r="17" spans="2:14" x14ac:dyDescent="0.25">
      <c r="B17" t="s">
        <v>12</v>
      </c>
      <c r="C17" s="6">
        <v>87</v>
      </c>
      <c r="D17" s="191">
        <f>'Revenue by Sch_RY#2'!D17</f>
        <v>21819455.762355205</v>
      </c>
      <c r="E17" s="192">
        <f>'Revenue by Sch_RY#2'!P17</f>
        <v>11309317.372549269</v>
      </c>
      <c r="F17" s="193">
        <f t="shared" si="0"/>
        <v>0.51831344904858134</v>
      </c>
      <c r="G17" s="7"/>
      <c r="H17" s="258">
        <f t="shared" si="1"/>
        <v>21819455.762355205</v>
      </c>
      <c r="I17" s="192">
        <f>'Rate Impacts_RY#2'!O17</f>
        <v>11363457.820408553</v>
      </c>
      <c r="J17" s="193">
        <f t="shared" si="2"/>
        <v>0.52079474136168713</v>
      </c>
      <c r="K17" s="194"/>
      <c r="L17" s="81">
        <f t="shared" si="3"/>
        <v>4.787242772998559E-3</v>
      </c>
      <c r="N17" s="195">
        <f>L17-'Rate Impacts_RY#2'!Q17</f>
        <v>0</v>
      </c>
    </row>
    <row r="18" spans="2:14" x14ac:dyDescent="0.25">
      <c r="B18" t="s">
        <v>32</v>
      </c>
      <c r="C18" s="6" t="s">
        <v>33</v>
      </c>
      <c r="D18" s="191">
        <f>'Revenue by Sch_RY#2'!D18</f>
        <v>33867</v>
      </c>
      <c r="E18" s="192">
        <f>'Revenue by Sch_RY#2'!P18</f>
        <v>26176.089889183364</v>
      </c>
      <c r="F18" s="193">
        <f t="shared" si="0"/>
        <v>0.77290843266847853</v>
      </c>
      <c r="G18" s="7"/>
      <c r="H18" s="258">
        <f t="shared" si="1"/>
        <v>33867</v>
      </c>
      <c r="I18" s="192">
        <f>'Rate Impacts_RY#2'!O18</f>
        <v>26816.853529183361</v>
      </c>
      <c r="J18" s="193">
        <f t="shared" si="2"/>
        <v>0.79182843266847847</v>
      </c>
      <c r="K18" s="194"/>
      <c r="L18" s="81">
        <f t="shared" si="3"/>
        <v>2.4478966977599565E-2</v>
      </c>
      <c r="N18" s="195">
        <f>L18-'Rate Impacts_RY#2'!Q18</f>
        <v>0</v>
      </c>
    </row>
    <row r="19" spans="2:14" x14ac:dyDescent="0.25">
      <c r="B19" t="s">
        <v>34</v>
      </c>
      <c r="C19" t="s">
        <v>35</v>
      </c>
      <c r="D19" s="191">
        <f>'Revenue by Sch_RY#2'!D19</f>
        <v>26510234</v>
      </c>
      <c r="E19" s="192">
        <f>'Revenue by Sch_RY#2'!P19</f>
        <v>5563549.180145748</v>
      </c>
      <c r="F19" s="193">
        <f t="shared" si="0"/>
        <v>0.20986420490086011</v>
      </c>
      <c r="G19" s="7"/>
      <c r="H19" s="258">
        <f t="shared" si="1"/>
        <v>26510234</v>
      </c>
      <c r="I19" s="192">
        <f>'Rate Impacts_RY#2'!O19</f>
        <v>5803466.7978457473</v>
      </c>
      <c r="J19" s="193">
        <f t="shared" si="2"/>
        <v>0.21891420490086008</v>
      </c>
      <c r="K19" s="194"/>
      <c r="L19" s="81">
        <f t="shared" si="3"/>
        <v>4.3123123375304516E-2</v>
      </c>
      <c r="N19" s="195">
        <f>L19-'Rate Impacts_RY#2'!Q19</f>
        <v>0</v>
      </c>
    </row>
    <row r="20" spans="2:14" x14ac:dyDescent="0.25">
      <c r="B20" t="s">
        <v>36</v>
      </c>
      <c r="C20" t="s">
        <v>37</v>
      </c>
      <c r="D20" s="191">
        <f>'Revenue by Sch_RY#2'!D20</f>
        <v>62288926</v>
      </c>
      <c r="E20" s="192">
        <f>'Revenue by Sch_RY#2'!P20</f>
        <v>7894042.8385108411</v>
      </c>
      <c r="F20" s="193">
        <f t="shared" si="0"/>
        <v>0.12673268501227394</v>
      </c>
      <c r="G20" s="7"/>
      <c r="H20" s="258">
        <f t="shared" si="1"/>
        <v>62288926</v>
      </c>
      <c r="I20" s="192">
        <f>'Rate Impacts_RY#2'!O20</f>
        <v>8254695.7200508406</v>
      </c>
      <c r="J20" s="193">
        <f t="shared" si="2"/>
        <v>0.13252268501227393</v>
      </c>
      <c r="K20" s="194"/>
      <c r="L20" s="81">
        <f t="shared" si="3"/>
        <v>4.5686714515984848E-2</v>
      </c>
      <c r="N20" s="195">
        <f>L20-'Rate Impacts_RY#2'!Q20</f>
        <v>0</v>
      </c>
    </row>
    <row r="21" spans="2:14" x14ac:dyDescent="0.25">
      <c r="B21" t="s">
        <v>38</v>
      </c>
      <c r="C21" t="s">
        <v>39</v>
      </c>
      <c r="D21" s="191">
        <f>'Revenue by Sch_RY#2'!D21</f>
        <v>578702</v>
      </c>
      <c r="E21" s="192">
        <f>'Revenue by Sch_RY#2'!P21</f>
        <v>155244.16480140295</v>
      </c>
      <c r="F21" s="193">
        <f t="shared" si="0"/>
        <v>0.26826270654223233</v>
      </c>
      <c r="G21" s="7"/>
      <c r="H21" s="258">
        <f t="shared" si="1"/>
        <v>578702</v>
      </c>
      <c r="I21" s="192">
        <f>'Rate Impacts_RY#2'!O21</f>
        <v>158102.95268140294</v>
      </c>
      <c r="J21" s="193">
        <f t="shared" si="2"/>
        <v>0.27320270654223233</v>
      </c>
      <c r="K21" s="194"/>
      <c r="L21" s="81">
        <f t="shared" si="3"/>
        <v>1.841478475958894E-2</v>
      </c>
      <c r="N21" s="195">
        <f>L21-'Rate Impacts_RY#2'!Q21</f>
        <v>0</v>
      </c>
    </row>
    <row r="22" spans="2:14" x14ac:dyDescent="0.25">
      <c r="B22" t="s">
        <v>40</v>
      </c>
      <c r="C22" t="s">
        <v>41</v>
      </c>
      <c r="D22" s="191">
        <f>'Revenue by Sch_RY#2'!D22</f>
        <v>142008966.64547956</v>
      </c>
      <c r="E22" s="192">
        <f>'Revenue by Sch_RY#2'!P22</f>
        <v>6954392.598639464</v>
      </c>
      <c r="F22" s="193">
        <f t="shared" si="0"/>
        <v>4.8971503440348688E-2</v>
      </c>
      <c r="G22" s="7"/>
      <c r="H22" s="258">
        <f t="shared" si="1"/>
        <v>142008966.64547956</v>
      </c>
      <c r="I22" s="192">
        <f>'Rate Impacts_RY#2'!O22</f>
        <v>7159297.0621266076</v>
      </c>
      <c r="J22" s="193">
        <f t="shared" si="2"/>
        <v>5.0414401507473422E-2</v>
      </c>
      <c r="K22" s="194"/>
      <c r="L22" s="81">
        <f t="shared" si="3"/>
        <v>2.9464034504930094E-2</v>
      </c>
      <c r="N22" s="195">
        <f>L22-'Rate Impacts_RY#2'!Q22</f>
        <v>0</v>
      </c>
    </row>
    <row r="23" spans="2:14" x14ac:dyDescent="0.25">
      <c r="B23" t="s">
        <v>13</v>
      </c>
      <c r="D23" s="191">
        <f>'Revenue by Sch_RY#2'!D23</f>
        <v>30967900</v>
      </c>
      <c r="E23" s="192">
        <f>'Revenue by Sch_RY#2'!P23</f>
        <v>1676822.7883708156</v>
      </c>
      <c r="F23" s="193">
        <f t="shared" si="0"/>
        <v>5.4147126165184453E-2</v>
      </c>
      <c r="G23" s="196"/>
      <c r="H23" s="258">
        <f t="shared" si="1"/>
        <v>30967900</v>
      </c>
      <c r="I23" s="192">
        <f>'Rate Impacts_RY#2'!O23</f>
        <v>1676822.7883708156</v>
      </c>
      <c r="J23" s="193">
        <f t="shared" si="2"/>
        <v>5.4147126165184453E-2</v>
      </c>
      <c r="K23" s="194"/>
      <c r="L23" s="81">
        <f t="shared" si="3"/>
        <v>0</v>
      </c>
      <c r="M23" s="197"/>
      <c r="N23" s="195">
        <f>L23-'Rate Impacts_RY#2'!Q23</f>
        <v>0</v>
      </c>
    </row>
    <row r="24" spans="2:14" x14ac:dyDescent="0.25">
      <c r="B24" t="s">
        <v>6</v>
      </c>
      <c r="D24" s="198">
        <f>SUM(D11:D23)</f>
        <v>1252743002.407835</v>
      </c>
      <c r="E24" s="12">
        <f>SUM(E11:E23)</f>
        <v>1182203960.9942112</v>
      </c>
      <c r="F24" s="199">
        <f>E24/D24</f>
        <v>0.94369232853183438</v>
      </c>
      <c r="G24" s="196"/>
      <c r="H24" s="198">
        <f>SUM(H11:H23)</f>
        <v>1252743002.407835</v>
      </c>
      <c r="I24" s="12">
        <f>SUM(I11:I23)</f>
        <v>1201688236.309428</v>
      </c>
      <c r="J24" s="199">
        <f>I24/H24</f>
        <v>0.95924561861429103</v>
      </c>
      <c r="K24" s="49"/>
      <c r="L24" s="82">
        <f>(I24-E24)/E24</f>
        <v>1.6481314526159151E-2</v>
      </c>
      <c r="M24" s="200"/>
      <c r="N24" s="195">
        <f>L24-'Rate Impacts_RY#2'!Q24</f>
        <v>2.8449465006019636E-16</v>
      </c>
    </row>
    <row r="25" spans="2:14" s="14" customFormat="1" x14ac:dyDescent="0.25">
      <c r="B25" s="13"/>
      <c r="C25" s="242"/>
      <c r="D25" s="242"/>
      <c r="E25" s="242"/>
      <c r="F25" s="67"/>
      <c r="G25" s="244"/>
      <c r="H25" s="242"/>
      <c r="I25" s="242"/>
      <c r="J25" s="67"/>
      <c r="K25" s="67"/>
      <c r="L25" s="243"/>
      <c r="M25" s="22"/>
      <c r="N25" s="201"/>
    </row>
    <row r="26" spans="2:14" x14ac:dyDescent="0.25">
      <c r="F26" s="141"/>
      <c r="G26" s="197"/>
      <c r="J26" s="141"/>
      <c r="K26" s="49"/>
      <c r="L26" s="120"/>
      <c r="M26" s="197"/>
      <c r="N26" s="201"/>
    </row>
    <row r="27" spans="2:14" s="14" customFormat="1" x14ac:dyDescent="0.25">
      <c r="B27" s="152" t="s">
        <v>160</v>
      </c>
      <c r="C27" s="17"/>
      <c r="D27" s="17"/>
      <c r="E27" s="17"/>
      <c r="F27" s="202"/>
      <c r="G27" s="22"/>
      <c r="H27" s="17"/>
      <c r="I27" s="17"/>
      <c r="J27" s="202"/>
      <c r="K27" s="202"/>
      <c r="L27" s="203"/>
      <c r="M27" s="22"/>
      <c r="N27" s="201"/>
    </row>
    <row r="28" spans="2:14" s="14" customFormat="1" x14ac:dyDescent="0.25">
      <c r="B28" s="69" t="s">
        <v>42</v>
      </c>
      <c r="C28" s="69"/>
      <c r="D28" s="95">
        <f>D11+D12</f>
        <v>639473381</v>
      </c>
      <c r="E28" s="18">
        <f>E11+E12</f>
        <v>805713059.67601931</v>
      </c>
      <c r="F28" s="204">
        <f>E28/D28</f>
        <v>1.2599634067895928</v>
      </c>
      <c r="G28" s="21"/>
      <c r="H28" s="95">
        <f>H11+H12</f>
        <v>639473381</v>
      </c>
      <c r="I28" s="18">
        <f>I11+I12</f>
        <v>819020500.73462939</v>
      </c>
      <c r="J28" s="204">
        <f>I28/H28</f>
        <v>1.2807734067895931</v>
      </c>
      <c r="K28" s="67"/>
      <c r="L28" s="81">
        <f>(I28-E28)/E28</f>
        <v>1.651635268759459E-2</v>
      </c>
      <c r="M28" s="19"/>
      <c r="N28" s="195">
        <f>L28-'Rate Impacts_RY#2'!Q28</f>
        <v>5.2041704279304213E-17</v>
      </c>
    </row>
    <row r="29" spans="2:14" s="14" customFormat="1" x14ac:dyDescent="0.25">
      <c r="B29" s="20" t="s">
        <v>43</v>
      </c>
      <c r="C29" s="20"/>
      <c r="D29" s="95">
        <f t="shared" ref="D29:E33" si="4">D13+D18</f>
        <v>245970110</v>
      </c>
      <c r="E29" s="18">
        <f t="shared" si="4"/>
        <v>282552164.15650755</v>
      </c>
      <c r="F29" s="204">
        <f t="shared" ref="F29:F34" si="5">E29/D29</f>
        <v>1.1487256079875214</v>
      </c>
      <c r="G29" s="21"/>
      <c r="H29" s="95">
        <f t="shared" ref="H29:I33" si="6">H13+H18</f>
        <v>245970110</v>
      </c>
      <c r="I29" s="18">
        <f t="shared" si="6"/>
        <v>287176406.28854752</v>
      </c>
      <c r="J29" s="204">
        <f t="shared" ref="J29:J34" si="7">I29/H29</f>
        <v>1.1675256245100167</v>
      </c>
      <c r="K29" s="67"/>
      <c r="L29" s="81">
        <f t="shared" ref="L29:L35" si="8">(I29-E29)/E29</f>
        <v>1.636597668909931E-2</v>
      </c>
      <c r="M29" s="22"/>
      <c r="N29" s="195">
        <f>L29-'Rate Impacts_RY#2'!Q29</f>
        <v>-4.5102810375396984E-17</v>
      </c>
    </row>
    <row r="30" spans="2:14" s="14" customFormat="1" x14ac:dyDescent="0.25">
      <c r="B30" s="69" t="s">
        <v>44</v>
      </c>
      <c r="C30" s="69"/>
      <c r="D30" s="95">
        <f t="shared" si="4"/>
        <v>93400775</v>
      </c>
      <c r="E30" s="18">
        <f t="shared" si="4"/>
        <v>55975402.671898589</v>
      </c>
      <c r="F30" s="204">
        <f t="shared" si="5"/>
        <v>0.599303406978139</v>
      </c>
      <c r="G30" s="21"/>
      <c r="H30" s="95">
        <f t="shared" si="6"/>
        <v>93400775</v>
      </c>
      <c r="I30" s="18">
        <f t="shared" si="6"/>
        <v>56815997.347778589</v>
      </c>
      <c r="J30" s="204">
        <f t="shared" si="7"/>
        <v>0.60830327529700468</v>
      </c>
      <c r="K30" s="67"/>
      <c r="L30" s="81">
        <f t="shared" si="8"/>
        <v>1.5017215343803233E-2</v>
      </c>
      <c r="M30" s="22"/>
      <c r="N30" s="195">
        <f>L30-'Rate Impacts_RY#2'!Q30</f>
        <v>6.591949208711867E-17</v>
      </c>
    </row>
    <row r="31" spans="2:14" s="14" customFormat="1" x14ac:dyDescent="0.25">
      <c r="B31" s="69" t="s">
        <v>45</v>
      </c>
      <c r="C31" s="69"/>
      <c r="D31" s="95">
        <f t="shared" si="4"/>
        <v>73034304</v>
      </c>
      <c r="E31" s="18">
        <f t="shared" si="4"/>
        <v>14249069.085964851</v>
      </c>
      <c r="F31" s="204">
        <f t="shared" si="5"/>
        <v>0.19510104574919823</v>
      </c>
      <c r="G31" s="21"/>
      <c r="H31" s="95">
        <f t="shared" si="6"/>
        <v>73034304</v>
      </c>
      <c r="I31" s="18">
        <f t="shared" si="6"/>
        <v>14672045.159904851</v>
      </c>
      <c r="J31" s="204">
        <f t="shared" si="7"/>
        <v>0.20089251702740743</v>
      </c>
      <c r="K31" s="67"/>
      <c r="L31" s="81">
        <f t="shared" si="8"/>
        <v>2.9684470710905988E-2</v>
      </c>
      <c r="M31" s="22"/>
      <c r="N31" s="195">
        <f>L31-'Rate Impacts_RY#2'!Q31</f>
        <v>0</v>
      </c>
    </row>
    <row r="32" spans="2:14" s="14" customFormat="1" x14ac:dyDescent="0.25">
      <c r="B32" s="69" t="s">
        <v>46</v>
      </c>
      <c r="C32" s="69"/>
      <c r="D32" s="95">
        <f t="shared" si="4"/>
        <v>6068110</v>
      </c>
      <c r="E32" s="18">
        <f t="shared" si="4"/>
        <v>3773732.6442614752</v>
      </c>
      <c r="F32" s="204">
        <f t="shared" si="5"/>
        <v>0.62189588591200151</v>
      </c>
      <c r="G32" s="21"/>
      <c r="H32" s="95">
        <f t="shared" si="6"/>
        <v>6068110</v>
      </c>
      <c r="I32" s="18">
        <f t="shared" si="6"/>
        <v>3803709.1076614754</v>
      </c>
      <c r="J32" s="204">
        <f t="shared" si="7"/>
        <v>0.62683588591200146</v>
      </c>
      <c r="K32" s="67"/>
      <c r="L32" s="81">
        <f t="shared" si="8"/>
        <v>7.9434518090686513E-3</v>
      </c>
      <c r="M32" s="22"/>
      <c r="N32" s="195">
        <f>L32-'Rate Impacts_RY#2'!Q32</f>
        <v>5.377642775528102E-17</v>
      </c>
    </row>
    <row r="33" spans="2:14" s="14" customFormat="1" x14ac:dyDescent="0.25">
      <c r="B33" s="13" t="s">
        <v>47</v>
      </c>
      <c r="C33" s="13"/>
      <c r="D33" s="95">
        <f t="shared" si="4"/>
        <v>163828422.40783477</v>
      </c>
      <c r="E33" s="18">
        <f t="shared" si="4"/>
        <v>18263709.971188731</v>
      </c>
      <c r="F33" s="204">
        <f t="shared" si="5"/>
        <v>0.11148071685463111</v>
      </c>
      <c r="G33" s="21"/>
      <c r="H33" s="95">
        <f t="shared" si="6"/>
        <v>163828422.40783477</v>
      </c>
      <c r="I33" s="18">
        <f t="shared" si="6"/>
        <v>18522754.88253516</v>
      </c>
      <c r="J33" s="204">
        <f t="shared" si="7"/>
        <v>0.11306191325229624</v>
      </c>
      <c r="K33" s="67"/>
      <c r="L33" s="81">
        <f t="shared" si="8"/>
        <v>1.4183586563467949E-2</v>
      </c>
      <c r="M33" s="22"/>
      <c r="N33" s="195">
        <f>L33-'Rate Impacts_RY#2'!Q33</f>
        <v>5.0306980803327406E-17</v>
      </c>
    </row>
    <row r="34" spans="2:14" s="14" customFormat="1" x14ac:dyDescent="0.25">
      <c r="B34" s="13" t="s">
        <v>13</v>
      </c>
      <c r="C34" s="13"/>
      <c r="D34" s="95">
        <f>D23</f>
        <v>30967900</v>
      </c>
      <c r="E34" s="18">
        <f>E23</f>
        <v>1676822.7883708156</v>
      </c>
      <c r="F34" s="204">
        <f t="shared" si="5"/>
        <v>5.4147126165184453E-2</v>
      </c>
      <c r="G34" s="21"/>
      <c r="H34" s="95">
        <f>H23</f>
        <v>30967900</v>
      </c>
      <c r="I34" s="18">
        <f>I23</f>
        <v>1676822.7883708156</v>
      </c>
      <c r="J34" s="204">
        <f t="shared" si="7"/>
        <v>5.4147126165184453E-2</v>
      </c>
      <c r="K34" s="67"/>
      <c r="L34" s="81">
        <f t="shared" si="8"/>
        <v>0</v>
      </c>
      <c r="M34" s="22"/>
      <c r="N34" s="195">
        <f>L34-'Rate Impacts_RY#2'!Q34</f>
        <v>0</v>
      </c>
    </row>
    <row r="35" spans="2:14" s="14" customFormat="1" x14ac:dyDescent="0.25">
      <c r="B35" s="13" t="s">
        <v>14</v>
      </c>
      <c r="C35" s="13"/>
      <c r="D35" s="205">
        <f>SUM(D28:D34)</f>
        <v>1252743002.4078348</v>
      </c>
      <c r="E35" s="206">
        <f>SUM(E28:E34)</f>
        <v>1182203960.9942114</v>
      </c>
      <c r="F35" s="207">
        <f>E35/D35</f>
        <v>0.94369232853183471</v>
      </c>
      <c r="G35" s="21"/>
      <c r="H35" s="205">
        <f>SUM(H28:H34)</f>
        <v>1252743002.4078348</v>
      </c>
      <c r="I35" s="206">
        <f>SUM(I28:I34)</f>
        <v>1201688236.309428</v>
      </c>
      <c r="J35" s="207">
        <f>I35/H35</f>
        <v>0.95924561861429125</v>
      </c>
      <c r="K35" s="67"/>
      <c r="L35" s="82">
        <f t="shared" si="8"/>
        <v>1.6481314526158947E-2</v>
      </c>
      <c r="M35" s="22"/>
      <c r="N35" s="195">
        <f>L35-'Rate Impacts_RY#2'!Q35</f>
        <v>9.0205620750793969E-17</v>
      </c>
    </row>
    <row r="36" spans="2:14" s="14" customFormat="1" x14ac:dyDescent="0.25">
      <c r="B36" s="13"/>
      <c r="C36" s="13"/>
      <c r="D36" s="13"/>
      <c r="E36" s="13"/>
      <c r="F36" s="18"/>
      <c r="G36" s="21"/>
      <c r="H36" s="13"/>
      <c r="I36" s="13"/>
      <c r="J36" s="18"/>
      <c r="K36" s="67"/>
      <c r="L36" s="248"/>
      <c r="M36" s="22"/>
      <c r="N36" s="195"/>
    </row>
    <row r="37" spans="2:14" x14ac:dyDescent="0.25">
      <c r="B37" s="69" t="s">
        <v>260</v>
      </c>
      <c r="F37" s="16"/>
      <c r="I37" s="50"/>
      <c r="K37" s="197"/>
    </row>
    <row r="38" spans="2:14" x14ac:dyDescent="0.25">
      <c r="F38" s="16"/>
    </row>
    <row r="39" spans="2:14" x14ac:dyDescent="0.25">
      <c r="B39" s="51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4" orientation="landscape" blackAndWhite="1" r:id="rId1"/>
  <headerFooter>
    <oddFooter>&amp;L&amp;F 
&amp;A&amp;C&amp;P&amp;R&amp;D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9"/>
  <sheetViews>
    <sheetView zoomScale="90" zoomScaleNormal="90" workbookViewId="0">
      <selection activeCell="J36" sqref="J36"/>
    </sheetView>
  </sheetViews>
  <sheetFormatPr defaultRowHeight="15" x14ac:dyDescent="0.25"/>
  <cols>
    <col min="1" max="1" width="2.85546875" customWidth="1"/>
    <col min="2" max="2" width="37.85546875" customWidth="1"/>
    <col min="3" max="3" width="9.140625" bestFit="1" customWidth="1"/>
    <col min="4" max="5" width="16.5703125" customWidth="1"/>
    <col min="6" max="6" width="12.7109375" bestFit="1" customWidth="1"/>
    <col min="7" max="7" width="2.5703125" customWidth="1"/>
    <col min="8" max="9" width="16.5703125" customWidth="1"/>
    <col min="10" max="10" width="12.7109375" bestFit="1" customWidth="1"/>
    <col min="11" max="11" width="2.5703125" customWidth="1"/>
    <col min="12" max="12" width="11.7109375" bestFit="1" customWidth="1"/>
    <col min="13" max="13" width="9.28515625" customWidth="1"/>
    <col min="14" max="14" width="13.85546875" customWidth="1"/>
  </cols>
  <sheetData>
    <row r="1" spans="2:14" x14ac:dyDescent="0.25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4" x14ac:dyDescent="0.25">
      <c r="B2" s="52" t="s">
        <v>195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4" x14ac:dyDescent="0.25">
      <c r="B3" s="257" t="s">
        <v>222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2:14" x14ac:dyDescent="0.25">
      <c r="B4" s="257" t="s">
        <v>219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</row>
    <row r="5" spans="2:14" x14ac:dyDescent="0.25"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2:14" x14ac:dyDescent="0.25">
      <c r="D6" s="380" t="s">
        <v>161</v>
      </c>
      <c r="E6" s="380"/>
      <c r="F6" s="380"/>
      <c r="G6" s="255"/>
      <c r="H6" s="380" t="s">
        <v>131</v>
      </c>
      <c r="I6" s="380"/>
      <c r="J6" s="380"/>
    </row>
    <row r="7" spans="2:14" x14ac:dyDescent="0.25">
      <c r="B7" s="4"/>
      <c r="C7" s="4"/>
      <c r="D7" s="4" t="s">
        <v>15</v>
      </c>
      <c r="E7" s="107" t="s">
        <v>15</v>
      </c>
      <c r="F7" s="4"/>
      <c r="G7" s="4"/>
      <c r="H7" s="4" t="s">
        <v>15</v>
      </c>
      <c r="I7" s="107" t="s">
        <v>15</v>
      </c>
      <c r="J7" s="4"/>
      <c r="K7" s="4"/>
      <c r="L7" s="4"/>
    </row>
    <row r="8" spans="2:14" x14ac:dyDescent="0.25">
      <c r="B8" s="4"/>
      <c r="C8" s="4" t="s">
        <v>17</v>
      </c>
      <c r="D8" s="4" t="s">
        <v>3</v>
      </c>
      <c r="E8" s="4" t="s">
        <v>2</v>
      </c>
      <c r="F8" s="4" t="s">
        <v>162</v>
      </c>
      <c r="G8" s="4"/>
      <c r="H8" s="4" t="s">
        <v>3</v>
      </c>
      <c r="I8" s="4" t="s">
        <v>2</v>
      </c>
      <c r="J8" s="4" t="s">
        <v>162</v>
      </c>
      <c r="K8" s="4"/>
      <c r="L8" s="4" t="s">
        <v>6</v>
      </c>
    </row>
    <row r="9" spans="2:14" x14ac:dyDescent="0.25">
      <c r="B9" s="256" t="s">
        <v>4</v>
      </c>
      <c r="C9" s="256" t="s">
        <v>21</v>
      </c>
      <c r="D9" s="93" t="s">
        <v>252</v>
      </c>
      <c r="E9" s="106" t="str">
        <f>D9</f>
        <v>12ME Dec. 2025</v>
      </c>
      <c r="F9" s="256" t="s">
        <v>163</v>
      </c>
      <c r="G9" s="4"/>
      <c r="H9" s="106" t="str">
        <f>D9</f>
        <v>12ME Dec. 2025</v>
      </c>
      <c r="I9" s="106" t="str">
        <f>D9</f>
        <v>12ME Dec. 2025</v>
      </c>
      <c r="J9" s="256" t="s">
        <v>163</v>
      </c>
      <c r="K9" s="4"/>
      <c r="L9" s="256" t="s">
        <v>164</v>
      </c>
      <c r="N9" s="190" t="s">
        <v>76</v>
      </c>
    </row>
    <row r="10" spans="2:14" x14ac:dyDescent="0.25">
      <c r="B10" s="4" t="s">
        <v>25</v>
      </c>
      <c r="C10" s="4" t="s">
        <v>26</v>
      </c>
      <c r="D10" s="4" t="s">
        <v>27</v>
      </c>
      <c r="E10" s="4" t="s">
        <v>28</v>
      </c>
      <c r="F10" s="94" t="s">
        <v>165</v>
      </c>
      <c r="G10" s="4"/>
      <c r="H10" s="4" t="s">
        <v>132</v>
      </c>
      <c r="I10" s="4" t="s">
        <v>133</v>
      </c>
      <c r="J10" s="94" t="s">
        <v>166</v>
      </c>
      <c r="K10" s="94"/>
      <c r="L10" s="5" t="s">
        <v>167</v>
      </c>
    </row>
    <row r="11" spans="2:14" x14ac:dyDescent="0.25">
      <c r="B11" t="s">
        <v>7</v>
      </c>
      <c r="C11" s="6" t="s">
        <v>30</v>
      </c>
      <c r="D11" s="191"/>
      <c r="E11" s="192"/>
      <c r="F11" s="193" t="e">
        <f>E11/D11</f>
        <v>#DIV/0!</v>
      </c>
      <c r="G11" s="7"/>
      <c r="H11" s="258">
        <f>D11</f>
        <v>0</v>
      </c>
      <c r="I11" s="192"/>
      <c r="J11" s="193" t="e">
        <f>I11/H11</f>
        <v>#DIV/0!</v>
      </c>
      <c r="K11" s="194"/>
      <c r="L11" s="81" t="e">
        <f>(I11-E11)/E11</f>
        <v>#DIV/0!</v>
      </c>
      <c r="N11" s="195" t="e">
        <f>L11-'Rate Impacts_RY#3'!N11</f>
        <v>#DIV/0!</v>
      </c>
    </row>
    <row r="12" spans="2:14" x14ac:dyDescent="0.25">
      <c r="B12" t="s">
        <v>31</v>
      </c>
      <c r="C12" s="6">
        <v>16</v>
      </c>
      <c r="D12" s="191"/>
      <c r="E12" s="192"/>
      <c r="F12" s="193" t="e">
        <f t="shared" ref="F12:F23" si="0">E12/D12</f>
        <v>#DIV/0!</v>
      </c>
      <c r="G12" s="7"/>
      <c r="H12" s="258">
        <f t="shared" ref="H12:H23" si="1">D12</f>
        <v>0</v>
      </c>
      <c r="I12" s="192"/>
      <c r="J12" s="193" t="e">
        <f t="shared" ref="J12:J23" si="2">I12/H12</f>
        <v>#DIV/0!</v>
      </c>
      <c r="K12" s="194"/>
      <c r="L12" s="81" t="e">
        <f t="shared" ref="L12:L23" si="3">(I12-E12)/E12</f>
        <v>#DIV/0!</v>
      </c>
      <c r="N12" s="195" t="e">
        <f>L12-'Rate Impacts_RY#3'!N12</f>
        <v>#DIV/0!</v>
      </c>
    </row>
    <row r="13" spans="2:14" x14ac:dyDescent="0.25">
      <c r="B13" t="s">
        <v>8</v>
      </c>
      <c r="C13" s="6">
        <v>31</v>
      </c>
      <c r="D13" s="191"/>
      <c r="E13" s="192"/>
      <c r="F13" s="193" t="e">
        <f t="shared" si="0"/>
        <v>#DIV/0!</v>
      </c>
      <c r="G13" s="7"/>
      <c r="H13" s="258">
        <f t="shared" si="1"/>
        <v>0</v>
      </c>
      <c r="I13" s="192"/>
      <c r="J13" s="193" t="e">
        <f t="shared" si="2"/>
        <v>#DIV/0!</v>
      </c>
      <c r="K13" s="194"/>
      <c r="L13" s="81" t="e">
        <f t="shared" si="3"/>
        <v>#DIV/0!</v>
      </c>
      <c r="N13" s="195" t="e">
        <f>L13-'Rate Impacts_RY#3'!N13</f>
        <v>#DIV/0!</v>
      </c>
    </row>
    <row r="14" spans="2:14" x14ac:dyDescent="0.25">
      <c r="B14" t="s">
        <v>9</v>
      </c>
      <c r="C14" s="6">
        <v>41</v>
      </c>
      <c r="D14" s="191"/>
      <c r="E14" s="192"/>
      <c r="F14" s="193" t="e">
        <f t="shared" si="0"/>
        <v>#DIV/0!</v>
      </c>
      <c r="G14" s="7"/>
      <c r="H14" s="258">
        <f t="shared" si="1"/>
        <v>0</v>
      </c>
      <c r="I14" s="192"/>
      <c r="J14" s="193" t="e">
        <f t="shared" si="2"/>
        <v>#DIV/0!</v>
      </c>
      <c r="K14" s="194"/>
      <c r="L14" s="81" t="e">
        <f t="shared" si="3"/>
        <v>#DIV/0!</v>
      </c>
      <c r="N14" s="195" t="e">
        <f>L14-'Rate Impacts_RY#3'!N14</f>
        <v>#DIV/0!</v>
      </c>
    </row>
    <row r="15" spans="2:14" x14ac:dyDescent="0.25">
      <c r="B15" t="s">
        <v>10</v>
      </c>
      <c r="C15" s="6">
        <v>85</v>
      </c>
      <c r="D15" s="191"/>
      <c r="E15" s="192"/>
      <c r="F15" s="193" t="e">
        <f t="shared" si="0"/>
        <v>#DIV/0!</v>
      </c>
      <c r="G15" s="7"/>
      <c r="H15" s="258">
        <f t="shared" si="1"/>
        <v>0</v>
      </c>
      <c r="I15" s="192"/>
      <c r="J15" s="193" t="e">
        <f t="shared" si="2"/>
        <v>#DIV/0!</v>
      </c>
      <c r="K15" s="194"/>
      <c r="L15" s="81" t="e">
        <f t="shared" si="3"/>
        <v>#DIV/0!</v>
      </c>
      <c r="N15" s="195" t="e">
        <f>L15-'Rate Impacts_RY#3'!N15</f>
        <v>#DIV/0!</v>
      </c>
    </row>
    <row r="16" spans="2:14" x14ac:dyDescent="0.25">
      <c r="B16" t="s">
        <v>11</v>
      </c>
      <c r="C16" s="6">
        <v>86</v>
      </c>
      <c r="D16" s="191"/>
      <c r="E16" s="192"/>
      <c r="F16" s="193" t="e">
        <f t="shared" si="0"/>
        <v>#DIV/0!</v>
      </c>
      <c r="G16" s="7"/>
      <c r="H16" s="258">
        <f t="shared" si="1"/>
        <v>0</v>
      </c>
      <c r="I16" s="192"/>
      <c r="J16" s="193" t="e">
        <f>I16/H16</f>
        <v>#DIV/0!</v>
      </c>
      <c r="K16" s="194"/>
      <c r="L16" s="81" t="e">
        <f t="shared" si="3"/>
        <v>#DIV/0!</v>
      </c>
      <c r="N16" s="195" t="e">
        <f>L16-'Rate Impacts_RY#3'!N16</f>
        <v>#DIV/0!</v>
      </c>
    </row>
    <row r="17" spans="2:14" x14ac:dyDescent="0.25">
      <c r="B17" t="s">
        <v>12</v>
      </c>
      <c r="C17" s="6">
        <v>87</v>
      </c>
      <c r="D17" s="191"/>
      <c r="E17" s="192"/>
      <c r="F17" s="193" t="e">
        <f t="shared" si="0"/>
        <v>#DIV/0!</v>
      </c>
      <c r="G17" s="7"/>
      <c r="H17" s="258">
        <f t="shared" si="1"/>
        <v>0</v>
      </c>
      <c r="I17" s="192"/>
      <c r="J17" s="193" t="e">
        <f t="shared" si="2"/>
        <v>#DIV/0!</v>
      </c>
      <c r="K17" s="194"/>
      <c r="L17" s="81" t="e">
        <f t="shared" si="3"/>
        <v>#DIV/0!</v>
      </c>
      <c r="N17" s="195" t="e">
        <f>L17-'Rate Impacts_RY#3'!N17</f>
        <v>#DIV/0!</v>
      </c>
    </row>
    <row r="18" spans="2:14" x14ac:dyDescent="0.25">
      <c r="B18" t="s">
        <v>32</v>
      </c>
      <c r="C18" s="6" t="s">
        <v>33</v>
      </c>
      <c r="D18" s="191"/>
      <c r="E18" s="192"/>
      <c r="F18" s="193" t="e">
        <f t="shared" si="0"/>
        <v>#DIV/0!</v>
      </c>
      <c r="G18" s="7"/>
      <c r="H18" s="258">
        <f t="shared" si="1"/>
        <v>0</v>
      </c>
      <c r="I18" s="192"/>
      <c r="J18" s="193" t="e">
        <f t="shared" si="2"/>
        <v>#DIV/0!</v>
      </c>
      <c r="K18" s="194"/>
      <c r="L18" s="81" t="e">
        <f t="shared" si="3"/>
        <v>#DIV/0!</v>
      </c>
      <c r="N18" s="195" t="e">
        <f>L18-'Rate Impacts_RY#3'!N18</f>
        <v>#DIV/0!</v>
      </c>
    </row>
    <row r="19" spans="2:14" x14ac:dyDescent="0.25">
      <c r="B19" t="s">
        <v>34</v>
      </c>
      <c r="C19" t="s">
        <v>35</v>
      </c>
      <c r="D19" s="191"/>
      <c r="E19" s="192"/>
      <c r="F19" s="193" t="e">
        <f t="shared" si="0"/>
        <v>#DIV/0!</v>
      </c>
      <c r="G19" s="7"/>
      <c r="H19" s="258">
        <f t="shared" si="1"/>
        <v>0</v>
      </c>
      <c r="I19" s="192"/>
      <c r="J19" s="193" t="e">
        <f t="shared" si="2"/>
        <v>#DIV/0!</v>
      </c>
      <c r="K19" s="194"/>
      <c r="L19" s="81" t="e">
        <f t="shared" si="3"/>
        <v>#DIV/0!</v>
      </c>
      <c r="N19" s="195" t="e">
        <f>L19-'Rate Impacts_RY#3'!N19</f>
        <v>#DIV/0!</v>
      </c>
    </row>
    <row r="20" spans="2:14" x14ac:dyDescent="0.25">
      <c r="B20" t="s">
        <v>36</v>
      </c>
      <c r="C20" t="s">
        <v>37</v>
      </c>
      <c r="D20" s="191"/>
      <c r="E20" s="192"/>
      <c r="F20" s="193" t="e">
        <f t="shared" si="0"/>
        <v>#DIV/0!</v>
      </c>
      <c r="G20" s="7"/>
      <c r="H20" s="258">
        <f t="shared" si="1"/>
        <v>0</v>
      </c>
      <c r="I20" s="192"/>
      <c r="J20" s="193" t="e">
        <f t="shared" si="2"/>
        <v>#DIV/0!</v>
      </c>
      <c r="K20" s="194"/>
      <c r="L20" s="81" t="e">
        <f t="shared" si="3"/>
        <v>#DIV/0!</v>
      </c>
      <c r="N20" s="195" t="e">
        <f>L20-'Rate Impacts_RY#3'!N20</f>
        <v>#DIV/0!</v>
      </c>
    </row>
    <row r="21" spans="2:14" x14ac:dyDescent="0.25">
      <c r="B21" t="s">
        <v>38</v>
      </c>
      <c r="C21" t="s">
        <v>39</v>
      </c>
      <c r="D21" s="191"/>
      <c r="E21" s="192"/>
      <c r="F21" s="193" t="e">
        <f t="shared" si="0"/>
        <v>#DIV/0!</v>
      </c>
      <c r="G21" s="7"/>
      <c r="H21" s="258">
        <f t="shared" si="1"/>
        <v>0</v>
      </c>
      <c r="I21" s="192"/>
      <c r="J21" s="193" t="e">
        <f t="shared" si="2"/>
        <v>#DIV/0!</v>
      </c>
      <c r="K21" s="194"/>
      <c r="L21" s="81" t="e">
        <f t="shared" si="3"/>
        <v>#DIV/0!</v>
      </c>
      <c r="N21" s="195" t="e">
        <f>L21-'Rate Impacts_RY#3'!N21</f>
        <v>#DIV/0!</v>
      </c>
    </row>
    <row r="22" spans="2:14" x14ac:dyDescent="0.25">
      <c r="B22" t="s">
        <v>40</v>
      </c>
      <c r="C22" t="s">
        <v>41</v>
      </c>
      <c r="D22" s="191"/>
      <c r="E22" s="192"/>
      <c r="F22" s="193" t="e">
        <f t="shared" si="0"/>
        <v>#DIV/0!</v>
      </c>
      <c r="G22" s="7"/>
      <c r="H22" s="258">
        <f t="shared" si="1"/>
        <v>0</v>
      </c>
      <c r="I22" s="192"/>
      <c r="J22" s="193" t="e">
        <f t="shared" si="2"/>
        <v>#DIV/0!</v>
      </c>
      <c r="K22" s="194"/>
      <c r="L22" s="81" t="e">
        <f t="shared" si="3"/>
        <v>#DIV/0!</v>
      </c>
      <c r="N22" s="195" t="e">
        <f>L22-'Rate Impacts_RY#3'!N22</f>
        <v>#DIV/0!</v>
      </c>
    </row>
    <row r="23" spans="2:14" x14ac:dyDescent="0.25">
      <c r="B23" t="s">
        <v>13</v>
      </c>
      <c r="D23" s="191"/>
      <c r="E23" s="192"/>
      <c r="F23" s="193" t="e">
        <f t="shared" si="0"/>
        <v>#DIV/0!</v>
      </c>
      <c r="G23" s="196"/>
      <c r="H23" s="258">
        <f t="shared" si="1"/>
        <v>0</v>
      </c>
      <c r="I23" s="192"/>
      <c r="J23" s="193" t="e">
        <f t="shared" si="2"/>
        <v>#DIV/0!</v>
      </c>
      <c r="K23" s="194"/>
      <c r="L23" s="81" t="e">
        <f t="shared" si="3"/>
        <v>#DIV/0!</v>
      </c>
      <c r="M23" s="197"/>
      <c r="N23" s="195" t="e">
        <f>L23-'Rate Impacts_RY#3'!N23</f>
        <v>#DIV/0!</v>
      </c>
    </row>
    <row r="24" spans="2:14" x14ac:dyDescent="0.25">
      <c r="B24" t="s">
        <v>6</v>
      </c>
      <c r="D24" s="198">
        <f>SUM(D11:D23)</f>
        <v>0</v>
      </c>
      <c r="E24" s="12">
        <f>SUM(E11:E23)</f>
        <v>0</v>
      </c>
      <c r="F24" s="199" t="e">
        <f>E24/D24</f>
        <v>#DIV/0!</v>
      </c>
      <c r="G24" s="196"/>
      <c r="H24" s="198">
        <f>SUM(H11:H23)</f>
        <v>0</v>
      </c>
      <c r="I24" s="12">
        <f>SUM(I11:I23)</f>
        <v>0</v>
      </c>
      <c r="J24" s="199" t="e">
        <f>I24/H24</f>
        <v>#DIV/0!</v>
      </c>
      <c r="K24" s="49"/>
      <c r="L24" s="82" t="e">
        <f>(I24-E24)/E24</f>
        <v>#DIV/0!</v>
      </c>
      <c r="M24" s="200"/>
      <c r="N24" s="195" t="e">
        <f>L24-'Rate Impacts_RY#3'!N24</f>
        <v>#DIV/0!</v>
      </c>
    </row>
    <row r="25" spans="2:14" s="14" customFormat="1" x14ac:dyDescent="0.25">
      <c r="B25" s="13"/>
      <c r="C25" s="242"/>
      <c r="D25" s="242"/>
      <c r="E25" s="242"/>
      <c r="F25" s="67"/>
      <c r="G25" s="244"/>
      <c r="H25" s="242"/>
      <c r="I25" s="242"/>
      <c r="J25" s="67"/>
      <c r="K25" s="67"/>
      <c r="L25" s="243"/>
      <c r="M25" s="22"/>
      <c r="N25" s="201"/>
    </row>
    <row r="26" spans="2:14" x14ac:dyDescent="0.25">
      <c r="F26" s="141"/>
      <c r="G26" s="197"/>
      <c r="J26" s="141"/>
      <c r="K26" s="49"/>
      <c r="L26" s="120"/>
      <c r="M26" s="197"/>
      <c r="N26" s="201"/>
    </row>
    <row r="27" spans="2:14" s="14" customFormat="1" x14ac:dyDescent="0.25">
      <c r="B27" s="152" t="s">
        <v>160</v>
      </c>
      <c r="C27" s="17"/>
      <c r="D27" s="17"/>
      <c r="E27" s="17"/>
      <c r="F27" s="202"/>
      <c r="G27" s="22"/>
      <c r="H27" s="17"/>
      <c r="I27" s="17"/>
      <c r="J27" s="202"/>
      <c r="K27" s="202"/>
      <c r="L27" s="203"/>
      <c r="M27" s="22"/>
      <c r="N27" s="201"/>
    </row>
    <row r="28" spans="2:14" s="14" customFormat="1" x14ac:dyDescent="0.25">
      <c r="B28" s="69" t="s">
        <v>42</v>
      </c>
      <c r="C28" s="69"/>
      <c r="D28" s="95">
        <f>D11+D12</f>
        <v>0</v>
      </c>
      <c r="E28" s="18">
        <f>E11+E12</f>
        <v>0</v>
      </c>
      <c r="F28" s="204" t="e">
        <f>E28/D28</f>
        <v>#DIV/0!</v>
      </c>
      <c r="G28" s="21"/>
      <c r="H28" s="95">
        <f>H11+H12</f>
        <v>0</v>
      </c>
      <c r="I28" s="18">
        <f>I11+I12</f>
        <v>0</v>
      </c>
      <c r="J28" s="204" t="e">
        <f>I28/H28</f>
        <v>#DIV/0!</v>
      </c>
      <c r="K28" s="67"/>
      <c r="L28" s="81" t="e">
        <f>(I28-E28)/E28</f>
        <v>#DIV/0!</v>
      </c>
      <c r="M28" s="19"/>
      <c r="N28" s="195" t="e">
        <f>L28-'Rate Impacts_RY#3'!N28</f>
        <v>#DIV/0!</v>
      </c>
    </row>
    <row r="29" spans="2:14" s="14" customFormat="1" x14ac:dyDescent="0.25">
      <c r="B29" s="20" t="s">
        <v>43</v>
      </c>
      <c r="C29" s="20"/>
      <c r="D29" s="95">
        <f t="shared" ref="D29:E33" si="4">D13+D18</f>
        <v>0</v>
      </c>
      <c r="E29" s="18">
        <f t="shared" si="4"/>
        <v>0</v>
      </c>
      <c r="F29" s="204" t="e">
        <f t="shared" ref="F29:F34" si="5">E29/D29</f>
        <v>#DIV/0!</v>
      </c>
      <c r="G29" s="21"/>
      <c r="H29" s="95">
        <f t="shared" ref="H29:I33" si="6">H13+H18</f>
        <v>0</v>
      </c>
      <c r="I29" s="18">
        <f t="shared" si="6"/>
        <v>0</v>
      </c>
      <c r="J29" s="204" t="e">
        <f t="shared" ref="J29:J34" si="7">I29/H29</f>
        <v>#DIV/0!</v>
      </c>
      <c r="K29" s="67"/>
      <c r="L29" s="81" t="e">
        <f t="shared" ref="L29:L35" si="8">(I29-E29)/E29</f>
        <v>#DIV/0!</v>
      </c>
      <c r="M29" s="22"/>
      <c r="N29" s="195" t="e">
        <f>L29-'Rate Impacts_RY#3'!N29</f>
        <v>#DIV/0!</v>
      </c>
    </row>
    <row r="30" spans="2:14" s="14" customFormat="1" x14ac:dyDescent="0.25">
      <c r="B30" s="69" t="s">
        <v>44</v>
      </c>
      <c r="C30" s="69"/>
      <c r="D30" s="95">
        <f t="shared" si="4"/>
        <v>0</v>
      </c>
      <c r="E30" s="18">
        <f t="shared" si="4"/>
        <v>0</v>
      </c>
      <c r="F30" s="204" t="e">
        <f t="shared" si="5"/>
        <v>#DIV/0!</v>
      </c>
      <c r="G30" s="21"/>
      <c r="H30" s="95">
        <f t="shared" si="6"/>
        <v>0</v>
      </c>
      <c r="I30" s="18">
        <f t="shared" si="6"/>
        <v>0</v>
      </c>
      <c r="J30" s="204" t="e">
        <f t="shared" si="7"/>
        <v>#DIV/0!</v>
      </c>
      <c r="K30" s="67"/>
      <c r="L30" s="81" t="e">
        <f t="shared" si="8"/>
        <v>#DIV/0!</v>
      </c>
      <c r="M30" s="22"/>
      <c r="N30" s="195" t="e">
        <f>L30-'Rate Impacts_RY#3'!N30</f>
        <v>#DIV/0!</v>
      </c>
    </row>
    <row r="31" spans="2:14" s="14" customFormat="1" x14ac:dyDescent="0.25">
      <c r="B31" s="69" t="s">
        <v>45</v>
      </c>
      <c r="C31" s="69"/>
      <c r="D31" s="95">
        <f t="shared" si="4"/>
        <v>0</v>
      </c>
      <c r="E31" s="18">
        <f t="shared" si="4"/>
        <v>0</v>
      </c>
      <c r="F31" s="204" t="e">
        <f t="shared" si="5"/>
        <v>#DIV/0!</v>
      </c>
      <c r="G31" s="21"/>
      <c r="H31" s="95">
        <f t="shared" si="6"/>
        <v>0</v>
      </c>
      <c r="I31" s="18">
        <f t="shared" si="6"/>
        <v>0</v>
      </c>
      <c r="J31" s="204" t="e">
        <f t="shared" si="7"/>
        <v>#DIV/0!</v>
      </c>
      <c r="K31" s="67"/>
      <c r="L31" s="81" t="e">
        <f t="shared" si="8"/>
        <v>#DIV/0!</v>
      </c>
      <c r="M31" s="22"/>
      <c r="N31" s="195" t="e">
        <f>L31-'Rate Impacts_RY#3'!N31</f>
        <v>#DIV/0!</v>
      </c>
    </row>
    <row r="32" spans="2:14" s="14" customFormat="1" x14ac:dyDescent="0.25">
      <c r="B32" s="69" t="s">
        <v>46</v>
      </c>
      <c r="C32" s="69"/>
      <c r="D32" s="95">
        <f t="shared" si="4"/>
        <v>0</v>
      </c>
      <c r="E32" s="18">
        <f t="shared" si="4"/>
        <v>0</v>
      </c>
      <c r="F32" s="204" t="e">
        <f t="shared" si="5"/>
        <v>#DIV/0!</v>
      </c>
      <c r="G32" s="21"/>
      <c r="H32" s="95">
        <f t="shared" si="6"/>
        <v>0</v>
      </c>
      <c r="I32" s="18">
        <f t="shared" si="6"/>
        <v>0</v>
      </c>
      <c r="J32" s="204" t="e">
        <f t="shared" si="7"/>
        <v>#DIV/0!</v>
      </c>
      <c r="K32" s="67"/>
      <c r="L32" s="81" t="e">
        <f t="shared" si="8"/>
        <v>#DIV/0!</v>
      </c>
      <c r="M32" s="22"/>
      <c r="N32" s="195" t="e">
        <f>L32-'Rate Impacts_RY#3'!N32</f>
        <v>#DIV/0!</v>
      </c>
    </row>
    <row r="33" spans="2:14" s="14" customFormat="1" x14ac:dyDescent="0.25">
      <c r="B33" s="13" t="s">
        <v>47</v>
      </c>
      <c r="C33" s="13"/>
      <c r="D33" s="95">
        <f t="shared" si="4"/>
        <v>0</v>
      </c>
      <c r="E33" s="18">
        <f t="shared" si="4"/>
        <v>0</v>
      </c>
      <c r="F33" s="204" t="e">
        <f t="shared" si="5"/>
        <v>#DIV/0!</v>
      </c>
      <c r="G33" s="21"/>
      <c r="H33" s="95">
        <f t="shared" si="6"/>
        <v>0</v>
      </c>
      <c r="I33" s="18">
        <f t="shared" si="6"/>
        <v>0</v>
      </c>
      <c r="J33" s="204" t="e">
        <f t="shared" si="7"/>
        <v>#DIV/0!</v>
      </c>
      <c r="K33" s="67"/>
      <c r="L33" s="81" t="e">
        <f t="shared" si="8"/>
        <v>#DIV/0!</v>
      </c>
      <c r="M33" s="22"/>
      <c r="N33" s="195" t="e">
        <f>L33-'Rate Impacts_RY#3'!N33</f>
        <v>#DIV/0!</v>
      </c>
    </row>
    <row r="34" spans="2:14" s="14" customFormat="1" x14ac:dyDescent="0.25">
      <c r="B34" s="13" t="s">
        <v>13</v>
      </c>
      <c r="C34" s="13"/>
      <c r="D34" s="95">
        <f>D23</f>
        <v>0</v>
      </c>
      <c r="E34" s="18">
        <f>E23</f>
        <v>0</v>
      </c>
      <c r="F34" s="204" t="e">
        <f t="shared" si="5"/>
        <v>#DIV/0!</v>
      </c>
      <c r="G34" s="21"/>
      <c r="H34" s="95">
        <f>H23</f>
        <v>0</v>
      </c>
      <c r="I34" s="18">
        <f>I23</f>
        <v>0</v>
      </c>
      <c r="J34" s="204" t="e">
        <f t="shared" si="7"/>
        <v>#DIV/0!</v>
      </c>
      <c r="K34" s="67"/>
      <c r="L34" s="81" t="e">
        <f t="shared" si="8"/>
        <v>#DIV/0!</v>
      </c>
      <c r="M34" s="22"/>
      <c r="N34" s="195" t="e">
        <f>L34-'Rate Impacts_RY#3'!N34</f>
        <v>#DIV/0!</v>
      </c>
    </row>
    <row r="35" spans="2:14" s="14" customFormat="1" x14ac:dyDescent="0.25">
      <c r="B35" s="13" t="s">
        <v>14</v>
      </c>
      <c r="C35" s="13"/>
      <c r="D35" s="205">
        <f>SUM(D28:D34)</f>
        <v>0</v>
      </c>
      <c r="E35" s="206">
        <f>SUM(E28:E34)</f>
        <v>0</v>
      </c>
      <c r="F35" s="207" t="e">
        <f>E35/D35</f>
        <v>#DIV/0!</v>
      </c>
      <c r="G35" s="21"/>
      <c r="H35" s="205">
        <f>SUM(H28:H34)</f>
        <v>0</v>
      </c>
      <c r="I35" s="206">
        <f>SUM(I28:I34)</f>
        <v>0</v>
      </c>
      <c r="J35" s="207" t="e">
        <f>I35/H35</f>
        <v>#DIV/0!</v>
      </c>
      <c r="K35" s="67"/>
      <c r="L35" s="82" t="e">
        <f t="shared" si="8"/>
        <v>#DIV/0!</v>
      </c>
      <c r="M35" s="22"/>
      <c r="N35" s="195" t="e">
        <f>L35-'Rate Impacts_RY#3'!N35</f>
        <v>#DIV/0!</v>
      </c>
    </row>
    <row r="36" spans="2:14" s="14" customFormat="1" x14ac:dyDescent="0.25">
      <c r="B36" s="13"/>
      <c r="C36" s="13"/>
      <c r="D36" s="13"/>
      <c r="E36" s="13"/>
      <c r="F36" s="18"/>
      <c r="G36" s="21"/>
      <c r="H36" s="13"/>
      <c r="I36" s="13"/>
      <c r="J36" s="18"/>
      <c r="K36" s="67"/>
      <c r="L36" s="248"/>
      <c r="M36" s="22"/>
      <c r="N36" s="195"/>
    </row>
    <row r="37" spans="2:14" x14ac:dyDescent="0.25">
      <c r="B37" s="69" t="s">
        <v>277</v>
      </c>
      <c r="F37" s="16"/>
      <c r="I37" s="50"/>
      <c r="K37" s="197"/>
    </row>
    <row r="38" spans="2:14" x14ac:dyDescent="0.25">
      <c r="F38" s="16"/>
    </row>
    <row r="39" spans="2:14" x14ac:dyDescent="0.25">
      <c r="B39" s="51"/>
    </row>
  </sheetData>
  <mergeCells count="2">
    <mergeCell ref="D6:F6"/>
    <mergeCell ref="H6:J6"/>
  </mergeCells>
  <printOptions horizontalCentered="1"/>
  <pageMargins left="0.7" right="0.7" top="0.75" bottom="0.75" header="0.3" footer="0.3"/>
  <pageSetup scale="74" orientation="landscape" blackAndWhite="1" r:id="rId1"/>
  <headerFooter>
    <oddFooter>&amp;L&amp;F 
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L32" sqref="L32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L36" sqref="L36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90" zoomScaleNormal="90" workbookViewId="0">
      <pane xSplit="3" ySplit="9" topLeftCell="D10" activePane="bottomRight" state="frozenSplit"/>
      <selection activeCell="L36" sqref="L36"/>
      <selection pane="topRight" activeCell="L36" sqref="L36"/>
      <selection pane="bottomLeft" activeCell="L36" sqref="L36"/>
      <selection pane="bottomRight" activeCell="O11" sqref="O11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5.5703125" bestFit="1" customWidth="1"/>
    <col min="6" max="6" width="14.5703125" bestFit="1" customWidth="1"/>
    <col min="7" max="8" width="13.28515625" bestFit="1" customWidth="1"/>
    <col min="9" max="9" width="12.140625" bestFit="1" customWidth="1"/>
    <col min="10" max="10" width="13.28515625" bestFit="1" customWidth="1"/>
    <col min="11" max="11" width="14" bestFit="1" customWidth="1"/>
    <col min="12" max="12" width="12.85546875" bestFit="1" customWidth="1"/>
    <col min="13" max="14" width="13.28515625" bestFit="1" customWidth="1"/>
    <col min="15" max="15" width="15.7109375" bestFit="1" customWidth="1"/>
    <col min="16" max="16" width="13.7109375" bestFit="1" customWidth="1"/>
  </cols>
  <sheetData>
    <row r="1" spans="2:15" x14ac:dyDescent="0.25">
      <c r="B1" s="381" t="s">
        <v>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15" x14ac:dyDescent="0.25">
      <c r="B2" s="381" t="str">
        <f>'Rate Impacts_RY#1'!B2:AC2</f>
        <v>2022 Gas General Rate Case Filing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2:15" x14ac:dyDescent="0.25">
      <c r="B3" s="382" t="s">
        <v>257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2:15" x14ac:dyDescent="0.25">
      <c r="B4" s="382" t="s">
        <v>274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5" spans="2:15" x14ac:dyDescent="0.25">
      <c r="K5" s="250"/>
      <c r="N5" s="250"/>
    </row>
    <row r="6" spans="2:15" x14ac:dyDescent="0.25">
      <c r="D6" s="4" t="s">
        <v>15</v>
      </c>
      <c r="K6" s="250"/>
      <c r="N6" s="250"/>
    </row>
    <row r="7" spans="2:15" x14ac:dyDescent="0.25">
      <c r="B7" s="4"/>
      <c r="C7" s="4"/>
      <c r="D7" s="4" t="s">
        <v>121</v>
      </c>
      <c r="E7" s="250"/>
      <c r="F7" s="4"/>
      <c r="G7" s="4"/>
      <c r="H7" s="4"/>
      <c r="I7" s="4"/>
      <c r="J7" s="4"/>
      <c r="K7" s="4"/>
      <c r="L7" s="4"/>
      <c r="M7" s="4"/>
      <c r="N7" s="4"/>
      <c r="O7" s="85" t="s">
        <v>212</v>
      </c>
    </row>
    <row r="8" spans="2:15" x14ac:dyDescent="0.25">
      <c r="B8" s="4"/>
      <c r="C8" s="4" t="s">
        <v>17</v>
      </c>
      <c r="D8" s="85" t="s">
        <v>210</v>
      </c>
      <c r="E8" s="250" t="s">
        <v>268</v>
      </c>
      <c r="F8" s="4" t="s">
        <v>18</v>
      </c>
      <c r="G8" s="4" t="s">
        <v>19</v>
      </c>
      <c r="H8" s="4" t="s">
        <v>49</v>
      </c>
      <c r="I8" s="4" t="s">
        <v>80</v>
      </c>
      <c r="J8" s="4" t="s">
        <v>16</v>
      </c>
      <c r="K8" s="4" t="s">
        <v>135</v>
      </c>
      <c r="L8" s="4" t="s">
        <v>171</v>
      </c>
      <c r="M8" s="4" t="s">
        <v>134</v>
      </c>
      <c r="N8" s="4" t="s">
        <v>77</v>
      </c>
      <c r="O8" s="4" t="s">
        <v>136</v>
      </c>
    </row>
    <row r="9" spans="2:15" ht="15" customHeight="1" x14ac:dyDescent="0.25">
      <c r="B9" s="251" t="s">
        <v>4</v>
      </c>
      <c r="C9" s="251" t="s">
        <v>21</v>
      </c>
      <c r="D9" s="93" t="s">
        <v>211</v>
      </c>
      <c r="E9" s="251" t="s">
        <v>137</v>
      </c>
      <c r="F9" s="251" t="s">
        <v>2</v>
      </c>
      <c r="G9" s="251" t="s">
        <v>2</v>
      </c>
      <c r="H9" s="251" t="s">
        <v>2</v>
      </c>
      <c r="I9" s="251" t="s">
        <v>2</v>
      </c>
      <c r="J9" s="251" t="s">
        <v>2</v>
      </c>
      <c r="K9" s="251" t="s">
        <v>2</v>
      </c>
      <c r="L9" s="251" t="s">
        <v>2</v>
      </c>
      <c r="M9" s="251" t="s">
        <v>2</v>
      </c>
      <c r="N9" s="251" t="s">
        <v>2</v>
      </c>
      <c r="O9" s="151" t="s">
        <v>173</v>
      </c>
    </row>
    <row r="10" spans="2:15" x14ac:dyDescent="0.25">
      <c r="B10" s="4" t="s">
        <v>25</v>
      </c>
      <c r="C10" s="4" t="s">
        <v>26</v>
      </c>
      <c r="D10" s="4" t="s">
        <v>27</v>
      </c>
      <c r="E10" s="4" t="s">
        <v>28</v>
      </c>
      <c r="F10" s="4" t="s">
        <v>243</v>
      </c>
      <c r="G10" s="4" t="s">
        <v>132</v>
      </c>
      <c r="H10" s="4" t="s">
        <v>133</v>
      </c>
      <c r="I10" s="5" t="s">
        <v>78</v>
      </c>
      <c r="J10" s="4" t="s">
        <v>129</v>
      </c>
      <c r="K10" s="5" t="s">
        <v>29</v>
      </c>
      <c r="L10" s="5" t="s">
        <v>50</v>
      </c>
      <c r="M10" s="5" t="s">
        <v>79</v>
      </c>
      <c r="N10" s="4" t="s">
        <v>130</v>
      </c>
      <c r="O10" s="150" t="s">
        <v>244</v>
      </c>
    </row>
    <row r="11" spans="2:15" x14ac:dyDescent="0.25">
      <c r="B11" t="s">
        <v>7</v>
      </c>
      <c r="C11" s="6" t="s">
        <v>30</v>
      </c>
      <c r="D11" s="116">
        <f>SUM(Therms_CY2023!P10:P11)</f>
        <v>636369361</v>
      </c>
      <c r="E11" s="46">
        <v>383178346.96600038</v>
      </c>
      <c r="F11" s="46">
        <f>'Sch. 101'!G10</f>
        <v>294893561.88999999</v>
      </c>
      <c r="G11" s="46">
        <f>'Sch. 106'!L10</f>
        <v>16660149.869999999</v>
      </c>
      <c r="H11" s="46">
        <f>'Sch. 120'!F9</f>
        <v>12848297.39859</v>
      </c>
      <c r="I11" s="46">
        <f>'Sch. 129'!G9</f>
        <v>2322748.1676500002</v>
      </c>
      <c r="J11" s="46">
        <f>'Sch. 140'!F9</f>
        <v>14477402.962749999</v>
      </c>
      <c r="K11" s="46">
        <f>'Sch. 141X'!F9</f>
        <v>1998199.79354</v>
      </c>
      <c r="L11" s="46">
        <f>'Sch. 141Z'!F9</f>
        <v>-871826.02456999989</v>
      </c>
      <c r="M11" s="46">
        <f>'Sch. 142'!G10</f>
        <v>14331038.01</v>
      </c>
      <c r="N11" s="46">
        <f>'Sch. 149'!F9</f>
        <v>14369220.17138</v>
      </c>
      <c r="O11" s="119">
        <f t="shared" ref="O11:O23" si="0">SUM(E11:N11)</f>
        <v>754207139.20534039</v>
      </c>
    </row>
    <row r="12" spans="2:15" x14ac:dyDescent="0.25">
      <c r="B12" t="s">
        <v>31</v>
      </c>
      <c r="C12" s="6">
        <v>16</v>
      </c>
      <c r="D12" s="116">
        <f>Therms_CY2023!P9</f>
        <v>8832</v>
      </c>
      <c r="E12" s="46">
        <v>5427.9056117082582</v>
      </c>
      <c r="F12" s="46">
        <f>'Sch. 101'!G13</f>
        <v>4092.75</v>
      </c>
      <c r="G12" s="46">
        <f>'Sch. 106'!L11</f>
        <v>231.22</v>
      </c>
      <c r="H12" s="46">
        <f>'Sch. 120'!F10</f>
        <v>178.31808000000001</v>
      </c>
      <c r="I12" s="46"/>
      <c r="J12" s="46">
        <f>'Sch. 140'!F10</f>
        <v>200.928</v>
      </c>
      <c r="K12" s="46">
        <f>'Sch. 141X'!F10</f>
        <v>27.732479999999999</v>
      </c>
      <c r="L12" s="46">
        <f>'Sch. 141Z'!F10</f>
        <v>-12.099839999999999</v>
      </c>
      <c r="M12" s="46"/>
      <c r="N12" s="46">
        <f>'Sch. 149'!F10</f>
        <v>199.42655999999999</v>
      </c>
      <c r="O12" s="119">
        <f t="shared" si="0"/>
        <v>10346.180891708256</v>
      </c>
    </row>
    <row r="13" spans="2:15" x14ac:dyDescent="0.25">
      <c r="B13" t="s">
        <v>8</v>
      </c>
      <c r="C13" s="6">
        <v>31</v>
      </c>
      <c r="D13" s="116">
        <f>Therms_CY2023!P12</f>
        <v>243192248</v>
      </c>
      <c r="E13" s="46">
        <v>120079168.78333969</v>
      </c>
      <c r="F13" s="46">
        <f>'Sch. 101'!G16</f>
        <v>110803252.03</v>
      </c>
      <c r="G13" s="46">
        <f>'Sch. 106'!L12</f>
        <v>6357045.3600000003</v>
      </c>
      <c r="H13" s="46">
        <f>'Sch. 120'!F11</f>
        <v>4910051.4871199997</v>
      </c>
      <c r="I13" s="46">
        <f>'Sch. 129'!G11</f>
        <v>749032.12384000001</v>
      </c>
      <c r="J13" s="46">
        <f>'Sch. 140'!F11</f>
        <v>6400819.9673600001</v>
      </c>
      <c r="K13" s="46">
        <f>'Sch. 141X'!F11</f>
        <v>860900.55792000005</v>
      </c>
      <c r="L13" s="46">
        <f>'Sch. 141Z'!F11</f>
        <v>-357492.60456000001</v>
      </c>
      <c r="M13" s="46">
        <f>'Sch. 142'!G15</f>
        <v>7850245.7700000005</v>
      </c>
      <c r="N13" s="46">
        <f>'Sch. 149'!F11</f>
        <v>6011712.3705599997</v>
      </c>
      <c r="O13" s="119">
        <f t="shared" si="0"/>
        <v>263664735.84557974</v>
      </c>
    </row>
    <row r="14" spans="2:15" x14ac:dyDescent="0.25">
      <c r="B14" t="s">
        <v>9</v>
      </c>
      <c r="C14" s="6">
        <v>41</v>
      </c>
      <c r="D14" s="116">
        <f>Therms_CY2023!P13</f>
        <v>66922885</v>
      </c>
      <c r="E14" s="46">
        <v>16543938.455079695</v>
      </c>
      <c r="F14" s="46">
        <f>'Sch. 101'!G21</f>
        <v>28267719.23</v>
      </c>
      <c r="G14" s="46">
        <f>'Sch. 106'!L13</f>
        <v>1742002.7</v>
      </c>
      <c r="H14" s="46">
        <f>'Sch. 120'!F12</f>
        <v>1351173.0481499999</v>
      </c>
      <c r="I14" s="46">
        <f>'Sch. 129'!G14</f>
        <v>99715.09865</v>
      </c>
      <c r="J14" s="46">
        <f>'Sch. 140'!F12</f>
        <v>588252.15914999996</v>
      </c>
      <c r="K14" s="46">
        <f>'Sch. 141X'!F12</f>
        <v>89007.437050000008</v>
      </c>
      <c r="L14" s="46">
        <f>'Sch. 141Z'!F12</f>
        <v>-37476.815599999994</v>
      </c>
      <c r="M14" s="46">
        <f>'Sch. 142'!G27</f>
        <v>-1365260.29</v>
      </c>
      <c r="N14" s="46">
        <f>'Sch. 149'!F12</f>
        <v>752882.45624999993</v>
      </c>
      <c r="O14" s="119">
        <f t="shared" si="0"/>
        <v>48031953.478729695</v>
      </c>
    </row>
    <row r="15" spans="2:15" x14ac:dyDescent="0.25">
      <c r="B15" t="s">
        <v>10</v>
      </c>
      <c r="C15" s="6">
        <v>85</v>
      </c>
      <c r="D15" s="116">
        <f>Therms_CY2023!P14</f>
        <v>11124640</v>
      </c>
      <c r="E15" s="46">
        <v>1238738.0123081778</v>
      </c>
      <c r="F15" s="46">
        <f>'Sch. 101'!G26</f>
        <v>4405833.4399999995</v>
      </c>
      <c r="G15" s="46">
        <f>'Sch. 106'!L14</f>
        <v>288684.40999999997</v>
      </c>
      <c r="H15" s="46">
        <f>'Sch. 120'!F13</f>
        <v>186671.45920000001</v>
      </c>
      <c r="I15" s="46">
        <f>'Sch. 129'!G21</f>
        <v>7830.9006739575234</v>
      </c>
      <c r="J15" s="46">
        <f>'Sch. 140'!F13</f>
        <v>53954.504000000001</v>
      </c>
      <c r="K15" s="46">
        <f>'Sch. 141X'!F13</f>
        <v>9010.9583999999995</v>
      </c>
      <c r="L15" s="46">
        <f>'Sch. 141Z'!F13</f>
        <v>-3003.6527999999998</v>
      </c>
      <c r="M15" s="46"/>
      <c r="N15" s="46">
        <f>'Sch. 149'!F13</f>
        <v>74646.334399999992</v>
      </c>
      <c r="O15" s="119">
        <f t="shared" si="0"/>
        <v>6262366.3661821345</v>
      </c>
    </row>
    <row r="16" spans="2:15" x14ac:dyDescent="0.25">
      <c r="B16" t="s">
        <v>11</v>
      </c>
      <c r="C16" s="6">
        <v>86</v>
      </c>
      <c r="D16" s="116">
        <f>Therms_CY2023!P15</f>
        <v>5691490</v>
      </c>
      <c r="E16" s="46">
        <v>1102448.3581850007</v>
      </c>
      <c r="F16" s="46">
        <f>'Sch. 101'!G31</f>
        <v>2321982.29</v>
      </c>
      <c r="G16" s="46">
        <f>'Sch. 106'!L15</f>
        <v>147864.91</v>
      </c>
      <c r="H16" s="46">
        <f>'Sch. 120'!F14</f>
        <v>95503.2022</v>
      </c>
      <c r="I16" s="46">
        <f>'Sch. 129'!G23</f>
        <v>7455.8518999999997</v>
      </c>
      <c r="J16" s="46">
        <f>'Sch. 140'!F14</f>
        <v>61752.666499999999</v>
      </c>
      <c r="K16" s="46">
        <f>'Sch. 141X'!F14</f>
        <v>6943.6178</v>
      </c>
      <c r="L16" s="46">
        <f>'Sch. 141Z'!F14</f>
        <v>-1878.1917000000001</v>
      </c>
      <c r="M16" s="46">
        <f>'Sch. 142'!G43</f>
        <v>-92534.56</v>
      </c>
      <c r="N16" s="46">
        <f>'Sch. 149'!F14</f>
        <v>48150.005400000002</v>
      </c>
      <c r="O16" s="119">
        <f t="shared" si="0"/>
        <v>3697688.1502850014</v>
      </c>
    </row>
    <row r="17" spans="2:16" x14ac:dyDescent="0.25">
      <c r="B17" t="s">
        <v>12</v>
      </c>
      <c r="C17" s="6">
        <v>87</v>
      </c>
      <c r="D17" s="116">
        <f>Therms_CY2023!P16</f>
        <v>21819455.762355205</v>
      </c>
      <c r="E17" s="46">
        <v>1315417.0653802957</v>
      </c>
      <c r="F17" s="46">
        <f>'Sch. 101'!G36</f>
        <v>8662542.1300000008</v>
      </c>
      <c r="G17" s="46">
        <f>'Sch. 106'!L16</f>
        <v>566214.88</v>
      </c>
      <c r="H17" s="46">
        <f>'Sch. 120'!F15</f>
        <v>366130.46769232035</v>
      </c>
      <c r="I17" s="46">
        <f>'Sch. 129'!G33</f>
        <v>6529.6708747268322</v>
      </c>
      <c r="J17" s="46">
        <f>'Sch. 140'!F15</f>
        <v>57603.36321261774</v>
      </c>
      <c r="K17" s="46">
        <f>'Sch. 141X'!F15</f>
        <v>9382.3659778127385</v>
      </c>
      <c r="L17" s="46">
        <f>'Sch. 141Z'!F15</f>
        <v>-3054.7238067297285</v>
      </c>
      <c r="M17" s="46"/>
      <c r="N17" s="46">
        <f>'Sch. 149'!F15</f>
        <v>81604.764551208456</v>
      </c>
      <c r="O17" s="119">
        <f t="shared" si="0"/>
        <v>11062369.983882254</v>
      </c>
    </row>
    <row r="18" spans="2:16" x14ac:dyDescent="0.25">
      <c r="B18" t="s">
        <v>32</v>
      </c>
      <c r="C18" s="6" t="s">
        <v>33</v>
      </c>
      <c r="D18" s="116">
        <f>Therms_CY2023!P17</f>
        <v>34397</v>
      </c>
      <c r="E18" s="46">
        <v>22222.109393518316</v>
      </c>
      <c r="F18" s="73"/>
      <c r="G18" s="73"/>
      <c r="H18" s="46"/>
      <c r="I18" s="46">
        <f>'Sch. 129'!G12</f>
        <v>105.94275999999999</v>
      </c>
      <c r="J18" s="46">
        <f>'Sch. 140'!F16</f>
        <v>905.32903999999996</v>
      </c>
      <c r="K18" s="46">
        <f>'Sch. 141X'!F16</f>
        <v>121.76538000000001</v>
      </c>
      <c r="L18" s="46">
        <f>'Sch. 141Z'!F16</f>
        <v>-50.563589999999998</v>
      </c>
      <c r="M18" s="46">
        <f>'Sch. 142'!G18</f>
        <v>1072.1500000000001</v>
      </c>
      <c r="N18" s="46">
        <f>'Sch. 149'!F16</f>
        <v>850.29383999999993</v>
      </c>
      <c r="O18" s="119">
        <f t="shared" si="0"/>
        <v>25227.026823518318</v>
      </c>
    </row>
    <row r="19" spans="2:16" x14ac:dyDescent="0.25">
      <c r="B19" t="s">
        <v>34</v>
      </c>
      <c r="C19" t="s">
        <v>35</v>
      </c>
      <c r="D19" s="116">
        <f>Therms_CY2023!P18</f>
        <v>25464521</v>
      </c>
      <c r="E19" s="46">
        <v>4707911.3815120682</v>
      </c>
      <c r="F19" s="73"/>
      <c r="G19" s="73"/>
      <c r="H19" s="46"/>
      <c r="I19" s="46">
        <f>'Sch. 129'!G15</f>
        <v>37942.136290000002</v>
      </c>
      <c r="J19" s="46">
        <f>'Sch. 140'!F17</f>
        <v>223833.13958999998</v>
      </c>
      <c r="K19" s="46">
        <f>'Sch. 141X'!F17</f>
        <v>33867.81293</v>
      </c>
      <c r="L19" s="46">
        <f>'Sch. 141Z'!F17</f>
        <v>-14260.131759999998</v>
      </c>
      <c r="M19" s="46">
        <f>'Sch. 142'!G35</f>
        <v>-427961.37</v>
      </c>
      <c r="N19" s="46">
        <f>'Sch. 149'!F17</f>
        <v>286475.86125000002</v>
      </c>
      <c r="O19" s="119">
        <f t="shared" si="0"/>
        <v>4847808.8298120676</v>
      </c>
    </row>
    <row r="20" spans="2:16" x14ac:dyDescent="0.25">
      <c r="B20" t="s">
        <v>36</v>
      </c>
      <c r="C20" t="s">
        <v>37</v>
      </c>
      <c r="D20" s="116">
        <f>Therms_CY2023!P19</f>
        <v>62787518</v>
      </c>
      <c r="E20" s="46">
        <v>6174279.9156339392</v>
      </c>
      <c r="F20" s="73"/>
      <c r="G20" s="73"/>
      <c r="H20" s="46"/>
      <c r="I20" s="46">
        <f>'Sch. 129'!G39</f>
        <v>41811.336067854994</v>
      </c>
      <c r="J20" s="46">
        <f>'Sch. 140'!F18</f>
        <v>304519.46230000001</v>
      </c>
      <c r="K20" s="46">
        <f>'Sch. 141X'!F18</f>
        <v>50857.889579999995</v>
      </c>
      <c r="L20" s="46">
        <f>'Sch. 141Z'!F18</f>
        <v>-16952.629860000001</v>
      </c>
      <c r="M20" s="46"/>
      <c r="N20" s="46">
        <f>'Sch. 149'!F18</f>
        <v>421304.24578</v>
      </c>
      <c r="O20" s="119">
        <f t="shared" si="0"/>
        <v>6975820.2195017952</v>
      </c>
    </row>
    <row r="21" spans="2:16" x14ac:dyDescent="0.25">
      <c r="B21" t="s">
        <v>38</v>
      </c>
      <c r="C21" t="s">
        <v>39</v>
      </c>
      <c r="D21" s="116">
        <f>Therms_CY2023!P20</f>
        <v>542409</v>
      </c>
      <c r="E21" s="46">
        <v>139313.39952508218</v>
      </c>
      <c r="F21" s="73"/>
      <c r="G21" s="73"/>
      <c r="H21" s="46"/>
      <c r="I21" s="46">
        <f>'Sch. 129'!G24</f>
        <v>710.55579</v>
      </c>
      <c r="J21" s="46">
        <f>'Sch. 140'!F19</f>
        <v>5885.1376500000006</v>
      </c>
      <c r="K21" s="46">
        <f>'Sch. 141X'!F19</f>
        <v>661.73897999999997</v>
      </c>
      <c r="L21" s="46">
        <f>'Sch. 141Z'!F19</f>
        <v>-178.99497</v>
      </c>
      <c r="M21" s="46">
        <f>'Sch. 142'!G50</f>
        <v>-10097.36</v>
      </c>
      <c r="N21" s="46">
        <f>'Sch. 149'!F19</f>
        <v>4588.7801399999998</v>
      </c>
      <c r="O21" s="119">
        <f t="shared" si="0"/>
        <v>140883.25711508218</v>
      </c>
    </row>
    <row r="22" spans="2:16" x14ac:dyDescent="0.25">
      <c r="B22" t="s">
        <v>40</v>
      </c>
      <c r="C22" t="s">
        <v>41</v>
      </c>
      <c r="D22" s="116">
        <f>Therms_CY2023!P21</f>
        <v>128953412.64547956</v>
      </c>
      <c r="E22" s="46">
        <v>5198994.1830287995</v>
      </c>
      <c r="F22" s="46"/>
      <c r="G22" s="46"/>
      <c r="H22" s="46"/>
      <c r="I22" s="46">
        <f>'Sch. 129'!G48</f>
        <v>29270.283134376732</v>
      </c>
      <c r="J22" s="46">
        <f>'Sch. 140'!F20</f>
        <v>340437.00938406604</v>
      </c>
      <c r="K22" s="46">
        <f>'Sch. 141X'!F20</f>
        <v>55449.96743755621</v>
      </c>
      <c r="L22" s="46">
        <f>'Sch. 141Z'!F20</f>
        <v>-18053.477770367135</v>
      </c>
      <c r="M22" s="46"/>
      <c r="N22" s="46">
        <f>'Sch. 149'!F20</f>
        <v>482285.76329409354</v>
      </c>
      <c r="O22" s="119">
        <f t="shared" si="0"/>
        <v>6088383.7285085246</v>
      </c>
    </row>
    <row r="23" spans="2:16" x14ac:dyDescent="0.25">
      <c r="B23" t="s">
        <v>13</v>
      </c>
      <c r="D23" s="116">
        <f>Therms_CY2023!P22</f>
        <v>31066760</v>
      </c>
      <c r="E23" s="46">
        <v>1620924.2085755297</v>
      </c>
      <c r="F23" s="46"/>
      <c r="G23" s="46"/>
      <c r="H23" s="46"/>
      <c r="I23" s="46"/>
      <c r="J23" s="46">
        <f>'Sch. 140'!F21</f>
        <v>40697.455600000001</v>
      </c>
      <c r="K23" s="46">
        <f>'Sch. 141X'!F21</f>
        <v>6524.0196000000005</v>
      </c>
      <c r="L23" s="46">
        <f>'Sch. 141Z'!F21</f>
        <v>-2174.6731999999997</v>
      </c>
      <c r="M23" s="46"/>
      <c r="N23" s="46">
        <f>'Sch. 149'!F21</f>
        <v>28892.086800000001</v>
      </c>
      <c r="O23" s="119">
        <f t="shared" si="0"/>
        <v>1694863.0973755296</v>
      </c>
    </row>
    <row r="24" spans="2:16" x14ac:dyDescent="0.25">
      <c r="B24" t="s">
        <v>6</v>
      </c>
      <c r="D24" s="11">
        <f>SUM(D11:D23)</f>
        <v>1233977929.407835</v>
      </c>
      <c r="E24" s="12">
        <f>SUM(E11:E23)</f>
        <v>541327130.74357378</v>
      </c>
      <c r="F24" s="12">
        <f t="shared" ref="F24:H24" si="1">SUM(F11:F23)</f>
        <v>449358983.75999999</v>
      </c>
      <c r="G24" s="12">
        <f t="shared" si="1"/>
        <v>25762193.349999998</v>
      </c>
      <c r="H24" s="12">
        <f t="shared" si="1"/>
        <v>19758005.381032318</v>
      </c>
      <c r="I24" s="12">
        <f>SUM(I11:I23)</f>
        <v>3303152.0676309164</v>
      </c>
      <c r="J24" s="12">
        <f>SUM(J11:J23)</f>
        <v>22556264.084536683</v>
      </c>
      <c r="K24" s="12">
        <f>SUM(K11:K23)</f>
        <v>3120955.6570753693</v>
      </c>
      <c r="L24" s="12">
        <f>SUM(L11:L23)</f>
        <v>-1326414.5840270973</v>
      </c>
      <c r="M24" s="12">
        <f t="shared" ref="M24:O24" si="2">SUM(M11:M23)</f>
        <v>20286502.350000001</v>
      </c>
      <c r="N24" s="12">
        <f t="shared" si="2"/>
        <v>22562812.560205296</v>
      </c>
      <c r="O24" s="125">
        <f t="shared" si="2"/>
        <v>1106709585.3700273</v>
      </c>
      <c r="P24" s="9"/>
    </row>
    <row r="25" spans="2:16" x14ac:dyDescent="0.25">
      <c r="D25" s="16"/>
      <c r="I25" s="9"/>
      <c r="L25" s="9"/>
      <c r="M25" s="9"/>
      <c r="O25" s="9"/>
    </row>
    <row r="26" spans="2:16" s="14" customFormat="1" x14ac:dyDescent="0.25">
      <c r="B26" s="152" t="s">
        <v>160</v>
      </c>
      <c r="C26" s="17"/>
    </row>
    <row r="27" spans="2:16" s="14" customFormat="1" x14ac:dyDescent="0.25">
      <c r="B27" s="69" t="s">
        <v>42</v>
      </c>
      <c r="C27" s="69"/>
      <c r="D27" s="235">
        <f>D11+D12</f>
        <v>636378193</v>
      </c>
      <c r="E27" s="18">
        <f>E11+E12</f>
        <v>383183774.87161207</v>
      </c>
      <c r="F27" s="18">
        <f t="shared" ref="F27:N27" si="3">F11+F12</f>
        <v>294897654.63999999</v>
      </c>
      <c r="G27" s="18">
        <f t="shared" si="3"/>
        <v>16660381.09</v>
      </c>
      <c r="H27" s="18">
        <f t="shared" si="3"/>
        <v>12848475.716670001</v>
      </c>
      <c r="I27" s="18">
        <f t="shared" si="3"/>
        <v>2322748.1676500002</v>
      </c>
      <c r="J27" s="18">
        <f t="shared" si="3"/>
        <v>14477603.890749998</v>
      </c>
      <c r="K27" s="18">
        <f t="shared" si="3"/>
        <v>1998227.52602</v>
      </c>
      <c r="L27" s="18">
        <f t="shared" si="3"/>
        <v>-871838.12440999993</v>
      </c>
      <c r="M27" s="18">
        <f t="shared" si="3"/>
        <v>14331038.01</v>
      </c>
      <c r="N27" s="18">
        <f t="shared" si="3"/>
        <v>14369419.59794</v>
      </c>
      <c r="O27" s="18">
        <f>O11+O12</f>
        <v>754217485.38623214</v>
      </c>
      <c r="P27" s="19"/>
    </row>
    <row r="28" spans="2:16" s="14" customFormat="1" x14ac:dyDescent="0.25">
      <c r="B28" s="20" t="s">
        <v>43</v>
      </c>
      <c r="C28" s="20"/>
      <c r="D28" s="235">
        <f t="shared" ref="D28:N32" si="4">D13+D18</f>
        <v>243226645</v>
      </c>
      <c r="E28" s="18">
        <f t="shared" si="4"/>
        <v>120101390.89273322</v>
      </c>
      <c r="F28" s="18">
        <f t="shared" si="4"/>
        <v>110803252.03</v>
      </c>
      <c r="G28" s="18">
        <f t="shared" si="4"/>
        <v>6357045.3600000003</v>
      </c>
      <c r="H28" s="18">
        <f t="shared" si="4"/>
        <v>4910051.4871199997</v>
      </c>
      <c r="I28" s="18">
        <f t="shared" si="4"/>
        <v>749138.06660000002</v>
      </c>
      <c r="J28" s="18">
        <f t="shared" si="4"/>
        <v>6401725.2964000003</v>
      </c>
      <c r="K28" s="18">
        <f t="shared" si="4"/>
        <v>861022.32330000005</v>
      </c>
      <c r="L28" s="18">
        <f t="shared" si="4"/>
        <v>-357543.16814999998</v>
      </c>
      <c r="M28" s="18">
        <f t="shared" si="4"/>
        <v>7851317.9200000009</v>
      </c>
      <c r="N28" s="18">
        <f t="shared" si="4"/>
        <v>6012562.6644000001</v>
      </c>
      <c r="O28" s="18">
        <f>O13+O18</f>
        <v>263689962.87240326</v>
      </c>
    </row>
    <row r="29" spans="2:16" s="14" customFormat="1" x14ac:dyDescent="0.25">
      <c r="B29" s="69" t="s">
        <v>44</v>
      </c>
      <c r="C29" s="69"/>
      <c r="D29" s="235">
        <f t="shared" si="4"/>
        <v>92387406</v>
      </c>
      <c r="E29" s="18">
        <f t="shared" si="4"/>
        <v>21251849.836591765</v>
      </c>
      <c r="F29" s="18">
        <f t="shared" si="4"/>
        <v>28267719.23</v>
      </c>
      <c r="G29" s="18">
        <f t="shared" si="4"/>
        <v>1742002.7</v>
      </c>
      <c r="H29" s="18">
        <f t="shared" si="4"/>
        <v>1351173.0481499999</v>
      </c>
      <c r="I29" s="18">
        <f t="shared" si="4"/>
        <v>137657.23493999999</v>
      </c>
      <c r="J29" s="18">
        <f t="shared" si="4"/>
        <v>812085.29874</v>
      </c>
      <c r="K29" s="18">
        <f t="shared" si="4"/>
        <v>122875.24998000001</v>
      </c>
      <c r="L29" s="18">
        <f t="shared" si="4"/>
        <v>-51736.947359999991</v>
      </c>
      <c r="M29" s="18">
        <f t="shared" si="4"/>
        <v>-1793221.6600000001</v>
      </c>
      <c r="N29" s="18">
        <f t="shared" si="4"/>
        <v>1039358.3174999999</v>
      </c>
      <c r="O29" s="18">
        <f>O14+O19</f>
        <v>52879762.30854176</v>
      </c>
    </row>
    <row r="30" spans="2:16" s="14" customFormat="1" x14ac:dyDescent="0.25">
      <c r="B30" s="69" t="s">
        <v>45</v>
      </c>
      <c r="C30" s="69"/>
      <c r="D30" s="235">
        <f t="shared" si="4"/>
        <v>73912158</v>
      </c>
      <c r="E30" s="18">
        <f t="shared" si="4"/>
        <v>7413017.9279421167</v>
      </c>
      <c r="F30" s="18">
        <f t="shared" si="4"/>
        <v>4405833.4399999995</v>
      </c>
      <c r="G30" s="18">
        <f t="shared" si="4"/>
        <v>288684.40999999997</v>
      </c>
      <c r="H30" s="18">
        <f t="shared" si="4"/>
        <v>186671.45920000001</v>
      </c>
      <c r="I30" s="18">
        <f t="shared" si="4"/>
        <v>49642.236741812521</v>
      </c>
      <c r="J30" s="18">
        <f t="shared" si="4"/>
        <v>358473.96630000003</v>
      </c>
      <c r="K30" s="18">
        <f t="shared" si="4"/>
        <v>59868.847979999991</v>
      </c>
      <c r="L30" s="18">
        <f t="shared" si="4"/>
        <v>-19956.282660000001</v>
      </c>
      <c r="M30" s="18">
        <f t="shared" si="4"/>
        <v>0</v>
      </c>
      <c r="N30" s="18">
        <f t="shared" si="4"/>
        <v>495950.58017999999</v>
      </c>
      <c r="O30" s="18">
        <f>O15+O20</f>
        <v>13238186.585683931</v>
      </c>
    </row>
    <row r="31" spans="2:16" s="14" customFormat="1" x14ac:dyDescent="0.25">
      <c r="B31" s="69" t="s">
        <v>46</v>
      </c>
      <c r="C31" s="69"/>
      <c r="D31" s="235">
        <f t="shared" si="4"/>
        <v>6233899</v>
      </c>
      <c r="E31" s="18">
        <f t="shared" si="4"/>
        <v>1241761.7577100829</v>
      </c>
      <c r="F31" s="18">
        <f t="shared" si="4"/>
        <v>2321982.29</v>
      </c>
      <c r="G31" s="18">
        <f t="shared" si="4"/>
        <v>147864.91</v>
      </c>
      <c r="H31" s="18">
        <f t="shared" si="4"/>
        <v>95503.2022</v>
      </c>
      <c r="I31" s="18">
        <f t="shared" si="4"/>
        <v>8166.40769</v>
      </c>
      <c r="J31" s="18">
        <f t="shared" si="4"/>
        <v>67637.804149999996</v>
      </c>
      <c r="K31" s="18">
        <f t="shared" si="4"/>
        <v>7605.3567800000001</v>
      </c>
      <c r="L31" s="18">
        <f t="shared" si="4"/>
        <v>-2057.18667</v>
      </c>
      <c r="M31" s="18">
        <f t="shared" si="4"/>
        <v>-102631.92</v>
      </c>
      <c r="N31" s="18">
        <f t="shared" si="4"/>
        <v>52738.785540000004</v>
      </c>
      <c r="O31" s="18">
        <f>O16+O21</f>
        <v>3838571.4074000837</v>
      </c>
    </row>
    <row r="32" spans="2:16" s="14" customFormat="1" x14ac:dyDescent="0.25">
      <c r="B32" s="13" t="s">
        <v>47</v>
      </c>
      <c r="C32" s="13"/>
      <c r="D32" s="235">
        <f t="shared" si="4"/>
        <v>150772868.40783477</v>
      </c>
      <c r="E32" s="18">
        <f t="shared" si="4"/>
        <v>6514411.2484090952</v>
      </c>
      <c r="F32" s="18">
        <f t="shared" si="4"/>
        <v>8662542.1300000008</v>
      </c>
      <c r="G32" s="18">
        <f t="shared" si="4"/>
        <v>566214.88</v>
      </c>
      <c r="H32" s="18">
        <f t="shared" si="4"/>
        <v>366130.46769232035</v>
      </c>
      <c r="I32" s="18">
        <f t="shared" si="4"/>
        <v>35799.954009103567</v>
      </c>
      <c r="J32" s="18">
        <f t="shared" si="4"/>
        <v>398040.3725966838</v>
      </c>
      <c r="K32" s="18">
        <f t="shared" si="4"/>
        <v>64832.33341536895</v>
      </c>
      <c r="L32" s="18">
        <f t="shared" si="4"/>
        <v>-21108.201577096865</v>
      </c>
      <c r="M32" s="18">
        <f t="shared" si="4"/>
        <v>0</v>
      </c>
      <c r="N32" s="18">
        <f t="shared" si="4"/>
        <v>563890.52784530201</v>
      </c>
      <c r="O32" s="18">
        <f>O17+O22</f>
        <v>17150753.71239078</v>
      </c>
    </row>
    <row r="33" spans="2:15" s="14" customFormat="1" x14ac:dyDescent="0.25">
      <c r="B33" s="13" t="s">
        <v>13</v>
      </c>
      <c r="C33" s="13"/>
      <c r="D33" s="235">
        <f>D23</f>
        <v>31066760</v>
      </c>
      <c r="E33" s="18">
        <f>E23</f>
        <v>1620924.2085755297</v>
      </c>
      <c r="F33" s="18">
        <f t="shared" ref="F33:N33" si="5">F23</f>
        <v>0</v>
      </c>
      <c r="G33" s="18">
        <f t="shared" si="5"/>
        <v>0</v>
      </c>
      <c r="H33" s="18">
        <f t="shared" si="5"/>
        <v>0</v>
      </c>
      <c r="I33" s="18">
        <f t="shared" si="5"/>
        <v>0</v>
      </c>
      <c r="J33" s="18">
        <f t="shared" si="5"/>
        <v>40697.455600000001</v>
      </c>
      <c r="K33" s="18">
        <f t="shared" si="5"/>
        <v>6524.0196000000005</v>
      </c>
      <c r="L33" s="18">
        <f t="shared" si="5"/>
        <v>-2174.6731999999997</v>
      </c>
      <c r="M33" s="18">
        <f t="shared" si="5"/>
        <v>0</v>
      </c>
      <c r="N33" s="18">
        <f t="shared" si="5"/>
        <v>28892.086800000001</v>
      </c>
      <c r="O33" s="18">
        <f>O23</f>
        <v>1694863.0973755296</v>
      </c>
    </row>
    <row r="34" spans="2:15" s="14" customFormat="1" x14ac:dyDescent="0.25">
      <c r="B34" s="13" t="s">
        <v>14</v>
      </c>
      <c r="C34" s="13"/>
      <c r="D34" s="236">
        <f>SUM(D27:D33)</f>
        <v>1233977929.4078348</v>
      </c>
      <c r="E34" s="23">
        <f>SUM(E27:E33)</f>
        <v>541327130.7435739</v>
      </c>
      <c r="F34" s="23">
        <f t="shared" ref="F34:N34" si="6">SUM(F27:F33)</f>
        <v>449358983.75999999</v>
      </c>
      <c r="G34" s="23">
        <f t="shared" si="6"/>
        <v>25762193.349999998</v>
      </c>
      <c r="H34" s="23">
        <f t="shared" si="6"/>
        <v>19758005.381032318</v>
      </c>
      <c r="I34" s="23">
        <f t="shared" si="6"/>
        <v>3303152.0676309159</v>
      </c>
      <c r="J34" s="23">
        <f t="shared" si="6"/>
        <v>22556264.084536683</v>
      </c>
      <c r="K34" s="23">
        <f t="shared" si="6"/>
        <v>3120955.6570753693</v>
      </c>
      <c r="L34" s="23">
        <f t="shared" si="6"/>
        <v>-1326414.5840270971</v>
      </c>
      <c r="M34" s="23">
        <f t="shared" si="6"/>
        <v>20286502.349999998</v>
      </c>
      <c r="N34" s="23">
        <f t="shared" si="6"/>
        <v>22562812.560205303</v>
      </c>
      <c r="O34" s="23">
        <f>SUM(O27:O33)</f>
        <v>1106709585.3700278</v>
      </c>
    </row>
    <row r="35" spans="2:15" s="14" customFormat="1" x14ac:dyDescent="0.25">
      <c r="B35" s="15"/>
      <c r="C35" s="15"/>
      <c r="F35" s="22"/>
      <c r="I35" s="15"/>
      <c r="K35" s="15"/>
      <c r="L35" s="15"/>
      <c r="M35" s="15"/>
      <c r="N35" s="15"/>
      <c r="O35" s="15"/>
    </row>
    <row r="36" spans="2:15" ht="17.25" x14ac:dyDescent="0.25">
      <c r="B36" t="s">
        <v>256</v>
      </c>
      <c r="E36" s="50"/>
      <c r="I36" s="16"/>
      <c r="L36" s="16"/>
      <c r="M36" s="16"/>
      <c r="O36" s="16"/>
    </row>
    <row r="37" spans="2:15" ht="17.25" x14ac:dyDescent="0.25">
      <c r="B37" t="s">
        <v>203</v>
      </c>
    </row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8"/>
  <sheetViews>
    <sheetView zoomScale="90" zoomScaleNormal="90" workbookViewId="0">
      <pane xSplit="3" ySplit="9" topLeftCell="D10" activePane="bottomRight" state="frozenSplit"/>
      <selection activeCell="L36" sqref="L36"/>
      <selection pane="topRight" activeCell="L36" sqref="L36"/>
      <selection pane="bottomLeft" activeCell="L36" sqref="L36"/>
      <selection pane="bottomRight" activeCell="J37" sqref="J37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5.5703125" bestFit="1" customWidth="1"/>
    <col min="6" max="6" width="14.5703125" bestFit="1" customWidth="1"/>
    <col min="7" max="8" width="13.28515625" bestFit="1" customWidth="1"/>
    <col min="9" max="9" width="12.140625" bestFit="1" customWidth="1"/>
    <col min="10" max="10" width="13.28515625" bestFit="1" customWidth="1"/>
    <col min="11" max="12" width="13.28515625" customWidth="1"/>
    <col min="13" max="13" width="14" bestFit="1" customWidth="1"/>
    <col min="14" max="14" width="12.85546875" bestFit="1" customWidth="1"/>
    <col min="15" max="15" width="13.28515625" bestFit="1" customWidth="1"/>
    <col min="16" max="16" width="15.7109375" bestFit="1" customWidth="1"/>
    <col min="17" max="17" width="13.7109375" bestFit="1" customWidth="1"/>
  </cols>
  <sheetData>
    <row r="1" spans="2:16" x14ac:dyDescent="0.25">
      <c r="B1" s="381" t="s">
        <v>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2:16" x14ac:dyDescent="0.25">
      <c r="B2" s="381" t="str">
        <f>'Rate Impacts_RY#1'!B2:AC2</f>
        <v>2022 Gas General Rate Case Filing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</row>
    <row r="3" spans="2:16" x14ac:dyDescent="0.25">
      <c r="B3" s="382" t="s">
        <v>257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</row>
    <row r="4" spans="2:16" x14ac:dyDescent="0.25">
      <c r="B4" s="382" t="s">
        <v>275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2:16" x14ac:dyDescent="0.25">
      <c r="M5" s="271"/>
    </row>
    <row r="6" spans="2:16" x14ac:dyDescent="0.25">
      <c r="D6" s="4" t="s">
        <v>15</v>
      </c>
      <c r="M6" s="271"/>
    </row>
    <row r="7" spans="2:16" x14ac:dyDescent="0.25">
      <c r="B7" s="4"/>
      <c r="C7" s="4"/>
      <c r="D7" s="4" t="s">
        <v>121</v>
      </c>
      <c r="E7" s="330"/>
      <c r="F7" s="4"/>
      <c r="G7" s="4"/>
      <c r="H7" s="4"/>
      <c r="I7" s="4"/>
      <c r="J7" s="4"/>
      <c r="K7" s="4"/>
      <c r="L7" s="4"/>
      <c r="M7" s="4"/>
      <c r="N7" s="4"/>
      <c r="O7" s="4"/>
      <c r="P7" s="85" t="s">
        <v>220</v>
      </c>
    </row>
    <row r="8" spans="2:16" x14ac:dyDescent="0.25">
      <c r="B8" s="4"/>
      <c r="C8" s="4" t="s">
        <v>17</v>
      </c>
      <c r="D8" s="85" t="s">
        <v>269</v>
      </c>
      <c r="E8" s="271" t="s">
        <v>268</v>
      </c>
      <c r="F8" s="4" t="s">
        <v>18</v>
      </c>
      <c r="G8" s="4" t="s">
        <v>19</v>
      </c>
      <c r="H8" s="4" t="s">
        <v>49</v>
      </c>
      <c r="I8" s="4" t="s">
        <v>80</v>
      </c>
      <c r="J8" s="4" t="s">
        <v>16</v>
      </c>
      <c r="K8" s="334" t="s">
        <v>391</v>
      </c>
      <c r="L8" s="4" t="s">
        <v>272</v>
      </c>
      <c r="M8" s="4" t="s">
        <v>273</v>
      </c>
      <c r="N8" s="4" t="s">
        <v>171</v>
      </c>
      <c r="O8" s="4" t="s">
        <v>134</v>
      </c>
      <c r="P8" s="4" t="s">
        <v>136</v>
      </c>
    </row>
    <row r="9" spans="2:16" ht="15" customHeight="1" x14ac:dyDescent="0.25">
      <c r="B9" s="269" t="s">
        <v>4</v>
      </c>
      <c r="C9" s="269" t="s">
        <v>21</v>
      </c>
      <c r="D9" s="93" t="s">
        <v>270</v>
      </c>
      <c r="E9" s="269" t="s">
        <v>137</v>
      </c>
      <c r="F9" s="269" t="s">
        <v>2</v>
      </c>
      <c r="G9" s="269" t="s">
        <v>2</v>
      </c>
      <c r="H9" s="269" t="s">
        <v>2</v>
      </c>
      <c r="I9" s="269" t="s">
        <v>2</v>
      </c>
      <c r="J9" s="269" t="s">
        <v>2</v>
      </c>
      <c r="K9" s="335" t="s">
        <v>393</v>
      </c>
      <c r="L9" s="311" t="s">
        <v>137</v>
      </c>
      <c r="M9" s="311" t="s">
        <v>137</v>
      </c>
      <c r="N9" s="269" t="s">
        <v>2</v>
      </c>
      <c r="O9" s="269" t="s">
        <v>2</v>
      </c>
      <c r="P9" s="151" t="s">
        <v>173</v>
      </c>
    </row>
    <row r="10" spans="2:16" x14ac:dyDescent="0.25">
      <c r="B10" s="4" t="s">
        <v>25</v>
      </c>
      <c r="C10" s="4" t="s">
        <v>26</v>
      </c>
      <c r="D10" s="4" t="s">
        <v>27</v>
      </c>
      <c r="E10" s="4" t="s">
        <v>28</v>
      </c>
      <c r="F10" s="4" t="s">
        <v>243</v>
      </c>
      <c r="G10" s="4" t="s">
        <v>132</v>
      </c>
      <c r="H10" s="4" t="s">
        <v>133</v>
      </c>
      <c r="I10" s="5" t="s">
        <v>78</v>
      </c>
      <c r="J10" s="4" t="s">
        <v>129</v>
      </c>
      <c r="K10" s="337" t="s">
        <v>29</v>
      </c>
      <c r="L10" s="5" t="s">
        <v>50</v>
      </c>
      <c r="M10" s="5" t="s">
        <v>79</v>
      </c>
      <c r="N10" s="5" t="s">
        <v>130</v>
      </c>
      <c r="O10" s="4" t="s">
        <v>394</v>
      </c>
      <c r="P10" s="150" t="s">
        <v>395</v>
      </c>
    </row>
    <row r="11" spans="2:16" x14ac:dyDescent="0.25">
      <c r="B11" t="s">
        <v>7</v>
      </c>
      <c r="C11" s="6" t="s">
        <v>30</v>
      </c>
      <c r="D11" s="116">
        <f>SUM(Therms_CY2024!P10:P11)</f>
        <v>639464549</v>
      </c>
      <c r="E11" s="46">
        <f>'[1]Exh JDT-5 (JDT-MYRP)'!$N$18</f>
        <v>417201989.73536998</v>
      </c>
      <c r="F11" s="238">
        <f>('Revenue by Sch_RY#1'!F11/'Revenue by Sch_RY#1'!D11)*'Revenue by Sch_RY#2'!D11</f>
        <v>296327872.00921261</v>
      </c>
      <c r="G11" s="46">
        <f>('Revenue by Sch_RY#1'!G11/'Revenue by Sch_RY#1'!D11)*'Revenue by Sch_RY#2'!D11</f>
        <v>16741181.891835231</v>
      </c>
      <c r="H11" s="46">
        <f>('Revenue by Sch_RY#1'!H11/'Revenue by Sch_RY#1'!D11)*'Revenue by Sch_RY#2'!D11</f>
        <v>12910789.244309999</v>
      </c>
      <c r="I11" s="46">
        <f>('Revenue by Sch_RY#1'!I11/'Revenue by Sch_RY#1'!D11)*'Revenue by Sch_RY#2'!D11</f>
        <v>2334045.6038500001</v>
      </c>
      <c r="J11" s="46">
        <f>('Revenue by Sch_RY#1'!J11/'Revenue by Sch_RY#1'!D11)*'Revenue by Sch_RY#2'!D11</f>
        <v>14547818.48975</v>
      </c>
      <c r="K11" s="351">
        <f>'Sch. 141D_2024'!F9</f>
        <v>2084654.4297399998</v>
      </c>
      <c r="L11" s="46">
        <f>'Sch. 141N_2024'!F9</f>
        <v>15692460.03246</v>
      </c>
      <c r="M11" s="46">
        <f>'Sch. 141R_2024'!F9</f>
        <v>14336795.188579999</v>
      </c>
      <c r="N11" s="46">
        <f>('Revenue by Sch_RY#1'!L11/'Revenue by Sch_RY#1'!D11)*'Revenue by Sch_RY#2'!D11</f>
        <v>-876066.43212999997</v>
      </c>
      <c r="O11" s="46">
        <f>('Revenue by Sch_RY#1'!M11/'Revenue by Sch_RY#1'!D11)*'Revenue by Sch_RY#2'!D11</f>
        <v>14400741.643761363</v>
      </c>
      <c r="P11" s="119">
        <f t="shared" ref="P11:P23" si="0">SUM(E11:O11)</f>
        <v>805702281.8367393</v>
      </c>
    </row>
    <row r="12" spans="2:16" x14ac:dyDescent="0.25">
      <c r="B12" t="s">
        <v>31</v>
      </c>
      <c r="C12" s="6">
        <v>16</v>
      </c>
      <c r="D12" s="116">
        <f>Therms_CY2024!P9</f>
        <v>8832</v>
      </c>
      <c r="E12" s="46">
        <f>'[1]Exh JDT-5 (JDT-MYRP)'!$N$34</f>
        <v>5643.18</v>
      </c>
      <c r="F12" s="238">
        <f>('Revenue by Sch_RY#1'!F12/'Revenue by Sch_RY#1'!D12)*'Revenue by Sch_RY#2'!D12</f>
        <v>4092.7500000000005</v>
      </c>
      <c r="G12" s="46">
        <f>('Revenue by Sch_RY#1'!G12/'Revenue by Sch_RY#1'!D12)*'Revenue by Sch_RY#2'!D12</f>
        <v>231.21999999999997</v>
      </c>
      <c r="H12" s="46">
        <f>('Revenue by Sch_RY#1'!H12/'Revenue by Sch_RY#1'!D12)*'Revenue by Sch_RY#2'!D12</f>
        <v>178.31808000000001</v>
      </c>
      <c r="I12" s="46">
        <f>('Revenue by Sch_RY#1'!I12/'Revenue by Sch_RY#1'!D12)*'Revenue by Sch_RY#2'!D12</f>
        <v>0</v>
      </c>
      <c r="J12" s="46">
        <f>('Revenue by Sch_RY#1'!J12/'Revenue by Sch_RY#1'!D12)*'Revenue by Sch_RY#2'!D12</f>
        <v>200.928</v>
      </c>
      <c r="K12" s="351">
        <f>'Sch. 141D_2024'!F10</f>
        <v>28.79232</v>
      </c>
      <c r="L12" s="46">
        <f>'Sch. 141N_2024'!F10</f>
        <v>216.73728</v>
      </c>
      <c r="M12" s="46">
        <f>'Sch. 141R_2024'!F10</f>
        <v>198.01344</v>
      </c>
      <c r="N12" s="46">
        <f>('Revenue by Sch_RY#1'!L12/'Revenue by Sch_RY#1'!D12)*'Revenue by Sch_RY#2'!D12</f>
        <v>-12.099839999999999</v>
      </c>
      <c r="O12" s="46"/>
      <c r="P12" s="119">
        <f t="shared" si="0"/>
        <v>10777.839279999998</v>
      </c>
    </row>
    <row r="13" spans="2:16" x14ac:dyDescent="0.25">
      <c r="B13" t="s">
        <v>8</v>
      </c>
      <c r="C13" s="6">
        <v>31</v>
      </c>
      <c r="D13" s="116">
        <f>Therms_CY2024!P12</f>
        <v>245936243</v>
      </c>
      <c r="E13" s="46">
        <f>'[1]Exh JDT-5 (JDT-MYRP)'!$N$48</f>
        <v>132871324.84063001</v>
      </c>
      <c r="F13" s="238">
        <f>('Revenue by Sch_RY#1'!F13/'Revenue by Sch_RY#1'!D13)*'Revenue by Sch_RY#2'!D13</f>
        <v>112053471.03185758</v>
      </c>
      <c r="G13" s="46">
        <f>('Revenue by Sch_RY#1'!G13/'Revenue by Sch_RY#1'!D13)*'Revenue by Sch_RY#2'!D13</f>
        <v>6428773.3892693091</v>
      </c>
      <c r="H13" s="46">
        <f>('Revenue by Sch_RY#1'!H13/'Revenue by Sch_RY#1'!D13)*'Revenue by Sch_RY#2'!D13</f>
        <v>4965452.7461700002</v>
      </c>
      <c r="I13" s="46">
        <f>('Revenue by Sch_RY#1'!I13/'Revenue by Sch_RY#1'!D13)*'Revenue by Sch_RY#2'!D13</f>
        <v>757483.62844000012</v>
      </c>
      <c r="J13" s="46">
        <f>('Revenue by Sch_RY#1'!J13/'Revenue by Sch_RY#1'!D13)*'Revenue by Sch_RY#2'!D13</f>
        <v>6473041.9157600002</v>
      </c>
      <c r="K13" s="351">
        <f>'Sch. 141D_2024'!F11</f>
        <v>740268.09143000003</v>
      </c>
      <c r="L13" s="46">
        <f>'Sch. 141N_2024'!F11</f>
        <v>5570455.9039500002</v>
      </c>
      <c r="M13" s="46">
        <f>'Sch. 141R_2024'!F11</f>
        <v>5088420.8676699996</v>
      </c>
      <c r="N13" s="46">
        <f>('Revenue by Sch_RY#1'!L13/'Revenue by Sch_RY#1'!D13)*'Revenue by Sch_RY#2'!D13</f>
        <v>-361526.27720999997</v>
      </c>
      <c r="O13" s="46">
        <f>('Revenue by Sch_RY#1'!M13/'Revenue by Sch_RY#1'!D13)*'Revenue by Sch_RY#2'!D13</f>
        <v>7938821.9286514521</v>
      </c>
      <c r="P13" s="119">
        <f t="shared" si="0"/>
        <v>282525988.06661838</v>
      </c>
    </row>
    <row r="14" spans="2:16" x14ac:dyDescent="0.25">
      <c r="B14" t="s">
        <v>9</v>
      </c>
      <c r="C14" s="6">
        <v>41</v>
      </c>
      <c r="D14" s="116">
        <f>Therms_CY2024!P13</f>
        <v>66890541</v>
      </c>
      <c r="E14" s="46">
        <f>'[1]Exh JDT-5 (JDT-MYRP)'!$N$79</f>
        <v>18242726.17379</v>
      </c>
      <c r="F14" s="238">
        <f>('Revenue by Sch_RY#1'!F14/'Revenue by Sch_RY#1'!D14)*'Revenue by Sch_RY#2'!D14</f>
        <v>28254057.369624808</v>
      </c>
      <c r="G14" s="46">
        <f>('Revenue by Sch_RY#1'!G14/'Revenue by Sch_RY#1'!D14)*'Revenue by Sch_RY#2'!D14</f>
        <v>1741160.7856783327</v>
      </c>
      <c r="H14" s="46">
        <f>('Revenue by Sch_RY#1'!H14/'Revenue by Sch_RY#1'!D14)*'Revenue by Sch_RY#2'!D14</f>
        <v>1350520.0227900001</v>
      </c>
      <c r="I14" s="46">
        <f>('Revenue by Sch_RY#1'!I14/'Revenue by Sch_RY#1'!D14)*'Revenue by Sch_RY#2'!D14</f>
        <v>99666.906090000004</v>
      </c>
      <c r="J14" s="46">
        <f>('Revenue by Sch_RY#1'!J14/'Revenue by Sch_RY#1'!D14)*'Revenue by Sch_RY#2'!D14</f>
        <v>587967.85538999992</v>
      </c>
      <c r="K14" s="351">
        <f>'Sch. 141D_2024'!F12</f>
        <v>151841.52807</v>
      </c>
      <c r="L14" s="46">
        <f>'Sch. 141N_2024'!F12</f>
        <v>724424.55903</v>
      </c>
      <c r="M14" s="46">
        <f>'Sch. 141R_2024'!F12</f>
        <v>661547.45048999996</v>
      </c>
      <c r="N14" s="46">
        <f>('Revenue by Sch_RY#1'!L14/'Revenue by Sch_RY#1'!D14)*'Revenue by Sch_RY#2'!D14</f>
        <v>-37458.702959999995</v>
      </c>
      <c r="O14" s="46">
        <f>('Revenue by Sch_RY#1'!M14/'Revenue by Sch_RY#1'!D14)*'Revenue by Sch_RY#2'!D14</f>
        <v>-1364600.4562402964</v>
      </c>
      <c r="P14" s="119">
        <f t="shared" si="0"/>
        <v>50411853.491752841</v>
      </c>
    </row>
    <row r="15" spans="2:16" x14ac:dyDescent="0.25">
      <c r="B15" t="s">
        <v>10</v>
      </c>
      <c r="C15" s="6">
        <v>85</v>
      </c>
      <c r="D15" s="116">
        <f>Therms_CY2024!P14</f>
        <v>10745378</v>
      </c>
      <c r="E15" s="46">
        <f>'[1]Exh JDT-5 (JDT-MYRP)'!$N$116</f>
        <v>1431314.4706233121</v>
      </c>
      <c r="F15" s="238">
        <f>('Revenue by Sch_RY#1'!F15/'Revenue by Sch_RY#1'!D15)*'Revenue by Sch_RY#2'!D15</f>
        <v>4255629.4601749191</v>
      </c>
      <c r="G15" s="46">
        <f>('Revenue by Sch_RY#1'!G15/'Revenue by Sch_RY#1'!D15)*'Revenue by Sch_RY#2'!D15</f>
        <v>278842.56103181583</v>
      </c>
      <c r="H15" s="46">
        <f>('Revenue by Sch_RY#1'!H15/'Revenue by Sch_RY#1'!D15)*'Revenue by Sch_RY#2'!D15</f>
        <v>180307.44284</v>
      </c>
      <c r="I15" s="46">
        <f>('Revenue by Sch_RY#1'!I15/'Revenue by Sch_RY#1'!D15)*'Revenue by Sch_RY#2'!D15</f>
        <v>7563.9290639632691</v>
      </c>
      <c r="J15" s="46">
        <f>('Revenue by Sch_RY#1'!J15/'Revenue by Sch_RY#1'!D15)*'Revenue by Sch_RY#2'!D15</f>
        <v>52115.083299999998</v>
      </c>
      <c r="K15" s="351">
        <f>'Sch. 141D_2024'!F13</f>
        <v>19771.49552</v>
      </c>
      <c r="L15" s="46">
        <f>'Sch. 141N_2024'!F13</f>
        <v>69200.234320000003</v>
      </c>
      <c r="M15" s="46">
        <f>'Sch. 141R_2024'!F13</f>
        <v>63182.822639999999</v>
      </c>
      <c r="N15" s="46">
        <f>('Revenue by Sch_RY#1'!L15/'Revenue by Sch_RY#1'!D15)*'Revenue by Sch_RY#2'!D15</f>
        <v>-2901.2520600000003</v>
      </c>
      <c r="O15" s="46"/>
      <c r="P15" s="119">
        <f t="shared" si="0"/>
        <v>6355026.24745401</v>
      </c>
    </row>
    <row r="16" spans="2:16" x14ac:dyDescent="0.25">
      <c r="B16" t="s">
        <v>11</v>
      </c>
      <c r="C16" s="6">
        <v>86</v>
      </c>
      <c r="D16" s="116">
        <f>Therms_CY2024!P15</f>
        <v>5489408</v>
      </c>
      <c r="E16" s="46">
        <f>'[1]Exh JDT-5 (JDT-MYRP)'!$N$152</f>
        <v>1110674.3605023497</v>
      </c>
      <c r="F16" s="238">
        <f>('Revenue by Sch_RY#1'!F16/'Revenue by Sch_RY#1'!D16)*'Revenue by Sch_RY#2'!D16</f>
        <v>2239538.0047376556</v>
      </c>
      <c r="G16" s="46">
        <f>('Revenue by Sch_RY#1'!G16/'Revenue by Sch_RY#1'!D16)*'Revenue by Sch_RY#2'!D16</f>
        <v>142614.81964710119</v>
      </c>
      <c r="H16" s="46">
        <f>('Revenue by Sch_RY#1'!H16/'Revenue by Sch_RY#1'!D16)*'Revenue by Sch_RY#2'!D16</f>
        <v>92112.266239999997</v>
      </c>
      <c r="I16" s="46">
        <f>('Revenue by Sch_RY#1'!I16/'Revenue by Sch_RY#1'!D16)*'Revenue by Sch_RY#2'!D16</f>
        <v>7191.1244799999995</v>
      </c>
      <c r="J16" s="46">
        <f>('Revenue by Sch_RY#1'!J16/'Revenue by Sch_RY#1'!D16)*'Revenue by Sch_RY#2'!D16</f>
        <v>59560.076800000003</v>
      </c>
      <c r="K16" s="351">
        <f>'Sch. 141D_2024'!F14</f>
        <v>2689.8099199999997</v>
      </c>
      <c r="L16" s="46">
        <f>'Sch. 141N_2024'!F14</f>
        <v>28819.392000000003</v>
      </c>
      <c r="M16" s="46">
        <f>'Sch. 141R_2024'!F14</f>
        <v>26349.158399999997</v>
      </c>
      <c r="N16" s="46">
        <f>('Revenue by Sch_RY#1'!L16/'Revenue by Sch_RY#1'!D16)*'Revenue by Sch_RY#2'!D16</f>
        <v>-1811.5046399999999</v>
      </c>
      <c r="O16" s="46">
        <f>('Revenue by Sch_RY#1'!M16/'Revenue by Sch_RY#1'!D16)*'Revenue by Sch_RY#2'!D16</f>
        <v>-89249.028627034393</v>
      </c>
      <c r="P16" s="119">
        <f t="shared" si="0"/>
        <v>3618488.4794600722</v>
      </c>
    </row>
    <row r="17" spans="2:17" x14ac:dyDescent="0.25">
      <c r="B17" t="s">
        <v>12</v>
      </c>
      <c r="C17" s="6">
        <v>87</v>
      </c>
      <c r="D17" s="116">
        <f>Therms_CY2024!P16</f>
        <v>21819455.762355205</v>
      </c>
      <c r="E17" s="46">
        <f>'[1]Exh JDT-5 (JDT-MYRP)'!$N$191</f>
        <v>1509134.6199999999</v>
      </c>
      <c r="F17" s="238">
        <f>('Revenue by Sch_RY#1'!F17/'Revenue by Sch_RY#1'!D17)*'Revenue by Sch_RY#2'!D17</f>
        <v>8662542.1300000008</v>
      </c>
      <c r="G17" s="46">
        <f>('Revenue by Sch_RY#1'!G17/'Revenue by Sch_RY#1'!D17)*'Revenue by Sch_RY#2'!D17</f>
        <v>566214.88</v>
      </c>
      <c r="H17" s="46">
        <f>('Revenue by Sch_RY#1'!H17/'Revenue by Sch_RY#1'!D17)*'Revenue by Sch_RY#2'!D17</f>
        <v>366130.46769232035</v>
      </c>
      <c r="I17" s="46">
        <f>('Revenue by Sch_RY#1'!I17/'Revenue by Sch_RY#1'!D17)*'Revenue by Sch_RY#2'!D17</f>
        <v>6529.6708747268322</v>
      </c>
      <c r="J17" s="46">
        <f>('Revenue by Sch_RY#1'!J17/'Revenue by Sch_RY#1'!D17)*'Revenue by Sch_RY#2'!D17</f>
        <v>57603.36321261774</v>
      </c>
      <c r="K17" s="351">
        <f>'Sch. 141D_2024'!F23</f>
        <v>17428.370257522623</v>
      </c>
      <c r="L17" s="46">
        <f>'Sch. 141N_2024'!F23</f>
        <v>66234.368837252085</v>
      </c>
      <c r="M17" s="46">
        <f>'Sch. 141R_2024'!F23</f>
        <v>60554.225481557871</v>
      </c>
      <c r="N17" s="46">
        <f>('Revenue by Sch_RY#1'!L17/'Revenue by Sch_RY#1'!D17)*'Revenue by Sch_RY#2'!D17</f>
        <v>-3054.7238067297285</v>
      </c>
      <c r="O17" s="46"/>
      <c r="P17" s="119">
        <f t="shared" si="0"/>
        <v>11309317.372549269</v>
      </c>
    </row>
    <row r="18" spans="2:17" x14ac:dyDescent="0.25">
      <c r="B18" t="s">
        <v>32</v>
      </c>
      <c r="C18" s="6" t="s">
        <v>33</v>
      </c>
      <c r="D18" s="116">
        <f>Therms_CY2024!P17</f>
        <v>33867</v>
      </c>
      <c r="E18" s="46">
        <f>'[1]Exh JDT-5 (JDT-MYRP)'!$N$58</f>
        <v>22706.758830000002</v>
      </c>
      <c r="F18" s="73"/>
      <c r="G18" s="73"/>
      <c r="H18" s="46"/>
      <c r="I18" s="46">
        <f>('Revenue by Sch_RY#1'!I18/'Revenue by Sch_RY#1'!D18)*'Revenue by Sch_RY#2'!D18</f>
        <v>104.31035999999999</v>
      </c>
      <c r="J18" s="46">
        <f>('Revenue by Sch_RY#1'!J18/'Revenue by Sch_RY#1'!D18)*'Revenue by Sch_RY#2'!D18</f>
        <v>891.37943999999993</v>
      </c>
      <c r="K18" s="351"/>
      <c r="L18" s="46">
        <f>'Sch. 141N_2024'!F25</f>
        <v>767.08754999999996</v>
      </c>
      <c r="M18" s="46">
        <f>'Sch. 141R_2024'!F25</f>
        <v>700.70822999999996</v>
      </c>
      <c r="N18" s="46">
        <f>('Revenue by Sch_RY#1'!L18/'Revenue by Sch_RY#1'!D18)*'Revenue by Sch_RY#2'!D18</f>
        <v>-49.784489999999998</v>
      </c>
      <c r="O18" s="46">
        <f>('Revenue by Sch_RY#1'!M18/'Revenue by Sch_RY#1'!D18)*'Revenue by Sch_RY#2'!D18</f>
        <v>1055.6299691833592</v>
      </c>
      <c r="P18" s="119">
        <f t="shared" si="0"/>
        <v>26176.089889183364</v>
      </c>
    </row>
    <row r="19" spans="2:17" x14ac:dyDescent="0.25">
      <c r="B19" t="s">
        <v>34</v>
      </c>
      <c r="C19" t="s">
        <v>35</v>
      </c>
      <c r="D19" s="116">
        <f>Therms_CY2024!P18</f>
        <v>26510234</v>
      </c>
      <c r="E19" s="46">
        <f>'[1]Exh JDT-5 (JDT-MYRP)'!$N$96</f>
        <v>5202113.47</v>
      </c>
      <c r="F19" s="73"/>
      <c r="G19" s="73"/>
      <c r="H19" s="46"/>
      <c r="I19" s="46">
        <f>('Revenue by Sch_RY#1'!I19/'Revenue by Sch_RY#1'!D19)*'Revenue by Sch_RY#2'!D19</f>
        <v>39500.248659999997</v>
      </c>
      <c r="J19" s="46">
        <f>('Revenue by Sch_RY#1'!J19/'Revenue by Sch_RY#1'!D19)*'Revenue by Sch_RY#2'!D19</f>
        <v>233024.95685999998</v>
      </c>
      <c r="K19" s="351"/>
      <c r="L19" s="46">
        <f>'Sch. 141N_2024'!F26</f>
        <v>287105.83421999996</v>
      </c>
      <c r="M19" s="46">
        <f>'Sch. 141R_2024'!F26</f>
        <v>262186.21425999998</v>
      </c>
      <c r="N19" s="46">
        <f>('Revenue by Sch_RY#1'!L19/'Revenue by Sch_RY#1'!D19)*'Revenue by Sch_RY#2'!D19</f>
        <v>-14845.731039999999</v>
      </c>
      <c r="O19" s="46">
        <f>('Revenue by Sch_RY#1'!M19/'Revenue by Sch_RY#1'!D19)*'Revenue by Sch_RY#2'!D19</f>
        <v>-445535.81281425164</v>
      </c>
      <c r="P19" s="119">
        <f t="shared" si="0"/>
        <v>5563549.180145748</v>
      </c>
    </row>
    <row r="20" spans="2:17" x14ac:dyDescent="0.25">
      <c r="B20" t="s">
        <v>36</v>
      </c>
      <c r="C20" t="s">
        <v>37</v>
      </c>
      <c r="D20" s="116">
        <f>Therms_CY2024!P19</f>
        <v>62288926</v>
      </c>
      <c r="E20" s="46">
        <f>'[1]Exh JDT-5 (JDT-MYRP)'!$N$133</f>
        <v>6799880.6744118314</v>
      </c>
      <c r="F20" s="73"/>
      <c r="G20" s="73"/>
      <c r="H20" s="46"/>
      <c r="I20" s="46">
        <f>('Revenue by Sch_RY#1'!I20/'Revenue by Sch_RY#1'!D20)*'Revenue by Sch_RY#2'!D20</f>
        <v>41479.314699009934</v>
      </c>
      <c r="J20" s="46">
        <f>('Revenue by Sch_RY#1'!J20/'Revenue by Sch_RY#1'!D20)*'Revenue by Sch_RY#2'!D20</f>
        <v>302101.29110000003</v>
      </c>
      <c r="K20" s="351"/>
      <c r="L20" s="46">
        <f>'Sch. 141N_2024'!F27</f>
        <v>401140.68344000005</v>
      </c>
      <c r="M20" s="46">
        <f>'Sch. 141R_2024'!F27</f>
        <v>366258.88487999997</v>
      </c>
      <c r="N20" s="46">
        <f>('Revenue by Sch_RY#1'!L20/'Revenue by Sch_RY#1'!D20)*'Revenue by Sch_RY#2'!D20</f>
        <v>-16818.010020000002</v>
      </c>
      <c r="O20" s="46"/>
      <c r="P20" s="119">
        <f t="shared" si="0"/>
        <v>7894042.8385108411</v>
      </c>
    </row>
    <row r="21" spans="2:17" x14ac:dyDescent="0.25">
      <c r="B21" t="s">
        <v>38</v>
      </c>
      <c r="C21" t="s">
        <v>39</v>
      </c>
      <c r="D21" s="116">
        <f>Therms_CY2024!P20</f>
        <v>578702</v>
      </c>
      <c r="E21" s="46">
        <f>'[1]Exh JDT-5 (JDT-MYRP)'!$N$168</f>
        <v>153355.14710239385</v>
      </c>
      <c r="F21" s="73"/>
      <c r="G21" s="73"/>
      <c r="H21" s="46"/>
      <c r="I21" s="46">
        <f>('Revenue by Sch_RY#1'!I21/'Revenue by Sch_RY#1'!D21)*'Revenue by Sch_RY#2'!D21</f>
        <v>758.09961999999996</v>
      </c>
      <c r="J21" s="46">
        <f>('Revenue by Sch_RY#1'!J21/'Revenue by Sch_RY#1'!D21)*'Revenue by Sch_RY#2'!D21</f>
        <v>6278.9166999999998</v>
      </c>
      <c r="K21" s="351"/>
      <c r="L21" s="46">
        <f>'Sch. 141N_2024'!F28</f>
        <v>3038.1855</v>
      </c>
      <c r="M21" s="46">
        <f>'Sch. 141R_2024'!F28</f>
        <v>2777.7695999999996</v>
      </c>
      <c r="N21" s="46">
        <f>('Revenue by Sch_RY#1'!L21/'Revenue by Sch_RY#1'!D21)*'Revenue by Sch_RY#2'!D21</f>
        <v>-190.97165999999999</v>
      </c>
      <c r="O21" s="46">
        <f>('Revenue by Sch_RY#1'!M21/'Revenue by Sch_RY#1'!D21)*'Revenue by Sch_RY#2'!D21</f>
        <v>-10772.982060990877</v>
      </c>
      <c r="P21" s="119">
        <f t="shared" si="0"/>
        <v>155244.16480140295</v>
      </c>
    </row>
    <row r="22" spans="2:17" x14ac:dyDescent="0.25">
      <c r="B22" t="s">
        <v>40</v>
      </c>
      <c r="C22" t="s">
        <v>41</v>
      </c>
      <c r="D22" s="116">
        <f>Therms_CY2024!P21</f>
        <v>142008966.64547956</v>
      </c>
      <c r="E22" s="46">
        <f>'[1]Exh JDT-5 (JDT-MYRP)'!$N$211</f>
        <v>6088113.25</v>
      </c>
      <c r="F22" s="46"/>
      <c r="G22" s="46"/>
      <c r="H22" s="46"/>
      <c r="I22" s="46">
        <f>('Revenue by Sch_RY#1'!I22/'Revenue by Sch_RY#1'!D22)*'Revenue by Sch_RY#2'!D22</f>
        <v>32233.677078100642</v>
      </c>
      <c r="J22" s="46">
        <f>('Revenue by Sch_RY#1'!J22/'Revenue by Sch_RY#1'!D22)*'Revenue by Sch_RY#2'!D22</f>
        <v>374903.67194406601</v>
      </c>
      <c r="K22" s="351"/>
      <c r="L22" s="46">
        <f>'Sch. 141N_2024'!F37</f>
        <v>250392.85827129183</v>
      </c>
      <c r="M22" s="46">
        <f>'Sch. 141R_2024'!F37</f>
        <v>228630.39667637262</v>
      </c>
      <c r="N22" s="46">
        <f>('Revenue by Sch_RY#1'!L22/'Revenue by Sch_RY#1'!D22)*'Revenue by Sch_RY#2'!D22</f>
        <v>-19881.255330367138</v>
      </c>
      <c r="O22" s="46"/>
      <c r="P22" s="119">
        <f t="shared" si="0"/>
        <v>6954392.598639464</v>
      </c>
    </row>
    <row r="23" spans="2:17" x14ac:dyDescent="0.25">
      <c r="B23" t="s">
        <v>13</v>
      </c>
      <c r="D23" s="116">
        <f>Therms_CY2024!P22</f>
        <v>30967900</v>
      </c>
      <c r="E23" s="46">
        <f>'[1]Exh JDT-5 (JDT-MYRP)'!$N$215</f>
        <v>1638422.5923708156</v>
      </c>
      <c r="F23" s="46"/>
      <c r="G23" s="46"/>
      <c r="H23" s="46"/>
      <c r="I23" s="46"/>
      <c r="J23" s="46">
        <f>('Revenue by Sch_RY#1'!J23/'Revenue by Sch_RY#1'!D23)*'Revenue by Sch_RY#2'!D23</f>
        <v>40567.949000000001</v>
      </c>
      <c r="K23" s="351"/>
      <c r="L23" s="46">
        <f>'Sch. 141N_2024'!F39</f>
        <v>0</v>
      </c>
      <c r="M23" s="46">
        <f>'Sch. 141R_2024'!F39</f>
        <v>0</v>
      </c>
      <c r="N23" s="46">
        <f>('Revenue by Sch_RY#1'!L23/'Revenue by Sch_RY#1'!D23)*'Revenue by Sch_RY#2'!D23</f>
        <v>-2167.7529999999997</v>
      </c>
      <c r="O23" s="46"/>
      <c r="P23" s="119">
        <f t="shared" si="0"/>
        <v>1676822.7883708156</v>
      </c>
    </row>
    <row r="24" spans="2:17" x14ac:dyDescent="0.25">
      <c r="B24" t="s">
        <v>6</v>
      </c>
      <c r="D24" s="11">
        <f>SUM(D11:D23)</f>
        <v>1252743002.407835</v>
      </c>
      <c r="E24" s="12">
        <f>SUM(E11:E23)</f>
        <v>592277399.27363062</v>
      </c>
      <c r="F24" s="12">
        <f t="shared" ref="F24:H24" si="1">SUM(F11:F23)</f>
        <v>451797202.7556076</v>
      </c>
      <c r="G24" s="12">
        <f t="shared" si="1"/>
        <v>25899019.547461789</v>
      </c>
      <c r="H24" s="12">
        <f t="shared" si="1"/>
        <v>19865490.508122317</v>
      </c>
      <c r="I24" s="12">
        <f t="shared" ref="I24:N24" si="2">SUM(I11:I23)</f>
        <v>3326556.5132158017</v>
      </c>
      <c r="J24" s="12">
        <f t="shared" si="2"/>
        <v>22736075.877256684</v>
      </c>
      <c r="K24" s="352">
        <f t="shared" si="2"/>
        <v>3016682.5172575219</v>
      </c>
      <c r="L24" s="12">
        <f t="shared" si="2"/>
        <v>23094255.876858544</v>
      </c>
      <c r="M24" s="12">
        <f t="shared" si="2"/>
        <v>21097601.70034793</v>
      </c>
      <c r="N24" s="12">
        <f t="shared" si="2"/>
        <v>-1336784.4981870968</v>
      </c>
      <c r="O24" s="12">
        <f t="shared" ref="O24:P24" si="3">SUM(O11:O23)</f>
        <v>20430460.922639426</v>
      </c>
      <c r="P24" s="125">
        <f t="shared" si="3"/>
        <v>1182203960.9942112</v>
      </c>
      <c r="Q24" s="9"/>
    </row>
    <row r="25" spans="2:17" x14ac:dyDescent="0.25">
      <c r="D25" s="16"/>
      <c r="I25" s="9"/>
      <c r="K25" s="353"/>
      <c r="N25" s="9"/>
      <c r="O25" s="9"/>
      <c r="P25" s="9"/>
    </row>
    <row r="26" spans="2:17" s="14" customFormat="1" x14ac:dyDescent="0.25">
      <c r="B26" s="152" t="s">
        <v>160</v>
      </c>
      <c r="C26" s="17"/>
      <c r="K26" s="354"/>
    </row>
    <row r="27" spans="2:17" s="14" customFormat="1" x14ac:dyDescent="0.25">
      <c r="B27" s="69" t="s">
        <v>42</v>
      </c>
      <c r="C27" s="69"/>
      <c r="D27" s="235">
        <f>D11+D12</f>
        <v>639473381</v>
      </c>
      <c r="E27" s="18">
        <f>E11+E12</f>
        <v>417207632.91536999</v>
      </c>
      <c r="F27" s="18">
        <f t="shared" ref="F27:O27" si="4">F11+F12</f>
        <v>296331964.75921261</v>
      </c>
      <c r="G27" s="18">
        <f t="shared" si="4"/>
        <v>16741413.111835232</v>
      </c>
      <c r="H27" s="18">
        <f t="shared" si="4"/>
        <v>12910967.56239</v>
      </c>
      <c r="I27" s="18">
        <f t="shared" si="4"/>
        <v>2334045.6038500001</v>
      </c>
      <c r="J27" s="18">
        <f t="shared" si="4"/>
        <v>14548019.417749999</v>
      </c>
      <c r="K27" s="345">
        <f t="shared" ref="K27:L27" si="5">K11+K12</f>
        <v>2084683.2220599998</v>
      </c>
      <c r="L27" s="18">
        <f t="shared" si="5"/>
        <v>15692676.76974</v>
      </c>
      <c r="M27" s="18">
        <f t="shared" si="4"/>
        <v>14336993.202019999</v>
      </c>
      <c r="N27" s="18">
        <f t="shared" si="4"/>
        <v>-876078.53197000001</v>
      </c>
      <c r="O27" s="18">
        <f t="shared" si="4"/>
        <v>14400741.643761363</v>
      </c>
      <c r="P27" s="18">
        <f>P11+P12</f>
        <v>805713059.67601931</v>
      </c>
      <c r="Q27" s="19"/>
    </row>
    <row r="28" spans="2:17" s="14" customFormat="1" x14ac:dyDescent="0.25">
      <c r="B28" s="20" t="s">
        <v>43</v>
      </c>
      <c r="C28" s="20"/>
      <c r="D28" s="235">
        <f t="shared" ref="D28:O32" si="6">D13+D18</f>
        <v>245970110</v>
      </c>
      <c r="E28" s="18">
        <f t="shared" si="6"/>
        <v>132894031.59946001</v>
      </c>
      <c r="F28" s="18">
        <f t="shared" si="6"/>
        <v>112053471.03185758</v>
      </c>
      <c r="G28" s="18">
        <f t="shared" si="6"/>
        <v>6428773.3892693091</v>
      </c>
      <c r="H28" s="18">
        <f t="shared" si="6"/>
        <v>4965452.7461700002</v>
      </c>
      <c r="I28" s="18">
        <f t="shared" si="6"/>
        <v>757587.93880000012</v>
      </c>
      <c r="J28" s="18">
        <f t="shared" si="6"/>
        <v>6473933.2952000005</v>
      </c>
      <c r="K28" s="345">
        <f t="shared" ref="K28:L28" si="7">K13+K18</f>
        <v>740268.09143000003</v>
      </c>
      <c r="L28" s="18">
        <f t="shared" si="7"/>
        <v>5571222.9915000005</v>
      </c>
      <c r="M28" s="18">
        <f t="shared" si="6"/>
        <v>5089121.5758999996</v>
      </c>
      <c r="N28" s="18">
        <f t="shared" si="6"/>
        <v>-361576.06169999996</v>
      </c>
      <c r="O28" s="18">
        <f t="shared" si="6"/>
        <v>7939877.5586206354</v>
      </c>
      <c r="P28" s="18">
        <f>P13+P18</f>
        <v>282552164.15650755</v>
      </c>
    </row>
    <row r="29" spans="2:17" s="14" customFormat="1" x14ac:dyDescent="0.25">
      <c r="B29" s="69" t="s">
        <v>44</v>
      </c>
      <c r="C29" s="69"/>
      <c r="D29" s="235">
        <f t="shared" si="6"/>
        <v>93400775</v>
      </c>
      <c r="E29" s="18">
        <f t="shared" si="6"/>
        <v>23444839.643789999</v>
      </c>
      <c r="F29" s="18">
        <f t="shared" si="6"/>
        <v>28254057.369624808</v>
      </c>
      <c r="G29" s="18">
        <f t="shared" si="6"/>
        <v>1741160.7856783327</v>
      </c>
      <c r="H29" s="18">
        <f t="shared" si="6"/>
        <v>1350520.0227900001</v>
      </c>
      <c r="I29" s="18">
        <f t="shared" si="6"/>
        <v>139167.15474999999</v>
      </c>
      <c r="J29" s="18">
        <f t="shared" si="6"/>
        <v>820992.81224999996</v>
      </c>
      <c r="K29" s="345">
        <f t="shared" ref="K29:L29" si="8">K14+K19</f>
        <v>151841.52807</v>
      </c>
      <c r="L29" s="18">
        <f t="shared" si="8"/>
        <v>1011530.39325</v>
      </c>
      <c r="M29" s="18">
        <f t="shared" si="6"/>
        <v>923733.66475</v>
      </c>
      <c r="N29" s="18">
        <f t="shared" si="6"/>
        <v>-52304.433999999994</v>
      </c>
      <c r="O29" s="18">
        <f t="shared" si="6"/>
        <v>-1810136.2690545479</v>
      </c>
      <c r="P29" s="18">
        <f>P14+P19</f>
        <v>55975402.671898589</v>
      </c>
    </row>
    <row r="30" spans="2:17" s="14" customFormat="1" x14ac:dyDescent="0.25">
      <c r="B30" s="69" t="s">
        <v>45</v>
      </c>
      <c r="C30" s="69"/>
      <c r="D30" s="235">
        <f t="shared" si="6"/>
        <v>73034304</v>
      </c>
      <c r="E30" s="18">
        <f t="shared" si="6"/>
        <v>8231195.1450351439</v>
      </c>
      <c r="F30" s="18">
        <f t="shared" si="6"/>
        <v>4255629.4601749191</v>
      </c>
      <c r="G30" s="18">
        <f t="shared" si="6"/>
        <v>278842.56103181583</v>
      </c>
      <c r="H30" s="18">
        <f t="shared" si="6"/>
        <v>180307.44284</v>
      </c>
      <c r="I30" s="18">
        <f t="shared" si="6"/>
        <v>49043.243762973201</v>
      </c>
      <c r="J30" s="18">
        <f t="shared" si="6"/>
        <v>354216.37440000003</v>
      </c>
      <c r="K30" s="345">
        <f t="shared" ref="K30:L30" si="9">K15+K20</f>
        <v>19771.49552</v>
      </c>
      <c r="L30" s="18">
        <f t="shared" si="9"/>
        <v>470340.91776000004</v>
      </c>
      <c r="M30" s="18">
        <f t="shared" si="6"/>
        <v>429441.70751999994</v>
      </c>
      <c r="N30" s="18">
        <f t="shared" si="6"/>
        <v>-19719.26208</v>
      </c>
      <c r="O30" s="18">
        <f t="shared" si="6"/>
        <v>0</v>
      </c>
      <c r="P30" s="18">
        <f>P15+P20</f>
        <v>14249069.085964851</v>
      </c>
    </row>
    <row r="31" spans="2:17" s="14" customFormat="1" x14ac:dyDescent="0.25">
      <c r="B31" s="69" t="s">
        <v>46</v>
      </c>
      <c r="C31" s="69"/>
      <c r="D31" s="235">
        <f t="shared" si="6"/>
        <v>6068110</v>
      </c>
      <c r="E31" s="18">
        <f t="shared" si="6"/>
        <v>1264029.5076047436</v>
      </c>
      <c r="F31" s="18">
        <f t="shared" si="6"/>
        <v>2239538.0047376556</v>
      </c>
      <c r="G31" s="18">
        <f t="shared" si="6"/>
        <v>142614.81964710119</v>
      </c>
      <c r="H31" s="18">
        <f t="shared" si="6"/>
        <v>92112.266239999997</v>
      </c>
      <c r="I31" s="18">
        <f t="shared" si="6"/>
        <v>7949.2240999999995</v>
      </c>
      <c r="J31" s="18">
        <f t="shared" si="6"/>
        <v>65838.993499999997</v>
      </c>
      <c r="K31" s="345">
        <f t="shared" ref="K31:L31" si="10">K16+K21</f>
        <v>2689.8099199999997</v>
      </c>
      <c r="L31" s="18">
        <f t="shared" si="10"/>
        <v>31857.577500000003</v>
      </c>
      <c r="M31" s="18">
        <f t="shared" si="6"/>
        <v>29126.927999999996</v>
      </c>
      <c r="N31" s="18">
        <f t="shared" si="6"/>
        <v>-2002.4762999999998</v>
      </c>
      <c r="O31" s="18">
        <f t="shared" si="6"/>
        <v>-100022.01068802527</v>
      </c>
      <c r="P31" s="18">
        <f>P16+P21</f>
        <v>3773732.6442614752</v>
      </c>
    </row>
    <row r="32" spans="2:17" s="14" customFormat="1" x14ac:dyDescent="0.25">
      <c r="B32" s="13" t="s">
        <v>47</v>
      </c>
      <c r="C32" s="13"/>
      <c r="D32" s="235">
        <f t="shared" si="6"/>
        <v>163828422.40783477</v>
      </c>
      <c r="E32" s="18">
        <f t="shared" si="6"/>
        <v>7597247.8700000001</v>
      </c>
      <c r="F32" s="18">
        <f t="shared" si="6"/>
        <v>8662542.1300000008</v>
      </c>
      <c r="G32" s="18">
        <f t="shared" si="6"/>
        <v>566214.88</v>
      </c>
      <c r="H32" s="18">
        <f t="shared" si="6"/>
        <v>366130.46769232035</v>
      </c>
      <c r="I32" s="18">
        <f t="shared" si="6"/>
        <v>38763.347952827477</v>
      </c>
      <c r="J32" s="18">
        <f t="shared" si="6"/>
        <v>432507.03515668376</v>
      </c>
      <c r="K32" s="345">
        <f>K17+K22</f>
        <v>17428.370257522623</v>
      </c>
      <c r="L32" s="18">
        <f>L17+L22</f>
        <v>316627.22710854391</v>
      </c>
      <c r="M32" s="18">
        <f>M17+M22</f>
        <v>289184.62215793051</v>
      </c>
      <c r="N32" s="18">
        <f t="shared" si="6"/>
        <v>-22935.979137096867</v>
      </c>
      <c r="O32" s="18">
        <f t="shared" si="6"/>
        <v>0</v>
      </c>
      <c r="P32" s="18">
        <f>P17+P22</f>
        <v>18263709.971188731</v>
      </c>
    </row>
    <row r="33" spans="2:16" s="14" customFormat="1" x14ac:dyDescent="0.25">
      <c r="B33" s="13" t="s">
        <v>13</v>
      </c>
      <c r="C33" s="13"/>
      <c r="D33" s="235">
        <f>D23</f>
        <v>30967900</v>
      </c>
      <c r="E33" s="18">
        <f>E23</f>
        <v>1638422.5923708156</v>
      </c>
      <c r="F33" s="18">
        <f t="shared" ref="F33:O33" si="11">F23</f>
        <v>0</v>
      </c>
      <c r="G33" s="18">
        <f t="shared" si="11"/>
        <v>0</v>
      </c>
      <c r="H33" s="18">
        <f t="shared" si="11"/>
        <v>0</v>
      </c>
      <c r="I33" s="18">
        <f t="shared" si="11"/>
        <v>0</v>
      </c>
      <c r="J33" s="18">
        <f t="shared" si="11"/>
        <v>40567.949000000001</v>
      </c>
      <c r="K33" s="345">
        <f t="shared" ref="K33:L33" si="12">K23</f>
        <v>0</v>
      </c>
      <c r="L33" s="18">
        <f t="shared" si="12"/>
        <v>0</v>
      </c>
      <c r="M33" s="18">
        <f t="shared" si="11"/>
        <v>0</v>
      </c>
      <c r="N33" s="18">
        <f t="shared" si="11"/>
        <v>-2167.7529999999997</v>
      </c>
      <c r="O33" s="18">
        <f t="shared" si="11"/>
        <v>0</v>
      </c>
      <c r="P33" s="18">
        <f>P23</f>
        <v>1676822.7883708156</v>
      </c>
    </row>
    <row r="34" spans="2:16" s="14" customFormat="1" x14ac:dyDescent="0.25">
      <c r="B34" s="13" t="s">
        <v>14</v>
      </c>
      <c r="C34" s="13"/>
      <c r="D34" s="236">
        <f>SUM(D27:D33)</f>
        <v>1252743002.4078348</v>
      </c>
      <c r="E34" s="23">
        <f>SUM(E27:E33)</f>
        <v>592277399.27363074</v>
      </c>
      <c r="F34" s="23">
        <f t="shared" ref="F34:O34" si="13">SUM(F27:F33)</f>
        <v>451797202.7556076</v>
      </c>
      <c r="G34" s="23">
        <f t="shared" si="13"/>
        <v>25899019.547461789</v>
      </c>
      <c r="H34" s="23">
        <f t="shared" si="13"/>
        <v>19865490.508122317</v>
      </c>
      <c r="I34" s="23">
        <f t="shared" si="13"/>
        <v>3326556.5132158007</v>
      </c>
      <c r="J34" s="23">
        <f t="shared" si="13"/>
        <v>22736075.877256684</v>
      </c>
      <c r="K34" s="346">
        <f t="shared" ref="K34" si="14">SUM(K27:K33)</f>
        <v>3016682.5172575219</v>
      </c>
      <c r="L34" s="23">
        <f t="shared" si="13"/>
        <v>23094255.876858547</v>
      </c>
      <c r="M34" s="23">
        <f t="shared" si="13"/>
        <v>21097601.70034793</v>
      </c>
      <c r="N34" s="23">
        <f t="shared" si="13"/>
        <v>-1336784.4981870966</v>
      </c>
      <c r="O34" s="23">
        <f t="shared" si="13"/>
        <v>20430460.922639426</v>
      </c>
      <c r="P34" s="23">
        <f>SUM(P27:P33)</f>
        <v>1182203960.9942114</v>
      </c>
    </row>
    <row r="35" spans="2:16" s="14" customFormat="1" x14ac:dyDescent="0.25">
      <c r="B35" s="15"/>
      <c r="C35" s="15"/>
      <c r="F35" s="22"/>
      <c r="I35" s="15"/>
      <c r="M35" s="15"/>
      <c r="N35" s="15"/>
      <c r="O35" s="15"/>
      <c r="P35" s="15"/>
    </row>
    <row r="36" spans="2:16" ht="17.25" x14ac:dyDescent="0.25">
      <c r="B36" t="s">
        <v>392</v>
      </c>
      <c r="E36" s="50"/>
      <c r="I36" s="16"/>
      <c r="N36" s="16"/>
      <c r="O36" s="16"/>
      <c r="P36" s="16"/>
    </row>
    <row r="37" spans="2:16" ht="17.25" x14ac:dyDescent="0.25">
      <c r="B37" t="s">
        <v>285</v>
      </c>
    </row>
    <row r="38" spans="2:16" x14ac:dyDescent="0.25">
      <c r="B38" s="328" t="s">
        <v>388</v>
      </c>
    </row>
  </sheetData>
  <mergeCells count="4">
    <mergeCell ref="B1:P1"/>
    <mergeCell ref="B2:P2"/>
    <mergeCell ref="B3:P3"/>
    <mergeCell ref="B4:P4"/>
  </mergeCells>
  <printOptions horizontalCentered="1"/>
  <pageMargins left="0.45" right="0.45" top="0.75" bottom="0.75" header="0.3" footer="0.3"/>
  <pageSetup paperSize="5" scale="74" orientation="landscape" blackAndWhite="1" r:id="rId1"/>
  <headerFooter>
    <oddFooter>&amp;L&amp;F 
&amp;A&amp;C&amp;P&amp;R&amp;D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90" zoomScaleNormal="90" workbookViewId="0">
      <pane xSplit="3" ySplit="9" topLeftCell="D10" activePane="bottomRight" state="frozenSplit"/>
      <selection activeCell="L36" sqref="L36"/>
      <selection pane="topRight" activeCell="L36" sqref="L36"/>
      <selection pane="bottomLeft" activeCell="L36" sqref="L36"/>
      <selection pane="bottomRight" activeCell="Q26" sqref="Q26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5.5703125" bestFit="1" customWidth="1"/>
    <col min="6" max="6" width="14.5703125" bestFit="1" customWidth="1"/>
    <col min="7" max="8" width="13.28515625" bestFit="1" customWidth="1"/>
    <col min="9" max="9" width="12.140625" bestFit="1" customWidth="1"/>
    <col min="10" max="10" width="13.28515625" bestFit="1" customWidth="1"/>
    <col min="11" max="11" width="14" bestFit="1" customWidth="1"/>
    <col min="12" max="12" width="14.5703125" bestFit="1" customWidth="1"/>
    <col min="13" max="13" width="12.85546875" bestFit="1" customWidth="1"/>
    <col min="14" max="14" width="13.28515625" bestFit="1" customWidth="1"/>
    <col min="15" max="15" width="15.7109375" bestFit="1" customWidth="1"/>
    <col min="16" max="16" width="13.7109375" bestFit="1" customWidth="1"/>
  </cols>
  <sheetData>
    <row r="1" spans="2:15" x14ac:dyDescent="0.25">
      <c r="B1" s="381" t="s">
        <v>0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15" x14ac:dyDescent="0.25">
      <c r="B2" s="381" t="str">
        <f>'Rate Impacts_RY#1'!B2:AC2</f>
        <v>2022 Gas General Rate Case Filing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2:15" x14ac:dyDescent="0.25">
      <c r="B3" s="382" t="s">
        <v>257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2:15" x14ac:dyDescent="0.25">
      <c r="B4" s="382" t="s">
        <v>282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5" spans="2:15" x14ac:dyDescent="0.25">
      <c r="L5" s="271"/>
    </row>
    <row r="6" spans="2:15" x14ac:dyDescent="0.25">
      <c r="D6" s="4" t="s">
        <v>15</v>
      </c>
      <c r="L6" s="271"/>
    </row>
    <row r="7" spans="2:15" x14ac:dyDescent="0.25">
      <c r="B7" s="4"/>
      <c r="C7" s="4"/>
      <c r="D7" s="4" t="s">
        <v>121</v>
      </c>
      <c r="E7" s="271"/>
      <c r="F7" s="4"/>
      <c r="G7" s="4"/>
      <c r="H7" s="4"/>
      <c r="I7" s="4"/>
      <c r="J7" s="4"/>
      <c r="K7" s="4"/>
      <c r="L7" s="4"/>
      <c r="M7" s="4"/>
      <c r="N7" s="4"/>
      <c r="O7" s="85" t="s">
        <v>252</v>
      </c>
    </row>
    <row r="8" spans="2:15" x14ac:dyDescent="0.25">
      <c r="B8" s="4"/>
      <c r="C8" s="4" t="s">
        <v>17</v>
      </c>
      <c r="D8" s="85" t="s">
        <v>283</v>
      </c>
      <c r="E8" s="271" t="s">
        <v>268</v>
      </c>
      <c r="F8" s="4" t="s">
        <v>18</v>
      </c>
      <c r="G8" s="4" t="s">
        <v>19</v>
      </c>
      <c r="H8" s="4" t="s">
        <v>49</v>
      </c>
      <c r="I8" s="4" t="s">
        <v>80</v>
      </c>
      <c r="J8" s="4" t="s">
        <v>16</v>
      </c>
      <c r="K8" s="4" t="s">
        <v>272</v>
      </c>
      <c r="L8" s="4" t="s">
        <v>273</v>
      </c>
      <c r="M8" s="4" t="s">
        <v>171</v>
      </c>
      <c r="N8" s="4" t="s">
        <v>134</v>
      </c>
      <c r="O8" s="4" t="s">
        <v>136</v>
      </c>
    </row>
    <row r="9" spans="2:15" ht="15" customHeight="1" x14ac:dyDescent="0.25">
      <c r="B9" s="269" t="s">
        <v>4</v>
      </c>
      <c r="C9" s="269" t="s">
        <v>21</v>
      </c>
      <c r="D9" s="93" t="s">
        <v>284</v>
      </c>
      <c r="E9" s="269" t="s">
        <v>137</v>
      </c>
      <c r="F9" s="269" t="s">
        <v>2</v>
      </c>
      <c r="G9" s="269" t="s">
        <v>2</v>
      </c>
      <c r="H9" s="269" t="s">
        <v>2</v>
      </c>
      <c r="I9" s="269" t="s">
        <v>2</v>
      </c>
      <c r="J9" s="269" t="s">
        <v>2</v>
      </c>
      <c r="K9" s="311" t="s">
        <v>137</v>
      </c>
      <c r="L9" s="311" t="s">
        <v>137</v>
      </c>
      <c r="M9" s="269" t="s">
        <v>2</v>
      </c>
      <c r="N9" s="269" t="s">
        <v>2</v>
      </c>
      <c r="O9" s="151" t="s">
        <v>173</v>
      </c>
    </row>
    <row r="10" spans="2:15" x14ac:dyDescent="0.25">
      <c r="B10" s="4" t="s">
        <v>25</v>
      </c>
      <c r="C10" s="4" t="s">
        <v>26</v>
      </c>
      <c r="D10" s="4" t="s">
        <v>27</v>
      </c>
      <c r="E10" s="4" t="s">
        <v>28</v>
      </c>
      <c r="F10" s="4" t="s">
        <v>243</v>
      </c>
      <c r="G10" s="4" t="s">
        <v>132</v>
      </c>
      <c r="H10" s="4" t="s">
        <v>133</v>
      </c>
      <c r="I10" s="5" t="s">
        <v>78</v>
      </c>
      <c r="J10" s="4" t="s">
        <v>129</v>
      </c>
      <c r="K10" s="5" t="s">
        <v>29</v>
      </c>
      <c r="L10" s="5" t="s">
        <v>50</v>
      </c>
      <c r="M10" s="5" t="s">
        <v>79</v>
      </c>
      <c r="N10" s="4" t="s">
        <v>130</v>
      </c>
      <c r="O10" s="150" t="s">
        <v>244</v>
      </c>
    </row>
    <row r="11" spans="2:15" x14ac:dyDescent="0.25">
      <c r="B11" t="s">
        <v>7</v>
      </c>
      <c r="C11" s="6" t="s">
        <v>30</v>
      </c>
      <c r="D11" s="116"/>
      <c r="E11" s="46"/>
      <c r="F11" s="238"/>
      <c r="G11" s="46"/>
      <c r="H11" s="46"/>
      <c r="I11" s="46"/>
      <c r="J11" s="46"/>
      <c r="K11" s="46"/>
      <c r="L11" s="46"/>
      <c r="M11" s="46"/>
      <c r="N11" s="46"/>
      <c r="O11" s="119">
        <f t="shared" ref="O11:O23" si="0">SUM(E11:N11)</f>
        <v>0</v>
      </c>
    </row>
    <row r="12" spans="2:15" x14ac:dyDescent="0.25">
      <c r="B12" t="s">
        <v>31</v>
      </c>
      <c r="C12" s="6">
        <v>16</v>
      </c>
      <c r="D12" s="116"/>
      <c r="E12" s="46"/>
      <c r="F12" s="238"/>
      <c r="G12" s="46"/>
      <c r="H12" s="46"/>
      <c r="I12" s="46"/>
      <c r="J12" s="46"/>
      <c r="K12" s="46"/>
      <c r="L12" s="46"/>
      <c r="M12" s="46"/>
      <c r="N12" s="46"/>
      <c r="O12" s="119">
        <f t="shared" si="0"/>
        <v>0</v>
      </c>
    </row>
    <row r="13" spans="2:15" x14ac:dyDescent="0.25">
      <c r="B13" t="s">
        <v>8</v>
      </c>
      <c r="C13" s="6">
        <v>31</v>
      </c>
      <c r="D13" s="116"/>
      <c r="E13" s="46"/>
      <c r="F13" s="238"/>
      <c r="G13" s="46"/>
      <c r="H13" s="46"/>
      <c r="I13" s="46"/>
      <c r="J13" s="46"/>
      <c r="K13" s="46"/>
      <c r="L13" s="46"/>
      <c r="M13" s="46"/>
      <c r="N13" s="46"/>
      <c r="O13" s="119">
        <f t="shared" si="0"/>
        <v>0</v>
      </c>
    </row>
    <row r="14" spans="2:15" x14ac:dyDescent="0.25">
      <c r="B14" t="s">
        <v>9</v>
      </c>
      <c r="C14" s="6">
        <v>41</v>
      </c>
      <c r="D14" s="116"/>
      <c r="E14" s="46"/>
      <c r="F14" s="238"/>
      <c r="G14" s="46"/>
      <c r="H14" s="46"/>
      <c r="I14" s="46"/>
      <c r="J14" s="46"/>
      <c r="K14" s="46"/>
      <c r="L14" s="46"/>
      <c r="M14" s="46"/>
      <c r="N14" s="46"/>
      <c r="O14" s="119">
        <f t="shared" si="0"/>
        <v>0</v>
      </c>
    </row>
    <row r="15" spans="2:15" x14ac:dyDescent="0.25">
      <c r="B15" t="s">
        <v>10</v>
      </c>
      <c r="C15" s="6">
        <v>85</v>
      </c>
      <c r="D15" s="116"/>
      <c r="E15" s="46"/>
      <c r="F15" s="238"/>
      <c r="G15" s="46"/>
      <c r="H15" s="46"/>
      <c r="I15" s="46"/>
      <c r="J15" s="46"/>
      <c r="K15" s="46"/>
      <c r="L15" s="46"/>
      <c r="M15" s="46"/>
      <c r="N15" s="46"/>
      <c r="O15" s="119">
        <f t="shared" si="0"/>
        <v>0</v>
      </c>
    </row>
    <row r="16" spans="2:15" x14ac:dyDescent="0.25">
      <c r="B16" t="s">
        <v>11</v>
      </c>
      <c r="C16" s="6">
        <v>86</v>
      </c>
      <c r="D16" s="116"/>
      <c r="E16" s="46"/>
      <c r="F16" s="238"/>
      <c r="G16" s="46"/>
      <c r="H16" s="46"/>
      <c r="I16" s="46"/>
      <c r="J16" s="46"/>
      <c r="K16" s="46"/>
      <c r="L16" s="46"/>
      <c r="M16" s="46"/>
      <c r="N16" s="46"/>
      <c r="O16" s="119">
        <f t="shared" si="0"/>
        <v>0</v>
      </c>
    </row>
    <row r="17" spans="2:16" x14ac:dyDescent="0.25">
      <c r="B17" t="s">
        <v>12</v>
      </c>
      <c r="C17" s="6">
        <v>87</v>
      </c>
      <c r="D17" s="116"/>
      <c r="E17" s="46"/>
      <c r="F17" s="238"/>
      <c r="G17" s="46"/>
      <c r="H17" s="46"/>
      <c r="I17" s="46"/>
      <c r="J17" s="46"/>
      <c r="K17" s="46"/>
      <c r="L17" s="46"/>
      <c r="M17" s="46"/>
      <c r="N17" s="46"/>
      <c r="O17" s="119">
        <f t="shared" si="0"/>
        <v>0</v>
      </c>
    </row>
    <row r="18" spans="2:16" x14ac:dyDescent="0.25">
      <c r="B18" t="s">
        <v>32</v>
      </c>
      <c r="C18" s="6" t="s">
        <v>33</v>
      </c>
      <c r="D18" s="116"/>
      <c r="E18" s="46"/>
      <c r="F18" s="73"/>
      <c r="G18" s="73"/>
      <c r="H18" s="46"/>
      <c r="I18" s="46"/>
      <c r="J18" s="46"/>
      <c r="K18" s="46"/>
      <c r="L18" s="46"/>
      <c r="M18" s="46"/>
      <c r="N18" s="46"/>
      <c r="O18" s="119">
        <f t="shared" si="0"/>
        <v>0</v>
      </c>
    </row>
    <row r="19" spans="2:16" x14ac:dyDescent="0.25">
      <c r="B19" t="s">
        <v>34</v>
      </c>
      <c r="C19" t="s">
        <v>35</v>
      </c>
      <c r="D19" s="116"/>
      <c r="E19" s="46"/>
      <c r="F19" s="73"/>
      <c r="G19" s="73"/>
      <c r="H19" s="46"/>
      <c r="I19" s="46"/>
      <c r="J19" s="46"/>
      <c r="K19" s="46"/>
      <c r="L19" s="46"/>
      <c r="M19" s="46"/>
      <c r="N19" s="46"/>
      <c r="O19" s="119">
        <f t="shared" si="0"/>
        <v>0</v>
      </c>
    </row>
    <row r="20" spans="2:16" x14ac:dyDescent="0.25">
      <c r="B20" t="s">
        <v>36</v>
      </c>
      <c r="C20" t="s">
        <v>37</v>
      </c>
      <c r="D20" s="116"/>
      <c r="E20" s="46"/>
      <c r="F20" s="73"/>
      <c r="G20" s="73"/>
      <c r="H20" s="46"/>
      <c r="I20" s="46"/>
      <c r="J20" s="46"/>
      <c r="K20" s="46"/>
      <c r="L20" s="46"/>
      <c r="M20" s="46"/>
      <c r="N20" s="46"/>
      <c r="O20" s="119">
        <f t="shared" si="0"/>
        <v>0</v>
      </c>
    </row>
    <row r="21" spans="2:16" x14ac:dyDescent="0.25">
      <c r="B21" t="s">
        <v>38</v>
      </c>
      <c r="C21" t="s">
        <v>39</v>
      </c>
      <c r="D21" s="116"/>
      <c r="E21" s="46"/>
      <c r="F21" s="73"/>
      <c r="G21" s="73"/>
      <c r="H21" s="46"/>
      <c r="I21" s="46"/>
      <c r="J21" s="46"/>
      <c r="K21" s="46"/>
      <c r="L21" s="46"/>
      <c r="M21" s="46"/>
      <c r="N21" s="46"/>
      <c r="O21" s="119">
        <f t="shared" si="0"/>
        <v>0</v>
      </c>
    </row>
    <row r="22" spans="2:16" x14ac:dyDescent="0.25">
      <c r="B22" t="s">
        <v>40</v>
      </c>
      <c r="C22" t="s">
        <v>41</v>
      </c>
      <c r="D22" s="11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19">
        <f t="shared" si="0"/>
        <v>0</v>
      </c>
    </row>
    <row r="23" spans="2:16" x14ac:dyDescent="0.25">
      <c r="B23" t="s">
        <v>13</v>
      </c>
      <c r="D23" s="11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119">
        <f t="shared" si="0"/>
        <v>0</v>
      </c>
    </row>
    <row r="24" spans="2:16" x14ac:dyDescent="0.25">
      <c r="B24" t="s">
        <v>6</v>
      </c>
      <c r="D24" s="11">
        <f>SUM(D11:D23)</f>
        <v>0</v>
      </c>
      <c r="E24" s="12">
        <f>SUM(E11:E23)</f>
        <v>0</v>
      </c>
      <c r="F24" s="12">
        <f t="shared" ref="F24:H24" si="1">SUM(F11:F23)</f>
        <v>0</v>
      </c>
      <c r="G24" s="12">
        <f t="shared" si="1"/>
        <v>0</v>
      </c>
      <c r="H24" s="12">
        <f t="shared" si="1"/>
        <v>0</v>
      </c>
      <c r="I24" s="12">
        <f>SUM(I11:I23)</f>
        <v>0</v>
      </c>
      <c r="J24" s="12">
        <f>SUM(J11:J23)</f>
        <v>0</v>
      </c>
      <c r="K24" s="12">
        <f>SUM(K11:K23)</f>
        <v>0</v>
      </c>
      <c r="L24" s="12">
        <f>SUM(L11:L23)</f>
        <v>0</v>
      </c>
      <c r="M24" s="12">
        <f>SUM(M11:M23)</f>
        <v>0</v>
      </c>
      <c r="N24" s="12">
        <f t="shared" ref="N24:O24" si="2">SUM(N11:N23)</f>
        <v>0</v>
      </c>
      <c r="O24" s="125">
        <f t="shared" si="2"/>
        <v>0</v>
      </c>
      <c r="P24" s="9"/>
    </row>
    <row r="25" spans="2:16" x14ac:dyDescent="0.25">
      <c r="D25" s="16"/>
      <c r="I25" s="9"/>
      <c r="M25" s="9"/>
      <c r="N25" s="9"/>
      <c r="O25" s="9"/>
    </row>
    <row r="26" spans="2:16" s="14" customFormat="1" x14ac:dyDescent="0.25">
      <c r="B26" s="152" t="s">
        <v>160</v>
      </c>
      <c r="C26" s="17"/>
    </row>
    <row r="27" spans="2:16" s="14" customFormat="1" x14ac:dyDescent="0.25">
      <c r="B27" s="69" t="s">
        <v>42</v>
      </c>
      <c r="C27" s="69"/>
      <c r="D27" s="235">
        <f>D11+D12</f>
        <v>0</v>
      </c>
      <c r="E27" s="18">
        <f>E11+E12</f>
        <v>0</v>
      </c>
      <c r="F27" s="18">
        <f t="shared" ref="F27:N27" si="3">F11+F12</f>
        <v>0</v>
      </c>
      <c r="G27" s="18">
        <f t="shared" si="3"/>
        <v>0</v>
      </c>
      <c r="H27" s="18">
        <f t="shared" si="3"/>
        <v>0</v>
      </c>
      <c r="I27" s="18">
        <f t="shared" si="3"/>
        <v>0</v>
      </c>
      <c r="J27" s="18">
        <f t="shared" si="3"/>
        <v>0</v>
      </c>
      <c r="K27" s="18">
        <f t="shared" ref="K27" si="4">K11+K12</f>
        <v>0</v>
      </c>
      <c r="L27" s="18">
        <f t="shared" si="3"/>
        <v>0</v>
      </c>
      <c r="M27" s="18">
        <f t="shared" si="3"/>
        <v>0</v>
      </c>
      <c r="N27" s="18">
        <f t="shared" si="3"/>
        <v>0</v>
      </c>
      <c r="O27" s="18">
        <f>O11+O12</f>
        <v>0</v>
      </c>
      <c r="P27" s="19"/>
    </row>
    <row r="28" spans="2:16" s="14" customFormat="1" x14ac:dyDescent="0.25">
      <c r="B28" s="20" t="s">
        <v>43</v>
      </c>
      <c r="C28" s="20"/>
      <c r="D28" s="235">
        <f t="shared" ref="D28:N32" si="5">D13+D18</f>
        <v>0</v>
      </c>
      <c r="E28" s="18">
        <f t="shared" si="5"/>
        <v>0</v>
      </c>
      <c r="F28" s="18">
        <f t="shared" si="5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18">
        <f t="shared" ref="K28" si="6">K13+K18</f>
        <v>0</v>
      </c>
      <c r="L28" s="18">
        <f t="shared" si="5"/>
        <v>0</v>
      </c>
      <c r="M28" s="18">
        <f t="shared" si="5"/>
        <v>0</v>
      </c>
      <c r="N28" s="18">
        <f t="shared" si="5"/>
        <v>0</v>
      </c>
      <c r="O28" s="18">
        <f>O13+O18</f>
        <v>0</v>
      </c>
    </row>
    <row r="29" spans="2:16" s="14" customFormat="1" x14ac:dyDescent="0.25">
      <c r="B29" s="69" t="s">
        <v>44</v>
      </c>
      <c r="C29" s="69"/>
      <c r="D29" s="235">
        <f t="shared" si="5"/>
        <v>0</v>
      </c>
      <c r="E29" s="18">
        <f t="shared" si="5"/>
        <v>0</v>
      </c>
      <c r="F29" s="18">
        <f t="shared" si="5"/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ref="K29" si="7">K14+K19</f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8">
        <f>O14+O19</f>
        <v>0</v>
      </c>
    </row>
    <row r="30" spans="2:16" s="14" customFormat="1" x14ac:dyDescent="0.25">
      <c r="B30" s="69" t="s">
        <v>45</v>
      </c>
      <c r="C30" s="69"/>
      <c r="D30" s="235">
        <f t="shared" si="5"/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ref="K30" si="8">K15+K20</f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8">
        <f>O15+O20</f>
        <v>0</v>
      </c>
    </row>
    <row r="31" spans="2:16" s="14" customFormat="1" x14ac:dyDescent="0.25">
      <c r="B31" s="69" t="s">
        <v>46</v>
      </c>
      <c r="C31" s="69"/>
      <c r="D31" s="235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ref="K31" si="9">K16+K21</f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>O16+O21</f>
        <v>0</v>
      </c>
    </row>
    <row r="32" spans="2:16" s="14" customFormat="1" x14ac:dyDescent="0.25">
      <c r="B32" s="13" t="s">
        <v>47</v>
      </c>
      <c r="C32" s="13"/>
      <c r="D32" s="235">
        <f t="shared" si="5"/>
        <v>0</v>
      </c>
      <c r="E32" s="18">
        <f t="shared" si="5"/>
        <v>0</v>
      </c>
      <c r="F32" s="18">
        <f t="shared" si="5"/>
        <v>0</v>
      </c>
      <c r="G32" s="18">
        <f t="shared" si="5"/>
        <v>0</v>
      </c>
      <c r="H32" s="18">
        <f t="shared" si="5"/>
        <v>0</v>
      </c>
      <c r="I32" s="18">
        <f t="shared" si="5"/>
        <v>0</v>
      </c>
      <c r="J32" s="18">
        <f t="shared" si="5"/>
        <v>0</v>
      </c>
      <c r="K32" s="18">
        <f t="shared" ref="K32" si="10">K17+K22</f>
        <v>0</v>
      </c>
      <c r="L32" s="18">
        <f t="shared" si="5"/>
        <v>0</v>
      </c>
      <c r="M32" s="18">
        <f t="shared" si="5"/>
        <v>0</v>
      </c>
      <c r="N32" s="18">
        <f t="shared" si="5"/>
        <v>0</v>
      </c>
      <c r="O32" s="18">
        <f>O17+O22</f>
        <v>0</v>
      </c>
    </row>
    <row r="33" spans="2:15" s="14" customFormat="1" x14ac:dyDescent="0.25">
      <c r="B33" s="13" t="s">
        <v>13</v>
      </c>
      <c r="C33" s="13"/>
      <c r="D33" s="235">
        <f>D23</f>
        <v>0</v>
      </c>
      <c r="E33" s="18">
        <f>E23</f>
        <v>0</v>
      </c>
      <c r="F33" s="18">
        <f t="shared" ref="F33:N33" si="11">F23</f>
        <v>0</v>
      </c>
      <c r="G33" s="18">
        <f t="shared" si="11"/>
        <v>0</v>
      </c>
      <c r="H33" s="18">
        <f t="shared" si="11"/>
        <v>0</v>
      </c>
      <c r="I33" s="18">
        <f t="shared" si="11"/>
        <v>0</v>
      </c>
      <c r="J33" s="18">
        <f t="shared" si="11"/>
        <v>0</v>
      </c>
      <c r="K33" s="18">
        <f t="shared" ref="K33" si="12">K23</f>
        <v>0</v>
      </c>
      <c r="L33" s="18">
        <f t="shared" si="11"/>
        <v>0</v>
      </c>
      <c r="M33" s="18">
        <f t="shared" si="11"/>
        <v>0</v>
      </c>
      <c r="N33" s="18">
        <f t="shared" si="11"/>
        <v>0</v>
      </c>
      <c r="O33" s="18">
        <f>O23</f>
        <v>0</v>
      </c>
    </row>
    <row r="34" spans="2:15" s="14" customFormat="1" x14ac:dyDescent="0.25">
      <c r="B34" s="13" t="s">
        <v>14</v>
      </c>
      <c r="C34" s="13"/>
      <c r="D34" s="236">
        <f>SUM(D27:D33)</f>
        <v>0</v>
      </c>
      <c r="E34" s="23">
        <f>SUM(E27:E33)</f>
        <v>0</v>
      </c>
      <c r="F34" s="23">
        <f t="shared" ref="F34:N34" si="13">SUM(F27:F33)</f>
        <v>0</v>
      </c>
      <c r="G34" s="23">
        <f t="shared" si="13"/>
        <v>0</v>
      </c>
      <c r="H34" s="23">
        <f t="shared" si="13"/>
        <v>0</v>
      </c>
      <c r="I34" s="23">
        <f t="shared" si="13"/>
        <v>0</v>
      </c>
      <c r="J34" s="23">
        <f t="shared" si="13"/>
        <v>0</v>
      </c>
      <c r="K34" s="23">
        <f t="shared" si="13"/>
        <v>0</v>
      </c>
      <c r="L34" s="23">
        <f t="shared" si="13"/>
        <v>0</v>
      </c>
      <c r="M34" s="23">
        <f t="shared" si="13"/>
        <v>0</v>
      </c>
      <c r="N34" s="23">
        <f t="shared" si="13"/>
        <v>0</v>
      </c>
      <c r="O34" s="23">
        <f>SUM(O27:O33)</f>
        <v>0</v>
      </c>
    </row>
    <row r="35" spans="2:15" s="14" customFormat="1" x14ac:dyDescent="0.25">
      <c r="B35" s="15"/>
      <c r="C35" s="15"/>
      <c r="F35" s="22"/>
      <c r="I35" s="15"/>
      <c r="L35" s="15"/>
      <c r="M35" s="15"/>
      <c r="N35" s="15"/>
      <c r="O35" s="15"/>
    </row>
    <row r="36" spans="2:15" ht="17.25" x14ac:dyDescent="0.25">
      <c r="B36" t="s">
        <v>338</v>
      </c>
      <c r="E36" s="50"/>
      <c r="I36" s="16"/>
      <c r="M36" s="16"/>
      <c r="N36" s="16"/>
      <c r="O36" s="16"/>
    </row>
    <row r="37" spans="2:15" ht="17.25" x14ac:dyDescent="0.25">
      <c r="B37" t="s">
        <v>286</v>
      </c>
    </row>
  </sheetData>
  <mergeCells count="4">
    <mergeCell ref="B1:O1"/>
    <mergeCell ref="B2:O2"/>
    <mergeCell ref="B3:O3"/>
    <mergeCell ref="B4:O4"/>
  </mergeCells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>
      <pane ySplit="8" topLeftCell="A9" activePane="bottomLeft" state="frozen"/>
      <selection pane="bottomLeft" activeCell="L39" sqref="L39"/>
    </sheetView>
  </sheetViews>
  <sheetFormatPr defaultColWidth="8.7109375" defaultRowHeight="15" x14ac:dyDescent="0.25"/>
  <cols>
    <col min="1" max="1" width="3.28515625" style="1" customWidth="1"/>
    <col min="2" max="2" width="38.7109375" style="1" customWidth="1"/>
    <col min="3" max="3" width="9.140625" style="1" bestFit="1" customWidth="1"/>
    <col min="4" max="4" width="18.5703125" style="1" bestFit="1" customWidth="1"/>
    <col min="5" max="6" width="13.7109375" style="1" customWidth="1"/>
    <col min="7" max="9" width="14.42578125" style="1" customWidth="1"/>
    <col min="10" max="10" width="7.85546875" style="1" bestFit="1" customWidth="1"/>
    <col min="11" max="11" width="8.7109375" style="1"/>
    <col min="12" max="12" width="12.28515625" style="1" bestFit="1" customWidth="1"/>
    <col min="13" max="16384" width="8.7109375" style="1"/>
  </cols>
  <sheetData>
    <row r="1" spans="1:12" s="63" customFormat="1" ht="15" customHeigh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52"/>
    </row>
    <row r="2" spans="1:12" s="63" customFormat="1" ht="15" customHeight="1" x14ac:dyDescent="0.25">
      <c r="A2" s="383" t="s">
        <v>146</v>
      </c>
      <c r="B2" s="383"/>
      <c r="C2" s="383"/>
      <c r="D2" s="383"/>
      <c r="E2" s="383"/>
      <c r="F2" s="383"/>
      <c r="G2" s="383"/>
      <c r="H2" s="383"/>
      <c r="I2" s="383"/>
      <c r="J2" s="383"/>
      <c r="K2" s="52"/>
    </row>
    <row r="3" spans="1:12" s="63" customFormat="1" ht="15" customHeight="1" x14ac:dyDescent="0.25">
      <c r="A3" s="383" t="s">
        <v>147</v>
      </c>
      <c r="B3" s="383"/>
      <c r="C3" s="383"/>
      <c r="D3" s="383"/>
      <c r="E3" s="383"/>
      <c r="F3" s="383"/>
      <c r="G3" s="383"/>
      <c r="H3" s="383"/>
      <c r="I3" s="383"/>
      <c r="J3" s="383"/>
      <c r="K3" s="52"/>
    </row>
    <row r="4" spans="1:12" s="63" customFormat="1" ht="15" customHeight="1" x14ac:dyDescent="0.25">
      <c r="A4" s="381" t="s">
        <v>201</v>
      </c>
      <c r="B4" s="381"/>
      <c r="C4" s="381"/>
      <c r="D4" s="381"/>
      <c r="E4" s="381"/>
      <c r="F4" s="381"/>
      <c r="G4" s="381"/>
      <c r="H4" s="381"/>
      <c r="I4" s="381"/>
      <c r="J4" s="381"/>
      <c r="K4" s="52"/>
    </row>
    <row r="5" spans="1:12" x14ac:dyDescent="0.25">
      <c r="E5" s="156"/>
      <c r="F5" s="156"/>
    </row>
    <row r="6" spans="1:12" x14ac:dyDescent="0.25">
      <c r="B6" s="104"/>
      <c r="C6" s="104"/>
      <c r="D6" s="104" t="s">
        <v>15</v>
      </c>
      <c r="E6" s="104" t="s">
        <v>5</v>
      </c>
      <c r="F6" s="104" t="s">
        <v>1</v>
      </c>
      <c r="G6" s="104" t="s">
        <v>15</v>
      </c>
      <c r="H6" s="104" t="s">
        <v>15</v>
      </c>
      <c r="I6" s="104" t="s">
        <v>18</v>
      </c>
      <c r="J6" s="104"/>
    </row>
    <row r="7" spans="1:12" x14ac:dyDescent="0.25">
      <c r="B7" s="104"/>
      <c r="C7" s="104"/>
      <c r="D7" s="104" t="s">
        <v>3</v>
      </c>
      <c r="E7" s="104" t="s">
        <v>18</v>
      </c>
      <c r="F7" s="104" t="s">
        <v>18</v>
      </c>
      <c r="G7" s="104" t="s">
        <v>2</v>
      </c>
      <c r="H7" s="104" t="s">
        <v>2</v>
      </c>
      <c r="I7" s="104" t="s">
        <v>2</v>
      </c>
      <c r="J7" s="104" t="s">
        <v>20</v>
      </c>
    </row>
    <row r="8" spans="1:12" x14ac:dyDescent="0.25">
      <c r="A8" s="96"/>
      <c r="B8" s="92" t="s">
        <v>111</v>
      </c>
      <c r="C8" s="92" t="s">
        <v>119</v>
      </c>
      <c r="D8" s="93" t="s">
        <v>212</v>
      </c>
      <c r="E8" s="151" t="s">
        <v>22</v>
      </c>
      <c r="F8" s="151" t="s">
        <v>22</v>
      </c>
      <c r="G8" s="151" t="s">
        <v>23</v>
      </c>
      <c r="H8" s="151" t="s">
        <v>131</v>
      </c>
      <c r="I8" s="157" t="s">
        <v>24</v>
      </c>
      <c r="J8" s="151" t="s">
        <v>24</v>
      </c>
    </row>
    <row r="9" spans="1:12" x14ac:dyDescent="0.25">
      <c r="A9" s="55" t="s">
        <v>112</v>
      </c>
      <c r="B9" s="63"/>
      <c r="C9" s="55"/>
      <c r="D9" s="104"/>
      <c r="E9" s="104"/>
      <c r="F9" s="104"/>
      <c r="G9" s="150"/>
      <c r="H9" s="150"/>
      <c r="I9" s="104"/>
      <c r="J9" s="104"/>
    </row>
    <row r="10" spans="1:12" x14ac:dyDescent="0.25">
      <c r="A10" s="63"/>
      <c r="B10" s="64" t="s">
        <v>120</v>
      </c>
      <c r="C10" s="64" t="s">
        <v>121</v>
      </c>
      <c r="D10" s="59">
        <f>Therms_CY2023!P10</f>
        <v>636369361</v>
      </c>
      <c r="E10" s="8">
        <v>0.46339999999999998</v>
      </c>
      <c r="F10" s="8">
        <v>0.46339999999999998</v>
      </c>
      <c r="G10" s="97">
        <f>ROUND(E10*D10,2)</f>
        <v>294893561.88999999</v>
      </c>
      <c r="H10" s="97">
        <f>ROUND(F10*D10,2)</f>
        <v>294893561.88999999</v>
      </c>
      <c r="I10" s="105">
        <f>H10-G10</f>
        <v>0</v>
      </c>
      <c r="J10" s="2">
        <f>I10/G10</f>
        <v>0</v>
      </c>
      <c r="L10" s="105"/>
    </row>
    <row r="11" spans="1:12" x14ac:dyDescent="0.25">
      <c r="A11" s="63"/>
      <c r="B11" s="56"/>
      <c r="C11" s="56"/>
      <c r="D11" s="59"/>
      <c r="E11" s="100"/>
      <c r="F11" s="100"/>
      <c r="G11" s="97"/>
      <c r="H11" s="97"/>
      <c r="I11" s="105"/>
      <c r="J11" s="2"/>
    </row>
    <row r="12" spans="1:12" x14ac:dyDescent="0.25">
      <c r="A12" s="57" t="s">
        <v>113</v>
      </c>
      <c r="B12" s="63"/>
      <c r="C12" s="55"/>
      <c r="D12" s="59"/>
      <c r="E12" s="100"/>
      <c r="F12" s="100"/>
      <c r="G12" s="97"/>
      <c r="H12" s="97"/>
      <c r="I12" s="105"/>
      <c r="J12" s="2"/>
    </row>
    <row r="13" spans="1:12" x14ac:dyDescent="0.25">
      <c r="A13" s="63"/>
      <c r="B13" s="64" t="s">
        <v>120</v>
      </c>
      <c r="C13" s="62" t="s">
        <v>121</v>
      </c>
      <c r="D13" s="70">
        <f>Therms_CY2023!P9</f>
        <v>8832</v>
      </c>
      <c r="E13" s="100">
        <v>0.46339999999999998</v>
      </c>
      <c r="F13" s="100">
        <v>0.46339999999999998</v>
      </c>
      <c r="G13" s="97">
        <f>ROUND(E13*D13,2)</f>
        <v>4092.75</v>
      </c>
      <c r="H13" s="97">
        <f>ROUND(F13*D13,2)</f>
        <v>4092.75</v>
      </c>
      <c r="I13" s="105">
        <f>H13-G13</f>
        <v>0</v>
      </c>
      <c r="J13" s="2">
        <f>I13/G13</f>
        <v>0</v>
      </c>
      <c r="L13" s="105"/>
    </row>
    <row r="14" spans="1:12" x14ac:dyDescent="0.25">
      <c r="A14" s="63"/>
      <c r="B14" s="64"/>
      <c r="C14" s="64"/>
      <c r="D14" s="98"/>
      <c r="E14" s="100"/>
      <c r="F14" s="100"/>
      <c r="G14" s="97"/>
      <c r="H14" s="97"/>
      <c r="I14" s="105"/>
      <c r="J14" s="2"/>
    </row>
    <row r="15" spans="1:12" x14ac:dyDescent="0.25">
      <c r="A15" s="55" t="s">
        <v>114</v>
      </c>
      <c r="B15" s="63"/>
      <c r="C15" s="56"/>
      <c r="D15" s="98"/>
      <c r="E15" s="100"/>
      <c r="F15" s="100"/>
      <c r="G15" s="97"/>
      <c r="H15" s="97"/>
      <c r="I15" s="105"/>
      <c r="J15" s="2"/>
    </row>
    <row r="16" spans="1:12" x14ac:dyDescent="0.25">
      <c r="A16" s="63"/>
      <c r="B16" s="64" t="s">
        <v>120</v>
      </c>
      <c r="C16" s="64" t="s">
        <v>121</v>
      </c>
      <c r="D16" s="59">
        <f>Therms_CY2023!P12</f>
        <v>243192248</v>
      </c>
      <c r="E16" s="8">
        <v>0.45562000000000002</v>
      </c>
      <c r="F16" s="8">
        <v>0.45562000000000002</v>
      </c>
      <c r="G16" s="97">
        <f>ROUND(E16*D16,2)</f>
        <v>110803252.03</v>
      </c>
      <c r="H16" s="97">
        <f>ROUND(F16*D16,2)</f>
        <v>110803252.03</v>
      </c>
      <c r="I16" s="105">
        <f>H16-G16</f>
        <v>0</v>
      </c>
      <c r="J16" s="2">
        <f>I16/G16</f>
        <v>0</v>
      </c>
      <c r="L16" s="105"/>
    </row>
    <row r="17" spans="1:13" x14ac:dyDescent="0.25">
      <c r="A17" s="63"/>
      <c r="B17" s="64"/>
      <c r="C17" s="64"/>
      <c r="D17" s="98"/>
      <c r="E17" s="100"/>
      <c r="F17" s="100"/>
      <c r="G17" s="97"/>
      <c r="H17" s="97"/>
      <c r="I17" s="105"/>
      <c r="J17" s="2"/>
    </row>
    <row r="18" spans="1:13" x14ac:dyDescent="0.25">
      <c r="A18" s="57" t="s">
        <v>115</v>
      </c>
      <c r="B18" s="63"/>
      <c r="C18" s="56"/>
      <c r="D18" s="98"/>
      <c r="E18" s="100"/>
      <c r="F18" s="100"/>
      <c r="G18" s="97"/>
      <c r="H18" s="97"/>
      <c r="I18" s="105"/>
      <c r="J18" s="2"/>
    </row>
    <row r="19" spans="1:13" x14ac:dyDescent="0.25">
      <c r="A19" s="63"/>
      <c r="B19" s="58" t="s">
        <v>57</v>
      </c>
      <c r="C19" s="64" t="s">
        <v>121</v>
      </c>
      <c r="D19" s="116">
        <f>Therms_CY2023!P13</f>
        <v>66922885</v>
      </c>
      <c r="E19" s="8">
        <v>0.34892000000000001</v>
      </c>
      <c r="F19" s="8">
        <v>0.34892000000000001</v>
      </c>
      <c r="G19" s="97">
        <f t="shared" ref="G19:G20" si="0">ROUND(E19*D19,2)</f>
        <v>23350733.030000001</v>
      </c>
      <c r="H19" s="97">
        <f t="shared" ref="H19:H20" si="1">ROUND(F19*D19,2)</f>
        <v>23350733.030000001</v>
      </c>
      <c r="I19" s="105">
        <f t="shared" ref="I19:I20" si="2">H19-G19</f>
        <v>0</v>
      </c>
      <c r="J19" s="2">
        <f t="shared" ref="J19:J20" si="3">I19/G19</f>
        <v>0</v>
      </c>
    </row>
    <row r="20" spans="1:13" x14ac:dyDescent="0.25">
      <c r="A20" s="63"/>
      <c r="B20" s="58" t="s">
        <v>56</v>
      </c>
      <c r="C20" s="64" t="s">
        <v>109</v>
      </c>
      <c r="D20" s="59">
        <f>'12ME Dec 2023 Data'!N12</f>
        <v>4682844</v>
      </c>
      <c r="E20" s="101">
        <v>1.05</v>
      </c>
      <c r="F20" s="101">
        <v>1.05</v>
      </c>
      <c r="G20" s="97">
        <f t="shared" si="0"/>
        <v>4916986.2</v>
      </c>
      <c r="H20" s="97">
        <f t="shared" si="1"/>
        <v>4916986.2</v>
      </c>
      <c r="I20" s="105">
        <f t="shared" si="2"/>
        <v>0</v>
      </c>
      <c r="J20" s="2">
        <f t="shared" si="3"/>
        <v>0</v>
      </c>
    </row>
    <row r="21" spans="1:13" x14ac:dyDescent="0.25">
      <c r="A21" s="63"/>
      <c r="B21" s="58" t="s">
        <v>6</v>
      </c>
      <c r="C21" s="64"/>
      <c r="D21" s="98"/>
      <c r="E21" s="100"/>
      <c r="F21" s="100"/>
      <c r="G21" s="48">
        <f>SUM(G19:G20)</f>
        <v>28267719.23</v>
      </c>
      <c r="H21" s="48">
        <f t="shared" ref="H21:I21" si="4">SUM(H19:H20)</f>
        <v>28267719.23</v>
      </c>
      <c r="I21" s="48">
        <f t="shared" si="4"/>
        <v>0</v>
      </c>
      <c r="J21" s="3">
        <f>I21/G21</f>
        <v>0</v>
      </c>
      <c r="L21" s="105"/>
    </row>
    <row r="22" spans="1:13" x14ac:dyDescent="0.25">
      <c r="A22" s="63"/>
      <c r="B22" s="58"/>
      <c r="C22" s="64"/>
      <c r="D22" s="98"/>
      <c r="E22" s="100"/>
      <c r="F22" s="100"/>
      <c r="G22" s="97"/>
      <c r="H22" s="97"/>
      <c r="I22" s="105"/>
      <c r="J22" s="2"/>
      <c r="L22" s="105"/>
    </row>
    <row r="23" spans="1:13" x14ac:dyDescent="0.25">
      <c r="A23" s="55" t="s">
        <v>116</v>
      </c>
      <c r="B23" s="63"/>
      <c r="C23" s="56"/>
      <c r="D23" s="98"/>
      <c r="E23" s="180"/>
      <c r="F23" s="100"/>
      <c r="G23" s="97"/>
      <c r="H23" s="97"/>
      <c r="I23" s="105"/>
      <c r="J23" s="99"/>
    </row>
    <row r="24" spans="1:13" s="63" customFormat="1" x14ac:dyDescent="0.25">
      <c r="B24" s="58" t="s">
        <v>57</v>
      </c>
      <c r="C24" s="64" t="s">
        <v>121</v>
      </c>
      <c r="D24" s="59">
        <f>Therms_CY2023!P14</f>
        <v>11124640</v>
      </c>
      <c r="E24" s="8">
        <v>0.38712000000000002</v>
      </c>
      <c r="F24" s="8">
        <v>0.38712000000000002</v>
      </c>
      <c r="G24" s="97">
        <f t="shared" ref="G24:G25" si="5">ROUND(E24*D24,2)</f>
        <v>4306570.6399999997</v>
      </c>
      <c r="H24" s="97">
        <f t="shared" ref="H24:H25" si="6">ROUND(F24*D24,2)</f>
        <v>4306570.6399999997</v>
      </c>
      <c r="I24" s="105">
        <f t="shared" ref="I24:I25" si="7">H24-G24</f>
        <v>0</v>
      </c>
      <c r="J24" s="2">
        <f t="shared" ref="J24:J25" si="8">I24/G24</f>
        <v>0</v>
      </c>
    </row>
    <row r="25" spans="1:13" s="63" customFormat="1" x14ac:dyDescent="0.25">
      <c r="B25" s="58" t="s">
        <v>56</v>
      </c>
      <c r="C25" s="64" t="s">
        <v>109</v>
      </c>
      <c r="D25" s="59">
        <f>'12ME Dec 2023 Data'!N14</f>
        <v>94536</v>
      </c>
      <c r="E25" s="101">
        <v>1.05</v>
      </c>
      <c r="F25" s="101">
        <v>1.05</v>
      </c>
      <c r="G25" s="97">
        <f t="shared" si="5"/>
        <v>99262.8</v>
      </c>
      <c r="H25" s="97">
        <f t="shared" si="6"/>
        <v>99262.8</v>
      </c>
      <c r="I25" s="105">
        <f t="shared" si="7"/>
        <v>0</v>
      </c>
      <c r="J25" s="2">
        <f t="shared" si="8"/>
        <v>0</v>
      </c>
      <c r="K25" s="86"/>
      <c r="L25" s="185"/>
      <c r="M25" s="186"/>
    </row>
    <row r="26" spans="1:13" s="63" customFormat="1" x14ac:dyDescent="0.25">
      <c r="B26" s="56" t="s">
        <v>6</v>
      </c>
      <c r="C26" s="56"/>
      <c r="D26" s="98"/>
      <c r="E26" s="53"/>
      <c r="F26" s="252"/>
      <c r="G26" s="48">
        <f>SUM(G24:G25)</f>
        <v>4405833.4399999995</v>
      </c>
      <c r="H26" s="48">
        <f t="shared" ref="H26:I26" si="9">SUM(H24:H25)</f>
        <v>4405833.4399999995</v>
      </c>
      <c r="I26" s="48">
        <f t="shared" si="9"/>
        <v>0</v>
      </c>
      <c r="J26" s="3">
        <f>I26/G26</f>
        <v>0</v>
      </c>
      <c r="K26" s="86"/>
      <c r="L26" s="47"/>
    </row>
    <row r="27" spans="1:13" s="63" customFormat="1" x14ac:dyDescent="0.25">
      <c r="B27" s="56"/>
      <c r="C27" s="56"/>
      <c r="D27" s="98"/>
      <c r="E27" s="53"/>
      <c r="F27" s="252"/>
      <c r="G27" s="97"/>
      <c r="H27" s="97"/>
      <c r="I27" s="105"/>
      <c r="J27" s="2"/>
      <c r="K27" s="86"/>
      <c r="L27" s="47"/>
    </row>
    <row r="28" spans="1:13" x14ac:dyDescent="0.25">
      <c r="A28" s="55" t="s">
        <v>117</v>
      </c>
      <c r="B28" s="63"/>
      <c r="C28" s="56"/>
      <c r="D28" s="98"/>
      <c r="F28" s="75"/>
      <c r="G28" s="189"/>
      <c r="H28" s="189"/>
      <c r="I28" s="105"/>
    </row>
    <row r="29" spans="1:13" x14ac:dyDescent="0.25">
      <c r="A29" s="63"/>
      <c r="B29" s="58" t="s">
        <v>57</v>
      </c>
      <c r="C29" s="64" t="s">
        <v>121</v>
      </c>
      <c r="D29" s="59">
        <f>Therms_CY2023!P15</f>
        <v>5691490</v>
      </c>
      <c r="E29" s="8">
        <v>0.40093000000000001</v>
      </c>
      <c r="F29" s="8">
        <v>0.40093000000000001</v>
      </c>
      <c r="G29" s="97">
        <f t="shared" ref="G29:G30" si="10">ROUND(E29*D29,2)</f>
        <v>2281889.09</v>
      </c>
      <c r="H29" s="97">
        <f t="shared" ref="H29:H30" si="11">ROUND(F29*D29,2)</f>
        <v>2281889.09</v>
      </c>
      <c r="I29" s="105">
        <f t="shared" ref="I29:I30" si="12">H29-G29</f>
        <v>0</v>
      </c>
      <c r="J29" s="2">
        <f t="shared" ref="J29:J30" si="13">I29/G29</f>
        <v>0</v>
      </c>
    </row>
    <row r="30" spans="1:13" x14ac:dyDescent="0.25">
      <c r="A30" s="63"/>
      <c r="B30" s="58" t="s">
        <v>56</v>
      </c>
      <c r="C30" s="64" t="s">
        <v>109</v>
      </c>
      <c r="D30" s="59">
        <f>'12ME Dec 2023 Data'!N16</f>
        <v>38184</v>
      </c>
      <c r="E30" s="101">
        <v>1.05</v>
      </c>
      <c r="F30" s="101">
        <v>1.05</v>
      </c>
      <c r="G30" s="97">
        <f t="shared" si="10"/>
        <v>40093.199999999997</v>
      </c>
      <c r="H30" s="97">
        <f t="shared" si="11"/>
        <v>40093.199999999997</v>
      </c>
      <c r="I30" s="105">
        <f t="shared" si="12"/>
        <v>0</v>
      </c>
      <c r="J30" s="2">
        <f t="shared" si="13"/>
        <v>0</v>
      </c>
    </row>
    <row r="31" spans="1:13" x14ac:dyDescent="0.25">
      <c r="A31" s="64"/>
      <c r="B31" s="56" t="s">
        <v>6</v>
      </c>
      <c r="C31" s="56"/>
      <c r="D31" s="98"/>
      <c r="F31" s="75"/>
      <c r="G31" s="48">
        <f>SUM(G29:G30)</f>
        <v>2321982.29</v>
      </c>
      <c r="H31" s="48">
        <f t="shared" ref="H31:I31" si="14">SUM(H29:H30)</f>
        <v>2321982.29</v>
      </c>
      <c r="I31" s="48">
        <f t="shared" si="14"/>
        <v>0</v>
      </c>
      <c r="J31" s="3">
        <f>I31/G31</f>
        <v>0</v>
      </c>
      <c r="L31" s="105"/>
    </row>
    <row r="32" spans="1:13" x14ac:dyDescent="0.25">
      <c r="A32" s="64"/>
      <c r="B32" s="56"/>
      <c r="C32" s="56"/>
      <c r="D32" s="98"/>
      <c r="F32" s="75"/>
      <c r="G32" s="97"/>
      <c r="H32" s="97"/>
      <c r="I32" s="105"/>
      <c r="J32" s="2"/>
      <c r="L32" s="105"/>
    </row>
    <row r="33" spans="1:12" x14ac:dyDescent="0.25">
      <c r="A33" s="55" t="s">
        <v>118</v>
      </c>
      <c r="B33" s="63"/>
      <c r="C33" s="56"/>
      <c r="D33" s="98"/>
      <c r="F33" s="75"/>
      <c r="G33" s="172"/>
      <c r="H33" s="172"/>
      <c r="I33" s="105"/>
    </row>
    <row r="34" spans="1:12" x14ac:dyDescent="0.25">
      <c r="A34" s="63"/>
      <c r="B34" s="58" t="s">
        <v>57</v>
      </c>
      <c r="C34" s="64" t="s">
        <v>121</v>
      </c>
      <c r="D34" s="59">
        <f>Therms_CY2023!P16</f>
        <v>21819455.762355205</v>
      </c>
      <c r="E34" s="8">
        <v>0.39700999999999997</v>
      </c>
      <c r="F34" s="8">
        <v>0.39700999999999997</v>
      </c>
      <c r="G34" s="97">
        <f t="shared" ref="G34:G35" si="15">ROUND(E34*D34,2)</f>
        <v>8662542.1300000008</v>
      </c>
      <c r="H34" s="97">
        <f t="shared" ref="H34:H35" si="16">ROUND(F34*D34,2)</f>
        <v>8662542.1300000008</v>
      </c>
      <c r="I34" s="105">
        <f t="shared" ref="I34:I35" si="17">H34-G34</f>
        <v>0</v>
      </c>
      <c r="J34" s="2">
        <f t="shared" ref="J34" si="18">I34/G34</f>
        <v>0</v>
      </c>
    </row>
    <row r="35" spans="1:12" x14ac:dyDescent="0.25">
      <c r="A35" s="63"/>
      <c r="B35" s="58" t="s">
        <v>56</v>
      </c>
      <c r="C35" s="64" t="s">
        <v>109</v>
      </c>
      <c r="D35" s="98">
        <f>'12ME Dec 2023 Data'!N18</f>
        <v>0</v>
      </c>
      <c r="E35" s="101">
        <v>1.05</v>
      </c>
      <c r="F35" s="101">
        <v>1.05</v>
      </c>
      <c r="G35" s="97">
        <f t="shared" si="15"/>
        <v>0</v>
      </c>
      <c r="H35" s="97">
        <f t="shared" si="16"/>
        <v>0</v>
      </c>
      <c r="I35" s="105">
        <f t="shared" si="17"/>
        <v>0</v>
      </c>
      <c r="J35" s="2" t="e">
        <f>I35/G35</f>
        <v>#DIV/0!</v>
      </c>
    </row>
    <row r="36" spans="1:12" x14ac:dyDescent="0.25">
      <c r="B36" s="58" t="s">
        <v>6</v>
      </c>
      <c r="D36" s="98"/>
      <c r="G36" s="48">
        <f>SUM(G34:G35)</f>
        <v>8662542.1300000008</v>
      </c>
      <c r="H36" s="48">
        <f t="shared" ref="H36:I36" si="19">SUM(H34:H35)</f>
        <v>8662542.1300000008</v>
      </c>
      <c r="I36" s="48">
        <f t="shared" si="19"/>
        <v>0</v>
      </c>
      <c r="J36" s="3">
        <f>I36/G36</f>
        <v>0</v>
      </c>
      <c r="L36" s="105"/>
    </row>
    <row r="37" spans="1:12" x14ac:dyDescent="0.25">
      <c r="D37" s="98"/>
      <c r="G37" s="97"/>
      <c r="H37" s="97"/>
      <c r="I37" s="105"/>
      <c r="J37" s="2"/>
      <c r="L37" s="105"/>
    </row>
    <row r="38" spans="1:12" x14ac:dyDescent="0.25">
      <c r="A38" s="76" t="s">
        <v>6</v>
      </c>
      <c r="G38" s="181">
        <f>G10+G13+G16+G21+G26+G31+G36</f>
        <v>449358983.75999999</v>
      </c>
      <c r="H38" s="181">
        <f t="shared" ref="H38:I38" si="20">H10+H13+H16+H21+H26+H31+H36</f>
        <v>449358983.75999999</v>
      </c>
      <c r="I38" s="181">
        <f t="shared" si="20"/>
        <v>0</v>
      </c>
      <c r="J38" s="3">
        <f>I38/G38</f>
        <v>0</v>
      </c>
    </row>
    <row r="39" spans="1:12" x14ac:dyDescent="0.25">
      <c r="B39" s="1" t="s">
        <v>121</v>
      </c>
      <c r="D39" s="147">
        <f>SUM(D10,D13,D16,D19,D24,D29,D34)</f>
        <v>985128911.76235521</v>
      </c>
    </row>
    <row r="40" spans="1:12" x14ac:dyDescent="0.25">
      <c r="B40" s="1" t="s">
        <v>109</v>
      </c>
      <c r="D40" s="147">
        <f>SUM(D20,D25,D30,D35)</f>
        <v>4815564</v>
      </c>
      <c r="I40" s="105"/>
    </row>
    <row r="41" spans="1:12" x14ac:dyDescent="0.25">
      <c r="I41" s="105"/>
    </row>
    <row r="42" spans="1:12" x14ac:dyDescent="0.25">
      <c r="G42" s="141"/>
      <c r="H42" s="141"/>
    </row>
  </sheetData>
  <mergeCells count="4">
    <mergeCell ref="A1:J1"/>
    <mergeCell ref="A3:J3"/>
    <mergeCell ref="A4:J4"/>
    <mergeCell ref="A2:J2"/>
  </mergeCells>
  <printOptions horizontalCentered="1"/>
  <pageMargins left="0.7" right="0.7" top="0.75" bottom="0.75" header="0.3" footer="0.3"/>
  <pageSetup scale="82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="90" zoomScaleNormal="90" workbookViewId="0">
      <selection activeCell="K29" sqref="K29"/>
    </sheetView>
  </sheetViews>
  <sheetFormatPr defaultColWidth="9.140625" defaultRowHeight="15" x14ac:dyDescent="0.25"/>
  <cols>
    <col min="1" max="1" width="23.5703125" style="1" bestFit="1" customWidth="1"/>
    <col min="2" max="2" width="9.140625" style="1" bestFit="1" customWidth="1"/>
    <col min="3" max="3" width="16.140625" style="1" customWidth="1"/>
    <col min="4" max="11" width="10.7109375" style="1" customWidth="1"/>
    <col min="12" max="12" width="13.140625" style="1" bestFit="1" customWidth="1"/>
    <col min="13" max="13" width="13.85546875" style="1" bestFit="1" customWidth="1"/>
    <col min="14" max="14" width="13.42578125" style="1" bestFit="1" customWidth="1"/>
    <col min="15" max="15" width="8.28515625" style="1" bestFit="1" customWidth="1"/>
    <col min="16" max="16384" width="9.140625" style="1"/>
  </cols>
  <sheetData>
    <row r="1" spans="1:15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x14ac:dyDescent="0.25">
      <c r="A2" s="383" t="s">
        <v>159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</row>
    <row r="3" spans="1:15" x14ac:dyDescent="0.25">
      <c r="A3" s="383" t="s">
        <v>148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</row>
    <row r="4" spans="1:15" x14ac:dyDescent="0.25">
      <c r="A4" s="381" t="s">
        <v>201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</row>
    <row r="5" spans="1:15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x14ac:dyDescent="0.25">
      <c r="A6" s="107"/>
      <c r="B6" s="107"/>
      <c r="C6" s="107"/>
      <c r="D6" s="386" t="s">
        <v>23</v>
      </c>
      <c r="E6" s="387"/>
      <c r="F6" s="387"/>
      <c r="G6" s="388"/>
      <c r="H6" s="386" t="s">
        <v>131</v>
      </c>
      <c r="I6" s="387"/>
      <c r="J6" s="387"/>
      <c r="K6" s="388"/>
      <c r="L6" s="107"/>
      <c r="M6" s="107"/>
      <c r="N6" s="384"/>
      <c r="O6" s="385"/>
    </row>
    <row r="7" spans="1:15" x14ac:dyDescent="0.25">
      <c r="A7" s="107"/>
      <c r="B7" s="107"/>
      <c r="C7" s="107" t="s">
        <v>15</v>
      </c>
      <c r="D7" s="108" t="s">
        <v>138</v>
      </c>
      <c r="E7" s="109" t="s">
        <v>142</v>
      </c>
      <c r="F7" s="109" t="s">
        <v>143</v>
      </c>
      <c r="G7" s="108" t="s">
        <v>139</v>
      </c>
      <c r="H7" s="108" t="s">
        <v>138</v>
      </c>
      <c r="I7" s="109" t="s">
        <v>142</v>
      </c>
      <c r="J7" s="109" t="s">
        <v>143</v>
      </c>
      <c r="K7" s="110" t="s">
        <v>139</v>
      </c>
      <c r="L7" s="154" t="s">
        <v>15</v>
      </c>
      <c r="M7" s="154" t="s">
        <v>15</v>
      </c>
      <c r="N7" s="104" t="s">
        <v>19</v>
      </c>
    </row>
    <row r="8" spans="1:15" x14ac:dyDescent="0.25">
      <c r="A8" s="107"/>
      <c r="B8" s="107" t="s">
        <v>17</v>
      </c>
      <c r="C8" s="107" t="s">
        <v>3</v>
      </c>
      <c r="D8" s="110" t="s">
        <v>140</v>
      </c>
      <c r="E8" s="109" t="s">
        <v>144</v>
      </c>
      <c r="F8" s="109" t="s">
        <v>144</v>
      </c>
      <c r="G8" s="110" t="s">
        <v>141</v>
      </c>
      <c r="H8" s="110" t="s">
        <v>140</v>
      </c>
      <c r="I8" s="109" t="s">
        <v>144</v>
      </c>
      <c r="J8" s="109" t="s">
        <v>144</v>
      </c>
      <c r="K8" s="110" t="s">
        <v>141</v>
      </c>
      <c r="L8" s="154" t="s">
        <v>2</v>
      </c>
      <c r="M8" s="154" t="s">
        <v>2</v>
      </c>
      <c r="N8" s="104" t="s">
        <v>2</v>
      </c>
      <c r="O8" s="107" t="s">
        <v>20</v>
      </c>
    </row>
    <row r="9" spans="1:15" x14ac:dyDescent="0.25">
      <c r="A9" s="111" t="s">
        <v>4</v>
      </c>
      <c r="B9" s="111" t="s">
        <v>21</v>
      </c>
      <c r="C9" s="90" t="str">
        <f>'Sch. 101'!$D$8</f>
        <v>12ME Dec. 2023</v>
      </c>
      <c r="D9" s="112" t="s">
        <v>22</v>
      </c>
      <c r="E9" s="113" t="s">
        <v>22</v>
      </c>
      <c r="F9" s="113" t="s">
        <v>22</v>
      </c>
      <c r="G9" s="112" t="s">
        <v>22</v>
      </c>
      <c r="H9" s="112" t="s">
        <v>22</v>
      </c>
      <c r="I9" s="113" t="s">
        <v>22</v>
      </c>
      <c r="J9" s="112" t="s">
        <v>22</v>
      </c>
      <c r="K9" s="112" t="s">
        <v>22</v>
      </c>
      <c r="L9" s="61" t="s">
        <v>23</v>
      </c>
      <c r="M9" s="61" t="s">
        <v>131</v>
      </c>
      <c r="N9" s="157" t="s">
        <v>24</v>
      </c>
      <c r="O9" s="111" t="s">
        <v>24</v>
      </c>
    </row>
    <row r="10" spans="1:15" x14ac:dyDescent="0.25">
      <c r="A10" s="114" t="s">
        <v>7</v>
      </c>
      <c r="B10" s="115">
        <v>23</v>
      </c>
      <c r="C10" s="116">
        <f>Therms_CY2023!P10</f>
        <v>636369361</v>
      </c>
      <c r="D10" s="128">
        <v>1.23E-3</v>
      </c>
      <c r="E10" s="128">
        <v>0</v>
      </c>
      <c r="F10" s="117">
        <v>2.495E-2</v>
      </c>
      <c r="G10" s="118">
        <f>SUM(D10:F10)</f>
        <v>2.6179999999999998E-2</v>
      </c>
      <c r="H10" s="128">
        <v>1.23E-3</v>
      </c>
      <c r="I10" s="253">
        <v>0</v>
      </c>
      <c r="J10" s="128">
        <v>2.495E-2</v>
      </c>
      <c r="K10" s="209">
        <f>SUM(H10:J10)</f>
        <v>2.6179999999999998E-2</v>
      </c>
      <c r="L10" s="119">
        <f t="shared" ref="L10:L16" si="0">ROUND(C10*G10,2)</f>
        <v>16660149.869999999</v>
      </c>
      <c r="M10" s="119">
        <f>ROUND(C10*K10,2)</f>
        <v>16660149.869999999</v>
      </c>
      <c r="N10" s="120">
        <f>M10-L10</f>
        <v>0</v>
      </c>
      <c r="O10" s="121">
        <f>N10/L10</f>
        <v>0</v>
      </c>
    </row>
    <row r="11" spans="1:15" x14ac:dyDescent="0.25">
      <c r="A11" s="114" t="s">
        <v>31</v>
      </c>
      <c r="B11" s="115">
        <v>16</v>
      </c>
      <c r="C11" s="116">
        <f>Therms_CY2023!P9</f>
        <v>8832</v>
      </c>
      <c r="D11" s="129">
        <v>1.23E-3</v>
      </c>
      <c r="E11" s="129">
        <v>0</v>
      </c>
      <c r="F11" s="117">
        <v>2.495E-2</v>
      </c>
      <c r="G11" s="118">
        <f t="shared" ref="G11:G16" si="1">SUM(D11:F11)</f>
        <v>2.6179999999999998E-2</v>
      </c>
      <c r="H11" s="129">
        <v>1.23E-3</v>
      </c>
      <c r="I11" s="117">
        <v>0</v>
      </c>
      <c r="J11" s="129">
        <v>2.495E-2</v>
      </c>
      <c r="K11" s="118">
        <f t="shared" ref="K11:K16" si="2">SUM(H11:J11)</f>
        <v>2.6179999999999998E-2</v>
      </c>
      <c r="L11" s="119">
        <f t="shared" si="0"/>
        <v>231.22</v>
      </c>
      <c r="M11" s="119">
        <f t="shared" ref="M11:M16" si="3">ROUND(C11*K11,2)</f>
        <v>231.22</v>
      </c>
      <c r="N11" s="120">
        <f t="shared" ref="N11:N16" si="4">M11-L11</f>
        <v>0</v>
      </c>
      <c r="O11" s="121">
        <f t="shared" ref="O11:O16" si="5">N11/L11</f>
        <v>0</v>
      </c>
    </row>
    <row r="12" spans="1:15" x14ac:dyDescent="0.25">
      <c r="A12" s="114" t="s">
        <v>8</v>
      </c>
      <c r="B12" s="115">
        <v>31</v>
      </c>
      <c r="C12" s="116">
        <f>Therms_CY2023!P12</f>
        <v>243192248</v>
      </c>
      <c r="D12" s="129">
        <v>1.1900000000000001E-3</v>
      </c>
      <c r="E12" s="129">
        <v>0</v>
      </c>
      <c r="F12" s="117">
        <v>2.495E-2</v>
      </c>
      <c r="G12" s="118">
        <f t="shared" si="1"/>
        <v>2.614E-2</v>
      </c>
      <c r="H12" s="129">
        <v>1.1900000000000001E-3</v>
      </c>
      <c r="I12" s="117">
        <v>0</v>
      </c>
      <c r="J12" s="129">
        <v>2.495E-2</v>
      </c>
      <c r="K12" s="118">
        <f t="shared" si="2"/>
        <v>2.614E-2</v>
      </c>
      <c r="L12" s="119">
        <f t="shared" si="0"/>
        <v>6357045.3600000003</v>
      </c>
      <c r="M12" s="119">
        <f t="shared" si="3"/>
        <v>6357045.3600000003</v>
      </c>
      <c r="N12" s="120">
        <f t="shared" si="4"/>
        <v>0</v>
      </c>
      <c r="O12" s="121">
        <f t="shared" si="5"/>
        <v>0</v>
      </c>
    </row>
    <row r="13" spans="1:15" x14ac:dyDescent="0.25">
      <c r="A13" s="114" t="s">
        <v>9</v>
      </c>
      <c r="B13" s="115">
        <v>41</v>
      </c>
      <c r="C13" s="116">
        <f>Therms_CY2023!P13</f>
        <v>66922885</v>
      </c>
      <c r="D13" s="129">
        <v>1.08E-3</v>
      </c>
      <c r="E13" s="129">
        <v>0</v>
      </c>
      <c r="F13" s="117">
        <v>2.495E-2</v>
      </c>
      <c r="G13" s="118">
        <f t="shared" si="1"/>
        <v>2.6030000000000001E-2</v>
      </c>
      <c r="H13" s="129">
        <v>1.08E-3</v>
      </c>
      <c r="I13" s="117">
        <v>0</v>
      </c>
      <c r="J13" s="129">
        <v>2.495E-2</v>
      </c>
      <c r="K13" s="118">
        <f t="shared" si="2"/>
        <v>2.6030000000000001E-2</v>
      </c>
      <c r="L13" s="119">
        <f t="shared" si="0"/>
        <v>1742002.7</v>
      </c>
      <c r="M13" s="119">
        <f t="shared" si="3"/>
        <v>1742002.7</v>
      </c>
      <c r="N13" s="120">
        <f t="shared" si="4"/>
        <v>0</v>
      </c>
      <c r="O13" s="121">
        <f t="shared" si="5"/>
        <v>0</v>
      </c>
    </row>
    <row r="14" spans="1:15" x14ac:dyDescent="0.25">
      <c r="A14" s="114" t="s">
        <v>10</v>
      </c>
      <c r="B14" s="115">
        <v>85</v>
      </c>
      <c r="C14" s="116">
        <f>Therms_CY2023!P14</f>
        <v>11124640</v>
      </c>
      <c r="D14" s="129">
        <v>1E-3</v>
      </c>
      <c r="E14" s="129">
        <v>0</v>
      </c>
      <c r="F14" s="117">
        <v>2.495E-2</v>
      </c>
      <c r="G14" s="118">
        <f t="shared" si="1"/>
        <v>2.5950000000000001E-2</v>
      </c>
      <c r="H14" s="129">
        <v>1E-3</v>
      </c>
      <c r="I14" s="117">
        <v>0</v>
      </c>
      <c r="J14" s="129">
        <v>2.495E-2</v>
      </c>
      <c r="K14" s="118">
        <f t="shared" si="2"/>
        <v>2.5950000000000001E-2</v>
      </c>
      <c r="L14" s="119">
        <f t="shared" si="0"/>
        <v>288684.40999999997</v>
      </c>
      <c r="M14" s="119">
        <f t="shared" si="3"/>
        <v>288684.40999999997</v>
      </c>
      <c r="N14" s="120">
        <f t="shared" si="4"/>
        <v>0</v>
      </c>
      <c r="O14" s="121">
        <f t="shared" si="5"/>
        <v>0</v>
      </c>
    </row>
    <row r="15" spans="1:15" x14ac:dyDescent="0.25">
      <c r="A15" s="114" t="s">
        <v>11</v>
      </c>
      <c r="B15" s="115">
        <v>86</v>
      </c>
      <c r="C15" s="116">
        <f>Therms_CY2023!P15</f>
        <v>5691490</v>
      </c>
      <c r="D15" s="129">
        <v>1.0300000000000001E-3</v>
      </c>
      <c r="E15" s="129">
        <v>0</v>
      </c>
      <c r="F15" s="117">
        <v>2.495E-2</v>
      </c>
      <c r="G15" s="118">
        <f t="shared" si="1"/>
        <v>2.598E-2</v>
      </c>
      <c r="H15" s="129">
        <v>1.0300000000000001E-3</v>
      </c>
      <c r="I15" s="117">
        <v>0</v>
      </c>
      <c r="J15" s="129">
        <v>2.495E-2</v>
      </c>
      <c r="K15" s="118">
        <f t="shared" si="2"/>
        <v>2.598E-2</v>
      </c>
      <c r="L15" s="119">
        <f t="shared" si="0"/>
        <v>147864.91</v>
      </c>
      <c r="M15" s="119">
        <f t="shared" si="3"/>
        <v>147864.91</v>
      </c>
      <c r="N15" s="120">
        <f t="shared" si="4"/>
        <v>0</v>
      </c>
      <c r="O15" s="121">
        <f t="shared" si="5"/>
        <v>0</v>
      </c>
    </row>
    <row r="16" spans="1:15" x14ac:dyDescent="0.25">
      <c r="A16" s="114" t="s">
        <v>12</v>
      </c>
      <c r="B16" s="115">
        <v>87</v>
      </c>
      <c r="C16" s="116">
        <f>Therms_CY2023!P16</f>
        <v>21819455.762355205</v>
      </c>
      <c r="D16" s="130">
        <v>1E-3</v>
      </c>
      <c r="E16" s="130">
        <v>0</v>
      </c>
      <c r="F16" s="117">
        <v>2.495E-2</v>
      </c>
      <c r="G16" s="122">
        <f t="shared" si="1"/>
        <v>2.5950000000000001E-2</v>
      </c>
      <c r="H16" s="130">
        <v>1E-3</v>
      </c>
      <c r="I16" s="254">
        <v>0</v>
      </c>
      <c r="J16" s="129">
        <v>2.495E-2</v>
      </c>
      <c r="K16" s="122">
        <f t="shared" si="2"/>
        <v>2.5950000000000001E-2</v>
      </c>
      <c r="L16" s="119">
        <f t="shared" si="0"/>
        <v>566214.88</v>
      </c>
      <c r="M16" s="119">
        <f t="shared" si="3"/>
        <v>566214.88</v>
      </c>
      <c r="N16" s="120">
        <f t="shared" si="4"/>
        <v>0</v>
      </c>
      <c r="O16" s="121">
        <f t="shared" si="5"/>
        <v>0</v>
      </c>
    </row>
    <row r="17" spans="1:15" x14ac:dyDescent="0.25">
      <c r="A17" s="114" t="s">
        <v>6</v>
      </c>
      <c r="B17" s="114"/>
      <c r="C17" s="123">
        <f>SUM(C10:C16)</f>
        <v>985128911.76235521</v>
      </c>
      <c r="D17" s="124"/>
      <c r="E17" s="124"/>
      <c r="F17" s="199"/>
      <c r="G17" s="124"/>
      <c r="H17" s="124"/>
      <c r="I17" s="124"/>
      <c r="J17" s="199"/>
      <c r="K17" s="124"/>
      <c r="L17" s="125">
        <f>SUM(L10:L16)</f>
        <v>25762193.349999998</v>
      </c>
      <c r="M17" s="125">
        <f>SUM(M10:M16)</f>
        <v>25762193.349999998</v>
      </c>
      <c r="N17" s="126">
        <f>SUM(N10:N16)</f>
        <v>0</v>
      </c>
      <c r="O17" s="127">
        <f>N17/L17</f>
        <v>0</v>
      </c>
    </row>
  </sheetData>
  <mergeCells count="7">
    <mergeCell ref="N6:O6"/>
    <mergeCell ref="A1:O1"/>
    <mergeCell ref="A3:O3"/>
    <mergeCell ref="A4:O4"/>
    <mergeCell ref="D6:G6"/>
    <mergeCell ref="H6:K6"/>
    <mergeCell ref="A2:O2"/>
  </mergeCells>
  <pageMargins left="0.7" right="0.7" top="0.75" bottom="0.75" header="0.3" footer="0.3"/>
  <pageSetup scale="64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="90" zoomScaleNormal="90" workbookViewId="0">
      <selection activeCell="G26" sqref="G26"/>
    </sheetView>
  </sheetViews>
  <sheetFormatPr defaultColWidth="8.7109375" defaultRowHeight="15" x14ac:dyDescent="0.25"/>
  <cols>
    <col min="1" max="1" width="31.140625" style="1" customWidth="1"/>
    <col min="2" max="2" width="8.7109375" style="1"/>
    <col min="3" max="3" width="18.5703125" style="1" bestFit="1" customWidth="1"/>
    <col min="4" max="5" width="13.7109375" style="1" customWidth="1"/>
    <col min="6" max="8" width="14.42578125" style="1" customWidth="1"/>
    <col min="9" max="9" width="8.28515625" style="1" customWidth="1"/>
    <col min="10" max="16384" width="8.7109375" style="1"/>
  </cols>
  <sheetData>
    <row r="1" spans="1:9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</row>
    <row r="2" spans="1:9" x14ac:dyDescent="0.25">
      <c r="A2" s="383" t="s">
        <v>149</v>
      </c>
      <c r="B2" s="383"/>
      <c r="C2" s="383"/>
      <c r="D2" s="383"/>
      <c r="E2" s="383"/>
      <c r="F2" s="383"/>
      <c r="G2" s="383"/>
      <c r="H2" s="383"/>
      <c r="I2" s="383"/>
    </row>
    <row r="3" spans="1:9" x14ac:dyDescent="0.25">
      <c r="A3" s="383" t="s">
        <v>150</v>
      </c>
      <c r="B3" s="383"/>
      <c r="C3" s="383"/>
      <c r="D3" s="383"/>
      <c r="E3" s="383"/>
      <c r="F3" s="383"/>
      <c r="G3" s="383"/>
      <c r="H3" s="383"/>
      <c r="I3" s="383"/>
    </row>
    <row r="4" spans="1:9" x14ac:dyDescent="0.25">
      <c r="A4" s="383" t="s">
        <v>174</v>
      </c>
      <c r="B4" s="383"/>
      <c r="C4" s="383"/>
      <c r="D4" s="383"/>
      <c r="E4" s="383"/>
      <c r="F4" s="383"/>
      <c r="G4" s="383"/>
      <c r="H4" s="383"/>
      <c r="I4" s="383"/>
    </row>
    <row r="5" spans="1:9" x14ac:dyDescent="0.25">
      <c r="D5" s="156"/>
      <c r="E5" s="156"/>
    </row>
    <row r="6" spans="1:9" x14ac:dyDescent="0.25">
      <c r="A6" s="104"/>
      <c r="B6" s="104"/>
      <c r="C6" s="104" t="s">
        <v>15</v>
      </c>
      <c r="D6" s="104" t="s">
        <v>5</v>
      </c>
      <c r="E6" s="104" t="s">
        <v>1</v>
      </c>
      <c r="F6" s="154" t="s">
        <v>15</v>
      </c>
      <c r="G6" s="154" t="s">
        <v>15</v>
      </c>
      <c r="H6" s="104" t="s">
        <v>49</v>
      </c>
      <c r="I6" s="104"/>
    </row>
    <row r="7" spans="1:9" x14ac:dyDescent="0.25">
      <c r="A7" s="104"/>
      <c r="B7" s="104" t="s">
        <v>17</v>
      </c>
      <c r="C7" s="104" t="s">
        <v>3</v>
      </c>
      <c r="D7" s="104" t="s">
        <v>49</v>
      </c>
      <c r="E7" s="104" t="s">
        <v>49</v>
      </c>
      <c r="F7" s="154" t="s">
        <v>2</v>
      </c>
      <c r="G7" s="154" t="s">
        <v>2</v>
      </c>
      <c r="H7" s="104" t="s">
        <v>2</v>
      </c>
      <c r="I7" s="104" t="s">
        <v>20</v>
      </c>
    </row>
    <row r="8" spans="1:9" x14ac:dyDescent="0.25">
      <c r="A8" s="157" t="s">
        <v>4</v>
      </c>
      <c r="B8" s="157" t="s">
        <v>21</v>
      </c>
      <c r="C8" s="90" t="str">
        <f>'Sch. 101'!$D$8</f>
        <v>12ME Dec. 2023</v>
      </c>
      <c r="D8" s="157" t="s">
        <v>22</v>
      </c>
      <c r="E8" s="157" t="s">
        <v>22</v>
      </c>
      <c r="F8" s="61" t="s">
        <v>23</v>
      </c>
      <c r="G8" s="61" t="s">
        <v>131</v>
      </c>
      <c r="H8" s="157" t="s">
        <v>24</v>
      </c>
      <c r="I8" s="157" t="s">
        <v>24</v>
      </c>
    </row>
    <row r="9" spans="1:9" x14ac:dyDescent="0.25">
      <c r="A9" s="1" t="s">
        <v>7</v>
      </c>
      <c r="B9" s="146" t="s">
        <v>30</v>
      </c>
      <c r="C9" s="59">
        <f>SUM(Therms_CY2023!P10,Therms_CY2023!P11)</f>
        <v>636369361</v>
      </c>
      <c r="D9" s="8">
        <v>2.019E-2</v>
      </c>
      <c r="E9" s="8">
        <v>2.019E-2</v>
      </c>
      <c r="F9" s="47">
        <f>C9*D9</f>
        <v>12848297.39859</v>
      </c>
      <c r="G9" s="47">
        <f>C9*E9</f>
        <v>12848297.39859</v>
      </c>
      <c r="H9" s="105">
        <f>G9-F9</f>
        <v>0</v>
      </c>
      <c r="I9" s="2">
        <f>H9/F9</f>
        <v>0</v>
      </c>
    </row>
    <row r="10" spans="1:9" x14ac:dyDescent="0.25">
      <c r="A10" s="1" t="s">
        <v>31</v>
      </c>
      <c r="B10" s="146">
        <v>16</v>
      </c>
      <c r="C10" s="70">
        <f>Therms_CY2023!P9</f>
        <v>8832</v>
      </c>
      <c r="D10" s="8">
        <v>2.019E-2</v>
      </c>
      <c r="E10" s="8">
        <v>2.019E-2</v>
      </c>
      <c r="F10" s="47">
        <f t="shared" ref="F10:F21" si="0">C10*D10</f>
        <v>178.31808000000001</v>
      </c>
      <c r="G10" s="47">
        <f t="shared" ref="G10:G21" si="1">C10*E10</f>
        <v>178.31808000000001</v>
      </c>
      <c r="H10" s="105">
        <f t="shared" ref="H10:H21" si="2">G10-F10</f>
        <v>0</v>
      </c>
      <c r="I10" s="2">
        <f t="shared" ref="I10:I20" si="3">H10/F10</f>
        <v>0</v>
      </c>
    </row>
    <row r="11" spans="1:9" x14ac:dyDescent="0.25">
      <c r="A11" s="1" t="s">
        <v>8</v>
      </c>
      <c r="B11" s="146">
        <v>31</v>
      </c>
      <c r="C11" s="59">
        <f>Therms_CY2023!P12</f>
        <v>243192248</v>
      </c>
      <c r="D11" s="8">
        <v>2.019E-2</v>
      </c>
      <c r="E11" s="8">
        <v>2.019E-2</v>
      </c>
      <c r="F11" s="47">
        <f t="shared" si="0"/>
        <v>4910051.4871199997</v>
      </c>
      <c r="G11" s="47">
        <f t="shared" si="1"/>
        <v>4910051.4871199997</v>
      </c>
      <c r="H11" s="105">
        <f t="shared" si="2"/>
        <v>0</v>
      </c>
      <c r="I11" s="2">
        <f t="shared" si="3"/>
        <v>0</v>
      </c>
    </row>
    <row r="12" spans="1:9" x14ac:dyDescent="0.25">
      <c r="A12" s="1" t="s">
        <v>9</v>
      </c>
      <c r="B12" s="146">
        <v>41</v>
      </c>
      <c r="C12" s="59">
        <f>Therms_CY2023!P13</f>
        <v>66922885</v>
      </c>
      <c r="D12" s="8">
        <v>2.019E-2</v>
      </c>
      <c r="E12" s="8">
        <v>2.019E-2</v>
      </c>
      <c r="F12" s="47">
        <f t="shared" si="0"/>
        <v>1351173.0481499999</v>
      </c>
      <c r="G12" s="47">
        <f t="shared" si="1"/>
        <v>1351173.0481499999</v>
      </c>
      <c r="H12" s="105">
        <f t="shared" si="2"/>
        <v>0</v>
      </c>
      <c r="I12" s="2">
        <f t="shared" si="3"/>
        <v>0</v>
      </c>
    </row>
    <row r="13" spans="1:9" x14ac:dyDescent="0.25">
      <c r="A13" s="1" t="s">
        <v>10</v>
      </c>
      <c r="B13" s="146">
        <v>85</v>
      </c>
      <c r="C13" s="59">
        <f>Therms_CY2023!P14</f>
        <v>11124640</v>
      </c>
      <c r="D13" s="8">
        <v>1.678E-2</v>
      </c>
      <c r="E13" s="8">
        <v>1.678E-2</v>
      </c>
      <c r="F13" s="47">
        <f t="shared" si="0"/>
        <v>186671.45920000001</v>
      </c>
      <c r="G13" s="47">
        <f t="shared" si="1"/>
        <v>186671.45920000001</v>
      </c>
      <c r="H13" s="105">
        <f t="shared" si="2"/>
        <v>0</v>
      </c>
      <c r="I13" s="2">
        <f t="shared" si="3"/>
        <v>0</v>
      </c>
    </row>
    <row r="14" spans="1:9" x14ac:dyDescent="0.25">
      <c r="A14" s="1" t="s">
        <v>11</v>
      </c>
      <c r="B14" s="146">
        <v>86</v>
      </c>
      <c r="C14" s="59">
        <f>Therms_CY2023!P15</f>
        <v>5691490</v>
      </c>
      <c r="D14" s="8">
        <v>1.678E-2</v>
      </c>
      <c r="E14" s="8">
        <v>1.678E-2</v>
      </c>
      <c r="F14" s="47">
        <f t="shared" si="0"/>
        <v>95503.2022</v>
      </c>
      <c r="G14" s="47">
        <f t="shared" si="1"/>
        <v>95503.2022</v>
      </c>
      <c r="H14" s="105">
        <f t="shared" si="2"/>
        <v>0</v>
      </c>
      <c r="I14" s="2">
        <f t="shared" si="3"/>
        <v>0</v>
      </c>
    </row>
    <row r="15" spans="1:9" x14ac:dyDescent="0.25">
      <c r="A15" s="1" t="s">
        <v>12</v>
      </c>
      <c r="B15" s="146">
        <v>87</v>
      </c>
      <c r="C15" s="59">
        <f>Therms_CY2023!P16</f>
        <v>21819455.762355205</v>
      </c>
      <c r="D15" s="8">
        <v>1.678E-2</v>
      </c>
      <c r="E15" s="8">
        <v>1.678E-2</v>
      </c>
      <c r="F15" s="47">
        <f t="shared" si="0"/>
        <v>366130.46769232035</v>
      </c>
      <c r="G15" s="47">
        <f t="shared" si="1"/>
        <v>366130.46769232035</v>
      </c>
      <c r="H15" s="105">
        <f t="shared" si="2"/>
        <v>0</v>
      </c>
      <c r="I15" s="2">
        <f t="shared" si="3"/>
        <v>0</v>
      </c>
    </row>
    <row r="16" spans="1:9" s="114" customFormat="1" x14ac:dyDescent="0.25">
      <c r="A16" s="114" t="s">
        <v>32</v>
      </c>
      <c r="B16" s="146" t="s">
        <v>33</v>
      </c>
      <c r="C16" s="116">
        <f>Therms_CY2023!P17</f>
        <v>34397</v>
      </c>
      <c r="D16" s="100">
        <v>0</v>
      </c>
      <c r="E16" s="100">
        <v>0</v>
      </c>
      <c r="F16" s="119">
        <f t="shared" si="0"/>
        <v>0</v>
      </c>
      <c r="G16" s="119">
        <f t="shared" si="1"/>
        <v>0</v>
      </c>
      <c r="H16" s="120">
        <f t="shared" si="2"/>
        <v>0</v>
      </c>
      <c r="I16" s="173" t="e">
        <f t="shared" si="3"/>
        <v>#DIV/0!</v>
      </c>
    </row>
    <row r="17" spans="1:9" s="114" customFormat="1" x14ac:dyDescent="0.25">
      <c r="A17" s="114" t="s">
        <v>34</v>
      </c>
      <c r="B17" s="114" t="s">
        <v>35</v>
      </c>
      <c r="C17" s="116">
        <f>Therms_CY2023!P18</f>
        <v>25464521</v>
      </c>
      <c r="D17" s="100">
        <v>0</v>
      </c>
      <c r="E17" s="100">
        <v>0</v>
      </c>
      <c r="F17" s="119">
        <f t="shared" si="0"/>
        <v>0</v>
      </c>
      <c r="G17" s="119">
        <f t="shared" si="1"/>
        <v>0</v>
      </c>
      <c r="H17" s="120">
        <f t="shared" si="2"/>
        <v>0</v>
      </c>
      <c r="I17" s="173" t="e">
        <f t="shared" si="3"/>
        <v>#DIV/0!</v>
      </c>
    </row>
    <row r="18" spans="1:9" s="114" customFormat="1" x14ac:dyDescent="0.25">
      <c r="A18" s="114" t="s">
        <v>36</v>
      </c>
      <c r="B18" s="114" t="s">
        <v>37</v>
      </c>
      <c r="C18" s="116">
        <f>Therms_CY2023!P19</f>
        <v>62787518</v>
      </c>
      <c r="D18" s="100">
        <v>0</v>
      </c>
      <c r="E18" s="100">
        <v>0</v>
      </c>
      <c r="F18" s="119">
        <f t="shared" si="0"/>
        <v>0</v>
      </c>
      <c r="G18" s="119">
        <f t="shared" si="1"/>
        <v>0</v>
      </c>
      <c r="H18" s="120">
        <f t="shared" si="2"/>
        <v>0</v>
      </c>
      <c r="I18" s="173" t="e">
        <f t="shared" si="3"/>
        <v>#DIV/0!</v>
      </c>
    </row>
    <row r="19" spans="1:9" s="114" customFormat="1" x14ac:dyDescent="0.25">
      <c r="A19" s="114" t="s">
        <v>38</v>
      </c>
      <c r="B19" s="114" t="s">
        <v>39</v>
      </c>
      <c r="C19" s="116">
        <f>Therms_CY2023!P20</f>
        <v>542409</v>
      </c>
      <c r="D19" s="100">
        <v>0</v>
      </c>
      <c r="E19" s="100">
        <v>0</v>
      </c>
      <c r="F19" s="119">
        <f t="shared" si="0"/>
        <v>0</v>
      </c>
      <c r="G19" s="119">
        <f t="shared" si="1"/>
        <v>0</v>
      </c>
      <c r="H19" s="120">
        <f t="shared" si="2"/>
        <v>0</v>
      </c>
      <c r="I19" s="173" t="e">
        <f t="shared" si="3"/>
        <v>#DIV/0!</v>
      </c>
    </row>
    <row r="20" spans="1:9" s="114" customFormat="1" x14ac:dyDescent="0.25">
      <c r="A20" s="114" t="s">
        <v>40</v>
      </c>
      <c r="B20" s="114" t="s">
        <v>41</v>
      </c>
      <c r="C20" s="116">
        <f>Therms_CY2023!P21</f>
        <v>128953412.64547956</v>
      </c>
      <c r="D20" s="100">
        <v>0</v>
      </c>
      <c r="E20" s="100">
        <v>0</v>
      </c>
      <c r="F20" s="119">
        <f t="shared" si="0"/>
        <v>0</v>
      </c>
      <c r="G20" s="119">
        <f t="shared" si="1"/>
        <v>0</v>
      </c>
      <c r="H20" s="120">
        <f t="shared" si="2"/>
        <v>0</v>
      </c>
      <c r="I20" s="173" t="e">
        <f t="shared" si="3"/>
        <v>#DIV/0!</v>
      </c>
    </row>
    <row r="21" spans="1:9" s="114" customFormat="1" x14ac:dyDescent="0.25">
      <c r="A21" s="114" t="s">
        <v>13</v>
      </c>
      <c r="C21" s="116">
        <f>Therms_CY2023!P22</f>
        <v>31066760</v>
      </c>
      <c r="D21" s="10">
        <v>0</v>
      </c>
      <c r="E21" s="100">
        <v>0</v>
      </c>
      <c r="F21" s="119">
        <f t="shared" si="0"/>
        <v>0</v>
      </c>
      <c r="G21" s="119">
        <f t="shared" si="1"/>
        <v>0</v>
      </c>
      <c r="H21" s="120">
        <f t="shared" si="2"/>
        <v>0</v>
      </c>
      <c r="I21" s="173" t="e">
        <f>H21/F21</f>
        <v>#DIV/0!</v>
      </c>
    </row>
    <row r="22" spans="1:9" x14ac:dyDescent="0.25">
      <c r="A22" s="1" t="s">
        <v>6</v>
      </c>
      <c r="C22" s="179">
        <f>SUM(C9:C21)</f>
        <v>1233977929.407835</v>
      </c>
      <c r="D22" s="180"/>
      <c r="E22" s="199"/>
      <c r="F22" s="48">
        <f>SUM(F9:F21)</f>
        <v>19758005.381032318</v>
      </c>
      <c r="G22" s="48">
        <f>SUM(G9:G21)</f>
        <v>19758005.381032318</v>
      </c>
      <c r="H22" s="181">
        <f>SUM(H9:H21)</f>
        <v>0</v>
      </c>
      <c r="I22" s="3">
        <f>H22/F22</f>
        <v>0</v>
      </c>
    </row>
    <row r="23" spans="1:9" x14ac:dyDescent="0.25">
      <c r="A23" s="24"/>
      <c r="B23" s="166"/>
      <c r="C23" s="183"/>
      <c r="D23" s="184"/>
      <c r="E23" s="184"/>
      <c r="F23" s="184"/>
      <c r="G23" s="184"/>
      <c r="H23" s="25"/>
      <c r="I23" s="63"/>
    </row>
  </sheetData>
  <mergeCells count="4">
    <mergeCell ref="A1:I1"/>
    <mergeCell ref="A3:I3"/>
    <mergeCell ref="A4:I4"/>
    <mergeCell ref="A2:I2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="90" zoomScaleNormal="90" workbookViewId="0">
      <pane ySplit="8" topLeftCell="A24" activePane="bottomLeft" state="frozen"/>
      <selection pane="bottomLeft" activeCell="J54" sqref="J54"/>
    </sheetView>
  </sheetViews>
  <sheetFormatPr defaultColWidth="9.140625" defaultRowHeight="15" x14ac:dyDescent="0.25"/>
  <cols>
    <col min="1" max="1" width="3.5703125" style="63" customWidth="1"/>
    <col min="2" max="2" width="19.85546875" style="63" customWidth="1"/>
    <col min="3" max="3" width="8.7109375" style="63" bestFit="1" customWidth="1"/>
    <col min="4" max="4" width="18.5703125" style="63" bestFit="1" customWidth="1"/>
    <col min="5" max="5" width="13.7109375" style="63" customWidth="1"/>
    <col min="6" max="6" width="13.7109375" style="53" customWidth="1"/>
    <col min="7" max="9" width="14.42578125" style="63" customWidth="1"/>
    <col min="10" max="10" width="8.28515625" style="63" customWidth="1"/>
    <col min="11" max="11" width="11.85546875" style="63" bestFit="1" customWidth="1"/>
    <col min="12" max="12" width="11.28515625" style="63" bestFit="1" customWidth="1"/>
    <col min="13" max="13" width="10.5703125" style="63" customWidth="1"/>
    <col min="14" max="16384" width="9.140625" style="63"/>
  </cols>
  <sheetData>
    <row r="1" spans="1:10" ht="15" customHeigh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0" ht="15" customHeight="1" x14ac:dyDescent="0.25">
      <c r="A2" s="383" t="s">
        <v>151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0" ht="15" customHeight="1" x14ac:dyDescent="0.25">
      <c r="A3" s="383" t="s">
        <v>152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10" ht="15" customHeight="1" x14ac:dyDescent="0.25">
      <c r="A4" s="390" t="s">
        <v>194</v>
      </c>
      <c r="B4" s="390"/>
      <c r="C4" s="390"/>
      <c r="D4" s="390"/>
      <c r="E4" s="390"/>
      <c r="F4" s="390"/>
      <c r="G4" s="390"/>
      <c r="H4" s="390"/>
      <c r="I4" s="390"/>
      <c r="J4" s="390"/>
    </row>
    <row r="6" spans="1:10" x14ac:dyDescent="0.25">
      <c r="D6" s="104" t="s">
        <v>15</v>
      </c>
      <c r="E6" s="154"/>
      <c r="F6" s="155"/>
      <c r="G6" s="154" t="s">
        <v>15</v>
      </c>
      <c r="H6" s="154" t="s">
        <v>15</v>
      </c>
      <c r="I6" s="154" t="s">
        <v>80</v>
      </c>
    </row>
    <row r="7" spans="1:10" x14ac:dyDescent="0.25">
      <c r="C7" s="154" t="s">
        <v>17</v>
      </c>
      <c r="D7" s="104" t="s">
        <v>3</v>
      </c>
      <c r="E7" s="154" t="s">
        <v>5</v>
      </c>
      <c r="F7" s="155" t="s">
        <v>1</v>
      </c>
      <c r="G7" s="154" t="s">
        <v>2</v>
      </c>
      <c r="H7" s="154" t="s">
        <v>2</v>
      </c>
      <c r="I7" s="154" t="s">
        <v>2</v>
      </c>
      <c r="J7" s="104" t="s">
        <v>20</v>
      </c>
    </row>
    <row r="8" spans="1:10" x14ac:dyDescent="0.25">
      <c r="A8" s="389" t="s">
        <v>81</v>
      </c>
      <c r="B8" s="389"/>
      <c r="C8" s="61" t="s">
        <v>21</v>
      </c>
      <c r="D8" s="90" t="str">
        <f>'Sch. 101'!$D$8</f>
        <v>12ME Dec. 2023</v>
      </c>
      <c r="E8" s="61" t="s">
        <v>123</v>
      </c>
      <c r="F8" s="54" t="s">
        <v>17</v>
      </c>
      <c r="G8" s="61" t="s">
        <v>23</v>
      </c>
      <c r="H8" s="61" t="s">
        <v>131</v>
      </c>
      <c r="I8" s="61" t="s">
        <v>24</v>
      </c>
      <c r="J8" s="157" t="s">
        <v>24</v>
      </c>
    </row>
    <row r="9" spans="1:10" x14ac:dyDescent="0.25">
      <c r="A9" s="63" t="s">
        <v>7</v>
      </c>
      <c r="C9" s="154" t="s">
        <v>53</v>
      </c>
      <c r="D9" s="59">
        <f>SUM(Therms_CY2023!P10,Therms_CY2023!P11)</f>
        <v>636369361</v>
      </c>
      <c r="E9" s="100">
        <v>3.65E-3</v>
      </c>
      <c r="F9" s="100">
        <v>3.65E-3</v>
      </c>
      <c r="G9" s="103">
        <f>D9*(E9)</f>
        <v>2322748.1676500002</v>
      </c>
      <c r="H9" s="103">
        <f>D9*(F9)</f>
        <v>2322748.1676500002</v>
      </c>
      <c r="I9" s="65">
        <f>H9-G9</f>
        <v>0</v>
      </c>
      <c r="J9" s="142">
        <f>I9/G9</f>
        <v>0</v>
      </c>
    </row>
    <row r="10" spans="1:10" x14ac:dyDescent="0.25">
      <c r="C10" s="154"/>
      <c r="D10" s="59"/>
      <c r="E10" s="100"/>
      <c r="F10" s="100"/>
      <c r="G10" s="103"/>
      <c r="H10" s="103"/>
      <c r="I10" s="65"/>
    </row>
    <row r="11" spans="1:10" x14ac:dyDescent="0.25">
      <c r="A11" s="63" t="s">
        <v>54</v>
      </c>
      <c r="C11" s="154">
        <v>31</v>
      </c>
      <c r="D11" s="70">
        <f>Therms_CY2023!P12</f>
        <v>243192248</v>
      </c>
      <c r="E11" s="100">
        <v>3.0799999999999998E-3</v>
      </c>
      <c r="F11" s="100">
        <v>3.0799999999999998E-3</v>
      </c>
      <c r="G11" s="103">
        <f>D11*(E11)</f>
        <v>749032.12384000001</v>
      </c>
      <c r="H11" s="103">
        <f>D11*(F11)</f>
        <v>749032.12384000001</v>
      </c>
      <c r="I11" s="65">
        <f t="shared" ref="I11:I47" si="0">H11-G11</f>
        <v>0</v>
      </c>
      <c r="J11" s="142">
        <f t="shared" ref="J11:J12" si="1">I11/G11</f>
        <v>0</v>
      </c>
    </row>
    <row r="12" spans="1:10" x14ac:dyDescent="0.25">
      <c r="A12" s="63" t="s">
        <v>54</v>
      </c>
      <c r="C12" s="154" t="s">
        <v>33</v>
      </c>
      <c r="D12" s="70">
        <f>Therms_CY2023!P17</f>
        <v>34397</v>
      </c>
      <c r="E12" s="100">
        <v>3.0799999999999998E-3</v>
      </c>
      <c r="F12" s="100">
        <v>3.0799999999999998E-3</v>
      </c>
      <c r="G12" s="103">
        <f>D12*(E12)</f>
        <v>105.94275999999999</v>
      </c>
      <c r="H12" s="103">
        <f>D12*(F12)</f>
        <v>105.94275999999999</v>
      </c>
      <c r="I12" s="65">
        <f t="shared" si="0"/>
        <v>0</v>
      </c>
      <c r="J12" s="142">
        <f t="shared" si="1"/>
        <v>0</v>
      </c>
    </row>
    <row r="13" spans="1:10" x14ac:dyDescent="0.25">
      <c r="C13" s="154"/>
      <c r="D13" s="59"/>
      <c r="E13" s="100"/>
      <c r="F13" s="100"/>
      <c r="G13" s="103"/>
      <c r="H13" s="103"/>
      <c r="I13" s="65"/>
    </row>
    <row r="14" spans="1:10" x14ac:dyDescent="0.25">
      <c r="A14" s="63" t="s">
        <v>55</v>
      </c>
      <c r="C14" s="154">
        <v>41</v>
      </c>
      <c r="D14" s="70">
        <f>Therms_CY2023!P13</f>
        <v>66922885</v>
      </c>
      <c r="E14" s="100">
        <v>1.49E-3</v>
      </c>
      <c r="F14" s="100">
        <v>1.49E-3</v>
      </c>
      <c r="G14" s="103">
        <f>D14*(E14)</f>
        <v>99715.09865</v>
      </c>
      <c r="H14" s="103">
        <f>D14*(F14)</f>
        <v>99715.09865</v>
      </c>
      <c r="I14" s="65">
        <f t="shared" si="0"/>
        <v>0</v>
      </c>
      <c r="J14" s="142">
        <f t="shared" ref="J14:J15" si="2">I14/G14</f>
        <v>0</v>
      </c>
    </row>
    <row r="15" spans="1:10" x14ac:dyDescent="0.25">
      <c r="A15" s="63" t="s">
        <v>55</v>
      </c>
      <c r="C15" s="154" t="s">
        <v>35</v>
      </c>
      <c r="D15" s="133">
        <f>Therms_CY2023!P18</f>
        <v>25464521</v>
      </c>
      <c r="E15" s="100">
        <v>1.49E-3</v>
      </c>
      <c r="F15" s="100">
        <v>1.49E-3</v>
      </c>
      <c r="G15" s="103">
        <f>D15*(E15)</f>
        <v>37942.136290000002</v>
      </c>
      <c r="H15" s="103">
        <f>D15*(F15)</f>
        <v>37942.136290000002</v>
      </c>
      <c r="I15" s="65">
        <f t="shared" si="0"/>
        <v>0</v>
      </c>
      <c r="J15" s="142">
        <f t="shared" si="2"/>
        <v>0</v>
      </c>
    </row>
    <row r="16" spans="1:10" x14ac:dyDescent="0.25">
      <c r="C16" s="154"/>
      <c r="D16" s="66"/>
      <c r="E16" s="100"/>
      <c r="F16" s="100"/>
      <c r="G16" s="103"/>
      <c r="H16" s="103"/>
      <c r="I16" s="65"/>
    </row>
    <row r="17" spans="1:10" x14ac:dyDescent="0.25">
      <c r="A17" s="63" t="s">
        <v>10</v>
      </c>
      <c r="C17" s="154">
        <v>85</v>
      </c>
      <c r="D17" s="134"/>
      <c r="E17" s="100"/>
      <c r="F17" s="100"/>
      <c r="G17" s="103"/>
      <c r="H17" s="103"/>
      <c r="I17" s="65"/>
    </row>
    <row r="18" spans="1:10" x14ac:dyDescent="0.25">
      <c r="B18" s="63" t="s">
        <v>62</v>
      </c>
      <c r="C18" s="154"/>
      <c r="D18" s="134">
        <f>Therms_CY2023!$P$14*'12ME Dec 2023 Therms by Block%'!N19</f>
        <v>4674926.706264955</v>
      </c>
      <c r="E18" s="135">
        <v>1.0300000000000001E-3</v>
      </c>
      <c r="F18" s="135">
        <v>1.0300000000000001E-3</v>
      </c>
      <c r="G18" s="103">
        <f t="shared" ref="G18:G47" si="3">D18*(E18)</f>
        <v>4815.1745074529044</v>
      </c>
      <c r="H18" s="103">
        <f t="shared" ref="H18:H47" si="4">D18*(F18)</f>
        <v>4815.1745074529044</v>
      </c>
      <c r="I18" s="65">
        <f t="shared" si="0"/>
        <v>0</v>
      </c>
      <c r="J18" s="142">
        <f t="shared" ref="J18:J21" si="5">I18/G18</f>
        <v>0</v>
      </c>
    </row>
    <row r="19" spans="1:10" x14ac:dyDescent="0.25">
      <c r="B19" s="63" t="s">
        <v>63</v>
      </c>
      <c r="C19" s="154"/>
      <c r="D19" s="134">
        <f>Therms_CY2023!$P$14*'12ME Dec 2023 Therms by Block%'!N20</f>
        <v>2569738.4472592678</v>
      </c>
      <c r="E19" s="135">
        <v>6.3000000000000003E-4</v>
      </c>
      <c r="F19" s="135">
        <v>6.3000000000000003E-4</v>
      </c>
      <c r="G19" s="103">
        <f t="shared" si="3"/>
        <v>1618.9352217733388</v>
      </c>
      <c r="H19" s="103">
        <f t="shared" si="4"/>
        <v>1618.9352217733388</v>
      </c>
      <c r="I19" s="65">
        <f t="shared" si="0"/>
        <v>0</v>
      </c>
      <c r="J19" s="142">
        <f t="shared" si="5"/>
        <v>0</v>
      </c>
    </row>
    <row r="20" spans="1:10" x14ac:dyDescent="0.25">
      <c r="B20" s="63" t="s">
        <v>64</v>
      </c>
      <c r="C20" s="154"/>
      <c r="D20" s="134">
        <f>Therms_CY2023!$P$14*'12ME Dec 2023 Therms by Block%'!N21</f>
        <v>3879974.8464757777</v>
      </c>
      <c r="E20" s="135">
        <v>3.6000000000000002E-4</v>
      </c>
      <c r="F20" s="135">
        <v>3.6000000000000002E-4</v>
      </c>
      <c r="G20" s="103">
        <f t="shared" si="3"/>
        <v>1396.79094473128</v>
      </c>
      <c r="H20" s="103">
        <f t="shared" si="4"/>
        <v>1396.79094473128</v>
      </c>
      <c r="I20" s="65">
        <f t="shared" si="0"/>
        <v>0</v>
      </c>
      <c r="J20" s="142">
        <f t="shared" si="5"/>
        <v>0</v>
      </c>
    </row>
    <row r="21" spans="1:10" x14ac:dyDescent="0.25">
      <c r="B21" s="63" t="s">
        <v>6</v>
      </c>
      <c r="C21" s="154"/>
      <c r="D21" s="140">
        <f>SUM(D18:D20)</f>
        <v>11124640</v>
      </c>
      <c r="E21" s="100"/>
      <c r="F21" s="100"/>
      <c r="G21" s="102">
        <f>SUM(G18:G20)</f>
        <v>7830.9006739575234</v>
      </c>
      <c r="H21" s="102">
        <f t="shared" ref="H21:I21" si="6">SUM(H18:H20)</f>
        <v>7830.9006739575234</v>
      </c>
      <c r="I21" s="102">
        <f t="shared" si="6"/>
        <v>0</v>
      </c>
      <c r="J21" s="143">
        <f t="shared" si="5"/>
        <v>0</v>
      </c>
    </row>
    <row r="22" spans="1:10" x14ac:dyDescent="0.25">
      <c r="C22" s="154"/>
      <c r="D22" s="66"/>
      <c r="E22" s="100"/>
      <c r="F22" s="100"/>
      <c r="G22" s="103"/>
      <c r="H22" s="103"/>
      <c r="I22" s="65"/>
    </row>
    <row r="23" spans="1:10" x14ac:dyDescent="0.25">
      <c r="A23" s="63" t="s">
        <v>10</v>
      </c>
      <c r="C23" s="154">
        <v>86</v>
      </c>
      <c r="D23" s="70">
        <f>Therms_CY2023!P15</f>
        <v>5691490</v>
      </c>
      <c r="E23" s="100">
        <v>1.31E-3</v>
      </c>
      <c r="F23" s="100">
        <v>1.31E-3</v>
      </c>
      <c r="G23" s="103">
        <f t="shared" si="3"/>
        <v>7455.8518999999997</v>
      </c>
      <c r="H23" s="103">
        <f t="shared" si="4"/>
        <v>7455.8518999999997</v>
      </c>
      <c r="I23" s="65">
        <f t="shared" si="0"/>
        <v>0</v>
      </c>
      <c r="J23" s="142">
        <f t="shared" ref="J23:J24" si="7">I23/G23</f>
        <v>0</v>
      </c>
    </row>
    <row r="24" spans="1:10" x14ac:dyDescent="0.25">
      <c r="A24" s="63" t="s">
        <v>10</v>
      </c>
      <c r="C24" s="154" t="s">
        <v>39</v>
      </c>
      <c r="D24" s="133">
        <f>Therms_CY2023!P20</f>
        <v>542409</v>
      </c>
      <c r="E24" s="100">
        <v>1.31E-3</v>
      </c>
      <c r="F24" s="100">
        <v>1.31E-3</v>
      </c>
      <c r="G24" s="103">
        <f t="shared" si="3"/>
        <v>710.55579</v>
      </c>
      <c r="H24" s="103">
        <f t="shared" si="4"/>
        <v>710.55579</v>
      </c>
      <c r="I24" s="65">
        <f t="shared" si="0"/>
        <v>0</v>
      </c>
      <c r="J24" s="142">
        <f t="shared" si="7"/>
        <v>0</v>
      </c>
    </row>
    <row r="25" spans="1:10" x14ac:dyDescent="0.25">
      <c r="C25" s="154"/>
      <c r="D25" s="66"/>
      <c r="E25" s="100"/>
      <c r="F25" s="100"/>
      <c r="G25" s="103"/>
      <c r="H25" s="103"/>
      <c r="I25" s="65"/>
    </row>
    <row r="26" spans="1:10" x14ac:dyDescent="0.25">
      <c r="A26" s="63" t="s">
        <v>10</v>
      </c>
      <c r="C26" s="154">
        <v>87</v>
      </c>
      <c r="D26" s="66"/>
      <c r="E26" s="100"/>
      <c r="F26" s="100"/>
      <c r="G26" s="103"/>
      <c r="H26" s="103"/>
      <c r="I26" s="65"/>
    </row>
    <row r="27" spans="1:10" x14ac:dyDescent="0.25">
      <c r="B27" s="63" t="s">
        <v>62</v>
      </c>
      <c r="C27" s="154"/>
      <c r="D27" s="134">
        <f>Therms_CY2023!$P$16*'12ME Dec 2023 Therms by Block%'!N41</f>
        <v>1512192.9999999995</v>
      </c>
      <c r="E27" s="135">
        <v>1.0300000000000001E-3</v>
      </c>
      <c r="F27" s="135">
        <v>1.0300000000000001E-3</v>
      </c>
      <c r="G27" s="103">
        <f t="shared" si="3"/>
        <v>1557.5587899999996</v>
      </c>
      <c r="H27" s="103">
        <f t="shared" si="4"/>
        <v>1557.5587899999996</v>
      </c>
      <c r="I27" s="65">
        <f t="shared" si="0"/>
        <v>0</v>
      </c>
      <c r="J27" s="142">
        <f t="shared" ref="J27:J33" si="8">I27/G27</f>
        <v>0</v>
      </c>
    </row>
    <row r="28" spans="1:10" x14ac:dyDescent="0.25">
      <c r="B28" s="63" t="s">
        <v>63</v>
      </c>
      <c r="C28" s="154"/>
      <c r="D28" s="134">
        <f>Therms_CY2023!$P$16*'12ME Dec 2023 Therms by Block%'!N42</f>
        <v>1398016.115</v>
      </c>
      <c r="E28" s="135">
        <v>6.3000000000000003E-4</v>
      </c>
      <c r="F28" s="135">
        <v>6.3000000000000003E-4</v>
      </c>
      <c r="G28" s="103">
        <f t="shared" si="3"/>
        <v>880.75015245000009</v>
      </c>
      <c r="H28" s="103">
        <f t="shared" si="4"/>
        <v>880.75015245000009</v>
      </c>
      <c r="I28" s="65">
        <f t="shared" si="0"/>
        <v>0</v>
      </c>
      <c r="J28" s="142">
        <f t="shared" si="8"/>
        <v>0</v>
      </c>
    </row>
    <row r="29" spans="1:10" x14ac:dyDescent="0.25">
      <c r="B29" s="63" t="s">
        <v>68</v>
      </c>
      <c r="C29" s="154"/>
      <c r="D29" s="134">
        <f>Therms_CY2023!$P$16*'12ME Dec 2023 Therms by Block%'!N43</f>
        <v>2316890.0959999994</v>
      </c>
      <c r="E29" s="135">
        <v>4.0999999999999999E-4</v>
      </c>
      <c r="F29" s="135">
        <v>4.0999999999999999E-4</v>
      </c>
      <c r="G29" s="103">
        <f t="shared" si="3"/>
        <v>949.92493935999971</v>
      </c>
      <c r="H29" s="103">
        <f t="shared" si="4"/>
        <v>949.92493935999971</v>
      </c>
      <c r="I29" s="65">
        <f t="shared" si="0"/>
        <v>0</v>
      </c>
      <c r="J29" s="142">
        <f t="shared" si="8"/>
        <v>0</v>
      </c>
    </row>
    <row r="30" spans="1:10" x14ac:dyDescent="0.25">
      <c r="B30" s="63" t="s">
        <v>69</v>
      </c>
      <c r="C30" s="154"/>
      <c r="D30" s="134">
        <f>Therms_CY2023!$P$16*'12ME Dec 2023 Therms by Block%'!N44</f>
        <v>3045256.8779999996</v>
      </c>
      <c r="E30" s="135">
        <v>2.7E-4</v>
      </c>
      <c r="F30" s="135">
        <v>2.7E-4</v>
      </c>
      <c r="G30" s="103">
        <f t="shared" si="3"/>
        <v>822.21935705999988</v>
      </c>
      <c r="H30" s="103">
        <f t="shared" si="4"/>
        <v>822.21935705999988</v>
      </c>
      <c r="I30" s="65">
        <f t="shared" si="0"/>
        <v>0</v>
      </c>
      <c r="J30" s="142">
        <f t="shared" si="8"/>
        <v>0</v>
      </c>
    </row>
    <row r="31" spans="1:10" x14ac:dyDescent="0.25">
      <c r="B31" s="63" t="s">
        <v>70</v>
      </c>
      <c r="C31" s="154"/>
      <c r="D31" s="134">
        <f>Therms_CY2023!$P$16*'12ME Dec 2023 Therms by Block%'!N45</f>
        <v>3792042.2029999993</v>
      </c>
      <c r="E31" s="135">
        <v>2.0000000000000001E-4</v>
      </c>
      <c r="F31" s="135">
        <v>2.0000000000000001E-4</v>
      </c>
      <c r="G31" s="103">
        <f t="shared" si="3"/>
        <v>758.40844059999995</v>
      </c>
      <c r="H31" s="103">
        <f t="shared" si="4"/>
        <v>758.40844059999995</v>
      </c>
      <c r="I31" s="65">
        <f t="shared" si="0"/>
        <v>0</v>
      </c>
      <c r="J31" s="142">
        <f t="shared" si="8"/>
        <v>0</v>
      </c>
    </row>
    <row r="32" spans="1:10" x14ac:dyDescent="0.25">
      <c r="B32" s="63" t="s">
        <v>71</v>
      </c>
      <c r="C32" s="154"/>
      <c r="D32" s="134">
        <f>Therms_CY2023!$P$16*'12ME Dec 2023 Therms by Block%'!N46</f>
        <v>9755057.4703552052</v>
      </c>
      <c r="E32" s="135">
        <v>1.6000000000000001E-4</v>
      </c>
      <c r="F32" s="135">
        <v>1.6000000000000001E-4</v>
      </c>
      <c r="G32" s="103">
        <f t="shared" si="3"/>
        <v>1560.8091952568329</v>
      </c>
      <c r="H32" s="103">
        <f t="shared" si="4"/>
        <v>1560.8091952568329</v>
      </c>
      <c r="I32" s="65">
        <f t="shared" si="0"/>
        <v>0</v>
      </c>
      <c r="J32" s="142">
        <f t="shared" si="8"/>
        <v>0</v>
      </c>
    </row>
    <row r="33" spans="1:10" x14ac:dyDescent="0.25">
      <c r="B33" s="63" t="s">
        <v>6</v>
      </c>
      <c r="C33" s="154"/>
      <c r="D33" s="140">
        <f>SUM(D27:D32)</f>
        <v>21819455.762355201</v>
      </c>
      <c r="E33" s="100"/>
      <c r="F33" s="100"/>
      <c r="G33" s="102">
        <f>SUM(G27:G32)</f>
        <v>6529.6708747268322</v>
      </c>
      <c r="H33" s="102">
        <f t="shared" ref="H33:I33" si="9">SUM(H27:H32)</f>
        <v>6529.6708747268322</v>
      </c>
      <c r="I33" s="102">
        <f t="shared" si="9"/>
        <v>0</v>
      </c>
      <c r="J33" s="143">
        <f t="shared" si="8"/>
        <v>0</v>
      </c>
    </row>
    <row r="34" spans="1:10" x14ac:dyDescent="0.25">
      <c r="C34" s="154"/>
      <c r="D34" s="136"/>
      <c r="E34" s="100"/>
      <c r="F34" s="100"/>
      <c r="G34" s="103"/>
      <c r="H34" s="103"/>
      <c r="I34" s="65"/>
      <c r="J34" s="158"/>
    </row>
    <row r="35" spans="1:10" x14ac:dyDescent="0.25">
      <c r="A35" s="63" t="s">
        <v>82</v>
      </c>
      <c r="C35" s="154" t="s">
        <v>37</v>
      </c>
      <c r="D35" s="136"/>
      <c r="E35" s="100"/>
      <c r="F35" s="100"/>
      <c r="G35" s="103"/>
      <c r="H35" s="103"/>
      <c r="I35" s="65"/>
      <c r="J35" s="158"/>
    </row>
    <row r="36" spans="1:10" x14ac:dyDescent="0.25">
      <c r="B36" s="63" t="s">
        <v>62</v>
      </c>
      <c r="C36" s="154"/>
      <c r="D36" s="137">
        <f>Therms_CY2023!$P$19*'12ME Dec 2023 Therms by Block%'!N25</f>
        <v>22292868.21511953</v>
      </c>
      <c r="E36" s="135">
        <v>1.0300000000000001E-3</v>
      </c>
      <c r="F36" s="135">
        <v>1.0300000000000001E-3</v>
      </c>
      <c r="G36" s="103">
        <f t="shared" si="3"/>
        <v>22961.654261573116</v>
      </c>
      <c r="H36" s="103">
        <f t="shared" si="4"/>
        <v>22961.654261573116</v>
      </c>
      <c r="I36" s="65">
        <f t="shared" si="0"/>
        <v>0</v>
      </c>
      <c r="J36" s="142">
        <f t="shared" ref="J36:J39" si="10">I36/G36</f>
        <v>0</v>
      </c>
    </row>
    <row r="37" spans="1:10" x14ac:dyDescent="0.25">
      <c r="B37" s="63" t="s">
        <v>63</v>
      </c>
      <c r="C37" s="154"/>
      <c r="D37" s="137">
        <f>Therms_CY2023!$P$19*'12ME Dec 2023 Therms by Block%'!N26</f>
        <v>15820769.939721871</v>
      </c>
      <c r="E37" s="135">
        <v>6.3000000000000003E-4</v>
      </c>
      <c r="F37" s="135">
        <v>6.3000000000000003E-4</v>
      </c>
      <c r="G37" s="103">
        <f t="shared" si="3"/>
        <v>9967.0850620247784</v>
      </c>
      <c r="H37" s="103">
        <f t="shared" si="4"/>
        <v>9967.0850620247784</v>
      </c>
      <c r="I37" s="65">
        <f t="shared" si="0"/>
        <v>0</v>
      </c>
      <c r="J37" s="142">
        <f t="shared" si="10"/>
        <v>0</v>
      </c>
    </row>
    <row r="38" spans="1:10" x14ac:dyDescent="0.25">
      <c r="B38" s="63" t="s">
        <v>64</v>
      </c>
      <c r="C38" s="154"/>
      <c r="D38" s="137">
        <f>Therms_CY2023!$P$19*'12ME Dec 2023 Therms by Block%'!N27</f>
        <v>24673879.845158603</v>
      </c>
      <c r="E38" s="135">
        <v>3.6000000000000002E-4</v>
      </c>
      <c r="F38" s="135">
        <v>3.6000000000000002E-4</v>
      </c>
      <c r="G38" s="103">
        <f t="shared" si="3"/>
        <v>8882.5967442570982</v>
      </c>
      <c r="H38" s="103">
        <f t="shared" si="4"/>
        <v>8882.5967442570982</v>
      </c>
      <c r="I38" s="65">
        <f t="shared" si="0"/>
        <v>0</v>
      </c>
      <c r="J38" s="142">
        <f t="shared" si="10"/>
        <v>0</v>
      </c>
    </row>
    <row r="39" spans="1:10" x14ac:dyDescent="0.25">
      <c r="B39" s="63" t="s">
        <v>6</v>
      </c>
      <c r="C39" s="154"/>
      <c r="D39" s="140">
        <f>SUM(D36:D38)</f>
        <v>62787518</v>
      </c>
      <c r="E39" s="100"/>
      <c r="F39" s="100"/>
      <c r="G39" s="102">
        <f>SUM(G36:G38)</f>
        <v>41811.336067854994</v>
      </c>
      <c r="H39" s="102">
        <f t="shared" ref="H39:I39" si="11">SUM(H36:H38)</f>
        <v>41811.336067854994</v>
      </c>
      <c r="I39" s="102">
        <f t="shared" si="11"/>
        <v>0</v>
      </c>
      <c r="J39" s="143">
        <f t="shared" si="10"/>
        <v>0</v>
      </c>
    </row>
    <row r="40" spans="1:10" x14ac:dyDescent="0.25">
      <c r="C40" s="154"/>
      <c r="D40" s="136"/>
      <c r="E40" s="100"/>
      <c r="F40" s="100"/>
      <c r="G40" s="103"/>
      <c r="H40" s="103"/>
      <c r="I40" s="65"/>
      <c r="J40" s="158"/>
    </row>
    <row r="41" spans="1:10" x14ac:dyDescent="0.25">
      <c r="A41" s="63" t="s">
        <v>82</v>
      </c>
      <c r="C41" s="154" t="s">
        <v>41</v>
      </c>
      <c r="D41" s="136"/>
      <c r="E41" s="100"/>
      <c r="F41" s="100"/>
      <c r="G41" s="103"/>
      <c r="H41" s="103"/>
      <c r="I41" s="65"/>
    </row>
    <row r="42" spans="1:10" x14ac:dyDescent="0.25">
      <c r="B42" s="63" t="s">
        <v>62</v>
      </c>
      <c r="C42" s="154"/>
      <c r="D42" s="137">
        <f>Therms_CY2023!$P$21*'12ME Dec 2023 Therms by Block%'!N50</f>
        <v>3298789.6700000004</v>
      </c>
      <c r="E42" s="135">
        <v>1.0300000000000001E-3</v>
      </c>
      <c r="F42" s="135">
        <v>1.0300000000000001E-3</v>
      </c>
      <c r="G42" s="103">
        <f t="shared" si="3"/>
        <v>3397.7533601000009</v>
      </c>
      <c r="H42" s="103">
        <f t="shared" si="4"/>
        <v>3397.7533601000009</v>
      </c>
      <c r="I42" s="65">
        <f t="shared" si="0"/>
        <v>0</v>
      </c>
      <c r="J42" s="142">
        <f t="shared" ref="J42:J48" si="12">I42/G42</f>
        <v>0</v>
      </c>
    </row>
    <row r="43" spans="1:10" x14ac:dyDescent="0.25">
      <c r="B43" s="63" t="s">
        <v>63</v>
      </c>
      <c r="C43" s="154"/>
      <c r="D43" s="137">
        <f>Therms_CY2023!$P$21*'12ME Dec 2023 Therms by Block%'!N51</f>
        <v>3299999.9999999995</v>
      </c>
      <c r="E43" s="135">
        <v>6.3000000000000003E-4</v>
      </c>
      <c r="F43" s="135">
        <v>6.3000000000000003E-4</v>
      </c>
      <c r="G43" s="103">
        <f t="shared" si="3"/>
        <v>2079</v>
      </c>
      <c r="H43" s="103">
        <f t="shared" si="4"/>
        <v>2079</v>
      </c>
      <c r="I43" s="65">
        <f t="shared" si="0"/>
        <v>0</v>
      </c>
      <c r="J43" s="142">
        <f t="shared" si="12"/>
        <v>0</v>
      </c>
    </row>
    <row r="44" spans="1:10" x14ac:dyDescent="0.25">
      <c r="B44" s="63" t="s">
        <v>68</v>
      </c>
      <c r="C44" s="154"/>
      <c r="D44" s="137">
        <f>Therms_CY2023!$P$21*'12ME Dec 2023 Therms by Block%'!N52</f>
        <v>6599999.9999999991</v>
      </c>
      <c r="E44" s="135">
        <v>4.0999999999999999E-4</v>
      </c>
      <c r="F44" s="135">
        <v>4.0999999999999999E-4</v>
      </c>
      <c r="G44" s="103">
        <f t="shared" si="3"/>
        <v>2705.9999999999995</v>
      </c>
      <c r="H44" s="103">
        <f t="shared" si="4"/>
        <v>2705.9999999999995</v>
      </c>
      <c r="I44" s="65">
        <f t="shared" si="0"/>
        <v>0</v>
      </c>
      <c r="J44" s="142">
        <f t="shared" si="12"/>
        <v>0</v>
      </c>
    </row>
    <row r="45" spans="1:10" x14ac:dyDescent="0.25">
      <c r="B45" s="63" t="s">
        <v>69</v>
      </c>
      <c r="C45" s="154"/>
      <c r="D45" s="137">
        <f>Therms_CY2023!$P$21*'12ME Dec 2023 Therms by Block%'!N53</f>
        <v>12663691.019999998</v>
      </c>
      <c r="E45" s="135">
        <v>2.7E-4</v>
      </c>
      <c r="F45" s="135">
        <v>2.7E-4</v>
      </c>
      <c r="G45" s="103">
        <f t="shared" si="3"/>
        <v>3419.1965753999993</v>
      </c>
      <c r="H45" s="103">
        <f t="shared" si="4"/>
        <v>3419.1965753999993</v>
      </c>
      <c r="I45" s="65">
        <f t="shared" si="0"/>
        <v>0</v>
      </c>
      <c r="J45" s="142">
        <f t="shared" si="12"/>
        <v>0</v>
      </c>
    </row>
    <row r="46" spans="1:10" x14ac:dyDescent="0.25">
      <c r="B46" s="63" t="s">
        <v>70</v>
      </c>
      <c r="C46" s="154"/>
      <c r="D46" s="137">
        <f>Therms_CY2023!$P$21*'12ME Dec 2023 Therms by Block%'!N54</f>
        <v>29344602.149999999</v>
      </c>
      <c r="E46" s="135">
        <v>2.0000000000000001E-4</v>
      </c>
      <c r="F46" s="135">
        <v>2.0000000000000001E-4</v>
      </c>
      <c r="G46" s="103">
        <f t="shared" si="3"/>
        <v>5868.9204300000001</v>
      </c>
      <c r="H46" s="103">
        <f t="shared" si="4"/>
        <v>5868.9204300000001</v>
      </c>
      <c r="I46" s="65">
        <f t="shared" si="0"/>
        <v>0</v>
      </c>
      <c r="J46" s="142">
        <f t="shared" si="12"/>
        <v>0</v>
      </c>
    </row>
    <row r="47" spans="1:10" x14ac:dyDescent="0.25">
      <c r="B47" s="63" t="s">
        <v>71</v>
      </c>
      <c r="C47" s="154"/>
      <c r="D47" s="137">
        <f>Therms_CY2023!$P$21*'12ME Dec 2023 Therms by Block%'!N55</f>
        <v>73746329.805479571</v>
      </c>
      <c r="E47" s="135">
        <v>1.6000000000000001E-4</v>
      </c>
      <c r="F47" s="135">
        <v>1.6000000000000001E-4</v>
      </c>
      <c r="G47" s="103">
        <f t="shared" si="3"/>
        <v>11799.412768876733</v>
      </c>
      <c r="H47" s="103">
        <f t="shared" si="4"/>
        <v>11799.412768876733</v>
      </c>
      <c r="I47" s="65">
        <f t="shared" si="0"/>
        <v>0</v>
      </c>
      <c r="J47" s="142">
        <f t="shared" si="12"/>
        <v>0</v>
      </c>
    </row>
    <row r="48" spans="1:10" x14ac:dyDescent="0.25">
      <c r="B48" s="63" t="s">
        <v>6</v>
      </c>
      <c r="C48" s="154"/>
      <c r="D48" s="140">
        <f>SUM(D42:D47)</f>
        <v>128953412.64547956</v>
      </c>
      <c r="E48" s="100"/>
      <c r="F48" s="8"/>
      <c r="G48" s="102">
        <f>SUM(G42:G47)</f>
        <v>29270.283134376732</v>
      </c>
      <c r="H48" s="102">
        <f t="shared" ref="H48:I48" si="13">SUM(H42:H47)</f>
        <v>29270.283134376732</v>
      </c>
      <c r="I48" s="102">
        <f t="shared" si="13"/>
        <v>0</v>
      </c>
      <c r="J48" s="143">
        <f t="shared" si="12"/>
        <v>0</v>
      </c>
    </row>
    <row r="49" spans="2:12" x14ac:dyDescent="0.25">
      <c r="D49" s="138"/>
      <c r="E49" s="40"/>
      <c r="F49" s="40"/>
      <c r="G49" s="36"/>
      <c r="H49" s="49"/>
      <c r="I49" s="65"/>
      <c r="J49" s="64"/>
    </row>
    <row r="50" spans="2:12" x14ac:dyDescent="0.25">
      <c r="B50" s="63" t="s">
        <v>6</v>
      </c>
      <c r="D50" s="139">
        <f>D9+D11+D14+D21+D23+D33+D39+D48+D12+D15+D24</f>
        <v>1202902337.4078348</v>
      </c>
      <c r="E50" s="100"/>
      <c r="F50" s="8"/>
      <c r="G50" s="48">
        <f>G9+G11+G14+G21+G23+G33+G39+G48+G12+G15+G24</f>
        <v>3303152.0676309164</v>
      </c>
      <c r="H50" s="48">
        <f>H9+H11+H14+H21+H23+H33+H39+H48+H12+H15+H24</f>
        <v>3303152.0676309164</v>
      </c>
      <c r="I50" s="48">
        <f>I9+I11+I14+I21+I23+I33+I39+I48+I12+I15+I24</f>
        <v>0</v>
      </c>
      <c r="J50" s="143">
        <f>I50/G50</f>
        <v>0</v>
      </c>
    </row>
    <row r="51" spans="2:12" x14ac:dyDescent="0.25">
      <c r="D51" s="64"/>
      <c r="E51" s="64"/>
      <c r="F51" s="58"/>
      <c r="G51" s="64"/>
      <c r="H51" s="64"/>
      <c r="J51" s="158"/>
    </row>
    <row r="52" spans="2:12" x14ac:dyDescent="0.25">
      <c r="D52" s="64"/>
      <c r="E52" s="64"/>
      <c r="F52" s="58"/>
      <c r="G52" s="159"/>
      <c r="H52" s="159"/>
    </row>
    <row r="53" spans="2:12" x14ac:dyDescent="0.25">
      <c r="L53" s="158"/>
    </row>
    <row r="54" spans="2:12" x14ac:dyDescent="0.25">
      <c r="B54" s="160"/>
      <c r="D54" s="161"/>
      <c r="E54" s="161"/>
      <c r="F54" s="162"/>
      <c r="G54" s="163"/>
      <c r="H54" s="163"/>
    </row>
    <row r="55" spans="2:12" x14ac:dyDescent="0.25">
      <c r="C55" s="58"/>
      <c r="D55" s="164"/>
      <c r="E55" s="64"/>
      <c r="F55" s="58"/>
    </row>
    <row r="56" spans="2:12" x14ac:dyDescent="0.25">
      <c r="C56" s="58"/>
      <c r="D56" s="64"/>
      <c r="E56" s="58"/>
      <c r="F56" s="58"/>
    </row>
    <row r="57" spans="2:12" x14ac:dyDescent="0.25">
      <c r="C57" s="58"/>
      <c r="D57" s="64"/>
      <c r="E57" s="165"/>
      <c r="F57" s="166"/>
    </row>
    <row r="58" spans="2:12" x14ac:dyDescent="0.25">
      <c r="C58" s="161"/>
      <c r="D58" s="161"/>
      <c r="E58" s="165"/>
      <c r="F58" s="166"/>
    </row>
    <row r="59" spans="2:12" x14ac:dyDescent="0.25">
      <c r="E59" s="165"/>
      <c r="F59" s="166"/>
    </row>
    <row r="60" spans="2:12" x14ac:dyDescent="0.25">
      <c r="E60" s="64"/>
      <c r="F60" s="58"/>
    </row>
    <row r="61" spans="2:12" x14ac:dyDescent="0.25">
      <c r="E61" s="64"/>
      <c r="F61" s="58"/>
    </row>
    <row r="62" spans="2:12" x14ac:dyDescent="0.25">
      <c r="E62" s="64"/>
      <c r="F62" s="58"/>
    </row>
  </sheetData>
  <mergeCells count="5">
    <mergeCell ref="A8:B8"/>
    <mergeCell ref="A1:J1"/>
    <mergeCell ref="A3:J3"/>
    <mergeCell ref="A4:J4"/>
    <mergeCell ref="A2:J2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0" zoomScaleNormal="90" workbookViewId="0">
      <selection activeCell="E29" sqref="E29"/>
    </sheetView>
  </sheetViews>
  <sheetFormatPr defaultColWidth="8.7109375" defaultRowHeight="15" x14ac:dyDescent="0.25"/>
  <cols>
    <col min="1" max="1" width="37.7109375" style="1" customWidth="1"/>
    <col min="2" max="2" width="9.140625" style="1" bestFit="1" customWidth="1"/>
    <col min="3" max="3" width="18.5703125" style="1" bestFit="1" customWidth="1"/>
    <col min="4" max="5" width="13.7109375" style="1" customWidth="1"/>
    <col min="6" max="8" width="14.42578125" style="1" customWidth="1"/>
    <col min="9" max="9" width="7.85546875" style="1" bestFit="1" customWidth="1"/>
    <col min="10" max="16384" width="8.7109375" style="1"/>
  </cols>
  <sheetData>
    <row r="1" spans="1:21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21" s="63" customFormat="1" x14ac:dyDescent="0.25">
      <c r="A2" s="383" t="s">
        <v>153</v>
      </c>
      <c r="B2" s="391"/>
      <c r="C2" s="391"/>
      <c r="D2" s="391"/>
      <c r="E2" s="391"/>
      <c r="F2" s="391"/>
      <c r="G2" s="391"/>
      <c r="H2" s="391"/>
      <c r="I2" s="391"/>
      <c r="J2" s="188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</row>
    <row r="3" spans="1:21" s="63" customFormat="1" x14ac:dyDescent="0.25">
      <c r="A3" s="383" t="s">
        <v>154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21" s="63" customFormat="1" x14ac:dyDescent="0.25">
      <c r="A4" s="383" t="s">
        <v>174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21" x14ac:dyDescent="0.25">
      <c r="D5" s="156"/>
      <c r="E5" s="156"/>
    </row>
    <row r="6" spans="1:21" x14ac:dyDescent="0.25">
      <c r="A6" s="104"/>
      <c r="B6" s="104"/>
      <c r="C6" s="104" t="s">
        <v>15</v>
      </c>
      <c r="D6" s="104" t="s">
        <v>5</v>
      </c>
      <c r="E6" s="104" t="s">
        <v>1</v>
      </c>
      <c r="F6" s="154" t="s">
        <v>15</v>
      </c>
      <c r="G6" s="154" t="s">
        <v>15</v>
      </c>
      <c r="H6" s="104" t="s">
        <v>16</v>
      </c>
      <c r="I6" s="104"/>
      <c r="R6" s="172"/>
      <c r="S6" s="172"/>
      <c r="T6" s="172"/>
    </row>
    <row r="7" spans="1:21" x14ac:dyDescent="0.25">
      <c r="A7" s="104"/>
      <c r="B7" s="104" t="s">
        <v>17</v>
      </c>
      <c r="C7" s="104" t="s">
        <v>3</v>
      </c>
      <c r="D7" s="104" t="s">
        <v>16</v>
      </c>
      <c r="E7" s="104" t="s">
        <v>16</v>
      </c>
      <c r="F7" s="154" t="s">
        <v>2</v>
      </c>
      <c r="G7" s="154" t="s">
        <v>2</v>
      </c>
      <c r="H7" s="104" t="s">
        <v>2</v>
      </c>
      <c r="I7" s="104" t="s">
        <v>20</v>
      </c>
      <c r="R7" s="172"/>
      <c r="S7" s="172"/>
      <c r="T7" s="172"/>
    </row>
    <row r="8" spans="1:21" x14ac:dyDescent="0.25">
      <c r="A8" s="157" t="s">
        <v>4</v>
      </c>
      <c r="B8" s="157" t="s">
        <v>21</v>
      </c>
      <c r="C8" s="90" t="str">
        <f>'Sch. 101'!$D$8</f>
        <v>12ME Dec. 2023</v>
      </c>
      <c r="D8" s="157" t="s">
        <v>22</v>
      </c>
      <c r="E8" s="157" t="s">
        <v>22</v>
      </c>
      <c r="F8" s="61" t="s">
        <v>23</v>
      </c>
      <c r="G8" s="61" t="s">
        <v>131</v>
      </c>
      <c r="H8" s="157" t="s">
        <v>24</v>
      </c>
      <c r="I8" s="157" t="s">
        <v>24</v>
      </c>
      <c r="R8" s="172"/>
      <c r="S8" s="153"/>
      <c r="T8" s="172"/>
    </row>
    <row r="9" spans="1:21" x14ac:dyDescent="0.25">
      <c r="A9" s="1" t="s">
        <v>7</v>
      </c>
      <c r="B9" s="146" t="s">
        <v>30</v>
      </c>
      <c r="C9" s="59">
        <f>SUM(Therms_CY2023!P10,Therms_CY2023!P11)</f>
        <v>636369361</v>
      </c>
      <c r="D9" s="100">
        <v>2.2749999999999999E-2</v>
      </c>
      <c r="E9" s="100">
        <v>2.2749999999999999E-2</v>
      </c>
      <c r="F9" s="47">
        <f>C9*D9</f>
        <v>14477402.962749999</v>
      </c>
      <c r="G9" s="47">
        <f>C9*E9</f>
        <v>14477402.962749999</v>
      </c>
      <c r="H9" s="105">
        <f>G9-F9</f>
        <v>0</v>
      </c>
      <c r="I9" s="2">
        <f>H9/F9</f>
        <v>0</v>
      </c>
      <c r="R9" s="172"/>
      <c r="S9" s="149"/>
      <c r="T9" s="172"/>
    </row>
    <row r="10" spans="1:21" x14ac:dyDescent="0.25">
      <c r="A10" s="1" t="s">
        <v>31</v>
      </c>
      <c r="B10" s="146">
        <v>16</v>
      </c>
      <c r="C10" s="70">
        <f>Therms_CY2023!P9</f>
        <v>8832</v>
      </c>
      <c r="D10" s="100">
        <v>2.2749999999999999E-2</v>
      </c>
      <c r="E10" s="100">
        <v>2.2749999999999999E-2</v>
      </c>
      <c r="F10" s="47">
        <f t="shared" ref="F10:F20" si="0">C10*D10</f>
        <v>200.928</v>
      </c>
      <c r="G10" s="47">
        <f t="shared" ref="G10:G21" si="1">C10*E10</f>
        <v>200.928</v>
      </c>
      <c r="H10" s="105">
        <f t="shared" ref="H10:H21" si="2">G10-F10</f>
        <v>0</v>
      </c>
      <c r="I10" s="2">
        <f t="shared" ref="I10:I22" si="3">H10/F10</f>
        <v>0</v>
      </c>
      <c r="R10" s="172"/>
      <c r="S10" s="172"/>
      <c r="T10" s="172"/>
    </row>
    <row r="11" spans="1:21" x14ac:dyDescent="0.25">
      <c r="A11" s="1" t="s">
        <v>8</v>
      </c>
      <c r="B11" s="146">
        <v>31</v>
      </c>
      <c r="C11" s="59">
        <f>Therms_CY2023!P12</f>
        <v>243192248</v>
      </c>
      <c r="D11" s="100">
        <v>2.632E-2</v>
      </c>
      <c r="E11" s="100">
        <v>2.632E-2</v>
      </c>
      <c r="F11" s="47">
        <f t="shared" si="0"/>
        <v>6400819.9673600001</v>
      </c>
      <c r="G11" s="47">
        <f t="shared" si="1"/>
        <v>6400819.9673600001</v>
      </c>
      <c r="H11" s="105">
        <f t="shared" si="2"/>
        <v>0</v>
      </c>
      <c r="I11" s="2">
        <f t="shared" si="3"/>
        <v>0</v>
      </c>
      <c r="R11" s="172"/>
      <c r="S11" s="172"/>
      <c r="T11" s="172"/>
    </row>
    <row r="12" spans="1:21" x14ac:dyDescent="0.25">
      <c r="A12" s="1" t="s">
        <v>9</v>
      </c>
      <c r="B12" s="146">
        <v>41</v>
      </c>
      <c r="C12" s="59">
        <f>Therms_CY2023!P13</f>
        <v>66922885</v>
      </c>
      <c r="D12" s="100">
        <v>8.7899999999999992E-3</v>
      </c>
      <c r="E12" s="100">
        <v>8.7899999999999992E-3</v>
      </c>
      <c r="F12" s="47">
        <f t="shared" si="0"/>
        <v>588252.15914999996</v>
      </c>
      <c r="G12" s="47">
        <f t="shared" si="1"/>
        <v>588252.15914999996</v>
      </c>
      <c r="H12" s="105">
        <f t="shared" si="2"/>
        <v>0</v>
      </c>
      <c r="I12" s="2">
        <f t="shared" si="3"/>
        <v>0</v>
      </c>
    </row>
    <row r="13" spans="1:21" x14ac:dyDescent="0.25">
      <c r="A13" s="1" t="s">
        <v>10</v>
      </c>
      <c r="B13" s="146">
        <v>85</v>
      </c>
      <c r="C13" s="59">
        <f>Therms_CY2023!P14</f>
        <v>11124640</v>
      </c>
      <c r="D13" s="100">
        <v>4.8500000000000001E-3</v>
      </c>
      <c r="E13" s="100">
        <v>4.8500000000000001E-3</v>
      </c>
      <c r="F13" s="47">
        <f t="shared" si="0"/>
        <v>53954.504000000001</v>
      </c>
      <c r="G13" s="47">
        <f t="shared" si="1"/>
        <v>53954.504000000001</v>
      </c>
      <c r="H13" s="105">
        <f t="shared" si="2"/>
        <v>0</v>
      </c>
      <c r="I13" s="2">
        <f t="shared" si="3"/>
        <v>0</v>
      </c>
    </row>
    <row r="14" spans="1:21" x14ac:dyDescent="0.25">
      <c r="A14" s="1" t="s">
        <v>11</v>
      </c>
      <c r="B14" s="146">
        <v>86</v>
      </c>
      <c r="C14" s="59">
        <f>Therms_CY2023!P15</f>
        <v>5691490</v>
      </c>
      <c r="D14" s="100">
        <v>1.085E-2</v>
      </c>
      <c r="E14" s="100">
        <v>1.085E-2</v>
      </c>
      <c r="F14" s="47">
        <f t="shared" si="0"/>
        <v>61752.666499999999</v>
      </c>
      <c r="G14" s="47">
        <f t="shared" si="1"/>
        <v>61752.666499999999</v>
      </c>
      <c r="H14" s="105">
        <f t="shared" si="2"/>
        <v>0</v>
      </c>
      <c r="I14" s="2">
        <f t="shared" si="3"/>
        <v>0</v>
      </c>
    </row>
    <row r="15" spans="1:21" x14ac:dyDescent="0.25">
      <c r="A15" s="1" t="s">
        <v>12</v>
      </c>
      <c r="B15" s="146">
        <v>87</v>
      </c>
      <c r="C15" s="59">
        <f>Therms_CY2023!P16</f>
        <v>21819455.762355205</v>
      </c>
      <c r="D15" s="100">
        <v>2.64E-3</v>
      </c>
      <c r="E15" s="100">
        <v>2.64E-3</v>
      </c>
      <c r="F15" s="47">
        <f t="shared" si="0"/>
        <v>57603.36321261774</v>
      </c>
      <c r="G15" s="47">
        <f t="shared" si="1"/>
        <v>57603.36321261774</v>
      </c>
      <c r="H15" s="105">
        <f t="shared" si="2"/>
        <v>0</v>
      </c>
      <c r="I15" s="2">
        <f t="shared" si="3"/>
        <v>0</v>
      </c>
    </row>
    <row r="16" spans="1:21" x14ac:dyDescent="0.25">
      <c r="A16" s="1" t="s">
        <v>32</v>
      </c>
      <c r="B16" s="146" t="s">
        <v>33</v>
      </c>
      <c r="C16" s="59">
        <f>Therms_CY2023!P17</f>
        <v>34397</v>
      </c>
      <c r="D16" s="100">
        <v>2.632E-2</v>
      </c>
      <c r="E16" s="100">
        <v>2.632E-2</v>
      </c>
      <c r="F16" s="47">
        <f t="shared" si="0"/>
        <v>905.32903999999996</v>
      </c>
      <c r="G16" s="47">
        <f t="shared" si="1"/>
        <v>905.32903999999996</v>
      </c>
      <c r="H16" s="105">
        <f t="shared" si="2"/>
        <v>0</v>
      </c>
      <c r="I16" s="2">
        <f t="shared" si="3"/>
        <v>0</v>
      </c>
    </row>
    <row r="17" spans="1:9" x14ac:dyDescent="0.25">
      <c r="A17" s="1" t="s">
        <v>34</v>
      </c>
      <c r="B17" s="1" t="s">
        <v>35</v>
      </c>
      <c r="C17" s="59">
        <f>Therms_CY2023!P18</f>
        <v>25464521</v>
      </c>
      <c r="D17" s="100">
        <v>8.7899999999999992E-3</v>
      </c>
      <c r="E17" s="100">
        <v>8.7899999999999992E-3</v>
      </c>
      <c r="F17" s="47">
        <f t="shared" si="0"/>
        <v>223833.13958999998</v>
      </c>
      <c r="G17" s="47">
        <f t="shared" si="1"/>
        <v>223833.13958999998</v>
      </c>
      <c r="H17" s="105">
        <f t="shared" si="2"/>
        <v>0</v>
      </c>
      <c r="I17" s="2">
        <f t="shared" si="3"/>
        <v>0</v>
      </c>
    </row>
    <row r="18" spans="1:9" x14ac:dyDescent="0.25">
      <c r="A18" s="1" t="s">
        <v>36</v>
      </c>
      <c r="B18" s="1" t="s">
        <v>37</v>
      </c>
      <c r="C18" s="59">
        <f>Therms_CY2023!P19</f>
        <v>62787518</v>
      </c>
      <c r="D18" s="100">
        <v>4.8500000000000001E-3</v>
      </c>
      <c r="E18" s="100">
        <v>4.8500000000000001E-3</v>
      </c>
      <c r="F18" s="47">
        <f t="shared" si="0"/>
        <v>304519.46230000001</v>
      </c>
      <c r="G18" s="47">
        <f t="shared" si="1"/>
        <v>304519.46230000001</v>
      </c>
      <c r="H18" s="105">
        <f t="shared" si="2"/>
        <v>0</v>
      </c>
      <c r="I18" s="2">
        <f t="shared" si="3"/>
        <v>0</v>
      </c>
    </row>
    <row r="19" spans="1:9" x14ac:dyDescent="0.25">
      <c r="A19" s="1" t="s">
        <v>38</v>
      </c>
      <c r="B19" s="1" t="s">
        <v>39</v>
      </c>
      <c r="C19" s="59">
        <f>Therms_CY2023!P20</f>
        <v>542409</v>
      </c>
      <c r="D19" s="100">
        <v>1.085E-2</v>
      </c>
      <c r="E19" s="100">
        <v>1.085E-2</v>
      </c>
      <c r="F19" s="47">
        <f t="shared" si="0"/>
        <v>5885.1376500000006</v>
      </c>
      <c r="G19" s="47">
        <f t="shared" si="1"/>
        <v>5885.1376500000006</v>
      </c>
      <c r="H19" s="105">
        <f t="shared" si="2"/>
        <v>0</v>
      </c>
      <c r="I19" s="2">
        <f t="shared" si="3"/>
        <v>0</v>
      </c>
    </row>
    <row r="20" spans="1:9" x14ac:dyDescent="0.25">
      <c r="A20" s="1" t="s">
        <v>40</v>
      </c>
      <c r="B20" s="1" t="s">
        <v>41</v>
      </c>
      <c r="C20" s="59">
        <f>Therms_CY2023!P21</f>
        <v>128953412.64547956</v>
      </c>
      <c r="D20" s="100">
        <v>2.64E-3</v>
      </c>
      <c r="E20" s="100">
        <v>2.64E-3</v>
      </c>
      <c r="F20" s="47">
        <f t="shared" si="0"/>
        <v>340437.00938406604</v>
      </c>
      <c r="G20" s="47">
        <f t="shared" si="1"/>
        <v>340437.00938406604</v>
      </c>
      <c r="H20" s="105">
        <f t="shared" si="2"/>
        <v>0</v>
      </c>
      <c r="I20" s="2">
        <f t="shared" si="3"/>
        <v>0</v>
      </c>
    </row>
    <row r="21" spans="1:9" x14ac:dyDescent="0.25">
      <c r="A21" s="1" t="s">
        <v>13</v>
      </c>
      <c r="C21" s="59">
        <f>Therms_CY2023!P22</f>
        <v>31066760</v>
      </c>
      <c r="D21" s="10">
        <v>1.31E-3</v>
      </c>
      <c r="E21" s="10">
        <v>1.31E-3</v>
      </c>
      <c r="F21" s="47">
        <f>C21*D21</f>
        <v>40697.455600000001</v>
      </c>
      <c r="G21" s="47">
        <f t="shared" si="1"/>
        <v>40697.455600000001</v>
      </c>
      <c r="H21" s="105">
        <f t="shared" si="2"/>
        <v>0</v>
      </c>
      <c r="I21" s="2">
        <f t="shared" si="3"/>
        <v>0</v>
      </c>
    </row>
    <row r="22" spans="1:9" x14ac:dyDescent="0.25">
      <c r="A22" s="1" t="s">
        <v>6</v>
      </c>
      <c r="C22" s="179">
        <f>SUM(C9:C21)</f>
        <v>1233977929.407835</v>
      </c>
      <c r="D22" s="180"/>
      <c r="E22" s="180"/>
      <c r="F22" s="48">
        <f t="shared" ref="F22:H22" si="4">SUM(F9:F21)</f>
        <v>22556264.084536683</v>
      </c>
      <c r="G22" s="48">
        <f t="shared" si="4"/>
        <v>22556264.084536683</v>
      </c>
      <c r="H22" s="181">
        <f t="shared" si="4"/>
        <v>0</v>
      </c>
      <c r="I22" s="3">
        <f t="shared" si="3"/>
        <v>0</v>
      </c>
    </row>
    <row r="23" spans="1:9" x14ac:dyDescent="0.25">
      <c r="F23" s="105"/>
      <c r="G23" s="105"/>
    </row>
    <row r="24" spans="1:9" x14ac:dyDescent="0.25">
      <c r="C24" s="147"/>
      <c r="F24" s="105"/>
      <c r="G24" s="105"/>
    </row>
    <row r="25" spans="1:9" x14ac:dyDescent="0.25">
      <c r="A25" s="182"/>
      <c r="B25" s="172"/>
      <c r="C25" s="172"/>
      <c r="D25" s="172"/>
      <c r="E25" s="172"/>
      <c r="F25" s="172"/>
      <c r="G25" s="172"/>
      <c r="H25" s="172"/>
    </row>
    <row r="26" spans="1:9" x14ac:dyDescent="0.25">
      <c r="B26" s="172"/>
      <c r="C26" s="172"/>
      <c r="D26" s="172"/>
      <c r="E26" s="172"/>
      <c r="F26" s="172"/>
      <c r="G26" s="172"/>
      <c r="H26" s="172"/>
    </row>
    <row r="41" spans="2:2" ht="17.25" x14ac:dyDescent="0.25">
      <c r="B41" s="187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90" zoomScaleNormal="90" workbookViewId="0">
      <selection activeCell="L26" sqref="L26"/>
    </sheetView>
  </sheetViews>
  <sheetFormatPr defaultRowHeight="15" x14ac:dyDescent="0.25"/>
  <cols>
    <col min="1" max="1" width="36.85546875" style="114" bestFit="1" customWidth="1"/>
    <col min="2" max="2" width="9.28515625" style="114" bestFit="1" customWidth="1"/>
    <col min="3" max="3" width="18.7109375" style="114" bestFit="1" customWidth="1"/>
    <col min="4" max="5" width="13.7109375" style="114" customWidth="1"/>
    <col min="6" max="8" width="14.42578125" style="114" customWidth="1"/>
    <col min="9" max="9" width="9.85546875" style="114" bestFit="1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389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390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214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332"/>
      <c r="E5" s="332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331" t="s">
        <v>15</v>
      </c>
      <c r="G6" s="331" t="s">
        <v>15</v>
      </c>
      <c r="H6" s="107" t="s">
        <v>391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391</v>
      </c>
      <c r="E7" s="107" t="s">
        <v>391</v>
      </c>
      <c r="F7" s="331" t="s">
        <v>2</v>
      </c>
      <c r="G7" s="331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3" t="s">
        <v>220</v>
      </c>
      <c r="D8" s="157" t="s">
        <v>22</v>
      </c>
      <c r="E8" s="157" t="s">
        <v>22</v>
      </c>
      <c r="F8" s="333" t="s">
        <v>23</v>
      </c>
      <c r="G8" s="333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SUM(Therms_CY2024!P10,Therms_CY2024!P11)</f>
        <v>639464549</v>
      </c>
      <c r="D9" s="316">
        <f>'[1]Exh JDT-5 (JDT-MYRP)'!$J$11</f>
        <v>3.2599999999999999E-3</v>
      </c>
      <c r="E9" s="316">
        <f>'[1]Exh JDT-5 (JDT-MYRP)'!$Q$11</f>
        <v>3.15E-3</v>
      </c>
      <c r="F9" s="119">
        <f>C9*D9</f>
        <v>2084654.4297399998</v>
      </c>
      <c r="G9" s="119">
        <f>C9*E9</f>
        <v>2014313.32935</v>
      </c>
      <c r="H9" s="120">
        <f>G9-F9</f>
        <v>-70341.100389999803</v>
      </c>
      <c r="I9" s="173">
        <f>-H9/F9</f>
        <v>3.3742331288343468E-2</v>
      </c>
    </row>
    <row r="10" spans="1:10" x14ac:dyDescent="0.25">
      <c r="A10" s="114" t="s">
        <v>31</v>
      </c>
      <c r="B10" s="146">
        <v>16</v>
      </c>
      <c r="C10" s="70">
        <f>Therms_CY2024!P9</f>
        <v>8832</v>
      </c>
      <c r="D10" s="316">
        <f>'[1]Exh JDT-5 (JDT-MYRP)'!$J$11</f>
        <v>3.2599999999999999E-3</v>
      </c>
      <c r="E10" s="316">
        <f>'[1]Exh JDT-5 (JDT-MYRP)'!$Q$11</f>
        <v>3.15E-3</v>
      </c>
      <c r="F10" s="119">
        <f t="shared" ref="F10:F36" si="0">C10*D10</f>
        <v>28.79232</v>
      </c>
      <c r="G10" s="119">
        <f t="shared" ref="G10:G39" si="1">C10*E10</f>
        <v>27.820799999999998</v>
      </c>
      <c r="H10" s="120">
        <f t="shared" ref="H10:H39" si="2">G10-F10</f>
        <v>-0.97152000000000172</v>
      </c>
      <c r="I10" s="173">
        <f t="shared" ref="I10:I39" si="3">-H10/F10</f>
        <v>3.374233128834362E-2</v>
      </c>
    </row>
    <row r="11" spans="1:10" x14ac:dyDescent="0.25">
      <c r="A11" s="114" t="s">
        <v>8</v>
      </c>
      <c r="B11" s="146">
        <v>31</v>
      </c>
      <c r="C11" s="116">
        <f>Therms_CY2024!P12</f>
        <v>245936243</v>
      </c>
      <c r="D11" s="316">
        <f>'[1]Exh JDT-5 (JDT-MYRP)'!$J$40</f>
        <v>3.0100000000000001E-3</v>
      </c>
      <c r="E11" s="316">
        <f>'[1]Exh JDT-5 (JDT-MYRP)'!$Q$40</f>
        <v>2.8900000000000002E-3</v>
      </c>
      <c r="F11" s="119">
        <f t="shared" si="0"/>
        <v>740268.09143000003</v>
      </c>
      <c r="G11" s="119">
        <f t="shared" si="1"/>
        <v>710755.74227000005</v>
      </c>
      <c r="H11" s="120">
        <f t="shared" si="2"/>
        <v>-29512.349159999983</v>
      </c>
      <c r="I11" s="173">
        <f t="shared" si="3"/>
        <v>3.9867109634551472E-2</v>
      </c>
    </row>
    <row r="12" spans="1:10" x14ac:dyDescent="0.25">
      <c r="A12" s="114" t="s">
        <v>9</v>
      </c>
      <c r="B12" s="146">
        <v>41</v>
      </c>
      <c r="C12" s="116">
        <f>Therms_CY2024!P13</f>
        <v>66890541</v>
      </c>
      <c r="D12" s="316">
        <f>'[1]Exh JDT-5 (JDT-MYRP)'!$J$64</f>
        <v>2.2699999999999999E-3</v>
      </c>
      <c r="E12" s="316">
        <f>'[1]Exh JDT-5 (JDT-MYRP)'!$Q$64</f>
        <v>2.2000000000000001E-3</v>
      </c>
      <c r="F12" s="119">
        <f t="shared" si="0"/>
        <v>151841.52807</v>
      </c>
      <c r="G12" s="119">
        <f t="shared" si="1"/>
        <v>147159.19020000001</v>
      </c>
      <c r="H12" s="120">
        <f t="shared" si="2"/>
        <v>-4682.3378699999885</v>
      </c>
      <c r="I12" s="173">
        <f t="shared" si="3"/>
        <v>3.0837004405286268E-2</v>
      </c>
    </row>
    <row r="13" spans="1:10" x14ac:dyDescent="0.25">
      <c r="A13" s="114" t="s">
        <v>10</v>
      </c>
      <c r="B13" s="146">
        <v>85</v>
      </c>
      <c r="C13" s="116">
        <f>Therms_CY2024!P14</f>
        <v>10745378</v>
      </c>
      <c r="D13" s="316">
        <f>'[1]Exh JDT-5 (JDT-MYRP)'!$J$102</f>
        <v>1.8400000000000001E-3</v>
      </c>
      <c r="E13" s="316">
        <f>'[1]Exh JDT-5 (JDT-MYRP)'!$Q$102</f>
        <v>1.8500000000000001E-3</v>
      </c>
      <c r="F13" s="119">
        <f t="shared" si="0"/>
        <v>19771.49552</v>
      </c>
      <c r="G13" s="119">
        <f t="shared" si="1"/>
        <v>19878.9493</v>
      </c>
      <c r="H13" s="120">
        <f t="shared" si="2"/>
        <v>107.45377999999982</v>
      </c>
      <c r="I13" s="173">
        <f t="shared" si="3"/>
        <v>-5.4347826086956433E-3</v>
      </c>
    </row>
    <row r="14" spans="1:10" x14ac:dyDescent="0.25">
      <c r="A14" s="114" t="s">
        <v>11</v>
      </c>
      <c r="B14" s="146">
        <v>86</v>
      </c>
      <c r="C14" s="116">
        <f>Therms_CY2024!P15</f>
        <v>5489408</v>
      </c>
      <c r="D14" s="316">
        <f>'[1]Exh JDT-5 (JDT-MYRP)'!$J$139</f>
        <v>4.8999999999999998E-4</v>
      </c>
      <c r="E14" s="316">
        <f>'[1]Exh JDT-5 (JDT-MYRP)'!$Q$139</f>
        <v>4.8999999999999998E-4</v>
      </c>
      <c r="F14" s="119">
        <f t="shared" si="0"/>
        <v>2689.8099199999997</v>
      </c>
      <c r="G14" s="119">
        <f t="shared" si="1"/>
        <v>2689.8099199999997</v>
      </c>
      <c r="H14" s="120">
        <f t="shared" si="2"/>
        <v>0</v>
      </c>
      <c r="I14" s="173">
        <f t="shared" si="3"/>
        <v>0</v>
      </c>
    </row>
    <row r="15" spans="1:10" x14ac:dyDescent="0.25">
      <c r="B15" s="146"/>
      <c r="C15" s="116"/>
      <c r="D15" s="316"/>
      <c r="E15" s="316"/>
      <c r="F15" s="119"/>
      <c r="G15" s="119"/>
      <c r="H15" s="120"/>
      <c r="I15" s="173"/>
    </row>
    <row r="16" spans="1:10" x14ac:dyDescent="0.25">
      <c r="A16" s="114" t="s">
        <v>12</v>
      </c>
      <c r="B16" s="146">
        <v>87</v>
      </c>
    </row>
    <row r="17" spans="1:9" x14ac:dyDescent="0.25">
      <c r="A17" s="178" t="s">
        <v>376</v>
      </c>
      <c r="B17" s="347">
        <v>87</v>
      </c>
      <c r="C17" s="70">
        <f>'[1]Exh JDT-5 (JDT-MYRP)'!L185</f>
        <v>1512193</v>
      </c>
      <c r="D17" s="350">
        <f>'[1]Exh JDT-5 (JDT-MYRP)'!J185</f>
        <v>3.47E-3</v>
      </c>
      <c r="E17" s="350">
        <f>'[1]Exh JDT-5 (JDT-MYRP)'!Q185</f>
        <v>3.3899999999999998E-3</v>
      </c>
      <c r="F17" s="348">
        <f t="shared" si="0"/>
        <v>5247.3097099999995</v>
      </c>
      <c r="G17" s="348">
        <f t="shared" si="1"/>
        <v>5126.3342699999994</v>
      </c>
      <c r="H17" s="348">
        <f>G17-F17</f>
        <v>-120.97544000000016</v>
      </c>
      <c r="I17" s="349">
        <f t="shared" si="3"/>
        <v>2.3054755043227699E-2</v>
      </c>
    </row>
    <row r="18" spans="1:9" x14ac:dyDescent="0.25">
      <c r="A18" s="178" t="s">
        <v>377</v>
      </c>
      <c r="B18" s="347">
        <v>87</v>
      </c>
      <c r="C18" s="70">
        <f>'[1]Exh JDT-5 (JDT-MYRP)'!L186</f>
        <v>1398016.115</v>
      </c>
      <c r="D18" s="350">
        <f>'[1]Exh JDT-5 (JDT-MYRP)'!J186</f>
        <v>2.0999999999999999E-3</v>
      </c>
      <c r="E18" s="350">
        <f>'[1]Exh JDT-5 (JDT-MYRP)'!Q186</f>
        <v>2.0500000000000002E-3</v>
      </c>
      <c r="F18" s="348">
        <f t="shared" si="0"/>
        <v>2935.8338414999998</v>
      </c>
      <c r="G18" s="348">
        <f t="shared" si="1"/>
        <v>2865.9330357500003</v>
      </c>
      <c r="H18" s="348">
        <f t="shared" si="2"/>
        <v>-69.900805749999563</v>
      </c>
      <c r="I18" s="349">
        <f t="shared" si="3"/>
        <v>2.3809523809523662E-2</v>
      </c>
    </row>
    <row r="19" spans="1:9" x14ac:dyDescent="0.25">
      <c r="A19" s="178" t="s">
        <v>378</v>
      </c>
      <c r="B19" s="347">
        <v>87</v>
      </c>
      <c r="C19" s="70">
        <f>'[1]Exh JDT-5 (JDT-MYRP)'!L187</f>
        <v>2316890.0959999999</v>
      </c>
      <c r="D19" s="350">
        <f>'[1]Exh JDT-5 (JDT-MYRP)'!J187</f>
        <v>1.34E-3</v>
      </c>
      <c r="E19" s="350">
        <f>'[1]Exh JDT-5 (JDT-MYRP)'!Q187</f>
        <v>1.2999999999999999E-3</v>
      </c>
      <c r="F19" s="348">
        <f t="shared" si="0"/>
        <v>3104.6327286400001</v>
      </c>
      <c r="G19" s="348">
        <f t="shared" si="1"/>
        <v>3011.9571247999997</v>
      </c>
      <c r="H19" s="348">
        <f t="shared" si="2"/>
        <v>-92.675603840000349</v>
      </c>
      <c r="I19" s="349">
        <f t="shared" si="3"/>
        <v>2.9850746268656827E-2</v>
      </c>
    </row>
    <row r="20" spans="1:9" x14ac:dyDescent="0.25">
      <c r="A20" s="178" t="s">
        <v>69</v>
      </c>
      <c r="B20" s="347">
        <v>87</v>
      </c>
      <c r="C20" s="70">
        <f>'[1]Exh JDT-5 (JDT-MYRP)'!L188</f>
        <v>3045256.878</v>
      </c>
      <c r="D20" s="350">
        <f>'[1]Exh JDT-5 (JDT-MYRP)'!J188</f>
        <v>8.5999999999999998E-4</v>
      </c>
      <c r="E20" s="350">
        <f>'[1]Exh JDT-5 (JDT-MYRP)'!Q188</f>
        <v>8.4000000000000003E-4</v>
      </c>
      <c r="F20" s="348">
        <f t="shared" si="0"/>
        <v>2618.9209150799998</v>
      </c>
      <c r="G20" s="348">
        <f t="shared" si="1"/>
        <v>2558.01577752</v>
      </c>
      <c r="H20" s="348">
        <f t="shared" si="2"/>
        <v>-60.90513755999973</v>
      </c>
      <c r="I20" s="349">
        <f t="shared" si="3"/>
        <v>2.3255813953488271E-2</v>
      </c>
    </row>
    <row r="21" spans="1:9" x14ac:dyDescent="0.25">
      <c r="A21" s="178" t="s">
        <v>70</v>
      </c>
      <c r="B21" s="347">
        <v>87</v>
      </c>
      <c r="C21" s="70">
        <f>'[1]Exh JDT-5 (JDT-MYRP)'!L189</f>
        <v>3792042.2029999997</v>
      </c>
      <c r="D21" s="350">
        <f>'[1]Exh JDT-5 (JDT-MYRP)'!J189</f>
        <v>6.2E-4</v>
      </c>
      <c r="E21" s="350">
        <f>'[1]Exh JDT-5 (JDT-MYRP)'!Q189</f>
        <v>5.9999999999999995E-4</v>
      </c>
      <c r="F21" s="348">
        <f t="shared" si="0"/>
        <v>2351.0661658599997</v>
      </c>
      <c r="G21" s="348">
        <f t="shared" si="1"/>
        <v>2275.2253217999996</v>
      </c>
      <c r="H21" s="348">
        <f t="shared" si="2"/>
        <v>-75.840844060000109</v>
      </c>
      <c r="I21" s="349">
        <f t="shared" si="3"/>
        <v>3.225806451612908E-2</v>
      </c>
    </row>
    <row r="22" spans="1:9" x14ac:dyDescent="0.25">
      <c r="A22" s="178" t="s">
        <v>89</v>
      </c>
      <c r="B22" s="347">
        <v>87</v>
      </c>
      <c r="C22" s="70">
        <f>'[1]Exh JDT-5 (JDT-MYRP)'!L190</f>
        <v>9755057.4703552071</v>
      </c>
      <c r="D22" s="350">
        <f>'[1]Exh JDT-5 (JDT-MYRP)'!J190</f>
        <v>1.2E-4</v>
      </c>
      <c r="E22" s="350">
        <f>'[1]Exh JDT-5 (JDT-MYRP)'!Q190</f>
        <v>1.1E-4</v>
      </c>
      <c r="F22" s="348">
        <f t="shared" si="0"/>
        <v>1170.6068964426249</v>
      </c>
      <c r="G22" s="348">
        <f t="shared" si="1"/>
        <v>1073.0563217390729</v>
      </c>
      <c r="H22" s="348">
        <f t="shared" si="2"/>
        <v>-97.550574703552002</v>
      </c>
      <c r="I22" s="349">
        <f t="shared" si="3"/>
        <v>8.3333333333333273E-2</v>
      </c>
    </row>
    <row r="23" spans="1:9" x14ac:dyDescent="0.25">
      <c r="A23" s="114" t="s">
        <v>6</v>
      </c>
      <c r="B23" s="146">
        <v>87</v>
      </c>
      <c r="C23" s="147">
        <f>SUM(C17:C22)</f>
        <v>21819455.762355208</v>
      </c>
      <c r="D23" s="316"/>
      <c r="E23" s="316"/>
      <c r="F23" s="119">
        <f>SUM(F17:F22)</f>
        <v>17428.370257522623</v>
      </c>
      <c r="G23" s="119">
        <f t="shared" ref="G23" si="4">SUM(G17:G22)</f>
        <v>16910.521851609072</v>
      </c>
      <c r="H23" s="119">
        <f>SUM(H17:H22)</f>
        <v>-517.84840591355191</v>
      </c>
      <c r="I23" s="173">
        <f>-H23/F23</f>
        <v>2.9712956418861514E-2</v>
      </c>
    </row>
    <row r="24" spans="1:9" x14ac:dyDescent="0.25">
      <c r="B24" s="146"/>
      <c r="C24" s="116"/>
      <c r="D24" s="316"/>
      <c r="E24" s="316"/>
      <c r="F24" s="119"/>
      <c r="G24" s="119"/>
      <c r="H24" s="120"/>
      <c r="I24" s="173"/>
    </row>
    <row r="25" spans="1:9" x14ac:dyDescent="0.25">
      <c r="A25" s="114" t="s">
        <v>32</v>
      </c>
      <c r="B25" s="146" t="s">
        <v>33</v>
      </c>
      <c r="C25" s="116">
        <f>Therms_CY2024!P17</f>
        <v>33867</v>
      </c>
      <c r="D25" s="316"/>
      <c r="E25" s="316"/>
      <c r="F25" s="119">
        <f t="shared" si="0"/>
        <v>0</v>
      </c>
      <c r="G25" s="119">
        <f t="shared" si="1"/>
        <v>0</v>
      </c>
      <c r="H25" s="120">
        <f t="shared" si="2"/>
        <v>0</v>
      </c>
      <c r="I25" s="173" t="e">
        <f t="shared" si="3"/>
        <v>#DIV/0!</v>
      </c>
    </row>
    <row r="26" spans="1:9" x14ac:dyDescent="0.25">
      <c r="A26" s="114" t="s">
        <v>34</v>
      </c>
      <c r="B26" s="114" t="s">
        <v>35</v>
      </c>
      <c r="C26" s="116">
        <f>Therms_CY2024!P18</f>
        <v>26510234</v>
      </c>
      <c r="D26" s="316"/>
      <c r="E26" s="316"/>
      <c r="F26" s="119">
        <f t="shared" si="0"/>
        <v>0</v>
      </c>
      <c r="G26" s="119">
        <f t="shared" si="1"/>
        <v>0</v>
      </c>
      <c r="H26" s="120">
        <f t="shared" si="2"/>
        <v>0</v>
      </c>
      <c r="I26" s="173" t="e">
        <f t="shared" si="3"/>
        <v>#DIV/0!</v>
      </c>
    </row>
    <row r="27" spans="1:9" x14ac:dyDescent="0.25">
      <c r="A27" s="114" t="s">
        <v>36</v>
      </c>
      <c r="B27" s="114" t="s">
        <v>37</v>
      </c>
      <c r="C27" s="116">
        <f>Therms_CY2024!P19</f>
        <v>62288926</v>
      </c>
      <c r="D27" s="316"/>
      <c r="E27" s="316"/>
      <c r="F27" s="119">
        <f t="shared" si="0"/>
        <v>0</v>
      </c>
      <c r="G27" s="119">
        <f t="shared" si="1"/>
        <v>0</v>
      </c>
      <c r="H27" s="120">
        <f t="shared" si="2"/>
        <v>0</v>
      </c>
      <c r="I27" s="173" t="e">
        <f t="shared" si="3"/>
        <v>#DIV/0!</v>
      </c>
    </row>
    <row r="28" spans="1:9" x14ac:dyDescent="0.25">
      <c r="A28" s="114" t="s">
        <v>38</v>
      </c>
      <c r="B28" s="114" t="s">
        <v>39</v>
      </c>
      <c r="C28" s="116">
        <f>Therms_CY2024!P20</f>
        <v>578702</v>
      </c>
      <c r="D28" s="316"/>
      <c r="E28" s="316"/>
      <c r="F28" s="119">
        <f t="shared" si="0"/>
        <v>0</v>
      </c>
      <c r="G28" s="119">
        <f t="shared" si="1"/>
        <v>0</v>
      </c>
      <c r="H28" s="120">
        <f t="shared" si="2"/>
        <v>0</v>
      </c>
      <c r="I28" s="173" t="e">
        <f t="shared" si="3"/>
        <v>#DIV/0!</v>
      </c>
    </row>
    <row r="29" spans="1:9" x14ac:dyDescent="0.25">
      <c r="C29" s="116"/>
      <c r="D29" s="316"/>
      <c r="E29" s="316"/>
      <c r="F29" s="119"/>
      <c r="G29" s="119"/>
      <c r="H29" s="120"/>
      <c r="I29" s="173"/>
    </row>
    <row r="30" spans="1:9" x14ac:dyDescent="0.25">
      <c r="A30" s="114" t="s">
        <v>40</v>
      </c>
      <c r="B30" s="114" t="s">
        <v>41</v>
      </c>
    </row>
    <row r="31" spans="1:9" x14ac:dyDescent="0.25">
      <c r="A31" s="178" t="s">
        <v>376</v>
      </c>
      <c r="B31" s="178" t="s">
        <v>41</v>
      </c>
      <c r="C31" s="70">
        <f>'[1]Exh JDT-5 (JDT-MYRP)'!L203</f>
        <v>3298789.67</v>
      </c>
      <c r="D31" s="350"/>
      <c r="E31" s="350"/>
      <c r="F31" s="348">
        <f t="shared" si="0"/>
        <v>0</v>
      </c>
      <c r="G31" s="348">
        <f t="shared" si="1"/>
        <v>0</v>
      </c>
      <c r="H31" s="348">
        <f t="shared" si="2"/>
        <v>0</v>
      </c>
      <c r="I31" s="349" t="e">
        <f t="shared" ref="I31:I36" si="5">-H31/F31</f>
        <v>#DIV/0!</v>
      </c>
    </row>
    <row r="32" spans="1:9" x14ac:dyDescent="0.25">
      <c r="A32" s="178" t="s">
        <v>377</v>
      </c>
      <c r="B32" s="178" t="s">
        <v>41</v>
      </c>
      <c r="C32" s="70">
        <f>'[1]Exh JDT-5 (JDT-MYRP)'!L204</f>
        <v>3300000</v>
      </c>
      <c r="D32" s="350"/>
      <c r="E32" s="350"/>
      <c r="F32" s="348">
        <f t="shared" si="0"/>
        <v>0</v>
      </c>
      <c r="G32" s="348">
        <f t="shared" si="1"/>
        <v>0</v>
      </c>
      <c r="H32" s="348">
        <f t="shared" si="2"/>
        <v>0</v>
      </c>
      <c r="I32" s="349" t="e">
        <f t="shared" si="5"/>
        <v>#DIV/0!</v>
      </c>
    </row>
    <row r="33" spans="1:9" x14ac:dyDescent="0.25">
      <c r="A33" s="178" t="s">
        <v>378</v>
      </c>
      <c r="B33" s="178" t="s">
        <v>41</v>
      </c>
      <c r="C33" s="70">
        <f>'[1]Exh JDT-5 (JDT-MYRP)'!L205</f>
        <v>6600000</v>
      </c>
      <c r="D33" s="350"/>
      <c r="E33" s="350"/>
      <c r="F33" s="348">
        <f t="shared" si="0"/>
        <v>0</v>
      </c>
      <c r="G33" s="348">
        <f t="shared" si="1"/>
        <v>0</v>
      </c>
      <c r="H33" s="348">
        <f t="shared" si="2"/>
        <v>0</v>
      </c>
      <c r="I33" s="349" t="e">
        <f t="shared" si="5"/>
        <v>#DIV/0!</v>
      </c>
    </row>
    <row r="34" spans="1:9" x14ac:dyDescent="0.25">
      <c r="A34" s="178" t="s">
        <v>69</v>
      </c>
      <c r="B34" s="178" t="s">
        <v>41</v>
      </c>
      <c r="C34" s="70">
        <f>'[1]Exh JDT-5 (JDT-MYRP)'!L206</f>
        <v>12663691.02</v>
      </c>
      <c r="D34" s="350"/>
      <c r="E34" s="350"/>
      <c r="F34" s="348">
        <f t="shared" si="0"/>
        <v>0</v>
      </c>
      <c r="G34" s="348">
        <f t="shared" si="1"/>
        <v>0</v>
      </c>
      <c r="H34" s="348">
        <f t="shared" si="2"/>
        <v>0</v>
      </c>
      <c r="I34" s="349" t="e">
        <f t="shared" si="5"/>
        <v>#DIV/0!</v>
      </c>
    </row>
    <row r="35" spans="1:9" x14ac:dyDescent="0.25">
      <c r="A35" s="178" t="s">
        <v>70</v>
      </c>
      <c r="B35" s="178" t="s">
        <v>41</v>
      </c>
      <c r="C35" s="70">
        <f>'[1]Exh JDT-5 (JDT-MYRP)'!L207</f>
        <v>29344602.150000002</v>
      </c>
      <c r="D35" s="350"/>
      <c r="E35" s="350"/>
      <c r="F35" s="348">
        <f t="shared" si="0"/>
        <v>0</v>
      </c>
      <c r="G35" s="348">
        <f t="shared" si="1"/>
        <v>0</v>
      </c>
      <c r="H35" s="348">
        <f t="shared" si="2"/>
        <v>0</v>
      </c>
      <c r="I35" s="349" t="e">
        <f t="shared" si="5"/>
        <v>#DIV/0!</v>
      </c>
    </row>
    <row r="36" spans="1:9" x14ac:dyDescent="0.25">
      <c r="A36" s="178" t="s">
        <v>89</v>
      </c>
      <c r="B36" s="178" t="s">
        <v>41</v>
      </c>
      <c r="C36" s="70">
        <f>'[1]Exh JDT-5 (JDT-MYRP)'!L208</f>
        <v>86801883.805479586</v>
      </c>
      <c r="D36" s="350"/>
      <c r="E36" s="350"/>
      <c r="F36" s="348">
        <f t="shared" si="0"/>
        <v>0</v>
      </c>
      <c r="G36" s="348">
        <f t="shared" si="1"/>
        <v>0</v>
      </c>
      <c r="H36" s="348">
        <f t="shared" si="2"/>
        <v>0</v>
      </c>
      <c r="I36" s="349" t="e">
        <f t="shared" si="5"/>
        <v>#DIV/0!</v>
      </c>
    </row>
    <row r="37" spans="1:9" x14ac:dyDescent="0.25">
      <c r="A37" s="114" t="s">
        <v>6</v>
      </c>
      <c r="B37" s="114" t="s">
        <v>41</v>
      </c>
      <c r="C37" s="147">
        <f>SUM(C31:C36)</f>
        <v>142008966.64547959</v>
      </c>
      <c r="D37" s="316"/>
      <c r="E37" s="316"/>
      <c r="F37" s="119">
        <f>SUM(F31:F36)</f>
        <v>0</v>
      </c>
      <c r="G37" s="119">
        <f t="shared" ref="G37:H37" si="6">SUM(G31:G36)</f>
        <v>0</v>
      </c>
      <c r="H37" s="119">
        <f t="shared" si="6"/>
        <v>0</v>
      </c>
      <c r="I37" s="173" t="e">
        <f>-H37/F37</f>
        <v>#DIV/0!</v>
      </c>
    </row>
    <row r="38" spans="1:9" x14ac:dyDescent="0.25">
      <c r="C38" s="116"/>
      <c r="D38" s="316"/>
      <c r="E38" s="316"/>
      <c r="F38" s="119"/>
      <c r="G38" s="119"/>
      <c r="H38" s="120"/>
      <c r="I38" s="173"/>
    </row>
    <row r="39" spans="1:9" x14ac:dyDescent="0.25">
      <c r="A39" s="114" t="s">
        <v>13</v>
      </c>
      <c r="C39" s="116">
        <f>Therms_CY2024!P22</f>
        <v>30967900</v>
      </c>
      <c r="D39" s="10"/>
      <c r="E39" s="100"/>
      <c r="F39" s="119">
        <f>C39*D39</f>
        <v>0</v>
      </c>
      <c r="G39" s="119">
        <f t="shared" si="1"/>
        <v>0</v>
      </c>
      <c r="H39" s="120">
        <f t="shared" si="2"/>
        <v>0</v>
      </c>
      <c r="I39" s="173" t="e">
        <f t="shared" si="3"/>
        <v>#DIV/0!</v>
      </c>
    </row>
    <row r="40" spans="1:9" x14ac:dyDescent="0.25">
      <c r="A40" s="114" t="s">
        <v>6</v>
      </c>
      <c r="C40" s="179">
        <f>SUM(C9:C14,C23,C25:C28,C37,C39)</f>
        <v>1252743002.407835</v>
      </c>
      <c r="D40" s="180"/>
      <c r="E40" s="199"/>
      <c r="F40" s="102">
        <f t="shared" ref="F40:H40" si="7">SUM(F9:F14,F23,F25:F28,F37,F39)</f>
        <v>3016682.5172575219</v>
      </c>
      <c r="G40" s="102">
        <f t="shared" si="7"/>
        <v>2911735.3636916094</v>
      </c>
      <c r="H40" s="102">
        <f t="shared" si="7"/>
        <v>-104947.15356591334</v>
      </c>
      <c r="I40" s="174">
        <f>-H40/F40</f>
        <v>3.4788928886464732E-2</v>
      </c>
    </row>
    <row r="41" spans="1:9" x14ac:dyDescent="0.25">
      <c r="F41" s="120"/>
      <c r="G41" s="120"/>
    </row>
    <row r="42" spans="1:9" x14ac:dyDescent="0.25">
      <c r="A42" s="328"/>
      <c r="C42" s="147"/>
      <c r="F42" s="120"/>
      <c r="G42" s="120"/>
    </row>
    <row r="43" spans="1:9" x14ac:dyDescent="0.25">
      <c r="A43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90" zoomScaleNormal="90" workbookViewId="0">
      <selection activeCell="F23" sqref="F23"/>
    </sheetView>
  </sheetViews>
  <sheetFormatPr defaultRowHeight="15" x14ac:dyDescent="0.25"/>
  <cols>
    <col min="1" max="1" width="36.85546875" style="114" bestFit="1" customWidth="1"/>
    <col min="2" max="2" width="9.28515625" style="114" bestFit="1" customWidth="1"/>
    <col min="3" max="3" width="18.7109375" style="114" bestFit="1" customWidth="1"/>
    <col min="4" max="5" width="13.7109375" style="114" customWidth="1"/>
    <col min="6" max="8" width="14.42578125" style="114" customWidth="1"/>
    <col min="9" max="9" width="9.85546875" style="114" bestFit="1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334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335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214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313"/>
      <c r="E5" s="313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312" t="s">
        <v>15</v>
      </c>
      <c r="G6" s="312" t="s">
        <v>15</v>
      </c>
      <c r="H6" s="107" t="s">
        <v>272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272</v>
      </c>
      <c r="E7" s="107" t="s">
        <v>272</v>
      </c>
      <c r="F7" s="312" t="s">
        <v>2</v>
      </c>
      <c r="G7" s="312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3" t="s">
        <v>220</v>
      </c>
      <c r="D8" s="157" t="s">
        <v>22</v>
      </c>
      <c r="E8" s="157" t="s">
        <v>22</v>
      </c>
      <c r="F8" s="314" t="s">
        <v>23</v>
      </c>
      <c r="G8" s="314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SUM(Therms_CY2024!P10,Therms_CY2024!P11)</f>
        <v>639464549</v>
      </c>
      <c r="D9" s="316">
        <f>'[1]Exh JDT-5 (JDT-MYRP)'!$H$11</f>
        <v>2.4539999999999999E-2</v>
      </c>
      <c r="E9" s="316">
        <f>'[1]Exh JDT-5 (JDT-MYRP)'!$O$11</f>
        <v>-4.7999999999999996E-3</v>
      </c>
      <c r="F9" s="119">
        <f>C9*D9</f>
        <v>15692460.03246</v>
      </c>
      <c r="G9" s="119">
        <f>C9*E9</f>
        <v>-3069429.8351999996</v>
      </c>
      <c r="H9" s="120">
        <f>G9-F9</f>
        <v>-18761889.867660001</v>
      </c>
      <c r="I9" s="173">
        <f>-H9/F9</f>
        <v>1.19559902200489</v>
      </c>
    </row>
    <row r="10" spans="1:10" x14ac:dyDescent="0.25">
      <c r="A10" s="114" t="s">
        <v>31</v>
      </c>
      <c r="B10" s="146">
        <v>16</v>
      </c>
      <c r="C10" s="70">
        <f>Therms_CY2024!P9</f>
        <v>8832</v>
      </c>
      <c r="D10" s="316">
        <f>'[1]Exh JDT-5 (JDT-MYRP)'!$H$11</f>
        <v>2.4539999999999999E-2</v>
      </c>
      <c r="E10" s="316">
        <f>'[1]Exh JDT-5 (JDT-MYRP)'!$O$11</f>
        <v>-4.7999999999999996E-3</v>
      </c>
      <c r="F10" s="119">
        <f t="shared" ref="F10:F36" si="0">C10*D10</f>
        <v>216.73728</v>
      </c>
      <c r="G10" s="119">
        <f t="shared" ref="G10:G39" si="1">C10*E10</f>
        <v>-42.393599999999999</v>
      </c>
      <c r="H10" s="120">
        <f t="shared" ref="H10:H39" si="2">G10-F10</f>
        <v>-259.13087999999999</v>
      </c>
      <c r="I10" s="173">
        <f t="shared" ref="I10:I39" si="3">-H10/F10</f>
        <v>1.19559902200489</v>
      </c>
    </row>
    <row r="11" spans="1:10" x14ac:dyDescent="0.25">
      <c r="A11" s="114" t="s">
        <v>8</v>
      </c>
      <c r="B11" s="146">
        <v>31</v>
      </c>
      <c r="C11" s="116">
        <f>Therms_CY2024!P12</f>
        <v>245936243</v>
      </c>
      <c r="D11" s="316">
        <f>'[1]Exh JDT-5 (JDT-MYRP)'!$H$40</f>
        <v>2.265E-2</v>
      </c>
      <c r="E11" s="316">
        <f>'[1]Exh JDT-5 (JDT-MYRP)'!$O$40</f>
        <v>-4.4000000000000003E-3</v>
      </c>
      <c r="F11" s="119">
        <f t="shared" si="0"/>
        <v>5570455.9039500002</v>
      </c>
      <c r="G11" s="119">
        <f t="shared" si="1"/>
        <v>-1082119.4692000002</v>
      </c>
      <c r="H11" s="120">
        <f t="shared" si="2"/>
        <v>-6652575.3731500003</v>
      </c>
      <c r="I11" s="173">
        <f t="shared" si="3"/>
        <v>1.1942604856512142</v>
      </c>
    </row>
    <row r="12" spans="1:10" x14ac:dyDescent="0.25">
      <c r="A12" s="114" t="s">
        <v>9</v>
      </c>
      <c r="B12" s="146">
        <v>41</v>
      </c>
      <c r="C12" s="116">
        <f>Therms_CY2024!P13</f>
        <v>66890541</v>
      </c>
      <c r="D12" s="316">
        <f>'[1]Exh JDT-5 (JDT-MYRP)'!$H$64</f>
        <v>1.0829999999999999E-2</v>
      </c>
      <c r="E12" s="316">
        <f>'[1]Exh JDT-5 (JDT-MYRP)'!$O$64</f>
        <v>-2.0999999999999999E-3</v>
      </c>
      <c r="F12" s="119">
        <f t="shared" si="0"/>
        <v>724424.55903</v>
      </c>
      <c r="G12" s="119">
        <f t="shared" si="1"/>
        <v>-140470.1361</v>
      </c>
      <c r="H12" s="120">
        <f t="shared" si="2"/>
        <v>-864894.69513000001</v>
      </c>
      <c r="I12" s="173">
        <f t="shared" si="3"/>
        <v>1.1939058171745152</v>
      </c>
    </row>
    <row r="13" spans="1:10" x14ac:dyDescent="0.25">
      <c r="A13" s="114" t="s">
        <v>10</v>
      </c>
      <c r="B13" s="146">
        <v>85</v>
      </c>
      <c r="C13" s="116">
        <f>Therms_CY2024!P14</f>
        <v>10745378</v>
      </c>
      <c r="D13" s="316">
        <f>'[1]Exh JDT-5 (JDT-MYRP)'!$H$102</f>
        <v>6.4400000000000004E-3</v>
      </c>
      <c r="E13" s="316">
        <f>'[1]Exh JDT-5 (JDT-MYRP)'!$O$102</f>
        <v>-1.2800000000000001E-3</v>
      </c>
      <c r="F13" s="119">
        <f t="shared" si="0"/>
        <v>69200.234320000003</v>
      </c>
      <c r="G13" s="119">
        <f t="shared" si="1"/>
        <v>-13754.083840000001</v>
      </c>
      <c r="H13" s="120">
        <f t="shared" si="2"/>
        <v>-82954.31816000001</v>
      </c>
      <c r="I13" s="173">
        <f t="shared" si="3"/>
        <v>1.1987577639751554</v>
      </c>
    </row>
    <row r="14" spans="1:10" x14ac:dyDescent="0.25">
      <c r="A14" s="114" t="s">
        <v>11</v>
      </c>
      <c r="B14" s="146">
        <v>86</v>
      </c>
      <c r="C14" s="116">
        <f>Therms_CY2024!P15</f>
        <v>5489408</v>
      </c>
      <c r="D14" s="316">
        <f>'[1]Exh JDT-5 (JDT-MYRP)'!$H$139</f>
        <v>5.2500000000000003E-3</v>
      </c>
      <c r="E14" s="316">
        <f>'[1]Exh JDT-5 (JDT-MYRP)'!$O$139</f>
        <v>-1.06E-3</v>
      </c>
      <c r="F14" s="119">
        <f t="shared" si="0"/>
        <v>28819.392000000003</v>
      </c>
      <c r="G14" s="119">
        <f t="shared" si="1"/>
        <v>-5818.7724799999996</v>
      </c>
      <c r="H14" s="120">
        <f t="shared" si="2"/>
        <v>-34638.164480000007</v>
      </c>
      <c r="I14" s="173">
        <f t="shared" si="3"/>
        <v>1.201904761904762</v>
      </c>
    </row>
    <row r="15" spans="1:10" x14ac:dyDescent="0.25">
      <c r="B15" s="146"/>
      <c r="C15" s="116"/>
      <c r="D15" s="316"/>
      <c r="E15" s="316"/>
      <c r="F15" s="119"/>
      <c r="G15" s="119"/>
      <c r="H15" s="120"/>
      <c r="I15" s="173"/>
    </row>
    <row r="16" spans="1:10" x14ac:dyDescent="0.25">
      <c r="A16" s="114" t="s">
        <v>12</v>
      </c>
      <c r="B16" s="146">
        <v>87</v>
      </c>
    </row>
    <row r="17" spans="1:9" x14ac:dyDescent="0.25">
      <c r="A17" s="178" t="s">
        <v>376</v>
      </c>
      <c r="B17" s="347">
        <v>87</v>
      </c>
      <c r="C17" s="70">
        <f>'[1]Exh JDT-5 (JDT-MYRP)'!L185</f>
        <v>1512193</v>
      </c>
      <c r="D17" s="350">
        <f>'[1]Exh JDT-5 (JDT-MYRP)'!H185</f>
        <v>1.3339999999999999E-2</v>
      </c>
      <c r="E17" s="350">
        <f>'[1]Exh JDT-5 (JDT-MYRP)'!O185</f>
        <v>-2.6099999999999999E-3</v>
      </c>
      <c r="F17" s="348">
        <f t="shared" si="0"/>
        <v>20172.654619999998</v>
      </c>
      <c r="G17" s="348">
        <f t="shared" si="1"/>
        <v>-3946.8237300000001</v>
      </c>
      <c r="H17" s="348">
        <f>G17-F17</f>
        <v>-24119.478349999998</v>
      </c>
      <c r="I17" s="349">
        <f t="shared" si="3"/>
        <v>1.1956521739130435</v>
      </c>
    </row>
    <row r="18" spans="1:9" x14ac:dyDescent="0.25">
      <c r="A18" s="178" t="s">
        <v>377</v>
      </c>
      <c r="B18" s="347">
        <v>87</v>
      </c>
      <c r="C18" s="70">
        <f>'[1]Exh JDT-5 (JDT-MYRP)'!L186</f>
        <v>1398016.115</v>
      </c>
      <c r="D18" s="350">
        <f>'[1]Exh JDT-5 (JDT-MYRP)'!H186</f>
        <v>8.0599999999999995E-3</v>
      </c>
      <c r="E18" s="350">
        <f>'[1]Exh JDT-5 (JDT-MYRP)'!O186</f>
        <v>-1.58E-3</v>
      </c>
      <c r="F18" s="348">
        <f t="shared" si="0"/>
        <v>11268.009886899999</v>
      </c>
      <c r="G18" s="348">
        <f t="shared" si="1"/>
        <v>-2208.8654617000002</v>
      </c>
      <c r="H18" s="348">
        <f t="shared" si="2"/>
        <v>-13476.875348599999</v>
      </c>
      <c r="I18" s="349">
        <f t="shared" si="3"/>
        <v>1.1960297766749379</v>
      </c>
    </row>
    <row r="19" spans="1:9" x14ac:dyDescent="0.25">
      <c r="A19" s="178" t="s">
        <v>378</v>
      </c>
      <c r="B19" s="347">
        <v>87</v>
      </c>
      <c r="C19" s="70">
        <f>'[1]Exh JDT-5 (JDT-MYRP)'!L187</f>
        <v>2316890.0959999999</v>
      </c>
      <c r="D19" s="350">
        <f>'[1]Exh JDT-5 (JDT-MYRP)'!H187</f>
        <v>5.13E-3</v>
      </c>
      <c r="E19" s="350">
        <f>'[1]Exh JDT-5 (JDT-MYRP)'!O187</f>
        <v>-1E-3</v>
      </c>
      <c r="F19" s="348">
        <f t="shared" si="0"/>
        <v>11885.646192479999</v>
      </c>
      <c r="G19" s="348">
        <f t="shared" si="1"/>
        <v>-2316.8900960000001</v>
      </c>
      <c r="H19" s="348">
        <f t="shared" si="2"/>
        <v>-14202.536288479998</v>
      </c>
      <c r="I19" s="349">
        <f t="shared" si="3"/>
        <v>1.1949317738791423</v>
      </c>
    </row>
    <row r="20" spans="1:9" x14ac:dyDescent="0.25">
      <c r="A20" s="178" t="s">
        <v>69</v>
      </c>
      <c r="B20" s="347">
        <v>87</v>
      </c>
      <c r="C20" s="70">
        <f>'[1]Exh JDT-5 (JDT-MYRP)'!L188</f>
        <v>3045256.878</v>
      </c>
      <c r="D20" s="350">
        <f>'[1]Exh JDT-5 (JDT-MYRP)'!H188</f>
        <v>3.29E-3</v>
      </c>
      <c r="E20" s="350">
        <f>'[1]Exh JDT-5 (JDT-MYRP)'!O188</f>
        <v>-6.4000000000000005E-4</v>
      </c>
      <c r="F20" s="348">
        <f t="shared" si="0"/>
        <v>10018.895128620001</v>
      </c>
      <c r="G20" s="348">
        <f t="shared" si="1"/>
        <v>-1948.9644019200002</v>
      </c>
      <c r="H20" s="348">
        <f t="shared" si="2"/>
        <v>-11967.859530540001</v>
      </c>
      <c r="I20" s="349">
        <f t="shared" si="3"/>
        <v>1.1945288753799392</v>
      </c>
    </row>
    <row r="21" spans="1:9" x14ac:dyDescent="0.25">
      <c r="A21" s="178" t="s">
        <v>70</v>
      </c>
      <c r="B21" s="347">
        <v>87</v>
      </c>
      <c r="C21" s="70">
        <f>'[1]Exh JDT-5 (JDT-MYRP)'!L189</f>
        <v>3792042.2029999997</v>
      </c>
      <c r="D21" s="350">
        <f>'[1]Exh JDT-5 (JDT-MYRP)'!H189</f>
        <v>2.3700000000000001E-3</v>
      </c>
      <c r="E21" s="350">
        <f>'[1]Exh JDT-5 (JDT-MYRP)'!O189</f>
        <v>-4.6000000000000001E-4</v>
      </c>
      <c r="F21" s="348">
        <f t="shared" si="0"/>
        <v>8987.1400211100008</v>
      </c>
      <c r="G21" s="348">
        <f t="shared" si="1"/>
        <v>-1744.33941338</v>
      </c>
      <c r="H21" s="348">
        <f t="shared" si="2"/>
        <v>-10731.47943449</v>
      </c>
      <c r="I21" s="349">
        <f t="shared" si="3"/>
        <v>1.1940928270042193</v>
      </c>
    </row>
    <row r="22" spans="1:9" x14ac:dyDescent="0.25">
      <c r="A22" s="178" t="s">
        <v>89</v>
      </c>
      <c r="B22" s="347">
        <v>87</v>
      </c>
      <c r="C22" s="70">
        <f>'[1]Exh JDT-5 (JDT-MYRP)'!L190</f>
        <v>9755057.4703552071</v>
      </c>
      <c r="D22" s="350">
        <f>'[1]Exh JDT-5 (JDT-MYRP)'!H190</f>
        <v>4.0000000000000002E-4</v>
      </c>
      <c r="E22" s="350">
        <f>'[1]Exh JDT-5 (JDT-MYRP)'!O190</f>
        <v>-6.9999999999999994E-5</v>
      </c>
      <c r="F22" s="348">
        <f t="shared" si="0"/>
        <v>3902.0229881420832</v>
      </c>
      <c r="G22" s="348">
        <f t="shared" si="1"/>
        <v>-682.85402292486447</v>
      </c>
      <c r="H22" s="348">
        <f t="shared" si="2"/>
        <v>-4584.8770110669475</v>
      </c>
      <c r="I22" s="349">
        <f t="shared" si="3"/>
        <v>1.1749999999999998</v>
      </c>
    </row>
    <row r="23" spans="1:9" x14ac:dyDescent="0.25">
      <c r="A23" s="114" t="s">
        <v>6</v>
      </c>
      <c r="B23" s="146">
        <v>87</v>
      </c>
      <c r="C23" s="147">
        <f>SUM(C17:C22)</f>
        <v>21819455.762355208</v>
      </c>
      <c r="D23" s="316"/>
      <c r="E23" s="316"/>
      <c r="F23" s="119">
        <f>SUM(F17:F22)</f>
        <v>66234.368837252085</v>
      </c>
      <c r="G23" s="119">
        <f t="shared" ref="G23" si="4">SUM(G17:G22)</f>
        <v>-12848.737125924865</v>
      </c>
      <c r="H23" s="119">
        <f>SUM(H17:H22)</f>
        <v>-79083.105963176931</v>
      </c>
      <c r="I23" s="173">
        <f>-H23/F23</f>
        <v>1.1939889720621653</v>
      </c>
    </row>
    <row r="24" spans="1:9" x14ac:dyDescent="0.25">
      <c r="B24" s="146"/>
      <c r="C24" s="116"/>
      <c r="D24" s="316"/>
      <c r="E24" s="316"/>
      <c r="F24" s="119"/>
      <c r="G24" s="119"/>
      <c r="H24" s="120"/>
      <c r="I24" s="173"/>
    </row>
    <row r="25" spans="1:9" x14ac:dyDescent="0.25">
      <c r="A25" s="114" t="s">
        <v>32</v>
      </c>
      <c r="B25" s="146" t="s">
        <v>33</v>
      </c>
      <c r="C25" s="116">
        <f>Therms_CY2024!P17</f>
        <v>33867</v>
      </c>
      <c r="D25" s="316">
        <f>'[1]Exh JDT-5 (JDT-MYRP)'!$H$40</f>
        <v>2.265E-2</v>
      </c>
      <c r="E25" s="316">
        <f>'[1]Exh JDT-5 (JDT-MYRP)'!$O$40</f>
        <v>-4.4000000000000003E-3</v>
      </c>
      <c r="F25" s="119">
        <f t="shared" si="0"/>
        <v>767.08754999999996</v>
      </c>
      <c r="G25" s="119">
        <f t="shared" si="1"/>
        <v>-149.01480000000001</v>
      </c>
      <c r="H25" s="120">
        <f t="shared" si="2"/>
        <v>-916.10235</v>
      </c>
      <c r="I25" s="173">
        <f t="shared" si="3"/>
        <v>1.1942604856512142</v>
      </c>
    </row>
    <row r="26" spans="1:9" x14ac:dyDescent="0.25">
      <c r="A26" s="114" t="s">
        <v>34</v>
      </c>
      <c r="B26" s="114" t="s">
        <v>35</v>
      </c>
      <c r="C26" s="116">
        <f>Therms_CY2024!P18</f>
        <v>26510234</v>
      </c>
      <c r="D26" s="316">
        <f>'[1]Exh JDT-5 (JDT-MYRP)'!$H$64</f>
        <v>1.0829999999999999E-2</v>
      </c>
      <c r="E26" s="316">
        <f>'[1]Exh JDT-5 (JDT-MYRP)'!$O$64</f>
        <v>-2.0999999999999999E-3</v>
      </c>
      <c r="F26" s="119">
        <f t="shared" si="0"/>
        <v>287105.83421999996</v>
      </c>
      <c r="G26" s="119">
        <f t="shared" si="1"/>
        <v>-55671.491399999999</v>
      </c>
      <c r="H26" s="120">
        <f t="shared" si="2"/>
        <v>-342777.32561999996</v>
      </c>
      <c r="I26" s="173">
        <f t="shared" si="3"/>
        <v>1.1939058171745152</v>
      </c>
    </row>
    <row r="27" spans="1:9" x14ac:dyDescent="0.25">
      <c r="A27" s="114" t="s">
        <v>36</v>
      </c>
      <c r="B27" s="114" t="s">
        <v>37</v>
      </c>
      <c r="C27" s="116">
        <f>Therms_CY2024!P19</f>
        <v>62288926</v>
      </c>
      <c r="D27" s="316">
        <f>'[1]Exh JDT-5 (JDT-MYRP)'!$H$102</f>
        <v>6.4400000000000004E-3</v>
      </c>
      <c r="E27" s="316">
        <f>'[1]Exh JDT-5 (JDT-MYRP)'!$O$102</f>
        <v>-1.2800000000000001E-3</v>
      </c>
      <c r="F27" s="119">
        <f t="shared" si="0"/>
        <v>401140.68344000005</v>
      </c>
      <c r="G27" s="119">
        <f t="shared" si="1"/>
        <v>-79729.825280000005</v>
      </c>
      <c r="H27" s="120">
        <f t="shared" si="2"/>
        <v>-480870.50872000004</v>
      </c>
      <c r="I27" s="173">
        <f t="shared" si="3"/>
        <v>1.1987577639751552</v>
      </c>
    </row>
    <row r="28" spans="1:9" x14ac:dyDescent="0.25">
      <c r="A28" s="114" t="s">
        <v>38</v>
      </c>
      <c r="B28" s="114" t="s">
        <v>39</v>
      </c>
      <c r="C28" s="116">
        <f>Therms_CY2024!P20</f>
        <v>578702</v>
      </c>
      <c r="D28" s="316">
        <f>'[1]Exh JDT-5 (JDT-MYRP)'!$H$139</f>
        <v>5.2500000000000003E-3</v>
      </c>
      <c r="E28" s="316">
        <f>'[1]Exh JDT-5 (JDT-MYRP)'!$O$139</f>
        <v>-1.06E-3</v>
      </c>
      <c r="F28" s="119">
        <f t="shared" si="0"/>
        <v>3038.1855</v>
      </c>
      <c r="G28" s="119">
        <f t="shared" si="1"/>
        <v>-613.42412000000002</v>
      </c>
      <c r="H28" s="120">
        <f t="shared" si="2"/>
        <v>-3651.6096200000002</v>
      </c>
      <c r="I28" s="173">
        <f t="shared" si="3"/>
        <v>1.201904761904762</v>
      </c>
    </row>
    <row r="29" spans="1:9" x14ac:dyDescent="0.25">
      <c r="C29" s="116"/>
      <c r="D29" s="316"/>
      <c r="E29" s="316"/>
      <c r="F29" s="119"/>
      <c r="G29" s="119"/>
      <c r="H29" s="120"/>
      <c r="I29" s="173"/>
    </row>
    <row r="30" spans="1:9" x14ac:dyDescent="0.25">
      <c r="A30" s="114" t="s">
        <v>40</v>
      </c>
      <c r="B30" s="114" t="s">
        <v>41</v>
      </c>
    </row>
    <row r="31" spans="1:9" x14ac:dyDescent="0.25">
      <c r="A31" s="178" t="s">
        <v>376</v>
      </c>
      <c r="B31" s="178" t="s">
        <v>41</v>
      </c>
      <c r="C31" s="70">
        <f>'[1]Exh JDT-5 (JDT-MYRP)'!L203</f>
        <v>3298789.67</v>
      </c>
      <c r="D31" s="350">
        <f>'[1]Exh JDT-5 (JDT-MYRP)'!H203</f>
        <v>1.3339999999999999E-2</v>
      </c>
      <c r="E31" s="350">
        <f>'[1]Exh JDT-5 (JDT-MYRP)'!O203</f>
        <v>-2.6099999999999999E-3</v>
      </c>
      <c r="F31" s="348">
        <f t="shared" si="0"/>
        <v>44005.854197799999</v>
      </c>
      <c r="G31" s="348">
        <f t="shared" si="1"/>
        <v>-8609.8410387000004</v>
      </c>
      <c r="H31" s="348">
        <f t="shared" si="2"/>
        <v>-52615.695236500003</v>
      </c>
      <c r="I31" s="349">
        <f t="shared" ref="I31:I36" si="5">-H31/F31</f>
        <v>1.1956521739130437</v>
      </c>
    </row>
    <row r="32" spans="1:9" x14ac:dyDescent="0.25">
      <c r="A32" s="178" t="s">
        <v>377</v>
      </c>
      <c r="B32" s="178" t="s">
        <v>41</v>
      </c>
      <c r="C32" s="70">
        <f>'[1]Exh JDT-5 (JDT-MYRP)'!L204</f>
        <v>3300000</v>
      </c>
      <c r="D32" s="350">
        <f>'[1]Exh JDT-5 (JDT-MYRP)'!H204</f>
        <v>8.0599999999999995E-3</v>
      </c>
      <c r="E32" s="350">
        <f>'[1]Exh JDT-5 (JDT-MYRP)'!O204</f>
        <v>-1.58E-3</v>
      </c>
      <c r="F32" s="348">
        <f t="shared" si="0"/>
        <v>26598</v>
      </c>
      <c r="G32" s="348">
        <f t="shared" si="1"/>
        <v>-5214</v>
      </c>
      <c r="H32" s="348">
        <f t="shared" si="2"/>
        <v>-31812</v>
      </c>
      <c r="I32" s="349">
        <f t="shared" si="5"/>
        <v>1.1960297766749379</v>
      </c>
    </row>
    <row r="33" spans="1:9" x14ac:dyDescent="0.25">
      <c r="A33" s="178" t="s">
        <v>378</v>
      </c>
      <c r="B33" s="178" t="s">
        <v>41</v>
      </c>
      <c r="C33" s="70">
        <f>'[1]Exh JDT-5 (JDT-MYRP)'!L205</f>
        <v>6600000</v>
      </c>
      <c r="D33" s="350">
        <f>'[1]Exh JDT-5 (JDT-MYRP)'!H205</f>
        <v>5.13E-3</v>
      </c>
      <c r="E33" s="350">
        <f>'[1]Exh JDT-5 (JDT-MYRP)'!O205</f>
        <v>-1E-3</v>
      </c>
      <c r="F33" s="348">
        <f t="shared" si="0"/>
        <v>33858</v>
      </c>
      <c r="G33" s="348">
        <f t="shared" si="1"/>
        <v>-6600</v>
      </c>
      <c r="H33" s="348">
        <f t="shared" si="2"/>
        <v>-40458</v>
      </c>
      <c r="I33" s="349">
        <f t="shared" si="5"/>
        <v>1.1949317738791423</v>
      </c>
    </row>
    <row r="34" spans="1:9" x14ac:dyDescent="0.25">
      <c r="A34" s="178" t="s">
        <v>69</v>
      </c>
      <c r="B34" s="178" t="s">
        <v>41</v>
      </c>
      <c r="C34" s="70">
        <f>'[1]Exh JDT-5 (JDT-MYRP)'!L206</f>
        <v>12663691.02</v>
      </c>
      <c r="D34" s="350">
        <f>'[1]Exh JDT-5 (JDT-MYRP)'!H206</f>
        <v>3.29E-3</v>
      </c>
      <c r="E34" s="350">
        <f>'[1]Exh JDT-5 (JDT-MYRP)'!O206</f>
        <v>-6.4000000000000005E-4</v>
      </c>
      <c r="F34" s="348">
        <f t="shared" si="0"/>
        <v>41663.543455799998</v>
      </c>
      <c r="G34" s="348">
        <f t="shared" si="1"/>
        <v>-8104.7622528000002</v>
      </c>
      <c r="H34" s="348">
        <f t="shared" si="2"/>
        <v>-49768.305708599997</v>
      </c>
      <c r="I34" s="349">
        <f t="shared" si="5"/>
        <v>1.1945288753799392</v>
      </c>
    </row>
    <row r="35" spans="1:9" x14ac:dyDescent="0.25">
      <c r="A35" s="178" t="s">
        <v>70</v>
      </c>
      <c r="B35" s="178" t="s">
        <v>41</v>
      </c>
      <c r="C35" s="70">
        <f>'[1]Exh JDT-5 (JDT-MYRP)'!L207</f>
        <v>29344602.150000002</v>
      </c>
      <c r="D35" s="350">
        <f>'[1]Exh JDT-5 (JDT-MYRP)'!H207</f>
        <v>2.3700000000000001E-3</v>
      </c>
      <c r="E35" s="350">
        <f>'[1]Exh JDT-5 (JDT-MYRP)'!O207</f>
        <v>-4.6000000000000001E-4</v>
      </c>
      <c r="F35" s="348">
        <f t="shared" si="0"/>
        <v>69546.707095500009</v>
      </c>
      <c r="G35" s="348">
        <f t="shared" si="1"/>
        <v>-13498.516989000002</v>
      </c>
      <c r="H35" s="348">
        <f t="shared" si="2"/>
        <v>-83045.224084500005</v>
      </c>
      <c r="I35" s="349">
        <f t="shared" si="5"/>
        <v>1.1940928270042193</v>
      </c>
    </row>
    <row r="36" spans="1:9" x14ac:dyDescent="0.25">
      <c r="A36" s="178" t="s">
        <v>89</v>
      </c>
      <c r="B36" s="178" t="s">
        <v>41</v>
      </c>
      <c r="C36" s="70">
        <f>'[1]Exh JDT-5 (JDT-MYRP)'!L208</f>
        <v>86801883.805479586</v>
      </c>
      <c r="D36" s="350">
        <f>'[1]Exh JDT-5 (JDT-MYRP)'!H208</f>
        <v>4.0000000000000002E-4</v>
      </c>
      <c r="E36" s="350">
        <f>'[1]Exh JDT-5 (JDT-MYRP)'!O208</f>
        <v>-6.9999999999999994E-5</v>
      </c>
      <c r="F36" s="348">
        <f t="shared" si="0"/>
        <v>34720.753522191837</v>
      </c>
      <c r="G36" s="348">
        <f t="shared" si="1"/>
        <v>-6076.1318663835709</v>
      </c>
      <c r="H36" s="348">
        <f t="shared" si="2"/>
        <v>-40796.885388575407</v>
      </c>
      <c r="I36" s="349">
        <f t="shared" si="5"/>
        <v>1.175</v>
      </c>
    </row>
    <row r="37" spans="1:9" x14ac:dyDescent="0.25">
      <c r="A37" s="114" t="s">
        <v>6</v>
      </c>
      <c r="B37" s="114" t="s">
        <v>41</v>
      </c>
      <c r="C37" s="147">
        <f>SUM(C31:C36)</f>
        <v>142008966.64547959</v>
      </c>
      <c r="D37" s="316"/>
      <c r="E37" s="316"/>
      <c r="F37" s="119">
        <f>SUM(F31:F36)</f>
        <v>250392.85827129183</v>
      </c>
      <c r="G37" s="119">
        <f t="shared" ref="G37:H37" si="6">SUM(G31:G36)</f>
        <v>-48103.252146883569</v>
      </c>
      <c r="H37" s="119">
        <f t="shared" si="6"/>
        <v>-298496.11041817546</v>
      </c>
      <c r="I37" s="173">
        <f>-H37/F37</f>
        <v>1.1921111188193931</v>
      </c>
    </row>
    <row r="38" spans="1:9" x14ac:dyDescent="0.25">
      <c r="C38" s="116"/>
      <c r="D38" s="316"/>
      <c r="E38" s="316"/>
      <c r="F38" s="119"/>
      <c r="G38" s="119"/>
      <c r="H38" s="120"/>
      <c r="I38" s="173"/>
    </row>
    <row r="39" spans="1:9" x14ac:dyDescent="0.25">
      <c r="A39" s="114" t="s">
        <v>13</v>
      </c>
      <c r="C39" s="116">
        <f>Therms_CY2024!P22</f>
        <v>30967900</v>
      </c>
      <c r="D39" s="10"/>
      <c r="E39" s="100"/>
      <c r="F39" s="119">
        <f>C39*D39</f>
        <v>0</v>
      </c>
      <c r="G39" s="119">
        <f t="shared" si="1"/>
        <v>0</v>
      </c>
      <c r="H39" s="120">
        <f t="shared" si="2"/>
        <v>0</v>
      </c>
      <c r="I39" s="173" t="e">
        <f t="shared" si="3"/>
        <v>#DIV/0!</v>
      </c>
    </row>
    <row r="40" spans="1:9" x14ac:dyDescent="0.25">
      <c r="A40" s="114" t="s">
        <v>6</v>
      </c>
      <c r="C40" s="179">
        <f>SUM(C9:C14,C23,C25:C28,C37,C39)</f>
        <v>1252743002.407835</v>
      </c>
      <c r="D40" s="180"/>
      <c r="E40" s="199"/>
      <c r="F40" s="102">
        <f t="shared" ref="F40:H40" si="7">SUM(F9:F14,F23,F25:F28,F37,F39)</f>
        <v>23094255.876858544</v>
      </c>
      <c r="G40" s="102">
        <f t="shared" si="7"/>
        <v>-4508750.4352928083</v>
      </c>
      <c r="H40" s="102">
        <f t="shared" si="7"/>
        <v>-27603006.312151354</v>
      </c>
      <c r="I40" s="174">
        <f>-H40/F40</f>
        <v>1.195232548705359</v>
      </c>
    </row>
    <row r="41" spans="1:9" x14ac:dyDescent="0.25">
      <c r="F41" s="120"/>
      <c r="G41" s="120"/>
    </row>
    <row r="42" spans="1:9" x14ac:dyDescent="0.25">
      <c r="A42" s="328"/>
      <c r="C42" s="147"/>
      <c r="F42" s="120"/>
      <c r="G42" s="120"/>
    </row>
    <row r="43" spans="1:9" x14ac:dyDescent="0.25">
      <c r="A43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F25" sqref="F25"/>
    </sheetView>
  </sheetViews>
  <sheetFormatPr defaultRowHeight="15" x14ac:dyDescent="0.25"/>
  <cols>
    <col min="1" max="1" width="36.85546875" style="114" bestFit="1" customWidth="1"/>
    <col min="2" max="2" width="9.140625" style="114" bestFit="1" customWidth="1"/>
    <col min="3" max="3" width="18.5703125" style="114" bestFit="1" customWidth="1"/>
    <col min="4" max="5" width="13.7109375" style="114" customWidth="1"/>
    <col min="6" max="8" width="14.42578125" style="114" customWidth="1"/>
    <col min="9" max="9" width="8.28515625" style="114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334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335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219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313"/>
      <c r="E5" s="313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312" t="s">
        <v>15</v>
      </c>
      <c r="G6" s="312" t="s">
        <v>15</v>
      </c>
      <c r="H6" s="107" t="s">
        <v>272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272</v>
      </c>
      <c r="E7" s="107" t="s">
        <v>272</v>
      </c>
      <c r="F7" s="312" t="s">
        <v>2</v>
      </c>
      <c r="G7" s="312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3" t="s">
        <v>252</v>
      </c>
      <c r="D8" s="157" t="s">
        <v>22</v>
      </c>
      <c r="E8" s="157" t="s">
        <v>22</v>
      </c>
      <c r="F8" s="314" t="s">
        <v>23</v>
      </c>
      <c r="G8" s="314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SUM(Therms_CY2025!P10,Therms_CY2025!P11)</f>
        <v>0</v>
      </c>
      <c r="D9" s="316">
        <f>'[1]Exh JDT-5 (JDT-MYRP)'!$N$11</f>
        <v>0</v>
      </c>
      <c r="E9" s="316">
        <f>'[1]Exh JDT-5 (JDT-MYRP)'!$T$11</f>
        <v>0</v>
      </c>
      <c r="F9" s="119">
        <f>C9*D9</f>
        <v>0</v>
      </c>
      <c r="G9" s="119">
        <f>C9*E9</f>
        <v>0</v>
      </c>
      <c r="H9" s="120">
        <f>G9-F9</f>
        <v>0</v>
      </c>
      <c r="I9" s="173" t="e">
        <f>-H9/F9</f>
        <v>#DIV/0!</v>
      </c>
    </row>
    <row r="10" spans="1:10" x14ac:dyDescent="0.25">
      <c r="A10" s="114" t="s">
        <v>31</v>
      </c>
      <c r="B10" s="146">
        <v>16</v>
      </c>
      <c r="C10" s="70">
        <f>Therms_CY2025!P9</f>
        <v>0</v>
      </c>
      <c r="D10" s="316">
        <f>'[1]Exh JDT-5 (JDT-MYRP)'!$N$11</f>
        <v>0</v>
      </c>
      <c r="E10" s="316">
        <f>'[1]Exh JDT-5 (JDT-MYRP)'!$T$11</f>
        <v>0</v>
      </c>
      <c r="F10" s="119">
        <f t="shared" ref="F10:F20" si="0">C10*D10</f>
        <v>0</v>
      </c>
      <c r="G10" s="119">
        <f t="shared" ref="G10:G21" si="1">C10*E10</f>
        <v>0</v>
      </c>
      <c r="H10" s="120">
        <f t="shared" ref="H10:H21" si="2">G10-F10</f>
        <v>0</v>
      </c>
      <c r="I10" s="173" t="e">
        <f t="shared" ref="I10:I21" si="3">-H10/F10</f>
        <v>#DIV/0!</v>
      </c>
    </row>
    <row r="11" spans="1:10" x14ac:dyDescent="0.25">
      <c r="A11" s="114" t="s">
        <v>8</v>
      </c>
      <c r="B11" s="146">
        <v>31</v>
      </c>
      <c r="C11" s="116">
        <f>Therms_CY2025!P12</f>
        <v>0</v>
      </c>
      <c r="D11" s="316">
        <f>'[1]Exh JDT-5 (JDT-MYRP)'!$N$40</f>
        <v>0</v>
      </c>
      <c r="E11" s="316">
        <f>'[1]Exh JDT-5 (JDT-MYRP)'!$T$40</f>
        <v>0</v>
      </c>
      <c r="F11" s="119">
        <f t="shared" si="0"/>
        <v>0</v>
      </c>
      <c r="G11" s="119">
        <f t="shared" si="1"/>
        <v>0</v>
      </c>
      <c r="H11" s="120">
        <f t="shared" si="2"/>
        <v>0</v>
      </c>
      <c r="I11" s="173" t="e">
        <f t="shared" si="3"/>
        <v>#DIV/0!</v>
      </c>
    </row>
    <row r="12" spans="1:10" x14ac:dyDescent="0.25">
      <c r="A12" s="114" t="s">
        <v>9</v>
      </c>
      <c r="B12" s="146">
        <v>41</v>
      </c>
      <c r="C12" s="116">
        <f>Therms_CY2025!P13</f>
        <v>0</v>
      </c>
      <c r="D12" s="316">
        <f>'[1]Exh JDT-5 (JDT-MYRP)'!$N$64</f>
        <v>0</v>
      </c>
      <c r="E12" s="316">
        <f>'[1]Exh JDT-5 (JDT-MYRP)'!$T$64</f>
        <v>0</v>
      </c>
      <c r="F12" s="119">
        <f t="shared" si="0"/>
        <v>0</v>
      </c>
      <c r="G12" s="119">
        <f t="shared" si="1"/>
        <v>0</v>
      </c>
      <c r="H12" s="120">
        <f t="shared" si="2"/>
        <v>0</v>
      </c>
      <c r="I12" s="173" t="e">
        <f t="shared" si="3"/>
        <v>#DIV/0!</v>
      </c>
    </row>
    <row r="13" spans="1:10" x14ac:dyDescent="0.25">
      <c r="A13" s="114" t="s">
        <v>10</v>
      </c>
      <c r="B13" s="146">
        <v>85</v>
      </c>
      <c r="C13" s="116">
        <f>Therms_CY2025!P14</f>
        <v>0</v>
      </c>
      <c r="D13" s="316">
        <f>'[1]Exh JDT-5 (JDT-MYRP)'!$N$102</f>
        <v>0</v>
      </c>
      <c r="E13" s="316">
        <f>'[1]Exh JDT-5 (JDT-MYRP)'!$T$102</f>
        <v>0</v>
      </c>
      <c r="F13" s="119">
        <f t="shared" si="0"/>
        <v>0</v>
      </c>
      <c r="G13" s="119">
        <f t="shared" si="1"/>
        <v>0</v>
      </c>
      <c r="H13" s="120">
        <f t="shared" si="2"/>
        <v>0</v>
      </c>
      <c r="I13" s="173" t="e">
        <f t="shared" si="3"/>
        <v>#DIV/0!</v>
      </c>
    </row>
    <row r="14" spans="1:10" x14ac:dyDescent="0.25">
      <c r="A14" s="114" t="s">
        <v>11</v>
      </c>
      <c r="B14" s="146">
        <v>86</v>
      </c>
      <c r="C14" s="116">
        <f>Therms_CY2025!P15</f>
        <v>0</v>
      </c>
      <c r="D14" s="316">
        <f>'[1]Exh JDT-5 (JDT-MYRP)'!$N$139</f>
        <v>0</v>
      </c>
      <c r="E14" s="316">
        <f>'[1]Exh JDT-5 (JDT-MYRP)'!$T$139</f>
        <v>0</v>
      </c>
      <c r="F14" s="119">
        <f t="shared" si="0"/>
        <v>0</v>
      </c>
      <c r="G14" s="119">
        <f t="shared" si="1"/>
        <v>0</v>
      </c>
      <c r="H14" s="120">
        <f t="shared" si="2"/>
        <v>0</v>
      </c>
      <c r="I14" s="173" t="e">
        <f t="shared" si="3"/>
        <v>#DIV/0!</v>
      </c>
    </row>
    <row r="15" spans="1:10" x14ac:dyDescent="0.25">
      <c r="A15" s="114" t="s">
        <v>12</v>
      </c>
      <c r="B15" s="146">
        <v>87</v>
      </c>
      <c r="C15" s="116">
        <f>Therms_CY2025!P16</f>
        <v>0</v>
      </c>
      <c r="D15" s="316">
        <f>'[1]Exh JDT-5 (JDT-MYRP)'!$N$174</f>
        <v>0</v>
      </c>
      <c r="E15" s="316">
        <f>'[1]Exh JDT-5 (JDT-MYRP)'!$T$174</f>
        <v>0</v>
      </c>
      <c r="F15" s="119">
        <f t="shared" si="0"/>
        <v>0</v>
      </c>
      <c r="G15" s="119">
        <f t="shared" si="1"/>
        <v>0</v>
      </c>
      <c r="H15" s="120">
        <f t="shared" si="2"/>
        <v>0</v>
      </c>
      <c r="I15" s="173" t="e">
        <f t="shared" si="3"/>
        <v>#DIV/0!</v>
      </c>
    </row>
    <row r="16" spans="1:10" x14ac:dyDescent="0.25">
      <c r="A16" s="114" t="s">
        <v>32</v>
      </c>
      <c r="B16" s="146" t="s">
        <v>33</v>
      </c>
      <c r="C16" s="116">
        <f>Therms_CY2025!P17</f>
        <v>0</v>
      </c>
      <c r="D16" s="316">
        <f>'[1]Exh JDT-5 (JDT-MYRP)'!$N$40</f>
        <v>0</v>
      </c>
      <c r="E16" s="316">
        <f>'[1]Exh JDT-5 (JDT-MYRP)'!$T$40</f>
        <v>0</v>
      </c>
      <c r="F16" s="119">
        <f t="shared" si="0"/>
        <v>0</v>
      </c>
      <c r="G16" s="119">
        <f t="shared" si="1"/>
        <v>0</v>
      </c>
      <c r="H16" s="120">
        <f t="shared" si="2"/>
        <v>0</v>
      </c>
      <c r="I16" s="173" t="e">
        <f t="shared" si="3"/>
        <v>#DIV/0!</v>
      </c>
    </row>
    <row r="17" spans="1:9" x14ac:dyDescent="0.25">
      <c r="A17" s="114" t="s">
        <v>34</v>
      </c>
      <c r="B17" s="114" t="s">
        <v>35</v>
      </c>
      <c r="C17" s="116">
        <f>Therms_CY2025!P18</f>
        <v>0</v>
      </c>
      <c r="D17" s="316">
        <f>'[1]Exh JDT-5 (JDT-MYRP)'!$N$64</f>
        <v>0</v>
      </c>
      <c r="E17" s="316">
        <f>'[1]Exh JDT-5 (JDT-MYRP)'!$T$64</f>
        <v>0</v>
      </c>
      <c r="F17" s="119">
        <f t="shared" si="0"/>
        <v>0</v>
      </c>
      <c r="G17" s="119">
        <f t="shared" si="1"/>
        <v>0</v>
      </c>
      <c r="H17" s="120">
        <f t="shared" si="2"/>
        <v>0</v>
      </c>
      <c r="I17" s="173" t="e">
        <f t="shared" si="3"/>
        <v>#DIV/0!</v>
      </c>
    </row>
    <row r="18" spans="1:9" x14ac:dyDescent="0.25">
      <c r="A18" s="114" t="s">
        <v>36</v>
      </c>
      <c r="B18" s="114" t="s">
        <v>37</v>
      </c>
      <c r="C18" s="116">
        <f>Therms_CY2025!P19</f>
        <v>0</v>
      </c>
      <c r="D18" s="316">
        <f>'[1]Exh JDT-5 (JDT-MYRP)'!$N$102</f>
        <v>0</v>
      </c>
      <c r="E18" s="316">
        <f>'[1]Exh JDT-5 (JDT-MYRP)'!$T$102</f>
        <v>0</v>
      </c>
      <c r="F18" s="119">
        <f t="shared" si="0"/>
        <v>0</v>
      </c>
      <c r="G18" s="119">
        <f t="shared" si="1"/>
        <v>0</v>
      </c>
      <c r="H18" s="120">
        <f t="shared" si="2"/>
        <v>0</v>
      </c>
      <c r="I18" s="173" t="e">
        <f t="shared" si="3"/>
        <v>#DIV/0!</v>
      </c>
    </row>
    <row r="19" spans="1:9" x14ac:dyDescent="0.25">
      <c r="A19" s="114" t="s">
        <v>38</v>
      </c>
      <c r="B19" s="114" t="s">
        <v>39</v>
      </c>
      <c r="C19" s="116">
        <f>Therms_CY2025!P20</f>
        <v>0</v>
      </c>
      <c r="D19" s="316">
        <f>'[1]Exh JDT-5 (JDT-MYRP)'!$N$139</f>
        <v>0</v>
      </c>
      <c r="E19" s="316">
        <f>'[1]Exh JDT-5 (JDT-MYRP)'!$T$139</f>
        <v>0</v>
      </c>
      <c r="F19" s="119">
        <f t="shared" si="0"/>
        <v>0</v>
      </c>
      <c r="G19" s="119">
        <f t="shared" si="1"/>
        <v>0</v>
      </c>
      <c r="H19" s="120">
        <f t="shared" si="2"/>
        <v>0</v>
      </c>
      <c r="I19" s="173" t="e">
        <f t="shared" si="3"/>
        <v>#DIV/0!</v>
      </c>
    </row>
    <row r="20" spans="1:9" x14ac:dyDescent="0.25">
      <c r="A20" s="114" t="s">
        <v>40</v>
      </c>
      <c r="B20" s="114" t="s">
        <v>41</v>
      </c>
      <c r="C20" s="116">
        <f>Therms_CY2025!P21</f>
        <v>0</v>
      </c>
      <c r="D20" s="316">
        <f>'[1]Exh JDT-5 (JDT-MYRP)'!$N$174</f>
        <v>0</v>
      </c>
      <c r="E20" s="316">
        <f>'[1]Exh JDT-5 (JDT-MYRP)'!$T$174</f>
        <v>0</v>
      </c>
      <c r="F20" s="119">
        <f t="shared" si="0"/>
        <v>0</v>
      </c>
      <c r="G20" s="119">
        <f t="shared" si="1"/>
        <v>0</v>
      </c>
      <c r="H20" s="120">
        <f t="shared" si="2"/>
        <v>0</v>
      </c>
      <c r="I20" s="173" t="e">
        <f t="shared" si="3"/>
        <v>#DIV/0!</v>
      </c>
    </row>
    <row r="21" spans="1:9" x14ac:dyDescent="0.25">
      <c r="A21" s="114" t="s">
        <v>13</v>
      </c>
      <c r="C21" s="116">
        <f>Therms_CY2025!P22</f>
        <v>0</v>
      </c>
      <c r="D21" s="10"/>
      <c r="E21" s="100"/>
      <c r="F21" s="119">
        <f>C21*D21</f>
        <v>0</v>
      </c>
      <c r="G21" s="119">
        <f t="shared" si="1"/>
        <v>0</v>
      </c>
      <c r="H21" s="120">
        <f t="shared" si="2"/>
        <v>0</v>
      </c>
      <c r="I21" s="173" t="e">
        <f t="shared" si="3"/>
        <v>#DIV/0!</v>
      </c>
    </row>
    <row r="22" spans="1:9" x14ac:dyDescent="0.25">
      <c r="A22" s="114" t="s">
        <v>6</v>
      </c>
      <c r="C22" s="179">
        <f>SUM(C9:C21)</f>
        <v>0</v>
      </c>
      <c r="D22" s="180"/>
      <c r="E22" s="199"/>
      <c r="F22" s="125">
        <f t="shared" ref="F22:H22" si="4">SUM(F9:F21)</f>
        <v>0</v>
      </c>
      <c r="G22" s="125">
        <f t="shared" si="4"/>
        <v>0</v>
      </c>
      <c r="H22" s="181">
        <f t="shared" si="4"/>
        <v>0</v>
      </c>
      <c r="I22" s="174" t="e">
        <f>-H22/F22</f>
        <v>#DIV/0!</v>
      </c>
    </row>
    <row r="23" spans="1:9" x14ac:dyDescent="0.25">
      <c r="F23" s="120"/>
      <c r="G23" s="120"/>
    </row>
    <row r="24" spans="1:9" x14ac:dyDescent="0.25">
      <c r="C24" s="147"/>
      <c r="F24" s="120"/>
      <c r="G24" s="120"/>
    </row>
    <row r="25" spans="1:9" x14ac:dyDescent="0.25">
      <c r="A25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90" zoomScaleNormal="90" workbookViewId="0">
      <selection activeCell="N18" sqref="N18"/>
    </sheetView>
  </sheetViews>
  <sheetFormatPr defaultRowHeight="15" x14ac:dyDescent="0.25"/>
  <cols>
    <col min="1" max="1" width="36.85546875" style="114" bestFit="1" customWidth="1"/>
    <col min="2" max="2" width="9.140625" style="114" bestFit="1" customWidth="1"/>
    <col min="3" max="3" width="18.5703125" style="114" bestFit="1" customWidth="1"/>
    <col min="4" max="5" width="13.7109375" style="114" customWidth="1"/>
    <col min="6" max="8" width="14.42578125" style="114" customWidth="1"/>
    <col min="9" max="9" width="8.28515625" style="114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336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337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214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313"/>
      <c r="E5" s="313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312" t="s">
        <v>15</v>
      </c>
      <c r="G6" s="312" t="s">
        <v>15</v>
      </c>
      <c r="H6" s="107" t="s">
        <v>273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273</v>
      </c>
      <c r="E7" s="107" t="s">
        <v>273</v>
      </c>
      <c r="F7" s="312" t="s">
        <v>2</v>
      </c>
      <c r="G7" s="312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3" t="s">
        <v>220</v>
      </c>
      <c r="D8" s="157" t="s">
        <v>22</v>
      </c>
      <c r="E8" s="157" t="s">
        <v>22</v>
      </c>
      <c r="F8" s="314" t="s">
        <v>23</v>
      </c>
      <c r="G8" s="314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SUM(Therms_CY2024!P10,Therms_CY2024!P11)</f>
        <v>639464549</v>
      </c>
      <c r="D9" s="316">
        <f>'[1]Exh JDT-5 (JDT-MYRP)'!$I$11</f>
        <v>2.2419999999999999E-2</v>
      </c>
      <c r="E9" s="316">
        <f>'[1]Exh JDT-5 (JDT-MYRP)'!$P$11</f>
        <v>7.2679999999999995E-2</v>
      </c>
      <c r="F9" s="119">
        <f>C9*D9</f>
        <v>14336795.188579999</v>
      </c>
      <c r="G9" s="119">
        <f>C9*E9</f>
        <v>46476283.421319999</v>
      </c>
      <c r="H9" s="120">
        <f>G9-F9</f>
        <v>32139488.23274</v>
      </c>
      <c r="I9" s="173">
        <f>-H9/F9</f>
        <v>-2.2417484388938451</v>
      </c>
    </row>
    <row r="10" spans="1:10" x14ac:dyDescent="0.25">
      <c r="A10" s="114" t="s">
        <v>31</v>
      </c>
      <c r="B10" s="146">
        <v>16</v>
      </c>
      <c r="C10" s="70">
        <f>Therms_CY2024!P9</f>
        <v>8832</v>
      </c>
      <c r="D10" s="316">
        <f>'[1]Exh JDT-5 (JDT-MYRP)'!$I$11</f>
        <v>2.2419999999999999E-2</v>
      </c>
      <c r="E10" s="316">
        <f>'[1]Exh JDT-5 (JDT-MYRP)'!$P$11</f>
        <v>7.2679999999999995E-2</v>
      </c>
      <c r="F10" s="119">
        <f t="shared" ref="F10:F28" si="0">C10*D10</f>
        <v>198.01344</v>
      </c>
      <c r="G10" s="119">
        <f t="shared" ref="G10:G39" si="1">C10*E10</f>
        <v>641.90976000000001</v>
      </c>
      <c r="H10" s="120">
        <f t="shared" ref="H10:H39" si="2">G10-F10</f>
        <v>443.89632</v>
      </c>
      <c r="I10" s="173">
        <f t="shared" ref="I10:I39" si="3">-H10/F10</f>
        <v>-2.2417484388938447</v>
      </c>
    </row>
    <row r="11" spans="1:10" x14ac:dyDescent="0.25">
      <c r="A11" s="114" t="s">
        <v>8</v>
      </c>
      <c r="B11" s="146">
        <v>31</v>
      </c>
      <c r="C11" s="116">
        <f>Therms_CY2024!P12</f>
        <v>245936243</v>
      </c>
      <c r="D11" s="316">
        <f>'[1]Exh JDT-5 (JDT-MYRP)'!$I$40</f>
        <v>2.069E-2</v>
      </c>
      <c r="E11" s="316">
        <f>'[1]Exh JDT-5 (JDT-MYRP)'!$P$40</f>
        <v>6.6659999999999997E-2</v>
      </c>
      <c r="F11" s="119">
        <f t="shared" si="0"/>
        <v>5088420.8676699996</v>
      </c>
      <c r="G11" s="119">
        <f t="shared" si="1"/>
        <v>16394109.958379999</v>
      </c>
      <c r="H11" s="120">
        <f t="shared" si="2"/>
        <v>11305689.090709999</v>
      </c>
      <c r="I11" s="173">
        <f t="shared" si="3"/>
        <v>-2.221846302561624</v>
      </c>
    </row>
    <row r="12" spans="1:10" x14ac:dyDescent="0.25">
      <c r="A12" s="114" t="s">
        <v>9</v>
      </c>
      <c r="B12" s="146">
        <v>41</v>
      </c>
      <c r="C12" s="116">
        <f>Therms_CY2024!P13</f>
        <v>66890541</v>
      </c>
      <c r="D12" s="316">
        <f>'[1]Exh JDT-5 (JDT-MYRP)'!$I$64</f>
        <v>9.8899999999999995E-3</v>
      </c>
      <c r="E12" s="316">
        <f>'[1]Exh JDT-5 (JDT-MYRP)'!$P$64</f>
        <v>3.1870000000000002E-2</v>
      </c>
      <c r="F12" s="119">
        <f t="shared" si="0"/>
        <v>661547.45048999996</v>
      </c>
      <c r="G12" s="119">
        <f t="shared" si="1"/>
        <v>2131801.5416700002</v>
      </c>
      <c r="H12" s="120">
        <f t="shared" si="2"/>
        <v>1470254.0911800002</v>
      </c>
      <c r="I12" s="173">
        <f t="shared" si="3"/>
        <v>-2.2224469160768456</v>
      </c>
    </row>
    <row r="13" spans="1:10" x14ac:dyDescent="0.25">
      <c r="A13" s="114" t="s">
        <v>10</v>
      </c>
      <c r="B13" s="146">
        <v>85</v>
      </c>
      <c r="C13" s="116">
        <f>Therms_CY2024!P14</f>
        <v>10745378</v>
      </c>
      <c r="D13" s="316">
        <f>'[1]Exh JDT-5 (JDT-MYRP)'!$I$102</f>
        <v>5.8799999999999998E-3</v>
      </c>
      <c r="E13" s="316">
        <f>'[1]Exh JDT-5 (JDT-MYRP)'!$P$102</f>
        <v>1.9390000000000001E-2</v>
      </c>
      <c r="F13" s="119">
        <f t="shared" si="0"/>
        <v>63182.822639999999</v>
      </c>
      <c r="G13" s="119">
        <f t="shared" si="1"/>
        <v>208352.87942000001</v>
      </c>
      <c r="H13" s="120">
        <f t="shared" si="2"/>
        <v>145170.05678000001</v>
      </c>
      <c r="I13" s="173">
        <f t="shared" si="3"/>
        <v>-2.2976190476190479</v>
      </c>
    </row>
    <row r="14" spans="1:10" x14ac:dyDescent="0.25">
      <c r="A14" s="114" t="s">
        <v>11</v>
      </c>
      <c r="B14" s="146">
        <v>86</v>
      </c>
      <c r="C14" s="116">
        <f>Therms_CY2024!P15</f>
        <v>5489408</v>
      </c>
      <c r="D14" s="316">
        <f>'[1]Exh JDT-5 (JDT-MYRP)'!$I$139</f>
        <v>4.7999999999999996E-3</v>
      </c>
      <c r="E14" s="316">
        <f>'[1]Exh JDT-5 (JDT-MYRP)'!$P$139</f>
        <v>1.6049999999999998E-2</v>
      </c>
      <c r="F14" s="119">
        <f t="shared" si="0"/>
        <v>26349.158399999997</v>
      </c>
      <c r="G14" s="119">
        <f t="shared" si="1"/>
        <v>88104.998399999997</v>
      </c>
      <c r="H14" s="120">
        <f t="shared" si="2"/>
        <v>61755.839999999997</v>
      </c>
      <c r="I14" s="173">
        <f t="shared" si="3"/>
        <v>-2.34375</v>
      </c>
    </row>
    <row r="15" spans="1:10" x14ac:dyDescent="0.25">
      <c r="B15" s="146"/>
      <c r="C15" s="116"/>
      <c r="D15" s="316"/>
      <c r="E15" s="316"/>
      <c r="F15" s="119"/>
      <c r="G15" s="119"/>
      <c r="H15" s="120"/>
      <c r="I15" s="173"/>
    </row>
    <row r="16" spans="1:10" x14ac:dyDescent="0.25">
      <c r="A16" s="114" t="s">
        <v>12</v>
      </c>
      <c r="B16" s="146">
        <v>87</v>
      </c>
    </row>
    <row r="17" spans="1:9" x14ac:dyDescent="0.25">
      <c r="A17" s="178" t="s">
        <v>376</v>
      </c>
      <c r="B17" s="347">
        <v>87</v>
      </c>
      <c r="C17" s="70">
        <f>'[1]Exh JDT-5 (JDT-MYRP)'!L185</f>
        <v>1512193</v>
      </c>
      <c r="D17" s="350">
        <f>'[1]Exh JDT-5 (JDT-MYRP)'!I185</f>
        <v>1.221E-2</v>
      </c>
      <c r="E17" s="350">
        <f>'[1]Exh JDT-5 (JDT-MYRP)'!P185</f>
        <v>3.9230000000000001E-2</v>
      </c>
      <c r="F17" s="348">
        <f t="shared" ref="F17" si="4">C17*D17</f>
        <v>18463.876530000001</v>
      </c>
      <c r="G17" s="348">
        <f t="shared" ref="G17" si="5">C17*E17</f>
        <v>59323.331389999999</v>
      </c>
      <c r="H17" s="348">
        <f t="shared" ref="H17" si="6">G17-F17</f>
        <v>40859.454859999998</v>
      </c>
      <c r="I17" s="349">
        <f t="shared" si="3"/>
        <v>-2.2129402129402127</v>
      </c>
    </row>
    <row r="18" spans="1:9" x14ac:dyDescent="0.25">
      <c r="A18" s="178" t="s">
        <v>377</v>
      </c>
      <c r="B18" s="347">
        <v>87</v>
      </c>
      <c r="C18" s="70">
        <f>'[1]Exh JDT-5 (JDT-MYRP)'!L186</f>
        <v>1398016.115</v>
      </c>
      <c r="D18" s="350">
        <f>'[1]Exh JDT-5 (JDT-MYRP)'!I186</f>
        <v>7.3800000000000003E-3</v>
      </c>
      <c r="E18" s="350">
        <f>'[1]Exh JDT-5 (JDT-MYRP)'!P186</f>
        <v>2.3709999999999998E-2</v>
      </c>
      <c r="F18" s="348">
        <f t="shared" ref="F18:F22" si="7">C18*D18</f>
        <v>10317.3589287</v>
      </c>
      <c r="G18" s="348">
        <f t="shared" ref="G18:G22" si="8">C18*E18</f>
        <v>33146.962086649997</v>
      </c>
      <c r="H18" s="348">
        <f t="shared" ref="H18:H22" si="9">G18-F18</f>
        <v>22829.603157949998</v>
      </c>
      <c r="I18" s="349">
        <f t="shared" ref="I18:I22" si="10">-H18/F18</f>
        <v>-2.2127371273712737</v>
      </c>
    </row>
    <row r="19" spans="1:9" x14ac:dyDescent="0.25">
      <c r="A19" s="178" t="s">
        <v>378</v>
      </c>
      <c r="B19" s="347">
        <v>87</v>
      </c>
      <c r="C19" s="70">
        <f>'[1]Exh JDT-5 (JDT-MYRP)'!L187</f>
        <v>2316890.0959999999</v>
      </c>
      <c r="D19" s="350">
        <f>'[1]Exh JDT-5 (JDT-MYRP)'!I187</f>
        <v>4.6899999999999997E-3</v>
      </c>
      <c r="E19" s="350">
        <f>'[1]Exh JDT-5 (JDT-MYRP)'!P187</f>
        <v>1.5089999999999999E-2</v>
      </c>
      <c r="F19" s="348">
        <f t="shared" si="7"/>
        <v>10866.214550239998</v>
      </c>
      <c r="G19" s="348">
        <f t="shared" si="8"/>
        <v>34961.871548639996</v>
      </c>
      <c r="H19" s="348">
        <f t="shared" si="9"/>
        <v>24095.656998399998</v>
      </c>
      <c r="I19" s="349">
        <f t="shared" si="10"/>
        <v>-2.217484008528785</v>
      </c>
    </row>
    <row r="20" spans="1:9" x14ac:dyDescent="0.25">
      <c r="A20" s="178" t="s">
        <v>69</v>
      </c>
      <c r="B20" s="347">
        <v>87</v>
      </c>
      <c r="C20" s="70">
        <f>'[1]Exh JDT-5 (JDT-MYRP)'!L188</f>
        <v>3045256.878</v>
      </c>
      <c r="D20" s="350">
        <f>'[1]Exh JDT-5 (JDT-MYRP)'!I188</f>
        <v>3.0100000000000001E-3</v>
      </c>
      <c r="E20" s="350">
        <f>'[1]Exh JDT-5 (JDT-MYRP)'!P188</f>
        <v>9.6699999999999998E-3</v>
      </c>
      <c r="F20" s="348">
        <f t="shared" si="7"/>
        <v>9166.2232027800001</v>
      </c>
      <c r="G20" s="348">
        <f t="shared" si="8"/>
        <v>29447.634010260001</v>
      </c>
      <c r="H20" s="348">
        <f t="shared" si="9"/>
        <v>20281.410807480002</v>
      </c>
      <c r="I20" s="349">
        <f t="shared" si="10"/>
        <v>-2.212624584717608</v>
      </c>
    </row>
    <row r="21" spans="1:9" x14ac:dyDescent="0.25">
      <c r="A21" s="178" t="s">
        <v>70</v>
      </c>
      <c r="B21" s="347">
        <v>87</v>
      </c>
      <c r="C21" s="70">
        <f>'[1]Exh JDT-5 (JDT-MYRP)'!L189</f>
        <v>3792042.2029999997</v>
      </c>
      <c r="D21" s="350">
        <f>'[1]Exh JDT-5 (JDT-MYRP)'!I189</f>
        <v>2.1700000000000001E-3</v>
      </c>
      <c r="E21" s="350">
        <f>'[1]Exh JDT-5 (JDT-MYRP)'!P189</f>
        <v>6.96E-3</v>
      </c>
      <c r="F21" s="348">
        <f t="shared" si="7"/>
        <v>8228.7315805099988</v>
      </c>
      <c r="G21" s="348">
        <f t="shared" si="8"/>
        <v>26392.61373288</v>
      </c>
      <c r="H21" s="348">
        <f t="shared" si="9"/>
        <v>18163.882152370003</v>
      </c>
      <c r="I21" s="349">
        <f t="shared" si="10"/>
        <v>-2.2073732718894017</v>
      </c>
    </row>
    <row r="22" spans="1:9" x14ac:dyDescent="0.25">
      <c r="A22" s="178" t="s">
        <v>89</v>
      </c>
      <c r="B22" s="347">
        <v>87</v>
      </c>
      <c r="C22" s="70">
        <f>'[1]Exh JDT-5 (JDT-MYRP)'!L190</f>
        <v>9755057.4703552071</v>
      </c>
      <c r="D22" s="350">
        <f>'[1]Exh JDT-5 (JDT-MYRP)'!I190</f>
        <v>3.6000000000000002E-4</v>
      </c>
      <c r="E22" s="350">
        <f>'[1]Exh JDT-5 (JDT-MYRP)'!P190</f>
        <v>1.1299999999999999E-3</v>
      </c>
      <c r="F22" s="348">
        <f t="shared" si="7"/>
        <v>3511.8206893278748</v>
      </c>
      <c r="G22" s="348">
        <f t="shared" si="8"/>
        <v>11023.214941501383</v>
      </c>
      <c r="H22" s="348">
        <f t="shared" si="9"/>
        <v>7511.394252173508</v>
      </c>
      <c r="I22" s="349">
        <f t="shared" si="10"/>
        <v>-2.1388888888888884</v>
      </c>
    </row>
    <row r="23" spans="1:9" x14ac:dyDescent="0.25">
      <c r="A23" s="114" t="s">
        <v>6</v>
      </c>
      <c r="B23" s="146">
        <v>87</v>
      </c>
      <c r="C23" s="147">
        <f>SUM(C17:C22)</f>
        <v>21819455.762355208</v>
      </c>
      <c r="D23" s="316"/>
      <c r="E23" s="316"/>
      <c r="F23" s="119">
        <f>SUM(F17:F22)</f>
        <v>60554.225481557871</v>
      </c>
      <c r="G23" s="119">
        <f t="shared" ref="G23:H23" si="11">SUM(G17:G22)</f>
        <v>194295.62770993137</v>
      </c>
      <c r="H23" s="119">
        <f t="shared" si="11"/>
        <v>133741.40222837351</v>
      </c>
      <c r="I23" s="173">
        <f>-H23/F23</f>
        <v>-2.2086221261157934</v>
      </c>
    </row>
    <row r="24" spans="1:9" x14ac:dyDescent="0.25">
      <c r="B24" s="146"/>
      <c r="C24" s="116"/>
      <c r="D24" s="316"/>
      <c r="E24" s="316"/>
      <c r="F24" s="119"/>
      <c r="G24" s="119"/>
      <c r="H24" s="120"/>
      <c r="I24" s="173"/>
    </row>
    <row r="25" spans="1:9" x14ac:dyDescent="0.25">
      <c r="A25" s="114" t="s">
        <v>32</v>
      </c>
      <c r="B25" s="146" t="s">
        <v>33</v>
      </c>
      <c r="C25" s="116">
        <f>Therms_CY2024!P17</f>
        <v>33867</v>
      </c>
      <c r="D25" s="316">
        <f>'[1]Exh JDT-5 (JDT-MYRP)'!$I$40</f>
        <v>2.069E-2</v>
      </c>
      <c r="E25" s="316">
        <f>'[1]Exh JDT-5 (JDT-MYRP)'!$P$40</f>
        <v>6.6659999999999997E-2</v>
      </c>
      <c r="F25" s="119">
        <f t="shared" si="0"/>
        <v>700.70822999999996</v>
      </c>
      <c r="G25" s="119">
        <f t="shared" si="1"/>
        <v>2257.57422</v>
      </c>
      <c r="H25" s="120">
        <f t="shared" si="2"/>
        <v>1556.86599</v>
      </c>
      <c r="I25" s="173">
        <f t="shared" si="3"/>
        <v>-2.221846302561624</v>
      </c>
    </row>
    <row r="26" spans="1:9" x14ac:dyDescent="0.25">
      <c r="A26" s="114" t="s">
        <v>34</v>
      </c>
      <c r="B26" s="114" t="s">
        <v>35</v>
      </c>
      <c r="C26" s="116">
        <f>Therms_CY2024!P18</f>
        <v>26510234</v>
      </c>
      <c r="D26" s="316">
        <f>'[1]Exh JDT-5 (JDT-MYRP)'!$I$64</f>
        <v>9.8899999999999995E-3</v>
      </c>
      <c r="E26" s="316">
        <f>'[1]Exh JDT-5 (JDT-MYRP)'!$P$64</f>
        <v>3.1870000000000002E-2</v>
      </c>
      <c r="F26" s="119">
        <f t="shared" si="0"/>
        <v>262186.21425999998</v>
      </c>
      <c r="G26" s="119">
        <f t="shared" si="1"/>
        <v>844881.15758000012</v>
      </c>
      <c r="H26" s="120">
        <f t="shared" si="2"/>
        <v>582694.94332000008</v>
      </c>
      <c r="I26" s="173">
        <f t="shared" si="3"/>
        <v>-2.2224469160768456</v>
      </c>
    </row>
    <row r="27" spans="1:9" x14ac:dyDescent="0.25">
      <c r="A27" s="114" t="s">
        <v>36</v>
      </c>
      <c r="B27" s="114" t="s">
        <v>37</v>
      </c>
      <c r="C27" s="116">
        <f>Therms_CY2024!P19</f>
        <v>62288926</v>
      </c>
      <c r="D27" s="316">
        <f>'[1]Exh JDT-5 (JDT-MYRP)'!$I$102</f>
        <v>5.8799999999999998E-3</v>
      </c>
      <c r="E27" s="316">
        <f>'[1]Exh JDT-5 (JDT-MYRP)'!$P$102</f>
        <v>1.9390000000000001E-2</v>
      </c>
      <c r="F27" s="119">
        <f t="shared" si="0"/>
        <v>366258.88487999997</v>
      </c>
      <c r="G27" s="119">
        <f t="shared" si="1"/>
        <v>1207782.27514</v>
      </c>
      <c r="H27" s="120">
        <f t="shared" si="2"/>
        <v>841523.39026000001</v>
      </c>
      <c r="I27" s="173">
        <f t="shared" si="3"/>
        <v>-2.2976190476190479</v>
      </c>
    </row>
    <row r="28" spans="1:9" x14ac:dyDescent="0.25">
      <c r="A28" s="114" t="s">
        <v>38</v>
      </c>
      <c r="B28" s="114" t="s">
        <v>39</v>
      </c>
      <c r="C28" s="116">
        <f>Therms_CY2024!P20</f>
        <v>578702</v>
      </c>
      <c r="D28" s="316">
        <f>'[1]Exh JDT-5 (JDT-MYRP)'!$I$139</f>
        <v>4.7999999999999996E-3</v>
      </c>
      <c r="E28" s="316">
        <f>'[1]Exh JDT-5 (JDT-MYRP)'!$P$139</f>
        <v>1.6049999999999998E-2</v>
      </c>
      <c r="F28" s="119">
        <f t="shared" si="0"/>
        <v>2777.7695999999996</v>
      </c>
      <c r="G28" s="119">
        <f t="shared" si="1"/>
        <v>9288.1670999999988</v>
      </c>
      <c r="H28" s="120">
        <f t="shared" si="2"/>
        <v>6510.3974999999991</v>
      </c>
      <c r="I28" s="173">
        <f t="shared" si="3"/>
        <v>-2.34375</v>
      </c>
    </row>
    <row r="29" spans="1:9" x14ac:dyDescent="0.25">
      <c r="C29" s="116"/>
      <c r="D29" s="316"/>
      <c r="E29" s="316"/>
      <c r="F29" s="119"/>
      <c r="G29" s="119"/>
      <c r="H29" s="120"/>
      <c r="I29" s="173"/>
    </row>
    <row r="30" spans="1:9" x14ac:dyDescent="0.25">
      <c r="A30" s="114" t="s">
        <v>40</v>
      </c>
      <c r="B30" s="114" t="s">
        <v>41</v>
      </c>
    </row>
    <row r="31" spans="1:9" x14ac:dyDescent="0.25">
      <c r="A31" s="178" t="s">
        <v>376</v>
      </c>
      <c r="B31" s="178" t="s">
        <v>41</v>
      </c>
      <c r="C31" s="70">
        <f>'[1]Exh JDT-5 (JDT-MYRP)'!L203</f>
        <v>3298789.67</v>
      </c>
      <c r="D31" s="350">
        <f>'[1]Exh JDT-5 (JDT-MYRP)'!I203</f>
        <v>1.221E-2</v>
      </c>
      <c r="E31" s="350">
        <f>'[1]Exh JDT-5 (JDT-MYRP)'!P203</f>
        <v>3.9230000000000001E-2</v>
      </c>
      <c r="F31" s="348">
        <f t="shared" ref="F31" si="12">C31*D31</f>
        <v>40278.221870699999</v>
      </c>
      <c r="G31" s="348">
        <f t="shared" ref="G31" si="13">C31*E31</f>
        <v>129411.51875410001</v>
      </c>
      <c r="H31" s="348">
        <f t="shared" ref="H31" si="14">G31-F31</f>
        <v>89133.296883400006</v>
      </c>
      <c r="I31" s="349">
        <f t="shared" ref="I31" si="15">-H31/F31</f>
        <v>-2.2129402129402131</v>
      </c>
    </row>
    <row r="32" spans="1:9" x14ac:dyDescent="0.25">
      <c r="A32" s="178" t="s">
        <v>377</v>
      </c>
      <c r="B32" s="178" t="s">
        <v>41</v>
      </c>
      <c r="C32" s="70">
        <f>'[1]Exh JDT-5 (JDT-MYRP)'!L204</f>
        <v>3300000</v>
      </c>
      <c r="D32" s="350">
        <f>'[1]Exh JDT-5 (JDT-MYRP)'!I204</f>
        <v>7.3800000000000003E-3</v>
      </c>
      <c r="E32" s="350">
        <f>'[1]Exh JDT-5 (JDT-MYRP)'!P204</f>
        <v>2.3709999999999998E-2</v>
      </c>
      <c r="F32" s="348">
        <f t="shared" ref="F32:F36" si="16">C32*D32</f>
        <v>24354</v>
      </c>
      <c r="G32" s="348">
        <f t="shared" ref="G32:G36" si="17">C32*E32</f>
        <v>78243</v>
      </c>
      <c r="H32" s="348">
        <f t="shared" ref="H32:H36" si="18">G32-F32</f>
        <v>53889</v>
      </c>
      <c r="I32" s="349">
        <f t="shared" ref="I32:I36" si="19">-H32/F32</f>
        <v>-2.2127371273712737</v>
      </c>
    </row>
    <row r="33" spans="1:9" x14ac:dyDescent="0.25">
      <c r="A33" s="178" t="s">
        <v>378</v>
      </c>
      <c r="B33" s="178" t="s">
        <v>41</v>
      </c>
      <c r="C33" s="70">
        <f>'[1]Exh JDT-5 (JDT-MYRP)'!L205</f>
        <v>6600000</v>
      </c>
      <c r="D33" s="350">
        <f>'[1]Exh JDT-5 (JDT-MYRP)'!I205</f>
        <v>4.6899999999999997E-3</v>
      </c>
      <c r="E33" s="350">
        <f>'[1]Exh JDT-5 (JDT-MYRP)'!P205</f>
        <v>1.5089999999999999E-2</v>
      </c>
      <c r="F33" s="348">
        <f t="shared" si="16"/>
        <v>30954</v>
      </c>
      <c r="G33" s="348">
        <f t="shared" si="17"/>
        <v>99594</v>
      </c>
      <c r="H33" s="348">
        <f t="shared" si="18"/>
        <v>68640</v>
      </c>
      <c r="I33" s="349">
        <f t="shared" si="19"/>
        <v>-2.2174840085287846</v>
      </c>
    </row>
    <row r="34" spans="1:9" x14ac:dyDescent="0.25">
      <c r="A34" s="178" t="s">
        <v>69</v>
      </c>
      <c r="B34" s="178" t="s">
        <v>41</v>
      </c>
      <c r="C34" s="70">
        <f>'[1]Exh JDT-5 (JDT-MYRP)'!L206</f>
        <v>12663691.02</v>
      </c>
      <c r="D34" s="350">
        <f>'[1]Exh JDT-5 (JDT-MYRP)'!I206</f>
        <v>3.0100000000000001E-3</v>
      </c>
      <c r="E34" s="350">
        <f>'[1]Exh JDT-5 (JDT-MYRP)'!P206</f>
        <v>9.6699999999999998E-3</v>
      </c>
      <c r="F34" s="348">
        <f t="shared" si="16"/>
        <v>38117.709970199998</v>
      </c>
      <c r="G34" s="348">
        <f t="shared" si="17"/>
        <v>122457.8921634</v>
      </c>
      <c r="H34" s="348">
        <f t="shared" si="18"/>
        <v>84340.182193200002</v>
      </c>
      <c r="I34" s="349">
        <f t="shared" si="19"/>
        <v>-2.212624584717608</v>
      </c>
    </row>
    <row r="35" spans="1:9" x14ac:dyDescent="0.25">
      <c r="A35" s="178" t="s">
        <v>70</v>
      </c>
      <c r="B35" s="178" t="s">
        <v>41</v>
      </c>
      <c r="C35" s="70">
        <f>'[1]Exh JDT-5 (JDT-MYRP)'!L207</f>
        <v>29344602.150000002</v>
      </c>
      <c r="D35" s="350">
        <f>'[1]Exh JDT-5 (JDT-MYRP)'!I207</f>
        <v>2.1700000000000001E-3</v>
      </c>
      <c r="E35" s="350">
        <f>'[1]Exh JDT-5 (JDT-MYRP)'!P207</f>
        <v>6.96E-3</v>
      </c>
      <c r="F35" s="348">
        <f t="shared" si="16"/>
        <v>63677.786665500003</v>
      </c>
      <c r="G35" s="348">
        <f t="shared" si="17"/>
        <v>204238.43096400003</v>
      </c>
      <c r="H35" s="348">
        <f t="shared" si="18"/>
        <v>140560.64429850003</v>
      </c>
      <c r="I35" s="349">
        <f t="shared" si="19"/>
        <v>-2.2073732718894012</v>
      </c>
    </row>
    <row r="36" spans="1:9" x14ac:dyDescent="0.25">
      <c r="A36" s="178" t="s">
        <v>89</v>
      </c>
      <c r="B36" s="178" t="s">
        <v>41</v>
      </c>
      <c r="C36" s="70">
        <f>'[1]Exh JDT-5 (JDT-MYRP)'!L208</f>
        <v>86801883.805479586</v>
      </c>
      <c r="D36" s="350">
        <f>'[1]Exh JDT-5 (JDT-MYRP)'!I208</f>
        <v>3.6000000000000002E-4</v>
      </c>
      <c r="E36" s="350">
        <f>'[1]Exh JDT-5 (JDT-MYRP)'!P208</f>
        <v>1.1299999999999999E-3</v>
      </c>
      <c r="F36" s="348">
        <f t="shared" si="16"/>
        <v>31248.678169972653</v>
      </c>
      <c r="G36" s="348">
        <f t="shared" si="17"/>
        <v>98086.128700191926</v>
      </c>
      <c r="H36" s="348">
        <f t="shared" si="18"/>
        <v>66837.45053021927</v>
      </c>
      <c r="I36" s="349">
        <f t="shared" si="19"/>
        <v>-2.1388888888888884</v>
      </c>
    </row>
    <row r="37" spans="1:9" x14ac:dyDescent="0.25">
      <c r="A37" s="114" t="s">
        <v>6</v>
      </c>
      <c r="B37" s="114" t="s">
        <v>41</v>
      </c>
      <c r="C37" s="147">
        <f>SUM(C31:C36)</f>
        <v>142008966.64547959</v>
      </c>
      <c r="D37" s="316"/>
      <c r="E37" s="316"/>
      <c r="F37" s="119">
        <f>SUM(F31:F36)</f>
        <v>228630.39667637262</v>
      </c>
      <c r="G37" s="119">
        <f t="shared" ref="G37:H37" si="20">SUM(G31:G36)</f>
        <v>732030.97058169206</v>
      </c>
      <c r="H37" s="119">
        <f t="shared" si="20"/>
        <v>503400.57390531932</v>
      </c>
      <c r="I37" s="173">
        <f>-H37/F37</f>
        <v>-2.2018094760071869</v>
      </c>
    </row>
    <row r="38" spans="1:9" x14ac:dyDescent="0.25">
      <c r="C38" s="116"/>
      <c r="D38" s="316"/>
      <c r="E38" s="316"/>
      <c r="F38" s="119"/>
      <c r="G38" s="119"/>
      <c r="H38" s="120"/>
      <c r="I38" s="173"/>
    </row>
    <row r="39" spans="1:9" x14ac:dyDescent="0.25">
      <c r="A39" s="114" t="s">
        <v>13</v>
      </c>
      <c r="C39" s="116">
        <f>Therms_CY2024!P22</f>
        <v>30967900</v>
      </c>
      <c r="D39" s="10"/>
      <c r="E39" s="100"/>
      <c r="F39" s="119">
        <f>C39*D39</f>
        <v>0</v>
      </c>
      <c r="G39" s="119">
        <f t="shared" si="1"/>
        <v>0</v>
      </c>
      <c r="H39" s="120">
        <f t="shared" si="2"/>
        <v>0</v>
      </c>
      <c r="I39" s="173" t="e">
        <f t="shared" si="3"/>
        <v>#DIV/0!</v>
      </c>
    </row>
    <row r="40" spans="1:9" x14ac:dyDescent="0.25">
      <c r="A40" s="114" t="s">
        <v>6</v>
      </c>
      <c r="C40" s="179">
        <f>SUM(C9:C14,C23,C25:C28,C37,C39)</f>
        <v>1252743002.407835</v>
      </c>
      <c r="D40" s="180"/>
      <c r="E40" s="199"/>
      <c r="F40" s="102">
        <f t="shared" ref="F40:H40" si="21">SUM(F9:F14,F23,F25:F28,F37,F39)</f>
        <v>21097601.70034793</v>
      </c>
      <c r="G40" s="102">
        <f t="shared" si="21"/>
        <v>68289830.481281623</v>
      </c>
      <c r="H40" s="102">
        <f t="shared" si="21"/>
        <v>47192228.780933693</v>
      </c>
      <c r="I40" s="174">
        <f>-H40/F40</f>
        <v>-2.2368527689171147</v>
      </c>
    </row>
    <row r="41" spans="1:9" x14ac:dyDescent="0.25">
      <c r="F41" s="120"/>
      <c r="G41" s="120"/>
    </row>
    <row r="42" spans="1:9" x14ac:dyDescent="0.25">
      <c r="A42" s="328"/>
      <c r="C42" s="147"/>
      <c r="F42" s="120"/>
      <c r="G42" s="120"/>
    </row>
    <row r="43" spans="1:9" x14ac:dyDescent="0.25">
      <c r="A43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H35" sqref="H35"/>
    </sheetView>
  </sheetViews>
  <sheetFormatPr defaultRowHeight="15" x14ac:dyDescent="0.25"/>
  <cols>
    <col min="1" max="1" width="36.85546875" style="114" bestFit="1" customWidth="1"/>
    <col min="2" max="2" width="9.140625" style="114" bestFit="1" customWidth="1"/>
    <col min="3" max="3" width="18.5703125" style="114" bestFit="1" customWidth="1"/>
    <col min="4" max="5" width="13.7109375" style="114" customWidth="1"/>
    <col min="6" max="8" width="14.42578125" style="114" customWidth="1"/>
    <col min="9" max="9" width="8.28515625" style="114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336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337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219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313"/>
      <c r="E5" s="313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312" t="s">
        <v>15</v>
      </c>
      <c r="G6" s="312" t="s">
        <v>15</v>
      </c>
      <c r="H6" s="107" t="s">
        <v>273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273</v>
      </c>
      <c r="E7" s="107" t="s">
        <v>273</v>
      </c>
      <c r="F7" s="312" t="s">
        <v>2</v>
      </c>
      <c r="G7" s="312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3" t="s">
        <v>252</v>
      </c>
      <c r="D8" s="157" t="s">
        <v>22</v>
      </c>
      <c r="E8" s="157" t="s">
        <v>22</v>
      </c>
      <c r="F8" s="314" t="s">
        <v>23</v>
      </c>
      <c r="G8" s="314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SUM(Therms_CY2025!P10,Therms_CY2025!P11)</f>
        <v>0</v>
      </c>
      <c r="D9" s="316">
        <f>'[1]Exh JDT-5 (JDT-MYRP)'!$O$11</f>
        <v>-4.7999999999999996E-3</v>
      </c>
      <c r="E9" s="316">
        <f>'[1]Exh JDT-5 (JDT-MYRP)'!$U$11</f>
        <v>0</v>
      </c>
      <c r="F9" s="119">
        <f>C9*D9</f>
        <v>0</v>
      </c>
      <c r="G9" s="119">
        <f>C9*E9</f>
        <v>0</v>
      </c>
      <c r="H9" s="120">
        <f>G9-F9</f>
        <v>0</v>
      </c>
      <c r="I9" s="173" t="e">
        <f>-H9/F9</f>
        <v>#DIV/0!</v>
      </c>
    </row>
    <row r="10" spans="1:10" x14ac:dyDescent="0.25">
      <c r="A10" s="114" t="s">
        <v>31</v>
      </c>
      <c r="B10" s="146">
        <v>16</v>
      </c>
      <c r="C10" s="70">
        <f>Therms_CY2025!P9</f>
        <v>0</v>
      </c>
      <c r="D10" s="316">
        <f>'[1]Exh JDT-5 (JDT-MYRP)'!$O$11</f>
        <v>-4.7999999999999996E-3</v>
      </c>
      <c r="E10" s="316">
        <f>'[1]Exh JDT-5 (JDT-MYRP)'!$U$11</f>
        <v>0</v>
      </c>
      <c r="F10" s="119">
        <f t="shared" ref="F10:F20" si="0">C10*D10</f>
        <v>0</v>
      </c>
      <c r="G10" s="119">
        <f t="shared" ref="G10:G21" si="1">C10*E10</f>
        <v>0</v>
      </c>
      <c r="H10" s="120">
        <f t="shared" ref="H10:H21" si="2">G10-F10</f>
        <v>0</v>
      </c>
      <c r="I10" s="173" t="e">
        <f t="shared" ref="I10:I21" si="3">-H10/F10</f>
        <v>#DIV/0!</v>
      </c>
    </row>
    <row r="11" spans="1:10" x14ac:dyDescent="0.25">
      <c r="A11" s="114" t="s">
        <v>8</v>
      </c>
      <c r="B11" s="146">
        <v>31</v>
      </c>
      <c r="C11" s="116">
        <f>Therms_CY2025!P12</f>
        <v>0</v>
      </c>
      <c r="D11" s="316">
        <f>'[1]Exh JDT-5 (JDT-MYRP)'!$O$40</f>
        <v>-4.4000000000000003E-3</v>
      </c>
      <c r="E11" s="316">
        <f>'[1]Exh JDT-5 (JDT-MYRP)'!$U$40</f>
        <v>0</v>
      </c>
      <c r="F11" s="119">
        <f t="shared" si="0"/>
        <v>0</v>
      </c>
      <c r="G11" s="119">
        <f t="shared" si="1"/>
        <v>0</v>
      </c>
      <c r="H11" s="120">
        <f t="shared" si="2"/>
        <v>0</v>
      </c>
      <c r="I11" s="173" t="e">
        <f t="shared" si="3"/>
        <v>#DIV/0!</v>
      </c>
    </row>
    <row r="12" spans="1:10" x14ac:dyDescent="0.25">
      <c r="A12" s="114" t="s">
        <v>9</v>
      </c>
      <c r="B12" s="146">
        <v>41</v>
      </c>
      <c r="C12" s="116">
        <f>Therms_CY2025!P13</f>
        <v>0</v>
      </c>
      <c r="D12" s="316">
        <f>'[1]Exh JDT-5 (JDT-MYRP)'!$O$64</f>
        <v>-2.0999999999999999E-3</v>
      </c>
      <c r="E12" s="316">
        <f>'[1]Exh JDT-5 (JDT-MYRP)'!$U$64</f>
        <v>0</v>
      </c>
      <c r="F12" s="119">
        <f t="shared" si="0"/>
        <v>0</v>
      </c>
      <c r="G12" s="119">
        <f t="shared" si="1"/>
        <v>0</v>
      </c>
      <c r="H12" s="120">
        <f t="shared" si="2"/>
        <v>0</v>
      </c>
      <c r="I12" s="173" t="e">
        <f t="shared" si="3"/>
        <v>#DIV/0!</v>
      </c>
    </row>
    <row r="13" spans="1:10" x14ac:dyDescent="0.25">
      <c r="A13" s="114" t="s">
        <v>10</v>
      </c>
      <c r="B13" s="146">
        <v>85</v>
      </c>
      <c r="C13" s="116">
        <f>Therms_CY2025!P14</f>
        <v>0</v>
      </c>
      <c r="D13" s="316">
        <f>'[1]Exh JDT-5 (JDT-MYRP)'!$O$102</f>
        <v>-1.2800000000000001E-3</v>
      </c>
      <c r="E13" s="316">
        <f>'[1]Exh JDT-5 (JDT-MYRP)'!$U$102</f>
        <v>0</v>
      </c>
      <c r="F13" s="119">
        <f t="shared" si="0"/>
        <v>0</v>
      </c>
      <c r="G13" s="119">
        <f t="shared" si="1"/>
        <v>0</v>
      </c>
      <c r="H13" s="120">
        <f t="shared" si="2"/>
        <v>0</v>
      </c>
      <c r="I13" s="173" t="e">
        <f t="shared" si="3"/>
        <v>#DIV/0!</v>
      </c>
    </row>
    <row r="14" spans="1:10" x14ac:dyDescent="0.25">
      <c r="A14" s="114" t="s">
        <v>11</v>
      </c>
      <c r="B14" s="146">
        <v>86</v>
      </c>
      <c r="C14" s="116">
        <f>Therms_CY2025!P15</f>
        <v>0</v>
      </c>
      <c r="D14" s="316">
        <f>'[1]Exh JDT-5 (JDT-MYRP)'!$O$139</f>
        <v>-1.06E-3</v>
      </c>
      <c r="E14" s="316">
        <f>'[1]Exh JDT-5 (JDT-MYRP)'!$U$139</f>
        <v>0</v>
      </c>
      <c r="F14" s="119">
        <f t="shared" si="0"/>
        <v>0</v>
      </c>
      <c r="G14" s="119">
        <f t="shared" si="1"/>
        <v>0</v>
      </c>
      <c r="H14" s="120">
        <f t="shared" si="2"/>
        <v>0</v>
      </c>
      <c r="I14" s="173" t="e">
        <f t="shared" si="3"/>
        <v>#DIV/0!</v>
      </c>
    </row>
    <row r="15" spans="1:10" x14ac:dyDescent="0.25">
      <c r="A15" s="114" t="s">
        <v>12</v>
      </c>
      <c r="B15" s="146">
        <v>87</v>
      </c>
      <c r="C15" s="116">
        <f>Therms_CY2025!P16</f>
        <v>0</v>
      </c>
      <c r="D15" s="316">
        <f>'[1]Exh JDT-5 (JDT-MYRP)'!$O$174</f>
        <v>-9.0997416536799137E-3</v>
      </c>
      <c r="E15" s="316">
        <f>'[1]Exh JDT-5 (JDT-MYRP)'!$U$174</f>
        <v>0</v>
      </c>
      <c r="F15" s="119">
        <f t="shared" si="0"/>
        <v>0</v>
      </c>
      <c r="G15" s="119">
        <f t="shared" si="1"/>
        <v>0</v>
      </c>
      <c r="H15" s="120">
        <f t="shared" si="2"/>
        <v>0</v>
      </c>
      <c r="I15" s="173" t="e">
        <f t="shared" si="3"/>
        <v>#DIV/0!</v>
      </c>
    </row>
    <row r="16" spans="1:10" x14ac:dyDescent="0.25">
      <c r="A16" s="114" t="s">
        <v>32</v>
      </c>
      <c r="B16" s="146" t="s">
        <v>33</v>
      </c>
      <c r="C16" s="116">
        <f>Therms_CY2025!P17</f>
        <v>0</v>
      </c>
      <c r="D16" s="316">
        <f>'[1]Exh JDT-5 (JDT-MYRP)'!$O$40</f>
        <v>-4.4000000000000003E-3</v>
      </c>
      <c r="E16" s="316">
        <f>'[1]Exh JDT-5 (JDT-MYRP)'!$U$40</f>
        <v>0</v>
      </c>
      <c r="F16" s="119">
        <f t="shared" si="0"/>
        <v>0</v>
      </c>
      <c r="G16" s="119">
        <f t="shared" si="1"/>
        <v>0</v>
      </c>
      <c r="H16" s="120">
        <f t="shared" si="2"/>
        <v>0</v>
      </c>
      <c r="I16" s="173" t="e">
        <f t="shared" si="3"/>
        <v>#DIV/0!</v>
      </c>
    </row>
    <row r="17" spans="1:9" x14ac:dyDescent="0.25">
      <c r="A17" s="114" t="s">
        <v>34</v>
      </c>
      <c r="B17" s="114" t="s">
        <v>35</v>
      </c>
      <c r="C17" s="116">
        <f>Therms_CY2025!P18</f>
        <v>0</v>
      </c>
      <c r="D17" s="316">
        <f>'[1]Exh JDT-5 (JDT-MYRP)'!$O$64</f>
        <v>-2.0999999999999999E-3</v>
      </c>
      <c r="E17" s="316">
        <f>'[1]Exh JDT-5 (JDT-MYRP)'!$U$64</f>
        <v>0</v>
      </c>
      <c r="F17" s="119">
        <f t="shared" si="0"/>
        <v>0</v>
      </c>
      <c r="G17" s="119">
        <f t="shared" si="1"/>
        <v>0</v>
      </c>
      <c r="H17" s="120">
        <f t="shared" si="2"/>
        <v>0</v>
      </c>
      <c r="I17" s="173" t="e">
        <f t="shared" si="3"/>
        <v>#DIV/0!</v>
      </c>
    </row>
    <row r="18" spans="1:9" x14ac:dyDescent="0.25">
      <c r="A18" s="114" t="s">
        <v>36</v>
      </c>
      <c r="B18" s="114" t="s">
        <v>37</v>
      </c>
      <c r="C18" s="116">
        <f>Therms_CY2025!P19</f>
        <v>0</v>
      </c>
      <c r="D18" s="316">
        <f>'[1]Exh JDT-5 (JDT-MYRP)'!$O$102</f>
        <v>-1.2800000000000001E-3</v>
      </c>
      <c r="E18" s="316">
        <f>'[1]Exh JDT-5 (JDT-MYRP)'!$U$102</f>
        <v>0</v>
      </c>
      <c r="F18" s="119">
        <f t="shared" si="0"/>
        <v>0</v>
      </c>
      <c r="G18" s="119">
        <f t="shared" si="1"/>
        <v>0</v>
      </c>
      <c r="H18" s="120">
        <f t="shared" si="2"/>
        <v>0</v>
      </c>
      <c r="I18" s="173" t="e">
        <f t="shared" si="3"/>
        <v>#DIV/0!</v>
      </c>
    </row>
    <row r="19" spans="1:9" x14ac:dyDescent="0.25">
      <c r="A19" s="114" t="s">
        <v>38</v>
      </c>
      <c r="B19" s="114" t="s">
        <v>39</v>
      </c>
      <c r="C19" s="116">
        <f>Therms_CY2025!P20</f>
        <v>0</v>
      </c>
      <c r="D19" s="316">
        <f>'[1]Exh JDT-5 (JDT-MYRP)'!$O$139</f>
        <v>-1.06E-3</v>
      </c>
      <c r="E19" s="316">
        <f>'[1]Exh JDT-5 (JDT-MYRP)'!$U$139</f>
        <v>0</v>
      </c>
      <c r="F19" s="119">
        <f t="shared" si="0"/>
        <v>0</v>
      </c>
      <c r="G19" s="119">
        <f t="shared" si="1"/>
        <v>0</v>
      </c>
      <c r="H19" s="120">
        <f t="shared" si="2"/>
        <v>0</v>
      </c>
      <c r="I19" s="173" t="e">
        <f t="shared" si="3"/>
        <v>#DIV/0!</v>
      </c>
    </row>
    <row r="20" spans="1:9" x14ac:dyDescent="0.25">
      <c r="A20" s="114" t="s">
        <v>40</v>
      </c>
      <c r="B20" s="114" t="s">
        <v>41</v>
      </c>
      <c r="C20" s="116">
        <f>Therms_CY2025!P21</f>
        <v>0</v>
      </c>
      <c r="D20" s="316">
        <f>'[1]Exh JDT-5 (JDT-MYRP)'!$O$174</f>
        <v>-9.0997416536799137E-3</v>
      </c>
      <c r="E20" s="316">
        <f>'[1]Exh JDT-5 (JDT-MYRP)'!$U$174</f>
        <v>0</v>
      </c>
      <c r="F20" s="119">
        <f t="shared" si="0"/>
        <v>0</v>
      </c>
      <c r="G20" s="119">
        <f t="shared" si="1"/>
        <v>0</v>
      </c>
      <c r="H20" s="120">
        <f t="shared" si="2"/>
        <v>0</v>
      </c>
      <c r="I20" s="173" t="e">
        <f t="shared" si="3"/>
        <v>#DIV/0!</v>
      </c>
    </row>
    <row r="21" spans="1:9" x14ac:dyDescent="0.25">
      <c r="A21" s="114" t="s">
        <v>13</v>
      </c>
      <c r="C21" s="116">
        <f>Therms_CY2025!P22</f>
        <v>0</v>
      </c>
      <c r="D21" s="10"/>
      <c r="E21" s="100"/>
      <c r="F21" s="119">
        <f>C21*D21</f>
        <v>0</v>
      </c>
      <c r="G21" s="119">
        <f t="shared" si="1"/>
        <v>0</v>
      </c>
      <c r="H21" s="120">
        <f t="shared" si="2"/>
        <v>0</v>
      </c>
      <c r="I21" s="173" t="e">
        <f t="shared" si="3"/>
        <v>#DIV/0!</v>
      </c>
    </row>
    <row r="22" spans="1:9" x14ac:dyDescent="0.25">
      <c r="A22" s="114" t="s">
        <v>6</v>
      </c>
      <c r="C22" s="179">
        <f>SUM(C9:C21)</f>
        <v>0</v>
      </c>
      <c r="D22" s="180"/>
      <c r="E22" s="199"/>
      <c r="F22" s="125">
        <f t="shared" ref="F22:H22" si="4">SUM(F9:F21)</f>
        <v>0</v>
      </c>
      <c r="G22" s="125">
        <f t="shared" si="4"/>
        <v>0</v>
      </c>
      <c r="H22" s="181">
        <f t="shared" si="4"/>
        <v>0</v>
      </c>
      <c r="I22" s="174" t="e">
        <f>-H22/F22</f>
        <v>#DIV/0!</v>
      </c>
    </row>
    <row r="23" spans="1:9" x14ac:dyDescent="0.25">
      <c r="F23" s="120"/>
      <c r="G23" s="120"/>
    </row>
    <row r="24" spans="1:9" x14ac:dyDescent="0.25">
      <c r="C24" s="147"/>
      <c r="F24" s="120"/>
      <c r="G24" s="120"/>
    </row>
    <row r="25" spans="1:9" x14ac:dyDescent="0.25">
      <c r="A25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C8" sqref="C8"/>
    </sheetView>
  </sheetViews>
  <sheetFormatPr defaultRowHeight="15" x14ac:dyDescent="0.25"/>
  <cols>
    <col min="1" max="1" width="36.85546875" style="114" bestFit="1" customWidth="1"/>
    <col min="2" max="2" width="9.140625" style="114" bestFit="1" customWidth="1"/>
    <col min="3" max="3" width="18.5703125" style="114" bestFit="1" customWidth="1"/>
    <col min="4" max="5" width="13.7109375" style="114" customWidth="1"/>
    <col min="6" max="8" width="14.42578125" style="114" customWidth="1"/>
    <col min="9" max="9" width="8.28515625" style="114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155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169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258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272"/>
      <c r="E5" s="272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270" t="s">
        <v>15</v>
      </c>
      <c r="G6" s="270" t="s">
        <v>15</v>
      </c>
      <c r="H6" s="107" t="s">
        <v>135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135</v>
      </c>
      <c r="E7" s="107" t="s">
        <v>135</v>
      </c>
      <c r="F7" s="270" t="s">
        <v>2</v>
      </c>
      <c r="G7" s="270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0" t="str">
        <f>'Sch. 101'!$D$8</f>
        <v>12ME Dec. 2023</v>
      </c>
      <c r="D8" s="157" t="s">
        <v>22</v>
      </c>
      <c r="E8" s="157" t="s">
        <v>22</v>
      </c>
      <c r="F8" s="273" t="s">
        <v>23</v>
      </c>
      <c r="G8" s="273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SUM(Therms_CY2023!P10,Therms_CY2023!P11)</f>
        <v>636369361</v>
      </c>
      <c r="D9" s="100">
        <v>3.14E-3</v>
      </c>
      <c r="E9" s="100">
        <v>0</v>
      </c>
      <c r="F9" s="119">
        <f>C9*D9</f>
        <v>1998199.79354</v>
      </c>
      <c r="G9" s="119">
        <f>C9*E9</f>
        <v>0</v>
      </c>
      <c r="H9" s="120">
        <f>G9-F9</f>
        <v>-1998199.79354</v>
      </c>
      <c r="I9" s="173">
        <f>-H9/F9</f>
        <v>1</v>
      </c>
    </row>
    <row r="10" spans="1:10" x14ac:dyDescent="0.25">
      <c r="A10" s="114" t="s">
        <v>31</v>
      </c>
      <c r="B10" s="146">
        <v>16</v>
      </c>
      <c r="C10" s="70">
        <f>Therms_CY2023!P9</f>
        <v>8832</v>
      </c>
      <c r="D10" s="100">
        <v>3.14E-3</v>
      </c>
      <c r="E10" s="100">
        <v>0</v>
      </c>
      <c r="F10" s="119">
        <f t="shared" ref="F10:F20" si="0">C10*D10</f>
        <v>27.732479999999999</v>
      </c>
      <c r="G10" s="119">
        <f t="shared" ref="G10:G21" si="1">C10*E10</f>
        <v>0</v>
      </c>
      <c r="H10" s="120">
        <f t="shared" ref="H10:H21" si="2">G10-F10</f>
        <v>-27.732479999999999</v>
      </c>
      <c r="I10" s="173">
        <f t="shared" ref="I10:I21" si="3">-H10/F10</f>
        <v>1</v>
      </c>
    </row>
    <row r="11" spans="1:10" x14ac:dyDescent="0.25">
      <c r="A11" s="114" t="s">
        <v>8</v>
      </c>
      <c r="B11" s="146">
        <v>31</v>
      </c>
      <c r="C11" s="116">
        <f>Therms_CY2023!P12</f>
        <v>243192248</v>
      </c>
      <c r="D11" s="100">
        <v>3.5400000000000002E-3</v>
      </c>
      <c r="E11" s="100">
        <v>0</v>
      </c>
      <c r="F11" s="119">
        <f t="shared" si="0"/>
        <v>860900.55792000005</v>
      </c>
      <c r="G11" s="119">
        <f t="shared" si="1"/>
        <v>0</v>
      </c>
      <c r="H11" s="120">
        <f t="shared" si="2"/>
        <v>-860900.55792000005</v>
      </c>
      <c r="I11" s="173">
        <f t="shared" si="3"/>
        <v>1</v>
      </c>
    </row>
    <row r="12" spans="1:10" x14ac:dyDescent="0.25">
      <c r="A12" s="114" t="s">
        <v>9</v>
      </c>
      <c r="B12" s="146">
        <v>41</v>
      </c>
      <c r="C12" s="116">
        <f>Therms_CY2023!P13</f>
        <v>66922885</v>
      </c>
      <c r="D12" s="100">
        <v>1.33E-3</v>
      </c>
      <c r="E12" s="100">
        <v>0</v>
      </c>
      <c r="F12" s="119">
        <f t="shared" si="0"/>
        <v>89007.437050000008</v>
      </c>
      <c r="G12" s="119">
        <f t="shared" si="1"/>
        <v>0</v>
      </c>
      <c r="H12" s="120">
        <f t="shared" si="2"/>
        <v>-89007.437050000008</v>
      </c>
      <c r="I12" s="173">
        <f t="shared" si="3"/>
        <v>1</v>
      </c>
    </row>
    <row r="13" spans="1:10" x14ac:dyDescent="0.25">
      <c r="A13" s="114" t="s">
        <v>10</v>
      </c>
      <c r="B13" s="146">
        <v>85</v>
      </c>
      <c r="C13" s="116">
        <f>Therms_CY2023!P14</f>
        <v>11124640</v>
      </c>
      <c r="D13" s="100">
        <v>8.0999999999999996E-4</v>
      </c>
      <c r="E13" s="100">
        <v>0</v>
      </c>
      <c r="F13" s="119">
        <f t="shared" si="0"/>
        <v>9010.9583999999995</v>
      </c>
      <c r="G13" s="119">
        <f t="shared" si="1"/>
        <v>0</v>
      </c>
      <c r="H13" s="120">
        <f t="shared" si="2"/>
        <v>-9010.9583999999995</v>
      </c>
      <c r="I13" s="173">
        <f t="shared" si="3"/>
        <v>1</v>
      </c>
    </row>
    <row r="14" spans="1:10" x14ac:dyDescent="0.25">
      <c r="A14" s="114" t="s">
        <v>11</v>
      </c>
      <c r="B14" s="146">
        <v>86</v>
      </c>
      <c r="C14" s="116">
        <f>Therms_CY2023!P15</f>
        <v>5691490</v>
      </c>
      <c r="D14" s="100">
        <v>1.2199999999999999E-3</v>
      </c>
      <c r="E14" s="100">
        <v>0</v>
      </c>
      <c r="F14" s="119">
        <f t="shared" si="0"/>
        <v>6943.6178</v>
      </c>
      <c r="G14" s="119">
        <f t="shared" si="1"/>
        <v>0</v>
      </c>
      <c r="H14" s="120">
        <f t="shared" si="2"/>
        <v>-6943.6178</v>
      </c>
      <c r="I14" s="173">
        <f t="shared" si="3"/>
        <v>1</v>
      </c>
    </row>
    <row r="15" spans="1:10" x14ac:dyDescent="0.25">
      <c r="A15" s="114" t="s">
        <v>12</v>
      </c>
      <c r="B15" s="146">
        <v>87</v>
      </c>
      <c r="C15" s="116">
        <f>Therms_CY2023!P16</f>
        <v>21819455.762355205</v>
      </c>
      <c r="D15" s="100">
        <v>4.2999999999999999E-4</v>
      </c>
      <c r="E15" s="100">
        <v>0</v>
      </c>
      <c r="F15" s="119">
        <f t="shared" si="0"/>
        <v>9382.3659778127385</v>
      </c>
      <c r="G15" s="119">
        <f t="shared" si="1"/>
        <v>0</v>
      </c>
      <c r="H15" s="120">
        <f t="shared" si="2"/>
        <v>-9382.3659778127385</v>
      </c>
      <c r="I15" s="173">
        <f t="shared" si="3"/>
        <v>1</v>
      </c>
    </row>
    <row r="16" spans="1:10" x14ac:dyDescent="0.25">
      <c r="A16" s="114" t="s">
        <v>32</v>
      </c>
      <c r="B16" s="146" t="s">
        <v>33</v>
      </c>
      <c r="C16" s="116">
        <f>Therms_CY2023!P17</f>
        <v>34397</v>
      </c>
      <c r="D16" s="100">
        <v>3.5400000000000002E-3</v>
      </c>
      <c r="E16" s="100">
        <v>0</v>
      </c>
      <c r="F16" s="119">
        <f t="shared" si="0"/>
        <v>121.76538000000001</v>
      </c>
      <c r="G16" s="119">
        <f t="shared" si="1"/>
        <v>0</v>
      </c>
      <c r="H16" s="120">
        <f t="shared" si="2"/>
        <v>-121.76538000000001</v>
      </c>
      <c r="I16" s="173">
        <f t="shared" si="3"/>
        <v>1</v>
      </c>
    </row>
    <row r="17" spans="1:9" x14ac:dyDescent="0.25">
      <c r="A17" s="114" t="s">
        <v>34</v>
      </c>
      <c r="B17" s="114" t="s">
        <v>35</v>
      </c>
      <c r="C17" s="116">
        <f>Therms_CY2023!P18</f>
        <v>25464521</v>
      </c>
      <c r="D17" s="100">
        <v>1.33E-3</v>
      </c>
      <c r="E17" s="100">
        <v>0</v>
      </c>
      <c r="F17" s="119">
        <f t="shared" si="0"/>
        <v>33867.81293</v>
      </c>
      <c r="G17" s="119">
        <f t="shared" si="1"/>
        <v>0</v>
      </c>
      <c r="H17" s="120">
        <f t="shared" si="2"/>
        <v>-33867.81293</v>
      </c>
      <c r="I17" s="173">
        <f t="shared" si="3"/>
        <v>1</v>
      </c>
    </row>
    <row r="18" spans="1:9" x14ac:dyDescent="0.25">
      <c r="A18" s="114" t="s">
        <v>36</v>
      </c>
      <c r="B18" s="114" t="s">
        <v>37</v>
      </c>
      <c r="C18" s="116">
        <f>Therms_CY2023!P19</f>
        <v>62787518</v>
      </c>
      <c r="D18" s="100">
        <v>8.0999999999999996E-4</v>
      </c>
      <c r="E18" s="100">
        <v>0</v>
      </c>
      <c r="F18" s="119">
        <f t="shared" si="0"/>
        <v>50857.889579999995</v>
      </c>
      <c r="G18" s="119">
        <f t="shared" si="1"/>
        <v>0</v>
      </c>
      <c r="H18" s="120">
        <f t="shared" si="2"/>
        <v>-50857.889579999995</v>
      </c>
      <c r="I18" s="173">
        <f t="shared" si="3"/>
        <v>1</v>
      </c>
    </row>
    <row r="19" spans="1:9" x14ac:dyDescent="0.25">
      <c r="A19" s="114" t="s">
        <v>38</v>
      </c>
      <c r="B19" s="114" t="s">
        <v>39</v>
      </c>
      <c r="C19" s="116">
        <f>Therms_CY2023!P20</f>
        <v>542409</v>
      </c>
      <c r="D19" s="100">
        <v>1.2199999999999999E-3</v>
      </c>
      <c r="E19" s="100">
        <v>0</v>
      </c>
      <c r="F19" s="119">
        <f t="shared" si="0"/>
        <v>661.73897999999997</v>
      </c>
      <c r="G19" s="119">
        <f t="shared" si="1"/>
        <v>0</v>
      </c>
      <c r="H19" s="120">
        <f t="shared" si="2"/>
        <v>-661.73897999999997</v>
      </c>
      <c r="I19" s="173">
        <f t="shared" si="3"/>
        <v>1</v>
      </c>
    </row>
    <row r="20" spans="1:9" x14ac:dyDescent="0.25">
      <c r="A20" s="114" t="s">
        <v>40</v>
      </c>
      <c r="B20" s="114" t="s">
        <v>41</v>
      </c>
      <c r="C20" s="116">
        <f>Therms_CY2023!P21</f>
        <v>128953412.64547956</v>
      </c>
      <c r="D20" s="100">
        <v>4.2999999999999999E-4</v>
      </c>
      <c r="E20" s="100">
        <v>0</v>
      </c>
      <c r="F20" s="119">
        <f t="shared" si="0"/>
        <v>55449.96743755621</v>
      </c>
      <c r="G20" s="119">
        <f t="shared" si="1"/>
        <v>0</v>
      </c>
      <c r="H20" s="120">
        <f t="shared" si="2"/>
        <v>-55449.96743755621</v>
      </c>
      <c r="I20" s="173">
        <f t="shared" si="3"/>
        <v>1</v>
      </c>
    </row>
    <row r="21" spans="1:9" x14ac:dyDescent="0.25">
      <c r="A21" s="114" t="s">
        <v>13</v>
      </c>
      <c r="C21" s="116">
        <f>Therms_CY2023!P22</f>
        <v>31066760</v>
      </c>
      <c r="D21" s="10">
        <v>2.1000000000000001E-4</v>
      </c>
      <c r="E21" s="100">
        <v>0</v>
      </c>
      <c r="F21" s="119">
        <f>C21*D21</f>
        <v>6524.0196000000005</v>
      </c>
      <c r="G21" s="119">
        <f t="shared" si="1"/>
        <v>0</v>
      </c>
      <c r="H21" s="120">
        <f t="shared" si="2"/>
        <v>-6524.0196000000005</v>
      </c>
      <c r="I21" s="173">
        <f t="shared" si="3"/>
        <v>1</v>
      </c>
    </row>
    <row r="22" spans="1:9" x14ac:dyDescent="0.25">
      <c r="A22" s="114" t="s">
        <v>6</v>
      </c>
      <c r="C22" s="179">
        <f>SUM(C9:C21)</f>
        <v>1233977929.407835</v>
      </c>
      <c r="D22" s="180"/>
      <c r="E22" s="199"/>
      <c r="F22" s="125">
        <f t="shared" ref="F22:H22" si="4">SUM(F9:F21)</f>
        <v>3120955.6570753693</v>
      </c>
      <c r="G22" s="125">
        <f t="shared" si="4"/>
        <v>0</v>
      </c>
      <c r="H22" s="181">
        <f t="shared" si="4"/>
        <v>-3120955.6570753693</v>
      </c>
      <c r="I22" s="174">
        <f>-H22/F22</f>
        <v>1</v>
      </c>
    </row>
    <row r="23" spans="1:9" x14ac:dyDescent="0.25">
      <c r="F23" s="120"/>
      <c r="G23" s="120"/>
    </row>
    <row r="24" spans="1:9" x14ac:dyDescent="0.25">
      <c r="C24" s="147"/>
      <c r="F24" s="120"/>
      <c r="G24" s="120"/>
    </row>
    <row r="25" spans="1:9" x14ac:dyDescent="0.25">
      <c r="A25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C8" sqref="C8"/>
    </sheetView>
  </sheetViews>
  <sheetFormatPr defaultRowHeight="15" x14ac:dyDescent="0.25"/>
  <cols>
    <col min="1" max="1" width="36.85546875" style="114" bestFit="1" customWidth="1"/>
    <col min="2" max="2" width="9.140625" style="114" bestFit="1" customWidth="1"/>
    <col min="3" max="3" width="18.5703125" style="114" bestFit="1" customWidth="1"/>
    <col min="4" max="5" width="13.7109375" style="114" customWidth="1"/>
    <col min="6" max="8" width="14.42578125" style="114" customWidth="1"/>
    <col min="9" max="9" width="8.28515625" style="114" customWidth="1"/>
    <col min="10" max="16384" width="9.140625" style="114"/>
  </cols>
  <sheetData>
    <row r="1" spans="1:10" s="63" customForma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x14ac:dyDescent="0.25">
      <c r="A2" s="383" t="s">
        <v>168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x14ac:dyDescent="0.25">
      <c r="A3" s="383" t="s">
        <v>170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x14ac:dyDescent="0.25">
      <c r="A4" s="383" t="s">
        <v>172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272"/>
      <c r="E5" s="272"/>
    </row>
    <row r="6" spans="1:10" x14ac:dyDescent="0.25">
      <c r="A6" s="107"/>
      <c r="B6" s="107"/>
      <c r="C6" s="107" t="s">
        <v>15</v>
      </c>
      <c r="D6" s="107" t="s">
        <v>5</v>
      </c>
      <c r="E6" s="107" t="s">
        <v>1</v>
      </c>
      <c r="F6" s="270" t="s">
        <v>15</v>
      </c>
      <c r="G6" s="270" t="s">
        <v>15</v>
      </c>
      <c r="H6" s="107" t="s">
        <v>171</v>
      </c>
      <c r="I6" s="107"/>
    </row>
    <row r="7" spans="1:10" x14ac:dyDescent="0.25">
      <c r="A7" s="107"/>
      <c r="B7" s="107" t="s">
        <v>17</v>
      </c>
      <c r="C7" s="107" t="s">
        <v>3</v>
      </c>
      <c r="D7" s="107" t="s">
        <v>171</v>
      </c>
      <c r="E7" s="107" t="s">
        <v>171</v>
      </c>
      <c r="F7" s="270" t="s">
        <v>2</v>
      </c>
      <c r="G7" s="270" t="s">
        <v>2</v>
      </c>
      <c r="H7" s="107" t="s">
        <v>2</v>
      </c>
      <c r="I7" s="107" t="s">
        <v>20</v>
      </c>
    </row>
    <row r="8" spans="1:10" x14ac:dyDescent="0.25">
      <c r="A8" s="157" t="s">
        <v>4</v>
      </c>
      <c r="B8" s="157" t="s">
        <v>21</v>
      </c>
      <c r="C8" s="90" t="str">
        <f>'Sch. 101'!$D$8</f>
        <v>12ME Dec. 2023</v>
      </c>
      <c r="D8" s="157" t="s">
        <v>22</v>
      </c>
      <c r="E8" s="157" t="s">
        <v>22</v>
      </c>
      <c r="F8" s="273" t="s">
        <v>23</v>
      </c>
      <c r="G8" s="273" t="s">
        <v>131</v>
      </c>
      <c r="H8" s="157" t="s">
        <v>24</v>
      </c>
      <c r="I8" s="157" t="s">
        <v>24</v>
      </c>
    </row>
    <row r="9" spans="1:10" x14ac:dyDescent="0.25">
      <c r="A9" s="114" t="s">
        <v>7</v>
      </c>
      <c r="B9" s="146" t="s">
        <v>30</v>
      </c>
      <c r="C9" s="116">
        <f>SUM(Therms_CY2023!P10,Therms_CY2023!P11)</f>
        <v>636369361</v>
      </c>
      <c r="D9" s="100">
        <v>-1.3699999999999999E-3</v>
      </c>
      <c r="E9" s="100">
        <v>-1.3699999999999999E-3</v>
      </c>
      <c r="F9" s="119">
        <f>C9*D9</f>
        <v>-871826.02456999989</v>
      </c>
      <c r="G9" s="119">
        <f>C9*E9</f>
        <v>-871826.02456999989</v>
      </c>
      <c r="H9" s="120">
        <f>G9-F9</f>
        <v>0</v>
      </c>
      <c r="I9" s="173">
        <f>-H9/F9</f>
        <v>0</v>
      </c>
    </row>
    <row r="10" spans="1:10" x14ac:dyDescent="0.25">
      <c r="A10" s="114" t="s">
        <v>31</v>
      </c>
      <c r="B10" s="146">
        <v>16</v>
      </c>
      <c r="C10" s="70">
        <f>Therms_CY2023!P9</f>
        <v>8832</v>
      </c>
      <c r="D10" s="100">
        <v>-1.3699999999999999E-3</v>
      </c>
      <c r="E10" s="100">
        <v>-1.3699999999999999E-3</v>
      </c>
      <c r="F10" s="119">
        <f t="shared" ref="F10:F20" si="0">C10*D10</f>
        <v>-12.099839999999999</v>
      </c>
      <c r="G10" s="119">
        <f t="shared" ref="G10:G21" si="1">C10*E10</f>
        <v>-12.099839999999999</v>
      </c>
      <c r="H10" s="120">
        <f t="shared" ref="H10:H21" si="2">G10-F10</f>
        <v>0</v>
      </c>
      <c r="I10" s="173">
        <f t="shared" ref="I10:I21" si="3">-H10/F10</f>
        <v>0</v>
      </c>
    </row>
    <row r="11" spans="1:10" x14ac:dyDescent="0.25">
      <c r="A11" s="114" t="s">
        <v>8</v>
      </c>
      <c r="B11" s="146">
        <v>31</v>
      </c>
      <c r="C11" s="116">
        <f>Therms_CY2023!P12</f>
        <v>243192248</v>
      </c>
      <c r="D11" s="100">
        <v>-1.47E-3</v>
      </c>
      <c r="E11" s="100">
        <v>-1.47E-3</v>
      </c>
      <c r="F11" s="119">
        <f t="shared" si="0"/>
        <v>-357492.60456000001</v>
      </c>
      <c r="G11" s="119">
        <f t="shared" si="1"/>
        <v>-357492.60456000001</v>
      </c>
      <c r="H11" s="120">
        <f t="shared" si="2"/>
        <v>0</v>
      </c>
      <c r="I11" s="173">
        <f t="shared" si="3"/>
        <v>0</v>
      </c>
    </row>
    <row r="12" spans="1:10" x14ac:dyDescent="0.25">
      <c r="A12" s="114" t="s">
        <v>9</v>
      </c>
      <c r="B12" s="146">
        <v>41</v>
      </c>
      <c r="C12" s="116">
        <f>Therms_CY2023!P13</f>
        <v>66922885</v>
      </c>
      <c r="D12" s="100">
        <v>-5.5999999999999995E-4</v>
      </c>
      <c r="E12" s="100">
        <v>-5.5999999999999995E-4</v>
      </c>
      <c r="F12" s="119">
        <f t="shared" si="0"/>
        <v>-37476.815599999994</v>
      </c>
      <c r="G12" s="119">
        <f t="shared" si="1"/>
        <v>-37476.815599999994</v>
      </c>
      <c r="H12" s="120">
        <f t="shared" si="2"/>
        <v>0</v>
      </c>
      <c r="I12" s="173">
        <f t="shared" si="3"/>
        <v>0</v>
      </c>
    </row>
    <row r="13" spans="1:10" x14ac:dyDescent="0.25">
      <c r="A13" s="114" t="s">
        <v>10</v>
      </c>
      <c r="B13" s="146">
        <v>85</v>
      </c>
      <c r="C13" s="116">
        <f>Therms_CY2023!P14</f>
        <v>11124640</v>
      </c>
      <c r="D13" s="100">
        <v>-2.7E-4</v>
      </c>
      <c r="E13" s="100">
        <v>-2.7E-4</v>
      </c>
      <c r="F13" s="119">
        <f t="shared" si="0"/>
        <v>-3003.6527999999998</v>
      </c>
      <c r="G13" s="119">
        <f t="shared" si="1"/>
        <v>-3003.6527999999998</v>
      </c>
      <c r="H13" s="120">
        <f t="shared" si="2"/>
        <v>0</v>
      </c>
      <c r="I13" s="173">
        <f t="shared" si="3"/>
        <v>0</v>
      </c>
    </row>
    <row r="14" spans="1:10" x14ac:dyDescent="0.25">
      <c r="A14" s="114" t="s">
        <v>11</v>
      </c>
      <c r="B14" s="146">
        <v>86</v>
      </c>
      <c r="C14" s="116">
        <f>Therms_CY2023!P15</f>
        <v>5691490</v>
      </c>
      <c r="D14" s="100">
        <v>-3.3E-4</v>
      </c>
      <c r="E14" s="100">
        <v>-3.3E-4</v>
      </c>
      <c r="F14" s="119">
        <f t="shared" si="0"/>
        <v>-1878.1917000000001</v>
      </c>
      <c r="G14" s="119">
        <f t="shared" si="1"/>
        <v>-1878.1917000000001</v>
      </c>
      <c r="H14" s="120">
        <f t="shared" si="2"/>
        <v>0</v>
      </c>
      <c r="I14" s="173">
        <f t="shared" si="3"/>
        <v>0</v>
      </c>
    </row>
    <row r="15" spans="1:10" x14ac:dyDescent="0.25">
      <c r="A15" s="114" t="s">
        <v>12</v>
      </c>
      <c r="B15" s="146">
        <v>87</v>
      </c>
      <c r="C15" s="116">
        <f>Therms_CY2023!P16</f>
        <v>21819455.762355205</v>
      </c>
      <c r="D15" s="100">
        <v>-1.3999999999999999E-4</v>
      </c>
      <c r="E15" s="100">
        <v>-1.3999999999999999E-4</v>
      </c>
      <c r="F15" s="119">
        <f t="shared" si="0"/>
        <v>-3054.7238067297285</v>
      </c>
      <c r="G15" s="119">
        <f t="shared" si="1"/>
        <v>-3054.7238067297285</v>
      </c>
      <c r="H15" s="120">
        <f t="shared" si="2"/>
        <v>0</v>
      </c>
      <c r="I15" s="173">
        <f t="shared" si="3"/>
        <v>0</v>
      </c>
    </row>
    <row r="16" spans="1:10" x14ac:dyDescent="0.25">
      <c r="A16" s="114" t="s">
        <v>32</v>
      </c>
      <c r="B16" s="146" t="s">
        <v>33</v>
      </c>
      <c r="C16" s="116">
        <f>Therms_CY2023!P17</f>
        <v>34397</v>
      </c>
      <c r="D16" s="100">
        <v>-1.47E-3</v>
      </c>
      <c r="E16" s="100">
        <v>-1.47E-3</v>
      </c>
      <c r="F16" s="119">
        <f t="shared" si="0"/>
        <v>-50.563589999999998</v>
      </c>
      <c r="G16" s="119">
        <f t="shared" si="1"/>
        <v>-50.563589999999998</v>
      </c>
      <c r="H16" s="120">
        <f t="shared" si="2"/>
        <v>0</v>
      </c>
      <c r="I16" s="173">
        <f t="shared" si="3"/>
        <v>0</v>
      </c>
    </row>
    <row r="17" spans="1:9" x14ac:dyDescent="0.25">
      <c r="A17" s="114" t="s">
        <v>34</v>
      </c>
      <c r="B17" s="114" t="s">
        <v>35</v>
      </c>
      <c r="C17" s="116">
        <f>Therms_CY2023!P18</f>
        <v>25464521</v>
      </c>
      <c r="D17" s="100">
        <v>-5.5999999999999995E-4</v>
      </c>
      <c r="E17" s="100">
        <v>-5.5999999999999995E-4</v>
      </c>
      <c r="F17" s="119">
        <f t="shared" si="0"/>
        <v>-14260.131759999998</v>
      </c>
      <c r="G17" s="119">
        <f t="shared" si="1"/>
        <v>-14260.131759999998</v>
      </c>
      <c r="H17" s="120">
        <f t="shared" si="2"/>
        <v>0</v>
      </c>
      <c r="I17" s="173">
        <f t="shared" si="3"/>
        <v>0</v>
      </c>
    </row>
    <row r="18" spans="1:9" x14ac:dyDescent="0.25">
      <c r="A18" s="114" t="s">
        <v>36</v>
      </c>
      <c r="B18" s="114" t="s">
        <v>37</v>
      </c>
      <c r="C18" s="116">
        <f>Therms_CY2023!P19</f>
        <v>62787518</v>
      </c>
      <c r="D18" s="100">
        <v>-2.7E-4</v>
      </c>
      <c r="E18" s="100">
        <v>-2.7E-4</v>
      </c>
      <c r="F18" s="119">
        <f t="shared" si="0"/>
        <v>-16952.629860000001</v>
      </c>
      <c r="G18" s="119">
        <f t="shared" si="1"/>
        <v>-16952.629860000001</v>
      </c>
      <c r="H18" s="120">
        <f t="shared" si="2"/>
        <v>0</v>
      </c>
      <c r="I18" s="173">
        <f t="shared" si="3"/>
        <v>0</v>
      </c>
    </row>
    <row r="19" spans="1:9" x14ac:dyDescent="0.25">
      <c r="A19" s="114" t="s">
        <v>38</v>
      </c>
      <c r="B19" s="114" t="s">
        <v>39</v>
      </c>
      <c r="C19" s="116">
        <f>Therms_CY2023!P20</f>
        <v>542409</v>
      </c>
      <c r="D19" s="100">
        <v>-3.3E-4</v>
      </c>
      <c r="E19" s="100">
        <v>-3.3E-4</v>
      </c>
      <c r="F19" s="119">
        <f t="shared" si="0"/>
        <v>-178.99497</v>
      </c>
      <c r="G19" s="119">
        <f t="shared" si="1"/>
        <v>-178.99497</v>
      </c>
      <c r="H19" s="120">
        <f t="shared" si="2"/>
        <v>0</v>
      </c>
      <c r="I19" s="173">
        <f t="shared" si="3"/>
        <v>0</v>
      </c>
    </row>
    <row r="20" spans="1:9" x14ac:dyDescent="0.25">
      <c r="A20" s="114" t="s">
        <v>40</v>
      </c>
      <c r="B20" s="114" t="s">
        <v>41</v>
      </c>
      <c r="C20" s="116">
        <f>Therms_CY2023!P21</f>
        <v>128953412.64547956</v>
      </c>
      <c r="D20" s="100">
        <v>-1.3999999999999999E-4</v>
      </c>
      <c r="E20" s="100">
        <v>-1.3999999999999999E-4</v>
      </c>
      <c r="F20" s="119">
        <f t="shared" si="0"/>
        <v>-18053.477770367135</v>
      </c>
      <c r="G20" s="119">
        <f t="shared" si="1"/>
        <v>-18053.477770367135</v>
      </c>
      <c r="H20" s="120">
        <f t="shared" si="2"/>
        <v>0</v>
      </c>
      <c r="I20" s="173">
        <f t="shared" si="3"/>
        <v>0</v>
      </c>
    </row>
    <row r="21" spans="1:9" x14ac:dyDescent="0.25">
      <c r="A21" s="114" t="s">
        <v>13</v>
      </c>
      <c r="C21" s="116">
        <f>Therms_CY2023!P22</f>
        <v>31066760</v>
      </c>
      <c r="D21" s="10">
        <v>-6.9999999999999994E-5</v>
      </c>
      <c r="E21" s="10">
        <v>-6.9999999999999994E-5</v>
      </c>
      <c r="F21" s="119">
        <f>C21*D21</f>
        <v>-2174.6731999999997</v>
      </c>
      <c r="G21" s="119">
        <f t="shared" si="1"/>
        <v>-2174.6731999999997</v>
      </c>
      <c r="H21" s="120">
        <f t="shared" si="2"/>
        <v>0</v>
      </c>
      <c r="I21" s="173">
        <f t="shared" si="3"/>
        <v>0</v>
      </c>
    </row>
    <row r="22" spans="1:9" x14ac:dyDescent="0.25">
      <c r="A22" s="114" t="s">
        <v>6</v>
      </c>
      <c r="C22" s="179">
        <f>SUM(C9:C21)</f>
        <v>1233977929.407835</v>
      </c>
      <c r="D22" s="180"/>
      <c r="E22" s="199"/>
      <c r="F22" s="125">
        <f t="shared" ref="F22:H22" si="4">SUM(F9:F21)</f>
        <v>-1326414.5840270973</v>
      </c>
      <c r="G22" s="125">
        <f t="shared" si="4"/>
        <v>-1326414.5840270973</v>
      </c>
      <c r="H22" s="181">
        <f t="shared" si="4"/>
        <v>0</v>
      </c>
      <c r="I22" s="174">
        <f>-H22/F22</f>
        <v>0</v>
      </c>
    </row>
    <row r="23" spans="1:9" x14ac:dyDescent="0.25">
      <c r="F23" s="120"/>
      <c r="G23" s="120"/>
    </row>
    <row r="24" spans="1:9" x14ac:dyDescent="0.25">
      <c r="C24" s="147"/>
      <c r="F24" s="120"/>
      <c r="G24" s="120"/>
    </row>
    <row r="25" spans="1:9" x14ac:dyDescent="0.25">
      <c r="A25" s="18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zoomScale="90" zoomScaleNormal="90" workbookViewId="0">
      <pane ySplit="8" topLeftCell="A30" activePane="bottomLeft" state="frozen"/>
      <selection pane="bottomLeft" activeCell="D8" sqref="D8"/>
    </sheetView>
  </sheetViews>
  <sheetFormatPr defaultColWidth="9.140625" defaultRowHeight="15" x14ac:dyDescent="0.25"/>
  <cols>
    <col min="1" max="1" width="2.5703125" style="1" customWidth="1"/>
    <col min="2" max="2" width="26.42578125" style="1" customWidth="1"/>
    <col min="3" max="3" width="8.7109375" style="1" bestFit="1" customWidth="1"/>
    <col min="4" max="4" width="18.5703125" style="1" bestFit="1" customWidth="1"/>
    <col min="5" max="6" width="13.7109375" style="1" customWidth="1"/>
    <col min="7" max="8" width="14.42578125" style="1" customWidth="1"/>
    <col min="9" max="9" width="16" style="1" bestFit="1" customWidth="1"/>
    <col min="10" max="10" width="8.28515625" style="1" customWidth="1"/>
    <col min="11" max="12" width="9.140625" style="1"/>
    <col min="13" max="14" width="11.28515625" style="1" bestFit="1" customWidth="1"/>
    <col min="15" max="15" width="9.7109375" style="1" bestFit="1" customWidth="1"/>
    <col min="16" max="16384" width="9.140625" style="1"/>
  </cols>
  <sheetData>
    <row r="1" spans="1:14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4" x14ac:dyDescent="0.25">
      <c r="A2" s="383" t="s">
        <v>156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4" x14ac:dyDescent="0.25">
      <c r="A3" s="383" t="s">
        <v>157</v>
      </c>
      <c r="B3" s="383"/>
      <c r="C3" s="383"/>
      <c r="D3" s="383"/>
      <c r="E3" s="383"/>
      <c r="F3" s="383"/>
      <c r="G3" s="383"/>
      <c r="H3" s="383"/>
      <c r="I3" s="383"/>
      <c r="J3" s="383"/>
    </row>
    <row r="4" spans="1:14" x14ac:dyDescent="0.25">
      <c r="A4" s="383" t="s">
        <v>174</v>
      </c>
      <c r="B4" s="383"/>
      <c r="C4" s="383"/>
      <c r="D4" s="383"/>
      <c r="E4" s="383"/>
      <c r="F4" s="383"/>
      <c r="G4" s="383"/>
      <c r="H4" s="383"/>
      <c r="I4" s="383"/>
      <c r="J4" s="383"/>
    </row>
    <row r="5" spans="1:14" x14ac:dyDescent="0.25">
      <c r="A5" s="156"/>
      <c r="B5" s="156"/>
      <c r="C5" s="156"/>
      <c r="D5" s="156"/>
      <c r="E5" s="156"/>
      <c r="F5" s="156"/>
      <c r="G5" s="156"/>
      <c r="H5" s="156"/>
      <c r="I5" s="167"/>
    </row>
    <row r="6" spans="1:14" ht="15" customHeight="1" x14ac:dyDescent="0.25">
      <c r="C6" s="156"/>
      <c r="D6" s="104" t="s">
        <v>15</v>
      </c>
      <c r="E6" s="168" t="s">
        <v>5</v>
      </c>
      <c r="F6" s="168" t="s">
        <v>1</v>
      </c>
      <c r="G6" s="154" t="s">
        <v>15</v>
      </c>
      <c r="H6" s="154" t="s">
        <v>15</v>
      </c>
      <c r="I6" s="104" t="s">
        <v>134</v>
      </c>
    </row>
    <row r="7" spans="1:14" ht="15" customHeight="1" x14ac:dyDescent="0.25">
      <c r="C7" s="156" t="s">
        <v>17</v>
      </c>
      <c r="D7" s="104" t="s">
        <v>3</v>
      </c>
      <c r="E7" s="168" t="s">
        <v>51</v>
      </c>
      <c r="F7" s="168" t="s">
        <v>51</v>
      </c>
      <c r="G7" s="154" t="s">
        <v>2</v>
      </c>
      <c r="H7" s="154" t="s">
        <v>2</v>
      </c>
      <c r="I7" s="104" t="s">
        <v>52</v>
      </c>
      <c r="J7" s="104" t="s">
        <v>20</v>
      </c>
    </row>
    <row r="8" spans="1:14" x14ac:dyDescent="0.25">
      <c r="A8" s="169" t="s">
        <v>81</v>
      </c>
      <c r="B8" s="169"/>
      <c r="C8" s="151" t="s">
        <v>21</v>
      </c>
      <c r="D8" s="90" t="str">
        <f>'Sch. 101'!$D$8</f>
        <v>12ME Dec. 2023</v>
      </c>
      <c r="E8" s="106" t="s">
        <v>22</v>
      </c>
      <c r="F8" s="106" t="s">
        <v>22</v>
      </c>
      <c r="G8" s="61" t="s">
        <v>23</v>
      </c>
      <c r="H8" s="61" t="s">
        <v>131</v>
      </c>
      <c r="I8" s="157" t="s">
        <v>122</v>
      </c>
      <c r="J8" s="157" t="s">
        <v>24</v>
      </c>
    </row>
    <row r="9" spans="1:14" x14ac:dyDescent="0.25">
      <c r="A9" s="104"/>
      <c r="B9" s="104"/>
      <c r="C9" s="104"/>
      <c r="D9" s="170"/>
      <c r="E9" s="171"/>
      <c r="F9" s="171"/>
      <c r="G9" s="104"/>
      <c r="H9" s="104"/>
      <c r="I9" s="172"/>
    </row>
    <row r="10" spans="1:14" x14ac:dyDescent="0.25">
      <c r="A10" s="1" t="s">
        <v>7</v>
      </c>
      <c r="C10" s="156" t="s">
        <v>53</v>
      </c>
      <c r="D10" s="59">
        <f>SUM(Therms_CY2023!P10,Therms_CY2023!P11)</f>
        <v>636369361</v>
      </c>
      <c r="E10" s="144">
        <v>2.2519999999999998E-2</v>
      </c>
      <c r="F10" s="144">
        <v>2.2519999999999998E-2</v>
      </c>
      <c r="G10" s="103">
        <f>ROUND(E10*D10,2)</f>
        <v>14331038.01</v>
      </c>
      <c r="H10" s="103">
        <f>ROUND(F10*D10,2)</f>
        <v>14331038.01</v>
      </c>
      <c r="I10" s="103">
        <f>H10-G10</f>
        <v>0</v>
      </c>
      <c r="J10" s="173">
        <f>I10/G10</f>
        <v>0</v>
      </c>
      <c r="L10" s="103"/>
      <c r="M10" s="103"/>
      <c r="N10" s="103"/>
    </row>
    <row r="11" spans="1:14" x14ac:dyDescent="0.25">
      <c r="C11" s="156"/>
      <c r="D11" s="98"/>
      <c r="E11" s="144"/>
      <c r="F11" s="144"/>
      <c r="G11" s="103"/>
      <c r="H11" s="103"/>
      <c r="I11" s="103"/>
      <c r="L11" s="103"/>
      <c r="M11" s="103"/>
      <c r="N11" s="103"/>
    </row>
    <row r="12" spans="1:14" x14ac:dyDescent="0.25">
      <c r="A12" s="1" t="s">
        <v>54</v>
      </c>
      <c r="C12" s="156">
        <v>31</v>
      </c>
      <c r="F12" s="114"/>
      <c r="L12" s="103"/>
      <c r="M12" s="103"/>
      <c r="N12" s="103"/>
    </row>
    <row r="13" spans="1:14" x14ac:dyDescent="0.25">
      <c r="B13" s="1" t="s">
        <v>57</v>
      </c>
      <c r="C13" s="156"/>
      <c r="D13" s="59">
        <f>Therms_CY2023!$P$12</f>
        <v>243192248</v>
      </c>
      <c r="E13" s="144">
        <v>3.117E-2</v>
      </c>
      <c r="F13" s="144">
        <v>3.117E-2</v>
      </c>
      <c r="G13" s="103">
        <f>ROUND(E13*D13,2)</f>
        <v>7580302.3700000001</v>
      </c>
      <c r="H13" s="103">
        <f t="shared" ref="H13:H14" si="0">ROUND(F13*D13,2)</f>
        <v>7580302.3700000001</v>
      </c>
      <c r="I13" s="103">
        <f t="shared" ref="I13:I14" si="1">H13-G13</f>
        <v>0</v>
      </c>
      <c r="J13" s="173">
        <f t="shared" ref="J13:J15" si="2">I13/G13</f>
        <v>0</v>
      </c>
      <c r="L13" s="103"/>
      <c r="M13" s="103"/>
      <c r="N13" s="103"/>
    </row>
    <row r="14" spans="1:14" x14ac:dyDescent="0.25">
      <c r="B14" s="1" t="s">
        <v>61</v>
      </c>
      <c r="C14" s="156"/>
      <c r="D14" s="59">
        <f>Therms_CY2023!$P$12</f>
        <v>243192248</v>
      </c>
      <c r="E14" s="144">
        <v>1.1100000000000001E-3</v>
      </c>
      <c r="F14" s="144">
        <v>1.1100000000000001E-3</v>
      </c>
      <c r="G14" s="103">
        <f>ROUND(E14*D14,2)</f>
        <v>269943.40000000002</v>
      </c>
      <c r="H14" s="103">
        <f t="shared" si="0"/>
        <v>269943.40000000002</v>
      </c>
      <c r="I14" s="103">
        <f t="shared" si="1"/>
        <v>0</v>
      </c>
      <c r="J14" s="173">
        <f t="shared" si="2"/>
        <v>0</v>
      </c>
      <c r="L14" s="103"/>
      <c r="M14" s="103"/>
      <c r="N14" s="103"/>
    </row>
    <row r="15" spans="1:14" x14ac:dyDescent="0.25">
      <c r="B15" s="1" t="s">
        <v>6</v>
      </c>
      <c r="C15" s="156"/>
      <c r="D15" s="59"/>
      <c r="E15" s="144"/>
      <c r="F15" s="144"/>
      <c r="G15" s="102">
        <f>SUM(G13:G14)</f>
        <v>7850245.7700000005</v>
      </c>
      <c r="H15" s="102">
        <f t="shared" ref="H15:I15" si="3">SUM(H13:H14)</f>
        <v>7850245.7700000005</v>
      </c>
      <c r="I15" s="102">
        <f t="shared" si="3"/>
        <v>0</v>
      </c>
      <c r="J15" s="174">
        <f t="shared" si="2"/>
        <v>0</v>
      </c>
      <c r="L15" s="103"/>
      <c r="M15" s="103"/>
      <c r="N15" s="103"/>
    </row>
    <row r="16" spans="1:14" x14ac:dyDescent="0.25">
      <c r="C16" s="156"/>
      <c r="D16" s="98"/>
      <c r="E16" s="144"/>
      <c r="F16" s="144"/>
      <c r="G16" s="103"/>
      <c r="H16" s="103"/>
      <c r="I16" s="103"/>
      <c r="L16" s="103"/>
      <c r="M16" s="103"/>
      <c r="N16" s="103"/>
    </row>
    <row r="17" spans="1:14" x14ac:dyDescent="0.25">
      <c r="A17" s="1" t="s">
        <v>110</v>
      </c>
      <c r="C17" s="156" t="s">
        <v>33</v>
      </c>
      <c r="D17" s="98"/>
      <c r="E17" s="144"/>
      <c r="F17" s="144"/>
      <c r="G17" s="103"/>
      <c r="H17" s="103"/>
      <c r="I17" s="103"/>
      <c r="L17" s="103"/>
      <c r="M17" s="103"/>
      <c r="N17" s="103"/>
    </row>
    <row r="18" spans="1:14" x14ac:dyDescent="0.25">
      <c r="B18" s="1" t="s">
        <v>57</v>
      </c>
      <c r="C18" s="156"/>
      <c r="D18" s="59">
        <f>Therms_CY2023!P17</f>
        <v>34397</v>
      </c>
      <c r="E18" s="144">
        <v>3.117E-2</v>
      </c>
      <c r="F18" s="144">
        <v>3.117E-2</v>
      </c>
      <c r="G18" s="103">
        <f>ROUND(E18*D18,2)</f>
        <v>1072.1500000000001</v>
      </c>
      <c r="H18" s="103">
        <f t="shared" ref="H18" si="4">ROUND(F18*D18,2)</f>
        <v>1072.1500000000001</v>
      </c>
      <c r="I18" s="103">
        <f t="shared" ref="I18" si="5">H18-G18</f>
        <v>0</v>
      </c>
      <c r="J18" s="173">
        <f t="shared" ref="J18" si="6">I18/G18</f>
        <v>0</v>
      </c>
      <c r="L18" s="103"/>
      <c r="M18" s="103"/>
      <c r="N18" s="103"/>
    </row>
    <row r="19" spans="1:14" x14ac:dyDescent="0.25">
      <c r="C19" s="156"/>
      <c r="D19" s="98"/>
      <c r="E19" s="144"/>
      <c r="F19" s="144"/>
      <c r="G19" s="103"/>
      <c r="H19" s="103"/>
      <c r="I19" s="103"/>
      <c r="L19" s="103"/>
      <c r="M19" s="103"/>
      <c r="N19" s="103"/>
    </row>
    <row r="20" spans="1:14" x14ac:dyDescent="0.25">
      <c r="A20" s="1" t="s">
        <v>55</v>
      </c>
      <c r="C20" s="156">
        <v>41</v>
      </c>
      <c r="D20" s="59"/>
      <c r="E20" s="144"/>
      <c r="F20" s="144"/>
      <c r="G20" s="103"/>
      <c r="H20" s="103"/>
      <c r="I20" s="103"/>
      <c r="L20" s="103"/>
      <c r="M20" s="103"/>
      <c r="N20" s="103"/>
    </row>
    <row r="21" spans="1:14" x14ac:dyDescent="0.25">
      <c r="B21" s="1" t="s">
        <v>56</v>
      </c>
      <c r="C21" s="156"/>
      <c r="D21" s="59">
        <f>'12ME Dec 2023 Data'!N12</f>
        <v>4682844</v>
      </c>
      <c r="E21" s="145">
        <v>-0.13</v>
      </c>
      <c r="F21" s="145">
        <v>-0.13</v>
      </c>
      <c r="G21" s="103">
        <f>ROUND(E21*D21,2)</f>
        <v>-608769.72</v>
      </c>
      <c r="H21" s="103">
        <f t="shared" ref="H21:H22" si="7">ROUND(F21*D21,2)</f>
        <v>-608769.72</v>
      </c>
      <c r="I21" s="103">
        <f t="shared" ref="I21:I22" si="8">H21-G21</f>
        <v>0</v>
      </c>
      <c r="J21" s="173">
        <f t="shared" ref="J21:J27" si="9">I21/G21</f>
        <v>0</v>
      </c>
      <c r="L21" s="103"/>
      <c r="M21" s="103"/>
      <c r="N21" s="103"/>
    </row>
    <row r="22" spans="1:14" x14ac:dyDescent="0.25">
      <c r="B22" s="1" t="s">
        <v>61</v>
      </c>
      <c r="C22" s="156"/>
      <c r="D22" s="59">
        <f>Therms_CY2023!P13</f>
        <v>66922885</v>
      </c>
      <c r="E22" s="144">
        <v>-1.0200000000000001E-3</v>
      </c>
      <c r="F22" s="144">
        <v>-1.0200000000000001E-3</v>
      </c>
      <c r="G22" s="103">
        <f>ROUND(E22*D22,2)</f>
        <v>-68261.34</v>
      </c>
      <c r="H22" s="103">
        <f t="shared" si="7"/>
        <v>-68261.34</v>
      </c>
      <c r="I22" s="103">
        <f t="shared" si="8"/>
        <v>0</v>
      </c>
      <c r="J22" s="173">
        <f t="shared" si="9"/>
        <v>0</v>
      </c>
      <c r="L22" s="103"/>
      <c r="M22" s="103"/>
      <c r="N22" s="103"/>
    </row>
    <row r="23" spans="1:14" x14ac:dyDescent="0.25">
      <c r="B23" s="1" t="s">
        <v>57</v>
      </c>
      <c r="C23" s="156"/>
      <c r="D23" s="59"/>
      <c r="E23" s="144"/>
      <c r="F23" s="144"/>
      <c r="G23" s="103"/>
      <c r="H23" s="103"/>
      <c r="I23" s="103"/>
      <c r="J23" s="173"/>
      <c r="L23" s="103"/>
      <c r="M23" s="103"/>
      <c r="N23" s="103"/>
    </row>
    <row r="24" spans="1:14" x14ac:dyDescent="0.25">
      <c r="B24" s="1" t="s">
        <v>145</v>
      </c>
      <c r="C24" s="156"/>
      <c r="D24" s="59">
        <f>Therms_CY2023!$P$13*'12ME Dec 2023 Therms by Block%'!N7</f>
        <v>13187913.909797862</v>
      </c>
      <c r="E24" s="144">
        <v>0</v>
      </c>
      <c r="F24" s="144">
        <v>0</v>
      </c>
      <c r="G24" s="103">
        <f>ROUND(E24*D24,2)</f>
        <v>0</v>
      </c>
      <c r="H24" s="103">
        <f t="shared" ref="H24:H26" si="10">ROUND(F24*D24,2)</f>
        <v>0</v>
      </c>
      <c r="I24" s="103">
        <f t="shared" ref="I24:I26" si="11">H24-G24</f>
        <v>0</v>
      </c>
      <c r="J24" s="173"/>
      <c r="L24" s="103"/>
      <c r="M24" s="103"/>
      <c r="N24" s="103"/>
    </row>
    <row r="25" spans="1:14" x14ac:dyDescent="0.25">
      <c r="B25" s="1" t="s">
        <v>58</v>
      </c>
      <c r="C25" s="156"/>
      <c r="D25" s="59">
        <f>Therms_CY2023!$P$13*'12ME Dec 2023 Therms by Block%'!N8</f>
        <v>29570821.950464174</v>
      </c>
      <c r="E25" s="144">
        <v>-1.404E-2</v>
      </c>
      <c r="F25" s="144">
        <v>-1.404E-2</v>
      </c>
      <c r="G25" s="103">
        <f>ROUND(E25*D25,2)</f>
        <v>-415174.34</v>
      </c>
      <c r="H25" s="103">
        <f t="shared" si="10"/>
        <v>-415174.34</v>
      </c>
      <c r="I25" s="103">
        <f t="shared" si="11"/>
        <v>0</v>
      </c>
      <c r="J25" s="173">
        <f t="shared" si="9"/>
        <v>0</v>
      </c>
      <c r="L25" s="103"/>
      <c r="M25" s="103"/>
      <c r="N25" s="103"/>
    </row>
    <row r="26" spans="1:14" x14ac:dyDescent="0.25">
      <c r="B26" s="1" t="s">
        <v>59</v>
      </c>
      <c r="C26" s="156"/>
      <c r="D26" s="59">
        <f>Therms_CY2023!$P$13*'12ME Dec 2023 Therms by Block%'!N9</f>
        <v>24164149.139737967</v>
      </c>
      <c r="E26" s="144">
        <v>-1.1299999999999999E-2</v>
      </c>
      <c r="F26" s="144">
        <v>-1.1299999999999999E-2</v>
      </c>
      <c r="G26" s="49">
        <f>ROUND(E26*D26,2)</f>
        <v>-273054.89</v>
      </c>
      <c r="H26" s="103">
        <f t="shared" si="10"/>
        <v>-273054.89</v>
      </c>
      <c r="I26" s="103">
        <f t="shared" si="11"/>
        <v>0</v>
      </c>
      <c r="J26" s="173">
        <f t="shared" si="9"/>
        <v>0</v>
      </c>
      <c r="L26" s="103"/>
      <c r="M26" s="103"/>
      <c r="N26" s="103"/>
    </row>
    <row r="27" spans="1:14" x14ac:dyDescent="0.25">
      <c r="B27" s="1" t="s">
        <v>6</v>
      </c>
      <c r="C27" s="156"/>
      <c r="D27" s="59"/>
      <c r="E27" s="144"/>
      <c r="F27" s="144"/>
      <c r="G27" s="102">
        <f>SUM(G21:G26)</f>
        <v>-1365260.29</v>
      </c>
      <c r="H27" s="102">
        <f t="shared" ref="H27:I27" si="12">SUM(H21:H26)</f>
        <v>-1365260.29</v>
      </c>
      <c r="I27" s="102">
        <f t="shared" si="12"/>
        <v>0</v>
      </c>
      <c r="J27" s="174">
        <f t="shared" si="9"/>
        <v>0</v>
      </c>
      <c r="L27" s="103"/>
      <c r="M27" s="103"/>
      <c r="N27" s="103"/>
    </row>
    <row r="28" spans="1:14" x14ac:dyDescent="0.25">
      <c r="C28" s="156"/>
      <c r="D28" s="98"/>
      <c r="E28" s="144"/>
      <c r="F28" s="144"/>
      <c r="G28" s="103"/>
      <c r="H28" s="103"/>
      <c r="I28" s="103"/>
      <c r="L28" s="103"/>
      <c r="M28" s="103"/>
      <c r="N28" s="103"/>
    </row>
    <row r="29" spans="1:14" x14ac:dyDescent="0.25">
      <c r="A29" s="1" t="s">
        <v>60</v>
      </c>
      <c r="C29" s="156" t="s">
        <v>35</v>
      </c>
      <c r="D29" s="59"/>
      <c r="E29" s="144"/>
      <c r="F29" s="144"/>
      <c r="G29" s="103"/>
      <c r="H29" s="103"/>
      <c r="I29" s="103"/>
      <c r="L29" s="103"/>
      <c r="M29" s="103"/>
      <c r="N29" s="103"/>
    </row>
    <row r="30" spans="1:14" x14ac:dyDescent="0.25">
      <c r="B30" s="1" t="s">
        <v>56</v>
      </c>
      <c r="C30" s="156"/>
      <c r="D30" s="59">
        <f>'12ME Dec 2023 Data'!N13</f>
        <v>1092876</v>
      </c>
      <c r="E30" s="145">
        <v>-0.13</v>
      </c>
      <c r="F30" s="145">
        <v>-0.13</v>
      </c>
      <c r="G30" s="103">
        <f>ROUND(E30*D30,2)</f>
        <v>-142073.88</v>
      </c>
      <c r="H30" s="103">
        <f t="shared" ref="H30" si="13">ROUND(F30*D30,2)</f>
        <v>-142073.88</v>
      </c>
      <c r="I30" s="103">
        <f t="shared" ref="I30" si="14">H30-G30</f>
        <v>0</v>
      </c>
      <c r="J30" s="173">
        <f t="shared" ref="J30" si="15">I30/G30</f>
        <v>0</v>
      </c>
      <c r="L30" s="103"/>
      <c r="M30" s="103"/>
      <c r="N30" s="103"/>
    </row>
    <row r="31" spans="1:14" x14ac:dyDescent="0.25">
      <c r="B31" s="1" t="s">
        <v>57</v>
      </c>
      <c r="C31" s="156"/>
      <c r="D31" s="59"/>
      <c r="E31" s="144"/>
      <c r="F31" s="144"/>
      <c r="G31" s="103"/>
      <c r="H31" s="103"/>
      <c r="I31" s="103"/>
      <c r="L31" s="103"/>
      <c r="M31" s="103"/>
      <c r="N31" s="103"/>
    </row>
    <row r="32" spans="1:14" x14ac:dyDescent="0.25">
      <c r="B32" s="1" t="s">
        <v>145</v>
      </c>
      <c r="C32" s="156"/>
      <c r="D32" s="59">
        <f>Therms_CY2023!$P$18*'12ME Dec 2023 Therms by Block%'!N13</f>
        <v>1425917.3695433964</v>
      </c>
      <c r="E32" s="144">
        <v>0</v>
      </c>
      <c r="F32" s="144">
        <v>0</v>
      </c>
      <c r="G32" s="103">
        <f>ROUND(E32*D32,2)</f>
        <v>0</v>
      </c>
      <c r="H32" s="103">
        <f t="shared" ref="H32" si="16">ROUND(F32*D32,2)</f>
        <v>0</v>
      </c>
      <c r="I32" s="103">
        <f t="shared" ref="I32" si="17">H32-G32</f>
        <v>0</v>
      </c>
      <c r="J32" s="173"/>
      <c r="L32" s="103"/>
      <c r="M32" s="103"/>
      <c r="N32" s="103"/>
    </row>
    <row r="33" spans="1:14" x14ac:dyDescent="0.25">
      <c r="B33" s="1" t="s">
        <v>58</v>
      </c>
      <c r="C33" s="156"/>
      <c r="D33" s="59">
        <f>Therms_CY2023!$P$18*'12ME Dec 2023 Therms by Block%'!N14</f>
        <v>5201192.5123006459</v>
      </c>
      <c r="E33" s="144">
        <v>-1.404E-2</v>
      </c>
      <c r="F33" s="144">
        <v>-1.404E-2</v>
      </c>
      <c r="G33" s="103">
        <f>ROUND(E33*D33,2)</f>
        <v>-73024.740000000005</v>
      </c>
      <c r="H33" s="103">
        <f t="shared" ref="H33:H34" si="18">ROUND(F33*D33,2)</f>
        <v>-73024.740000000005</v>
      </c>
      <c r="I33" s="103">
        <f t="shared" ref="I33:I34" si="19">H33-G33</f>
        <v>0</v>
      </c>
      <c r="J33" s="173">
        <f t="shared" ref="J33:J35" si="20">I33/G33</f>
        <v>0</v>
      </c>
      <c r="L33" s="103"/>
      <c r="M33" s="103"/>
      <c r="N33" s="103"/>
    </row>
    <row r="34" spans="1:14" x14ac:dyDescent="0.25">
      <c r="B34" s="1" t="s">
        <v>59</v>
      </c>
      <c r="C34" s="156"/>
      <c r="D34" s="74">
        <f>Therms_CY2023!$P$18*'12ME Dec 2023 Therms by Block%'!N15</f>
        <v>18837411.118155956</v>
      </c>
      <c r="E34" s="144">
        <v>-1.1299999999999999E-2</v>
      </c>
      <c r="F34" s="144">
        <v>-1.1299999999999999E-2</v>
      </c>
      <c r="G34" s="49">
        <f>ROUND(E34*D34,2)</f>
        <v>-212862.75</v>
      </c>
      <c r="H34" s="103">
        <f t="shared" si="18"/>
        <v>-212862.75</v>
      </c>
      <c r="I34" s="103">
        <f t="shared" si="19"/>
        <v>0</v>
      </c>
      <c r="J34" s="173">
        <f t="shared" si="20"/>
        <v>0</v>
      </c>
      <c r="L34" s="103"/>
      <c r="M34" s="103"/>
      <c r="N34" s="103"/>
    </row>
    <row r="35" spans="1:14" x14ac:dyDescent="0.25">
      <c r="B35" s="1" t="s">
        <v>6</v>
      </c>
      <c r="C35" s="156"/>
      <c r="D35" s="59"/>
      <c r="E35" s="144"/>
      <c r="F35" s="144"/>
      <c r="G35" s="102">
        <f>SUM(G30:G34)</f>
        <v>-427961.37</v>
      </c>
      <c r="H35" s="102">
        <f>SUM(H30:H34)</f>
        <v>-427961.37</v>
      </c>
      <c r="I35" s="102">
        <f>SUM(I30:I34)</f>
        <v>0</v>
      </c>
      <c r="J35" s="174">
        <f t="shared" si="20"/>
        <v>0</v>
      </c>
      <c r="L35" s="103"/>
      <c r="M35" s="103"/>
      <c r="N35" s="103"/>
    </row>
    <row r="36" spans="1:14" x14ac:dyDescent="0.25">
      <c r="C36" s="156"/>
      <c r="D36" s="98"/>
      <c r="E36" s="144"/>
      <c r="F36" s="144"/>
      <c r="G36" s="103"/>
      <c r="H36" s="103"/>
      <c r="I36" s="103"/>
      <c r="L36" s="103"/>
      <c r="M36" s="103"/>
      <c r="N36" s="103"/>
    </row>
    <row r="37" spans="1:14" x14ac:dyDescent="0.25">
      <c r="A37" s="1" t="s">
        <v>11</v>
      </c>
      <c r="C37" s="156">
        <v>86</v>
      </c>
      <c r="D37" s="98"/>
      <c r="E37" s="144"/>
      <c r="F37" s="144"/>
      <c r="G37" s="103"/>
      <c r="H37" s="103"/>
      <c r="I37" s="103"/>
      <c r="L37" s="103"/>
      <c r="M37" s="103"/>
      <c r="N37" s="103"/>
    </row>
    <row r="38" spans="1:14" x14ac:dyDescent="0.25">
      <c r="B38" s="1" t="s">
        <v>56</v>
      </c>
      <c r="C38" s="156"/>
      <c r="D38" s="59">
        <f>'12ME Dec 2023 Data'!N16</f>
        <v>38184</v>
      </c>
      <c r="E38" s="145">
        <v>-0.14000000000000001</v>
      </c>
      <c r="F38" s="145">
        <v>-0.14000000000000001</v>
      </c>
      <c r="G38" s="103">
        <f>ROUND(E38*D38,2)</f>
        <v>-5345.76</v>
      </c>
      <c r="H38" s="103">
        <f t="shared" ref="H38:H39" si="21">ROUND(F38*D38,2)</f>
        <v>-5345.76</v>
      </c>
      <c r="I38" s="103">
        <f t="shared" ref="I38:I39" si="22">H38-G38</f>
        <v>0</v>
      </c>
      <c r="J38" s="173">
        <f t="shared" ref="J38:J39" si="23">I38/G38</f>
        <v>0</v>
      </c>
      <c r="L38" s="103"/>
      <c r="M38" s="103"/>
      <c r="N38" s="103"/>
    </row>
    <row r="39" spans="1:14" x14ac:dyDescent="0.25">
      <c r="B39" s="1" t="s">
        <v>61</v>
      </c>
      <c r="C39" s="156"/>
      <c r="D39" s="59">
        <f>Therms_CY2023!P15</f>
        <v>5691490</v>
      </c>
      <c r="E39" s="144">
        <v>-1.24E-3</v>
      </c>
      <c r="F39" s="144">
        <v>-1.24E-3</v>
      </c>
      <c r="G39" s="103">
        <f>ROUND(E39*D39,2)</f>
        <v>-7057.45</v>
      </c>
      <c r="H39" s="103">
        <f t="shared" si="21"/>
        <v>-7057.45</v>
      </c>
      <c r="I39" s="103">
        <f t="shared" si="22"/>
        <v>0</v>
      </c>
      <c r="J39" s="173">
        <f t="shared" si="23"/>
        <v>0</v>
      </c>
      <c r="L39" s="103"/>
      <c r="M39" s="103"/>
      <c r="N39" s="103"/>
    </row>
    <row r="40" spans="1:14" x14ac:dyDescent="0.25">
      <c r="B40" s="1" t="s">
        <v>57</v>
      </c>
      <c r="C40" s="156"/>
      <c r="D40" s="98"/>
      <c r="E40" s="144"/>
      <c r="F40" s="144"/>
      <c r="G40" s="103"/>
      <c r="H40" s="103"/>
      <c r="I40" s="103"/>
      <c r="L40" s="103"/>
      <c r="M40" s="103"/>
      <c r="N40" s="103"/>
    </row>
    <row r="41" spans="1:14" x14ac:dyDescent="0.25">
      <c r="B41" s="1" t="s">
        <v>65</v>
      </c>
      <c r="C41" s="156"/>
      <c r="D41" s="59">
        <f>Therms_CY2023!P15*'12ME Dec 2023 Therms by Block%'!N31</f>
        <v>1046420.0203360041</v>
      </c>
      <c r="E41" s="144">
        <v>-1.847E-2</v>
      </c>
      <c r="F41" s="144">
        <v>-1.847E-2</v>
      </c>
      <c r="G41" s="103">
        <f>ROUND(E41*D41,2)</f>
        <v>-19327.38</v>
      </c>
      <c r="H41" s="103">
        <f t="shared" ref="H41:H42" si="24">ROUND(F41*D41,2)</f>
        <v>-19327.38</v>
      </c>
      <c r="I41" s="103">
        <f t="shared" ref="I41:I42" si="25">H41-G41</f>
        <v>0</v>
      </c>
      <c r="J41" s="173">
        <f t="shared" ref="J41:J43" si="26">I41/G41</f>
        <v>0</v>
      </c>
      <c r="L41" s="103"/>
      <c r="M41" s="103"/>
      <c r="N41" s="103"/>
    </row>
    <row r="42" spans="1:14" x14ac:dyDescent="0.25">
      <c r="B42" s="1" t="s">
        <v>66</v>
      </c>
      <c r="C42" s="156"/>
      <c r="D42" s="74">
        <f>Therms_CY2023!P15*'12ME Dec 2023 Therms by Block%'!N32</f>
        <v>4645069.979663996</v>
      </c>
      <c r="E42" s="144">
        <v>-1.3089999999999999E-2</v>
      </c>
      <c r="F42" s="144">
        <v>-1.3089999999999999E-2</v>
      </c>
      <c r="G42" s="49">
        <f>ROUND(E42*D42,2)</f>
        <v>-60803.97</v>
      </c>
      <c r="H42" s="103">
        <f t="shared" si="24"/>
        <v>-60803.97</v>
      </c>
      <c r="I42" s="103">
        <f t="shared" si="25"/>
        <v>0</v>
      </c>
      <c r="J42" s="173">
        <f t="shared" si="26"/>
        <v>0</v>
      </c>
      <c r="L42" s="103"/>
      <c r="M42" s="103"/>
      <c r="N42" s="103"/>
    </row>
    <row r="43" spans="1:14" x14ac:dyDescent="0.25">
      <c r="B43" s="1" t="s">
        <v>6</v>
      </c>
      <c r="C43" s="156"/>
      <c r="D43" s="59"/>
      <c r="E43" s="144"/>
      <c r="F43" s="144"/>
      <c r="G43" s="102">
        <f>SUM(G38:G42)</f>
        <v>-92534.56</v>
      </c>
      <c r="H43" s="102">
        <f t="shared" ref="H43:I43" si="27">SUM(H38:H42)</f>
        <v>-92534.56</v>
      </c>
      <c r="I43" s="102">
        <f t="shared" si="27"/>
        <v>0</v>
      </c>
      <c r="J43" s="174">
        <f t="shared" si="26"/>
        <v>0</v>
      </c>
      <c r="L43" s="103"/>
      <c r="M43" s="103"/>
      <c r="N43" s="103"/>
    </row>
    <row r="44" spans="1:14" x14ac:dyDescent="0.25">
      <c r="C44" s="156"/>
      <c r="D44" s="59"/>
      <c r="E44" s="144"/>
      <c r="F44" s="144"/>
      <c r="G44" s="103"/>
      <c r="H44" s="103"/>
      <c r="I44" s="103"/>
      <c r="L44" s="103"/>
      <c r="M44" s="103"/>
      <c r="N44" s="103"/>
    </row>
    <row r="45" spans="1:14" x14ac:dyDescent="0.25">
      <c r="A45" s="1" t="s">
        <v>67</v>
      </c>
      <c r="C45" s="156" t="s">
        <v>39</v>
      </c>
      <c r="D45" s="98"/>
      <c r="E45" s="144"/>
      <c r="F45" s="144"/>
      <c r="G45" s="103"/>
      <c r="H45" s="103"/>
      <c r="I45" s="103"/>
      <c r="L45" s="103"/>
      <c r="M45" s="103"/>
      <c r="N45" s="103"/>
    </row>
    <row r="46" spans="1:14" x14ac:dyDescent="0.25">
      <c r="B46" s="1" t="s">
        <v>56</v>
      </c>
      <c r="C46" s="156"/>
      <c r="D46" s="59">
        <f>'12ME Dec 2023 Data'!N17</f>
        <v>19344</v>
      </c>
      <c r="E46" s="145">
        <v>-0.14000000000000001</v>
      </c>
      <c r="F46" s="145">
        <v>-0.14000000000000001</v>
      </c>
      <c r="G46" s="103">
        <f>ROUND(E46*D46,2)</f>
        <v>-2708.16</v>
      </c>
      <c r="H46" s="103">
        <f>ROUND(F46*D46,2)</f>
        <v>-2708.16</v>
      </c>
      <c r="I46" s="103">
        <f>H46-G46</f>
        <v>0</v>
      </c>
      <c r="J46" s="173">
        <f t="shared" ref="J46" si="28">I46/G46</f>
        <v>0</v>
      </c>
      <c r="L46" s="103"/>
      <c r="M46" s="103"/>
      <c r="N46" s="103"/>
    </row>
    <row r="47" spans="1:14" x14ac:dyDescent="0.25">
      <c r="B47" s="1" t="s">
        <v>57</v>
      </c>
      <c r="C47" s="156"/>
      <c r="D47" s="98"/>
      <c r="E47" s="144"/>
      <c r="F47" s="144"/>
      <c r="G47" s="103"/>
      <c r="H47" s="103"/>
      <c r="I47" s="103"/>
      <c r="L47" s="103"/>
      <c r="M47" s="103"/>
      <c r="N47" s="103"/>
    </row>
    <row r="48" spans="1:14" x14ac:dyDescent="0.25">
      <c r="B48" s="1" t="s">
        <v>65</v>
      </c>
      <c r="C48" s="156"/>
      <c r="D48" s="59">
        <f>Therms_CY2023!$P$20*'12ME Dec 2023 Therms by Block%'!N36</f>
        <v>53730.333141622155</v>
      </c>
      <c r="E48" s="144">
        <v>-1.847E-2</v>
      </c>
      <c r="F48" s="144">
        <v>-1.847E-2</v>
      </c>
      <c r="G48" s="103">
        <f>ROUND(E48*D48,2)</f>
        <v>-992.4</v>
      </c>
      <c r="H48" s="103">
        <f t="shared" ref="H48:H49" si="29">ROUND(F48*D48,2)</f>
        <v>-992.4</v>
      </c>
      <c r="I48" s="103">
        <f t="shared" ref="I48:I49" si="30">H48-G48</f>
        <v>0</v>
      </c>
      <c r="J48" s="173">
        <f t="shared" ref="J48:J50" si="31">I48/G48</f>
        <v>0</v>
      </c>
      <c r="L48" s="103"/>
      <c r="M48" s="103"/>
      <c r="N48" s="103"/>
    </row>
    <row r="49" spans="1:14" x14ac:dyDescent="0.25">
      <c r="B49" s="1" t="s">
        <v>66</v>
      </c>
      <c r="C49" s="156"/>
      <c r="D49" s="59">
        <f>Therms_CY2023!$P$20*'12ME Dec 2023 Therms by Block%'!N37</f>
        <v>488678.66685837781</v>
      </c>
      <c r="E49" s="144">
        <v>-1.3089999999999999E-2</v>
      </c>
      <c r="F49" s="144">
        <v>-1.3089999999999999E-2</v>
      </c>
      <c r="G49" s="49">
        <f>ROUND(E49*D49,2)</f>
        <v>-6396.8</v>
      </c>
      <c r="H49" s="103">
        <f t="shared" si="29"/>
        <v>-6396.8</v>
      </c>
      <c r="I49" s="103">
        <f t="shared" si="30"/>
        <v>0</v>
      </c>
      <c r="J49" s="173">
        <f t="shared" si="31"/>
        <v>0</v>
      </c>
      <c r="L49" s="103"/>
      <c r="M49" s="103"/>
      <c r="N49" s="103"/>
    </row>
    <row r="50" spans="1:14" x14ac:dyDescent="0.25">
      <c r="B50" s="1" t="s">
        <v>6</v>
      </c>
      <c r="C50" s="156"/>
      <c r="D50" s="59"/>
      <c r="E50" s="144"/>
      <c r="F50" s="132"/>
      <c r="G50" s="102">
        <f>SUM(G46:G49)</f>
        <v>-10097.36</v>
      </c>
      <c r="H50" s="102">
        <f t="shared" ref="H50:I50" si="32">SUM(H46:H49)</f>
        <v>-10097.36</v>
      </c>
      <c r="I50" s="102">
        <f t="shared" si="32"/>
        <v>0</v>
      </c>
      <c r="J50" s="174">
        <f t="shared" si="31"/>
        <v>0</v>
      </c>
      <c r="L50" s="103"/>
      <c r="M50" s="103"/>
      <c r="N50" s="103"/>
    </row>
    <row r="51" spans="1:14" x14ac:dyDescent="0.25">
      <c r="C51" s="156"/>
      <c r="D51" s="59"/>
      <c r="E51" s="84"/>
      <c r="F51" s="132"/>
      <c r="G51" s="103"/>
      <c r="H51" s="103"/>
      <c r="I51" s="103"/>
      <c r="L51" s="103"/>
      <c r="M51" s="103"/>
      <c r="N51" s="103"/>
    </row>
    <row r="52" spans="1:14" x14ac:dyDescent="0.25">
      <c r="A52" s="1" t="s">
        <v>6</v>
      </c>
      <c r="E52" s="84"/>
      <c r="F52" s="132"/>
      <c r="G52" s="102">
        <f>G10+G15+G18+G27+G35+G43+G50</f>
        <v>20286502.350000001</v>
      </c>
      <c r="H52" s="102">
        <f t="shared" ref="H52:I52" si="33">H10+H15+H18+H27+H35+H43+H50</f>
        <v>20286502.350000001</v>
      </c>
      <c r="I52" s="102">
        <f t="shared" si="33"/>
        <v>0</v>
      </c>
      <c r="J52" s="174">
        <f t="shared" ref="J52" si="34">I52/G52</f>
        <v>0</v>
      </c>
      <c r="L52" s="103"/>
      <c r="M52" s="103"/>
      <c r="N52" s="103"/>
    </row>
    <row r="53" spans="1:14" x14ac:dyDescent="0.25">
      <c r="B53" s="146" t="s">
        <v>121</v>
      </c>
      <c r="D53" s="147">
        <f>SUM(D10,D13,D18,D24:D26,D32:D34,D41:D42,D48:D49)</f>
        <v>978217311</v>
      </c>
      <c r="F53" s="98"/>
      <c r="N53" s="103"/>
    </row>
    <row r="54" spans="1:14" x14ac:dyDescent="0.25">
      <c r="A54" s="148"/>
      <c r="B54" s="146" t="s">
        <v>109</v>
      </c>
      <c r="D54" s="147">
        <f>SUM(D21,D30,D38,D46)</f>
        <v>5833248</v>
      </c>
      <c r="F54" s="98"/>
      <c r="N54" s="103"/>
    </row>
    <row r="55" spans="1:14" ht="12.75" customHeight="1" x14ac:dyDescent="0.25">
      <c r="A55" s="148"/>
      <c r="B55" s="175"/>
      <c r="C55" s="176"/>
      <c r="D55" s="176"/>
      <c r="E55" s="176"/>
      <c r="F55" s="211"/>
      <c r="G55" s="177"/>
      <c r="H55" s="177"/>
      <c r="I55" s="176"/>
      <c r="N55" s="103"/>
    </row>
    <row r="56" spans="1:14" x14ac:dyDescent="0.25">
      <c r="B56" s="178"/>
      <c r="F56" s="98"/>
      <c r="N56" s="103"/>
    </row>
    <row r="57" spans="1:14" x14ac:dyDescent="0.25">
      <c r="F57" s="98"/>
      <c r="N57" s="103"/>
    </row>
    <row r="58" spans="1:14" x14ac:dyDescent="0.25">
      <c r="F58" s="98"/>
      <c r="N58" s="103"/>
    </row>
    <row r="59" spans="1:14" x14ac:dyDescent="0.25">
      <c r="F59" s="98"/>
      <c r="N59" s="103"/>
    </row>
    <row r="60" spans="1:14" x14ac:dyDescent="0.25">
      <c r="F60" s="98"/>
      <c r="N60" s="103"/>
    </row>
    <row r="61" spans="1:14" x14ac:dyDescent="0.25">
      <c r="F61" s="98"/>
      <c r="N61" s="103"/>
    </row>
    <row r="62" spans="1:14" x14ac:dyDescent="0.25">
      <c r="F62" s="98"/>
      <c r="N62" s="103"/>
    </row>
    <row r="63" spans="1:14" x14ac:dyDescent="0.25">
      <c r="F63" s="98"/>
      <c r="N63" s="103"/>
    </row>
    <row r="64" spans="1:14" x14ac:dyDescent="0.25">
      <c r="F64" s="98"/>
      <c r="N64" s="103"/>
    </row>
    <row r="65" spans="6:14" x14ac:dyDescent="0.25">
      <c r="F65" s="98"/>
      <c r="N65" s="103"/>
    </row>
    <row r="66" spans="6:14" x14ac:dyDescent="0.25">
      <c r="F66" s="98"/>
      <c r="N66" s="103"/>
    </row>
    <row r="67" spans="6:14" x14ac:dyDescent="0.25">
      <c r="F67" s="98"/>
      <c r="N67" s="103"/>
    </row>
    <row r="68" spans="6:14" x14ac:dyDescent="0.25">
      <c r="F68" s="98"/>
      <c r="N68" s="103"/>
    </row>
    <row r="69" spans="6:14" x14ac:dyDescent="0.25">
      <c r="F69" s="98"/>
      <c r="N69" s="103"/>
    </row>
    <row r="70" spans="6:14" x14ac:dyDescent="0.25">
      <c r="F70" s="98"/>
      <c r="N70" s="103"/>
    </row>
    <row r="71" spans="6:14" x14ac:dyDescent="0.25">
      <c r="F71" s="98"/>
      <c r="N71" s="103"/>
    </row>
    <row r="72" spans="6:14" x14ac:dyDescent="0.25">
      <c r="F72" s="98"/>
      <c r="N72" s="103"/>
    </row>
    <row r="73" spans="6:14" x14ac:dyDescent="0.25">
      <c r="F73" s="98"/>
      <c r="N73" s="103"/>
    </row>
    <row r="74" spans="6:14" x14ac:dyDescent="0.25">
      <c r="F74" s="98"/>
      <c r="N74" s="103"/>
    </row>
    <row r="75" spans="6:14" x14ac:dyDescent="0.25">
      <c r="F75" s="98"/>
      <c r="N75" s="103"/>
    </row>
    <row r="76" spans="6:14" x14ac:dyDescent="0.25">
      <c r="F76" s="98"/>
      <c r="N76" s="103"/>
    </row>
    <row r="77" spans="6:14" x14ac:dyDescent="0.25">
      <c r="F77" s="98"/>
      <c r="N77" s="103"/>
    </row>
    <row r="78" spans="6:14" x14ac:dyDescent="0.25">
      <c r="F78" s="98"/>
      <c r="N78" s="103"/>
    </row>
    <row r="79" spans="6:14" x14ac:dyDescent="0.25">
      <c r="F79" s="98"/>
      <c r="N79" s="103"/>
    </row>
    <row r="80" spans="6:14" x14ac:dyDescent="0.25">
      <c r="F80" s="98"/>
      <c r="N80" s="103"/>
    </row>
    <row r="81" spans="6:14" x14ac:dyDescent="0.25">
      <c r="F81" s="98"/>
      <c r="N81" s="103"/>
    </row>
    <row r="82" spans="6:14" x14ac:dyDescent="0.25">
      <c r="F82" s="98"/>
      <c r="N82" s="103"/>
    </row>
    <row r="83" spans="6:14" x14ac:dyDescent="0.25">
      <c r="N83" s="103"/>
    </row>
    <row r="84" spans="6:14" x14ac:dyDescent="0.25">
      <c r="N84" s="103"/>
    </row>
    <row r="85" spans="6:14" x14ac:dyDescent="0.25">
      <c r="N85" s="103"/>
    </row>
    <row r="86" spans="6:14" x14ac:dyDescent="0.25">
      <c r="N86" s="103"/>
    </row>
    <row r="87" spans="6:14" x14ac:dyDescent="0.25">
      <c r="N87" s="103"/>
    </row>
    <row r="88" spans="6:14" x14ac:dyDescent="0.25">
      <c r="N88" s="103"/>
    </row>
    <row r="89" spans="6:14" x14ac:dyDescent="0.25">
      <c r="N89" s="103"/>
    </row>
    <row r="90" spans="6:14" x14ac:dyDescent="0.25">
      <c r="N90" s="103"/>
    </row>
    <row r="91" spans="6:14" x14ac:dyDescent="0.25">
      <c r="N91" s="103"/>
    </row>
    <row r="92" spans="6:14" x14ac:dyDescent="0.25">
      <c r="N92" s="103"/>
    </row>
  </sheetData>
  <mergeCells count="4">
    <mergeCell ref="A1:J1"/>
    <mergeCell ref="A2:J2"/>
    <mergeCell ref="A3:J3"/>
    <mergeCell ref="A4:J4"/>
  </mergeCells>
  <printOptions horizontalCentered="1"/>
  <pageMargins left="0.7" right="0.7" top="0.5" bottom="0.5" header="0.3" footer="0.3"/>
  <pageSetup scale="61" orientation="landscape" blackAndWhite="1" r:id="rId1"/>
  <headerFooter>
    <oddFooter>&amp;L&amp;F
&amp;A&amp;C&amp;P&amp;R&amp;D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H28" sqref="H28"/>
    </sheetView>
  </sheetViews>
  <sheetFormatPr defaultColWidth="8.7109375" defaultRowHeight="15" x14ac:dyDescent="0.25"/>
  <cols>
    <col min="1" max="1" width="38.7109375" style="1" customWidth="1"/>
    <col min="2" max="2" width="9.140625" style="1" bestFit="1" customWidth="1"/>
    <col min="3" max="3" width="18.5703125" style="1" bestFit="1" customWidth="1"/>
    <col min="4" max="5" width="13.7109375" style="1" customWidth="1"/>
    <col min="6" max="8" width="14.42578125" style="1" customWidth="1"/>
    <col min="9" max="9" width="7.85546875" style="1" bestFit="1" customWidth="1"/>
    <col min="10" max="16384" width="8.7109375" style="1"/>
  </cols>
  <sheetData>
    <row r="1" spans="1:10" s="63" customFormat="1" ht="15" customHeight="1" x14ac:dyDescent="0.25">
      <c r="A1" s="383" t="s">
        <v>0</v>
      </c>
      <c r="B1" s="383"/>
      <c r="C1" s="383"/>
      <c r="D1" s="383"/>
      <c r="E1" s="383"/>
      <c r="F1" s="383"/>
      <c r="G1" s="383"/>
      <c r="H1" s="383"/>
      <c r="I1" s="383"/>
      <c r="J1" s="52"/>
    </row>
    <row r="2" spans="1:10" s="63" customFormat="1" ht="15" customHeight="1" x14ac:dyDescent="0.25">
      <c r="A2" s="383" t="s">
        <v>158</v>
      </c>
      <c r="B2" s="383"/>
      <c r="C2" s="383"/>
      <c r="D2" s="383"/>
      <c r="E2" s="383"/>
      <c r="F2" s="383"/>
      <c r="G2" s="383"/>
      <c r="H2" s="383"/>
      <c r="I2" s="383"/>
      <c r="J2" s="52"/>
    </row>
    <row r="3" spans="1:10" s="63" customFormat="1" ht="15" customHeight="1" x14ac:dyDescent="0.25">
      <c r="A3" s="383" t="s">
        <v>202</v>
      </c>
      <c r="B3" s="383"/>
      <c r="C3" s="383"/>
      <c r="D3" s="383"/>
      <c r="E3" s="383"/>
      <c r="F3" s="383"/>
      <c r="G3" s="383"/>
      <c r="H3" s="383"/>
      <c r="I3" s="383"/>
      <c r="J3" s="52"/>
    </row>
    <row r="4" spans="1:10" s="63" customFormat="1" ht="15" customHeight="1" x14ac:dyDescent="0.25">
      <c r="A4" s="383" t="s">
        <v>204</v>
      </c>
      <c r="B4" s="383"/>
      <c r="C4" s="383"/>
      <c r="D4" s="383"/>
      <c r="E4" s="383"/>
      <c r="F4" s="383"/>
      <c r="G4" s="383"/>
      <c r="H4" s="383"/>
      <c r="I4" s="383"/>
      <c r="J4" s="52"/>
    </row>
    <row r="5" spans="1:10" x14ac:dyDescent="0.25">
      <c r="D5" s="156"/>
      <c r="E5" s="156"/>
    </row>
    <row r="6" spans="1:10" x14ac:dyDescent="0.25">
      <c r="A6" s="104"/>
      <c r="B6" s="104"/>
      <c r="C6" s="104" t="s">
        <v>15</v>
      </c>
      <c r="D6" s="104" t="s">
        <v>5</v>
      </c>
      <c r="E6" s="104" t="s">
        <v>1</v>
      </c>
      <c r="F6" s="154" t="s">
        <v>15</v>
      </c>
      <c r="G6" s="154" t="s">
        <v>15</v>
      </c>
      <c r="H6" s="104" t="s">
        <v>77</v>
      </c>
      <c r="I6" s="104"/>
    </row>
    <row r="7" spans="1:10" x14ac:dyDescent="0.25">
      <c r="A7" s="104"/>
      <c r="B7" s="104" t="s">
        <v>17</v>
      </c>
      <c r="C7" s="104" t="s">
        <v>3</v>
      </c>
      <c r="D7" s="104" t="s">
        <v>77</v>
      </c>
      <c r="E7" s="104" t="s">
        <v>77</v>
      </c>
      <c r="F7" s="154" t="s">
        <v>2</v>
      </c>
      <c r="G7" s="154" t="s">
        <v>2</v>
      </c>
      <c r="H7" s="104" t="s">
        <v>2</v>
      </c>
      <c r="I7" s="104" t="s">
        <v>20</v>
      </c>
    </row>
    <row r="8" spans="1:10" x14ac:dyDescent="0.25">
      <c r="A8" s="157" t="s">
        <v>4</v>
      </c>
      <c r="B8" s="157" t="s">
        <v>21</v>
      </c>
      <c r="C8" s="90" t="str">
        <f>'Sch. 101'!$D$8</f>
        <v>12ME Dec. 2023</v>
      </c>
      <c r="D8" s="157" t="s">
        <v>22</v>
      </c>
      <c r="E8" s="157" t="s">
        <v>22</v>
      </c>
      <c r="F8" s="61" t="s">
        <v>23</v>
      </c>
      <c r="G8" s="61" t="s">
        <v>131</v>
      </c>
      <c r="H8" s="157" t="s">
        <v>24</v>
      </c>
      <c r="I8" s="157" t="s">
        <v>24</v>
      </c>
    </row>
    <row r="9" spans="1:10" x14ac:dyDescent="0.25">
      <c r="A9" s="1" t="s">
        <v>7</v>
      </c>
      <c r="B9" s="146" t="s">
        <v>30</v>
      </c>
      <c r="C9" s="59">
        <f>SUM(Therms_CY2023!P10,Therms_CY2023!P11)</f>
        <v>636369361</v>
      </c>
      <c r="D9" s="100">
        <v>2.2579999999999999E-2</v>
      </c>
      <c r="E9" s="100">
        <v>0</v>
      </c>
      <c r="F9" s="47">
        <f>C9*D9</f>
        <v>14369220.17138</v>
      </c>
      <c r="G9" s="47">
        <f>C9*E9</f>
        <v>0</v>
      </c>
      <c r="H9" s="105">
        <f>G9-F9</f>
        <v>-14369220.17138</v>
      </c>
      <c r="I9" s="2">
        <f>H9/F9</f>
        <v>-1</v>
      </c>
    </row>
    <row r="10" spans="1:10" x14ac:dyDescent="0.25">
      <c r="A10" s="1" t="s">
        <v>31</v>
      </c>
      <c r="B10" s="146">
        <v>16</v>
      </c>
      <c r="C10" s="59">
        <f>Therms_CY2023!P9</f>
        <v>8832</v>
      </c>
      <c r="D10" s="100">
        <v>2.2579999999999999E-2</v>
      </c>
      <c r="E10" s="100">
        <v>0</v>
      </c>
      <c r="F10" s="47">
        <f t="shared" ref="F10:F21" si="0">C10*D10</f>
        <v>199.42655999999999</v>
      </c>
      <c r="G10" s="47">
        <f t="shared" ref="G10:G21" si="1">C10*E10</f>
        <v>0</v>
      </c>
      <c r="H10" s="105">
        <f t="shared" ref="H10:H21" si="2">G10-F10</f>
        <v>-199.42655999999999</v>
      </c>
      <c r="I10" s="2">
        <f t="shared" ref="I10:I21" si="3">H10/F10</f>
        <v>-1</v>
      </c>
    </row>
    <row r="11" spans="1:10" x14ac:dyDescent="0.25">
      <c r="A11" s="1" t="s">
        <v>8</v>
      </c>
      <c r="B11" s="146">
        <v>31</v>
      </c>
      <c r="C11" s="59">
        <f>Therms_CY2023!P12</f>
        <v>243192248</v>
      </c>
      <c r="D11" s="100">
        <v>2.4719999999999999E-2</v>
      </c>
      <c r="E11" s="100">
        <v>0</v>
      </c>
      <c r="F11" s="47">
        <f t="shared" si="0"/>
        <v>6011712.3705599997</v>
      </c>
      <c r="G11" s="47">
        <f t="shared" si="1"/>
        <v>0</v>
      </c>
      <c r="H11" s="105">
        <f t="shared" si="2"/>
        <v>-6011712.3705599997</v>
      </c>
      <c r="I11" s="2">
        <f t="shared" si="3"/>
        <v>-1</v>
      </c>
    </row>
    <row r="12" spans="1:10" x14ac:dyDescent="0.25">
      <c r="A12" s="1" t="s">
        <v>9</v>
      </c>
      <c r="B12" s="146">
        <v>41</v>
      </c>
      <c r="C12" s="59">
        <f>Therms_CY2023!P13</f>
        <v>66922885</v>
      </c>
      <c r="D12" s="100">
        <v>1.125E-2</v>
      </c>
      <c r="E12" s="100">
        <v>0</v>
      </c>
      <c r="F12" s="47">
        <f t="shared" si="0"/>
        <v>752882.45624999993</v>
      </c>
      <c r="G12" s="47">
        <f t="shared" si="1"/>
        <v>0</v>
      </c>
      <c r="H12" s="105">
        <f t="shared" si="2"/>
        <v>-752882.45624999993</v>
      </c>
      <c r="I12" s="2">
        <f t="shared" si="3"/>
        <v>-1</v>
      </c>
    </row>
    <row r="13" spans="1:10" x14ac:dyDescent="0.25">
      <c r="A13" s="1" t="s">
        <v>10</v>
      </c>
      <c r="B13" s="146">
        <v>85</v>
      </c>
      <c r="C13" s="59">
        <f>Therms_CY2023!P14</f>
        <v>11124640</v>
      </c>
      <c r="D13" s="100">
        <v>6.7099999999999998E-3</v>
      </c>
      <c r="E13" s="100">
        <v>0</v>
      </c>
      <c r="F13" s="47">
        <f t="shared" si="0"/>
        <v>74646.334399999992</v>
      </c>
      <c r="G13" s="47">
        <f t="shared" si="1"/>
        <v>0</v>
      </c>
      <c r="H13" s="105">
        <f t="shared" si="2"/>
        <v>-74646.334399999992</v>
      </c>
      <c r="I13" s="2">
        <f t="shared" si="3"/>
        <v>-1</v>
      </c>
    </row>
    <row r="14" spans="1:10" x14ac:dyDescent="0.25">
      <c r="A14" s="1" t="s">
        <v>11</v>
      </c>
      <c r="B14" s="146">
        <v>86</v>
      </c>
      <c r="C14" s="59">
        <f>Therms_CY2023!P15</f>
        <v>5691490</v>
      </c>
      <c r="D14" s="100">
        <v>8.4600000000000005E-3</v>
      </c>
      <c r="E14" s="100">
        <v>0</v>
      </c>
      <c r="F14" s="47">
        <f t="shared" si="0"/>
        <v>48150.005400000002</v>
      </c>
      <c r="G14" s="47">
        <f t="shared" si="1"/>
        <v>0</v>
      </c>
      <c r="H14" s="105">
        <f t="shared" si="2"/>
        <v>-48150.005400000002</v>
      </c>
      <c r="I14" s="2">
        <f t="shared" si="3"/>
        <v>-1</v>
      </c>
    </row>
    <row r="15" spans="1:10" x14ac:dyDescent="0.25">
      <c r="A15" s="1" t="s">
        <v>12</v>
      </c>
      <c r="B15" s="146">
        <v>87</v>
      </c>
      <c r="C15" s="59">
        <f>Therms_CY2023!P16</f>
        <v>21819455.762355205</v>
      </c>
      <c r="D15" s="100">
        <v>3.7399999999999998E-3</v>
      </c>
      <c r="E15" s="100">
        <v>0</v>
      </c>
      <c r="F15" s="47">
        <f t="shared" si="0"/>
        <v>81604.764551208456</v>
      </c>
      <c r="G15" s="47">
        <f t="shared" si="1"/>
        <v>0</v>
      </c>
      <c r="H15" s="105">
        <f t="shared" si="2"/>
        <v>-81604.764551208456</v>
      </c>
      <c r="I15" s="2">
        <f t="shared" si="3"/>
        <v>-1</v>
      </c>
    </row>
    <row r="16" spans="1:10" x14ac:dyDescent="0.25">
      <c r="A16" s="1" t="s">
        <v>32</v>
      </c>
      <c r="B16" s="146" t="s">
        <v>33</v>
      </c>
      <c r="C16" s="59">
        <f>Therms_CY2023!P17</f>
        <v>34397</v>
      </c>
      <c r="D16" s="100">
        <v>2.4719999999999999E-2</v>
      </c>
      <c r="E16" s="100">
        <v>0</v>
      </c>
      <c r="F16" s="47">
        <f t="shared" si="0"/>
        <v>850.29383999999993</v>
      </c>
      <c r="G16" s="47">
        <f t="shared" si="1"/>
        <v>0</v>
      </c>
      <c r="H16" s="105">
        <f t="shared" si="2"/>
        <v>-850.29383999999993</v>
      </c>
      <c r="I16" s="2">
        <f t="shared" si="3"/>
        <v>-1</v>
      </c>
    </row>
    <row r="17" spans="1:9" x14ac:dyDescent="0.25">
      <c r="A17" s="1" t="s">
        <v>34</v>
      </c>
      <c r="B17" s="1" t="s">
        <v>35</v>
      </c>
      <c r="C17" s="59">
        <f>Therms_CY2023!P18</f>
        <v>25464521</v>
      </c>
      <c r="D17" s="100">
        <v>1.125E-2</v>
      </c>
      <c r="E17" s="100">
        <v>0</v>
      </c>
      <c r="F17" s="47">
        <f t="shared" si="0"/>
        <v>286475.86125000002</v>
      </c>
      <c r="G17" s="47">
        <f t="shared" si="1"/>
        <v>0</v>
      </c>
      <c r="H17" s="105">
        <f t="shared" si="2"/>
        <v>-286475.86125000002</v>
      </c>
      <c r="I17" s="2">
        <f t="shared" si="3"/>
        <v>-1</v>
      </c>
    </row>
    <row r="18" spans="1:9" x14ac:dyDescent="0.25">
      <c r="A18" s="1" t="s">
        <v>36</v>
      </c>
      <c r="B18" s="1" t="s">
        <v>37</v>
      </c>
      <c r="C18" s="59">
        <f>Therms_CY2023!P19</f>
        <v>62787518</v>
      </c>
      <c r="D18" s="100">
        <v>6.7099999999999998E-3</v>
      </c>
      <c r="E18" s="100">
        <v>0</v>
      </c>
      <c r="F18" s="47">
        <f t="shared" si="0"/>
        <v>421304.24578</v>
      </c>
      <c r="G18" s="47">
        <f t="shared" si="1"/>
        <v>0</v>
      </c>
      <c r="H18" s="105">
        <f t="shared" si="2"/>
        <v>-421304.24578</v>
      </c>
      <c r="I18" s="2">
        <f t="shared" si="3"/>
        <v>-1</v>
      </c>
    </row>
    <row r="19" spans="1:9" x14ac:dyDescent="0.25">
      <c r="A19" s="1" t="s">
        <v>38</v>
      </c>
      <c r="B19" s="1" t="s">
        <v>39</v>
      </c>
      <c r="C19" s="59">
        <f>Therms_CY2023!P20</f>
        <v>542409</v>
      </c>
      <c r="D19" s="100">
        <v>8.4600000000000005E-3</v>
      </c>
      <c r="E19" s="100">
        <v>0</v>
      </c>
      <c r="F19" s="47">
        <f t="shared" si="0"/>
        <v>4588.7801399999998</v>
      </c>
      <c r="G19" s="47">
        <f t="shared" si="1"/>
        <v>0</v>
      </c>
      <c r="H19" s="105">
        <f t="shared" si="2"/>
        <v>-4588.7801399999998</v>
      </c>
      <c r="I19" s="2">
        <f t="shared" si="3"/>
        <v>-1</v>
      </c>
    </row>
    <row r="20" spans="1:9" x14ac:dyDescent="0.25">
      <c r="A20" s="1" t="s">
        <v>40</v>
      </c>
      <c r="B20" s="1" t="s">
        <v>41</v>
      </c>
      <c r="C20" s="59">
        <f>Therms_CY2023!P21</f>
        <v>128953412.64547956</v>
      </c>
      <c r="D20" s="100">
        <v>3.7399999999999998E-3</v>
      </c>
      <c r="E20" s="100">
        <v>0</v>
      </c>
      <c r="F20" s="47">
        <f t="shared" si="0"/>
        <v>482285.76329409354</v>
      </c>
      <c r="G20" s="47">
        <f t="shared" si="1"/>
        <v>0</v>
      </c>
      <c r="H20" s="105">
        <f t="shared" si="2"/>
        <v>-482285.76329409354</v>
      </c>
      <c r="I20" s="2">
        <f t="shared" si="3"/>
        <v>-1</v>
      </c>
    </row>
    <row r="21" spans="1:9" x14ac:dyDescent="0.25">
      <c r="A21" s="1" t="s">
        <v>13</v>
      </c>
      <c r="C21" s="59">
        <f>Therms_CY2023!P22</f>
        <v>31066760</v>
      </c>
      <c r="D21" s="10">
        <v>9.3000000000000005E-4</v>
      </c>
      <c r="E21" s="100">
        <v>0</v>
      </c>
      <c r="F21" s="47">
        <f t="shared" si="0"/>
        <v>28892.086800000001</v>
      </c>
      <c r="G21" s="47">
        <f t="shared" si="1"/>
        <v>0</v>
      </c>
      <c r="H21" s="105">
        <f t="shared" si="2"/>
        <v>-28892.086800000001</v>
      </c>
      <c r="I21" s="2">
        <f t="shared" si="3"/>
        <v>-1</v>
      </c>
    </row>
    <row r="22" spans="1:9" x14ac:dyDescent="0.25">
      <c r="A22" s="1" t="s">
        <v>6</v>
      </c>
      <c r="C22" s="179">
        <f>SUM(C9:C21)</f>
        <v>1233977929.407835</v>
      </c>
      <c r="D22" s="180"/>
      <c r="E22" s="199"/>
      <c r="F22" s="48">
        <f t="shared" ref="F22:H22" si="4">SUM(F9:F21)</f>
        <v>22562812.560205296</v>
      </c>
      <c r="G22" s="48">
        <f t="shared" si="4"/>
        <v>0</v>
      </c>
      <c r="H22" s="181">
        <f t="shared" si="4"/>
        <v>-22562812.560205296</v>
      </c>
      <c r="I22" s="3">
        <f t="shared" ref="I22" si="5">H22/F22</f>
        <v>-1</v>
      </c>
    </row>
    <row r="23" spans="1:9" s="63" customFormat="1" x14ac:dyDescent="0.25">
      <c r="A23" s="24"/>
      <c r="B23" s="166"/>
      <c r="C23" s="183"/>
      <c r="D23" s="184"/>
      <c r="E23" s="184"/>
      <c r="F23" s="184"/>
      <c r="G23" s="184"/>
      <c r="H23" s="25"/>
    </row>
    <row r="24" spans="1:9" x14ac:dyDescent="0.25">
      <c r="F24" s="105"/>
      <c r="G24" s="105"/>
    </row>
    <row r="25" spans="1:9" x14ac:dyDescent="0.25">
      <c r="C25" s="147"/>
      <c r="F25" s="105"/>
      <c r="G25" s="105"/>
      <c r="H25" s="208"/>
    </row>
    <row r="26" spans="1:9" x14ac:dyDescent="0.25">
      <c r="A26" s="182"/>
    </row>
  </sheetData>
  <mergeCells count="4">
    <mergeCell ref="A1:I1"/>
    <mergeCell ref="A3:I3"/>
    <mergeCell ref="A4:I4"/>
    <mergeCell ref="A2:I2"/>
  </mergeCells>
  <printOptions horizontalCentered="1"/>
  <pageMargins left="0.7" right="0.7" top="0.75" bottom="0.75" header="0.3" footer="0.3"/>
  <pageSetup scale="85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24" sqref="O24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90" zoomScaleNormal="90" workbookViewId="0">
      <selection activeCell="J24" sqref="J24"/>
    </sheetView>
  </sheetViews>
  <sheetFormatPr defaultRowHeight="15" x14ac:dyDescent="0.25"/>
  <cols>
    <col min="1" max="1" width="11.7109375" bestFit="1" customWidth="1"/>
    <col min="3" max="3" width="11.42578125" bestFit="1" customWidth="1"/>
    <col min="4" max="15" width="10.42578125" bestFit="1" customWidth="1"/>
  </cols>
  <sheetData>
    <row r="1" spans="1:17" x14ac:dyDescent="0.25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7" x14ac:dyDescent="0.25">
      <c r="A2" s="382" t="s">
        <v>287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</row>
    <row r="3" spans="1:17" x14ac:dyDescent="0.25">
      <c r="A3" s="382" t="s">
        <v>288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7" x14ac:dyDescent="0.25">
      <c r="A4" s="382" t="s">
        <v>289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6" spans="1:17" s="291" customFormat="1" ht="34.5" customHeight="1" x14ac:dyDescent="0.25">
      <c r="A6" s="289" t="s">
        <v>290</v>
      </c>
      <c r="B6" s="289" t="s">
        <v>291</v>
      </c>
      <c r="C6" s="289" t="s">
        <v>292</v>
      </c>
      <c r="D6" s="290">
        <v>44013</v>
      </c>
      <c r="E6" s="290">
        <f>EDATE(D6,1)</f>
        <v>44044</v>
      </c>
      <c r="F6" s="290">
        <f t="shared" ref="F6:O6" si="0">EDATE(E6,1)</f>
        <v>44075</v>
      </c>
      <c r="G6" s="290">
        <f t="shared" si="0"/>
        <v>44105</v>
      </c>
      <c r="H6" s="290">
        <f t="shared" si="0"/>
        <v>44136</v>
      </c>
      <c r="I6" s="290">
        <f t="shared" si="0"/>
        <v>44166</v>
      </c>
      <c r="J6" s="290">
        <f t="shared" si="0"/>
        <v>44197</v>
      </c>
      <c r="K6" s="290">
        <f t="shared" si="0"/>
        <v>44228</v>
      </c>
      <c r="L6" s="290">
        <f t="shared" si="0"/>
        <v>44256</v>
      </c>
      <c r="M6" s="290">
        <f t="shared" si="0"/>
        <v>44287</v>
      </c>
      <c r="N6" s="290">
        <f t="shared" si="0"/>
        <v>44317</v>
      </c>
      <c r="O6" s="290">
        <f t="shared" si="0"/>
        <v>44348</v>
      </c>
    </row>
    <row r="7" spans="1:17" s="291" customFormat="1" x14ac:dyDescent="0.25">
      <c r="A7" s="6">
        <v>0</v>
      </c>
      <c r="B7" s="292">
        <f>C7/$C$34</f>
        <v>2.1339277840482448E-2</v>
      </c>
      <c r="C7" s="43">
        <f>SUM(D7:O7)</f>
        <v>204472</v>
      </c>
      <c r="D7" s="293">
        <v>32194</v>
      </c>
      <c r="E7" s="293">
        <v>42609</v>
      </c>
      <c r="F7" s="293">
        <v>21450</v>
      </c>
      <c r="G7" s="293">
        <v>11207</v>
      </c>
      <c r="H7" s="293">
        <v>10640</v>
      </c>
      <c r="I7" s="293">
        <v>10130</v>
      </c>
      <c r="J7" s="293">
        <v>10257</v>
      </c>
      <c r="K7" s="293">
        <v>10370</v>
      </c>
      <c r="L7" s="293">
        <v>10515</v>
      </c>
      <c r="M7" s="293">
        <v>11434</v>
      </c>
      <c r="N7" s="293">
        <v>14401</v>
      </c>
      <c r="O7" s="293">
        <v>19265</v>
      </c>
      <c r="Q7" s="294"/>
    </row>
    <row r="8" spans="1:17" x14ac:dyDescent="0.25">
      <c r="A8" s="6" t="s">
        <v>293</v>
      </c>
      <c r="B8" s="292">
        <f>C8/$C$34</f>
        <v>8.6434762008379296E-2</v>
      </c>
      <c r="C8" s="43">
        <f>SUM(D8:O8)</f>
        <v>828214</v>
      </c>
      <c r="D8" s="293">
        <v>160096</v>
      </c>
      <c r="E8" s="293">
        <v>192781</v>
      </c>
      <c r="F8" s="293">
        <v>136761</v>
      </c>
      <c r="G8" s="293">
        <v>29940</v>
      </c>
      <c r="H8" s="293">
        <v>20064</v>
      </c>
      <c r="I8" s="293">
        <v>18156</v>
      </c>
      <c r="J8" s="293">
        <v>17188</v>
      </c>
      <c r="K8" s="293">
        <v>18290</v>
      </c>
      <c r="L8" s="293">
        <v>19255</v>
      </c>
      <c r="M8" s="293">
        <v>26991</v>
      </c>
      <c r="N8" s="293">
        <v>59418</v>
      </c>
      <c r="O8" s="293">
        <v>129274</v>
      </c>
      <c r="Q8" s="294"/>
    </row>
    <row r="9" spans="1:17" x14ac:dyDescent="0.25">
      <c r="A9" s="6" t="s">
        <v>294</v>
      </c>
      <c r="B9" s="292">
        <f t="shared" ref="B9:B33" si="1">C9/$C$34</f>
        <v>0.14576440820271019</v>
      </c>
      <c r="C9" s="43">
        <f t="shared" ref="C9:C33" si="2">SUM(D9:O9)</f>
        <v>1396708</v>
      </c>
      <c r="D9" s="293">
        <v>281077</v>
      </c>
      <c r="E9" s="293">
        <v>301579</v>
      </c>
      <c r="F9" s="293">
        <v>264669</v>
      </c>
      <c r="G9" s="293">
        <v>47439</v>
      </c>
      <c r="H9" s="293">
        <v>22040</v>
      </c>
      <c r="I9" s="293">
        <v>17806</v>
      </c>
      <c r="J9" s="293">
        <v>16678</v>
      </c>
      <c r="K9" s="293">
        <v>17162</v>
      </c>
      <c r="L9" s="293">
        <v>19567</v>
      </c>
      <c r="M9" s="293">
        <v>41041</v>
      </c>
      <c r="N9" s="293">
        <v>115777</v>
      </c>
      <c r="O9" s="293">
        <v>251873</v>
      </c>
      <c r="Q9" s="294"/>
    </row>
    <row r="10" spans="1:17" x14ac:dyDescent="0.25">
      <c r="A10" s="6" t="s">
        <v>295</v>
      </c>
      <c r="B10" s="292">
        <f t="shared" si="1"/>
        <v>0.12357926957494582</v>
      </c>
      <c r="C10" s="43">
        <f t="shared" si="2"/>
        <v>1184131</v>
      </c>
      <c r="D10" s="293">
        <v>190922</v>
      </c>
      <c r="E10" s="293">
        <v>162711</v>
      </c>
      <c r="F10" s="293">
        <v>209871</v>
      </c>
      <c r="G10" s="293">
        <v>75064</v>
      </c>
      <c r="H10" s="293">
        <v>23740</v>
      </c>
      <c r="I10" s="293">
        <v>18367</v>
      </c>
      <c r="J10" s="293">
        <v>16725</v>
      </c>
      <c r="K10" s="293">
        <v>16099</v>
      </c>
      <c r="L10" s="293">
        <v>20592</v>
      </c>
      <c r="M10" s="293">
        <v>62740</v>
      </c>
      <c r="N10" s="293">
        <v>166175</v>
      </c>
      <c r="O10" s="293">
        <v>221125</v>
      </c>
      <c r="Q10" s="294"/>
    </row>
    <row r="11" spans="1:17" x14ac:dyDescent="0.25">
      <c r="A11" s="6" t="s">
        <v>296</v>
      </c>
      <c r="B11" s="292">
        <f t="shared" si="1"/>
        <v>8.4035669130151411E-2</v>
      </c>
      <c r="C11" s="43">
        <f t="shared" si="2"/>
        <v>805226</v>
      </c>
      <c r="D11" s="293">
        <v>75573</v>
      </c>
      <c r="E11" s="293">
        <v>55915</v>
      </c>
      <c r="F11" s="293">
        <v>93825</v>
      </c>
      <c r="G11" s="293">
        <v>105631</v>
      </c>
      <c r="H11" s="293">
        <v>30207</v>
      </c>
      <c r="I11" s="293">
        <v>21003</v>
      </c>
      <c r="J11" s="293">
        <v>18165</v>
      </c>
      <c r="K11" s="293">
        <v>18486</v>
      </c>
      <c r="L11" s="293">
        <v>25225</v>
      </c>
      <c r="M11" s="293">
        <v>92065</v>
      </c>
      <c r="N11" s="293">
        <v>163722</v>
      </c>
      <c r="O11" s="293">
        <v>105409</v>
      </c>
      <c r="Q11" s="294"/>
    </row>
    <row r="12" spans="1:17" x14ac:dyDescent="0.25">
      <c r="A12" s="6" t="s">
        <v>297</v>
      </c>
      <c r="B12" s="292">
        <f t="shared" si="1"/>
        <v>6.5732828008480529E-2</v>
      </c>
      <c r="C12" s="43">
        <f t="shared" si="2"/>
        <v>629849</v>
      </c>
      <c r="D12" s="293">
        <v>27512</v>
      </c>
      <c r="E12" s="293">
        <v>19195</v>
      </c>
      <c r="F12" s="293">
        <v>35810</v>
      </c>
      <c r="G12" s="293">
        <v>124349</v>
      </c>
      <c r="H12" s="293">
        <v>40201</v>
      </c>
      <c r="I12" s="293">
        <v>27126</v>
      </c>
      <c r="J12" s="293">
        <v>22516</v>
      </c>
      <c r="K12" s="293">
        <v>24314</v>
      </c>
      <c r="L12" s="293">
        <v>33873</v>
      </c>
      <c r="M12" s="293">
        <v>116117</v>
      </c>
      <c r="N12" s="293">
        <v>118161</v>
      </c>
      <c r="O12" s="293">
        <v>40675</v>
      </c>
      <c r="Q12" s="294"/>
    </row>
    <row r="13" spans="1:17" x14ac:dyDescent="0.25">
      <c r="A13" s="6" t="s">
        <v>298</v>
      </c>
      <c r="B13" s="292">
        <f t="shared" si="1"/>
        <v>5.7745522703874105E-2</v>
      </c>
      <c r="C13" s="43">
        <f t="shared" si="2"/>
        <v>553315</v>
      </c>
      <c r="D13" s="293">
        <v>10960</v>
      </c>
      <c r="E13" s="293">
        <v>7745</v>
      </c>
      <c r="F13" s="293">
        <v>14656</v>
      </c>
      <c r="G13" s="293">
        <v>117064</v>
      </c>
      <c r="H13" s="293">
        <v>53245</v>
      </c>
      <c r="I13" s="293">
        <v>35432</v>
      </c>
      <c r="J13" s="293">
        <v>29240</v>
      </c>
      <c r="K13" s="293">
        <v>33184</v>
      </c>
      <c r="L13" s="293">
        <v>45702</v>
      </c>
      <c r="M13" s="293">
        <v>119332</v>
      </c>
      <c r="N13" s="293">
        <v>70592</v>
      </c>
      <c r="O13" s="293">
        <v>16163</v>
      </c>
      <c r="Q13" s="294"/>
    </row>
    <row r="14" spans="1:17" x14ac:dyDescent="0.25">
      <c r="A14" s="6" t="s">
        <v>299</v>
      </c>
      <c r="B14" s="292">
        <f t="shared" si="1"/>
        <v>5.3409873037391642E-2</v>
      </c>
      <c r="C14" s="43">
        <f t="shared" si="2"/>
        <v>511771</v>
      </c>
      <c r="D14" s="293">
        <v>5175</v>
      </c>
      <c r="E14" s="293">
        <v>3646</v>
      </c>
      <c r="F14" s="293">
        <v>6711</v>
      </c>
      <c r="G14" s="293">
        <v>92435</v>
      </c>
      <c r="H14" s="293">
        <v>68352</v>
      </c>
      <c r="I14" s="293">
        <v>46243</v>
      </c>
      <c r="J14" s="293">
        <v>38114</v>
      </c>
      <c r="K14" s="293">
        <v>44417</v>
      </c>
      <c r="L14" s="293">
        <v>59120</v>
      </c>
      <c r="M14" s="293">
        <v>101144</v>
      </c>
      <c r="N14" s="293">
        <v>39261</v>
      </c>
      <c r="O14" s="293">
        <v>7153</v>
      </c>
      <c r="Q14" s="294"/>
    </row>
    <row r="15" spans="1:17" x14ac:dyDescent="0.25">
      <c r="A15" s="6" t="s">
        <v>300</v>
      </c>
      <c r="B15" s="292">
        <f t="shared" si="1"/>
        <v>5.0728374324446317E-2</v>
      </c>
      <c r="C15" s="43">
        <f t="shared" si="2"/>
        <v>486077</v>
      </c>
      <c r="D15" s="293">
        <v>2660</v>
      </c>
      <c r="E15" s="293">
        <v>1923</v>
      </c>
      <c r="F15" s="293">
        <v>3417</v>
      </c>
      <c r="G15" s="293">
        <v>65253</v>
      </c>
      <c r="H15" s="293">
        <v>77749</v>
      </c>
      <c r="I15" s="293">
        <v>57342</v>
      </c>
      <c r="J15" s="293">
        <v>48742</v>
      </c>
      <c r="K15" s="293">
        <v>56866</v>
      </c>
      <c r="L15" s="293">
        <v>71169</v>
      </c>
      <c r="M15" s="293">
        <v>75828</v>
      </c>
      <c r="N15" s="293">
        <v>21485</v>
      </c>
      <c r="O15" s="293">
        <v>3643</v>
      </c>
      <c r="Q15" s="294"/>
    </row>
    <row r="16" spans="1:17" x14ac:dyDescent="0.25">
      <c r="A16" s="6" t="s">
        <v>301</v>
      </c>
      <c r="B16" s="292">
        <f t="shared" si="1"/>
        <v>4.8666477769933172E-2</v>
      </c>
      <c r="C16" s="43">
        <f t="shared" si="2"/>
        <v>466320</v>
      </c>
      <c r="D16" s="293">
        <v>1487</v>
      </c>
      <c r="E16" s="293">
        <v>1123</v>
      </c>
      <c r="F16" s="293">
        <v>1877</v>
      </c>
      <c r="G16" s="293">
        <v>43402</v>
      </c>
      <c r="H16" s="293">
        <v>82245</v>
      </c>
      <c r="I16" s="293">
        <v>67098</v>
      </c>
      <c r="J16" s="293">
        <v>58890</v>
      </c>
      <c r="K16" s="293">
        <v>66831</v>
      </c>
      <c r="L16" s="293">
        <v>77832</v>
      </c>
      <c r="M16" s="293">
        <v>51780</v>
      </c>
      <c r="N16" s="293">
        <v>11811</v>
      </c>
      <c r="O16" s="293">
        <v>1944</v>
      </c>
      <c r="Q16" s="294"/>
    </row>
    <row r="17" spans="1:17" x14ac:dyDescent="0.25">
      <c r="A17" s="6" t="s">
        <v>302</v>
      </c>
      <c r="B17" s="292">
        <f t="shared" si="1"/>
        <v>4.5571910951366396E-2</v>
      </c>
      <c r="C17" s="43">
        <f t="shared" si="2"/>
        <v>436668</v>
      </c>
      <c r="D17" s="293">
        <v>957</v>
      </c>
      <c r="E17" s="293">
        <v>741</v>
      </c>
      <c r="F17" s="293">
        <v>1210</v>
      </c>
      <c r="G17" s="293">
        <v>28017</v>
      </c>
      <c r="H17" s="293">
        <v>76309</v>
      </c>
      <c r="I17" s="293">
        <v>71576</v>
      </c>
      <c r="J17" s="293">
        <v>65602</v>
      </c>
      <c r="K17" s="293">
        <v>72538</v>
      </c>
      <c r="L17" s="293">
        <v>77536</v>
      </c>
      <c r="M17" s="293">
        <v>34155</v>
      </c>
      <c r="N17" s="293">
        <v>6774</v>
      </c>
      <c r="O17" s="293">
        <v>1253</v>
      </c>
      <c r="Q17" s="294"/>
    </row>
    <row r="18" spans="1:17" x14ac:dyDescent="0.25">
      <c r="A18" s="6" t="s">
        <v>303</v>
      </c>
      <c r="B18" s="292">
        <f t="shared" si="1"/>
        <v>4.1214240726448831E-2</v>
      </c>
      <c r="C18" s="43">
        <f t="shared" si="2"/>
        <v>394913</v>
      </c>
      <c r="D18" s="293">
        <v>712</v>
      </c>
      <c r="E18" s="293">
        <v>552</v>
      </c>
      <c r="F18" s="293">
        <v>744</v>
      </c>
      <c r="G18" s="293">
        <v>17972</v>
      </c>
      <c r="H18" s="293">
        <v>66502</v>
      </c>
      <c r="I18" s="293">
        <v>70415</v>
      </c>
      <c r="J18" s="293">
        <v>68322</v>
      </c>
      <c r="K18" s="293">
        <v>72473</v>
      </c>
      <c r="L18" s="293">
        <v>70350</v>
      </c>
      <c r="M18" s="293">
        <v>22025</v>
      </c>
      <c r="N18" s="293">
        <v>4066</v>
      </c>
      <c r="O18" s="293">
        <v>780</v>
      </c>
      <c r="Q18" s="294"/>
    </row>
    <row r="19" spans="1:17" x14ac:dyDescent="0.25">
      <c r="A19" s="6" t="s">
        <v>304</v>
      </c>
      <c r="B19" s="292">
        <f t="shared" si="1"/>
        <v>3.5529283950926506E-2</v>
      </c>
      <c r="C19" s="43">
        <f t="shared" si="2"/>
        <v>340440</v>
      </c>
      <c r="D19" s="293">
        <v>476</v>
      </c>
      <c r="E19" s="293">
        <v>402</v>
      </c>
      <c r="F19" s="293">
        <v>549</v>
      </c>
      <c r="G19" s="293">
        <v>11583</v>
      </c>
      <c r="H19" s="293">
        <v>53880</v>
      </c>
      <c r="I19" s="293">
        <v>64184</v>
      </c>
      <c r="J19" s="293">
        <v>65462</v>
      </c>
      <c r="K19" s="293">
        <v>66560</v>
      </c>
      <c r="L19" s="293">
        <v>59931</v>
      </c>
      <c r="M19" s="293">
        <v>14268</v>
      </c>
      <c r="N19" s="293">
        <v>2571</v>
      </c>
      <c r="O19" s="293">
        <v>574</v>
      </c>
      <c r="Q19" s="294"/>
    </row>
    <row r="20" spans="1:17" x14ac:dyDescent="0.25">
      <c r="A20" s="6" t="s">
        <v>305</v>
      </c>
      <c r="B20" s="292">
        <f t="shared" si="1"/>
        <v>2.9627252476138743E-2</v>
      </c>
      <c r="C20" s="43">
        <f t="shared" si="2"/>
        <v>283887</v>
      </c>
      <c r="D20" s="293">
        <v>387</v>
      </c>
      <c r="E20" s="293">
        <v>347</v>
      </c>
      <c r="F20" s="293">
        <v>431</v>
      </c>
      <c r="G20" s="293">
        <v>7575</v>
      </c>
      <c r="H20" s="293">
        <v>42010</v>
      </c>
      <c r="I20" s="293">
        <v>55864</v>
      </c>
      <c r="J20" s="293">
        <v>59202</v>
      </c>
      <c r="K20" s="293">
        <v>57710</v>
      </c>
      <c r="L20" s="293">
        <v>48739</v>
      </c>
      <c r="M20" s="293">
        <v>9511</v>
      </c>
      <c r="N20" s="293">
        <v>1692</v>
      </c>
      <c r="O20" s="293">
        <v>419</v>
      </c>
      <c r="Q20" s="294"/>
    </row>
    <row r="21" spans="1:17" x14ac:dyDescent="0.25">
      <c r="A21" s="6" t="s">
        <v>306</v>
      </c>
      <c r="B21" s="292">
        <f t="shared" si="1"/>
        <v>2.4005539579344717E-2</v>
      </c>
      <c r="C21" s="43">
        <f t="shared" si="2"/>
        <v>230020</v>
      </c>
      <c r="D21" s="293">
        <v>354</v>
      </c>
      <c r="E21" s="293">
        <v>270</v>
      </c>
      <c r="F21" s="293">
        <v>358</v>
      </c>
      <c r="G21" s="293">
        <v>5030</v>
      </c>
      <c r="H21" s="293">
        <v>32305</v>
      </c>
      <c r="I21" s="293">
        <v>46325</v>
      </c>
      <c r="J21" s="293">
        <v>51407</v>
      </c>
      <c r="K21" s="293">
        <v>48066</v>
      </c>
      <c r="L21" s="293">
        <v>38209</v>
      </c>
      <c r="M21" s="293">
        <v>6162</v>
      </c>
      <c r="N21" s="293">
        <v>1162</v>
      </c>
      <c r="O21" s="293">
        <v>372</v>
      </c>
      <c r="Q21" s="294"/>
    </row>
    <row r="22" spans="1:17" x14ac:dyDescent="0.25">
      <c r="A22" s="6" t="s">
        <v>307</v>
      </c>
      <c r="B22" s="292">
        <f t="shared" si="1"/>
        <v>1.9050392117266259E-2</v>
      </c>
      <c r="C22" s="43">
        <f t="shared" si="2"/>
        <v>182540</v>
      </c>
      <c r="D22" s="293">
        <v>253</v>
      </c>
      <c r="E22" s="293">
        <v>220</v>
      </c>
      <c r="F22" s="293">
        <v>270</v>
      </c>
      <c r="G22" s="293">
        <v>3525</v>
      </c>
      <c r="H22" s="293">
        <v>23875</v>
      </c>
      <c r="I22" s="293">
        <v>37354</v>
      </c>
      <c r="J22" s="293">
        <v>43601</v>
      </c>
      <c r="K22" s="293">
        <v>38869</v>
      </c>
      <c r="L22" s="293">
        <v>29273</v>
      </c>
      <c r="M22" s="293">
        <v>4211</v>
      </c>
      <c r="N22" s="293">
        <v>814</v>
      </c>
      <c r="O22" s="293">
        <v>275</v>
      </c>
      <c r="Q22" s="294"/>
    </row>
    <row r="23" spans="1:17" x14ac:dyDescent="0.25">
      <c r="A23" s="6" t="s">
        <v>308</v>
      </c>
      <c r="B23" s="292">
        <f t="shared" si="1"/>
        <v>1.4726952902617472E-2</v>
      </c>
      <c r="C23" s="43">
        <f t="shared" si="2"/>
        <v>141113</v>
      </c>
      <c r="D23" s="293">
        <v>251</v>
      </c>
      <c r="E23" s="293">
        <v>206</v>
      </c>
      <c r="F23" s="293">
        <v>234</v>
      </c>
      <c r="G23" s="293">
        <v>2409</v>
      </c>
      <c r="H23" s="293">
        <v>17775</v>
      </c>
      <c r="I23" s="293">
        <v>29150</v>
      </c>
      <c r="J23" s="293">
        <v>34992</v>
      </c>
      <c r="K23" s="293">
        <v>30453</v>
      </c>
      <c r="L23" s="293">
        <v>21882</v>
      </c>
      <c r="M23" s="293">
        <v>2883</v>
      </c>
      <c r="N23" s="293">
        <v>614</v>
      </c>
      <c r="O23" s="293">
        <v>264</v>
      </c>
      <c r="Q23" s="294"/>
    </row>
    <row r="24" spans="1:17" x14ac:dyDescent="0.25">
      <c r="A24" s="6" t="s">
        <v>309</v>
      </c>
      <c r="B24" s="292">
        <f t="shared" si="1"/>
        <v>1.1404144561313428E-2</v>
      </c>
      <c r="C24" s="43">
        <f t="shared" si="2"/>
        <v>109274</v>
      </c>
      <c r="D24" s="293">
        <v>200</v>
      </c>
      <c r="E24" s="293">
        <v>195</v>
      </c>
      <c r="F24" s="293">
        <v>204</v>
      </c>
      <c r="G24" s="293">
        <v>1725</v>
      </c>
      <c r="H24" s="293">
        <v>12918</v>
      </c>
      <c r="I24" s="293">
        <v>23050</v>
      </c>
      <c r="J24" s="293">
        <v>27970</v>
      </c>
      <c r="K24" s="293">
        <v>23552</v>
      </c>
      <c r="L24" s="293">
        <v>16674</v>
      </c>
      <c r="M24" s="293">
        <v>2092</v>
      </c>
      <c r="N24" s="293">
        <v>486</v>
      </c>
      <c r="O24" s="293">
        <v>208</v>
      </c>
      <c r="Q24" s="294"/>
    </row>
    <row r="25" spans="1:17" x14ac:dyDescent="0.25">
      <c r="A25" s="6" t="s">
        <v>310</v>
      </c>
      <c r="B25" s="292">
        <f t="shared" si="1"/>
        <v>8.7338126718399332E-3</v>
      </c>
      <c r="C25" s="43">
        <f t="shared" si="2"/>
        <v>83687</v>
      </c>
      <c r="D25" s="293">
        <v>204</v>
      </c>
      <c r="E25" s="293">
        <v>179</v>
      </c>
      <c r="F25" s="293">
        <v>180</v>
      </c>
      <c r="G25" s="293">
        <v>1272</v>
      </c>
      <c r="H25" s="293">
        <v>9783</v>
      </c>
      <c r="I25" s="293">
        <v>17606</v>
      </c>
      <c r="J25" s="293">
        <v>22015</v>
      </c>
      <c r="K25" s="293">
        <v>18276</v>
      </c>
      <c r="L25" s="293">
        <v>12162</v>
      </c>
      <c r="M25" s="293">
        <v>1455</v>
      </c>
      <c r="N25" s="293">
        <v>363</v>
      </c>
      <c r="O25" s="293">
        <v>192</v>
      </c>
      <c r="Q25" s="294"/>
    </row>
    <row r="26" spans="1:17" x14ac:dyDescent="0.25">
      <c r="A26" s="6" t="s">
        <v>311</v>
      </c>
      <c r="B26" s="292">
        <f t="shared" si="1"/>
        <v>6.6665936126813373E-3</v>
      </c>
      <c r="C26" s="43">
        <f t="shared" si="2"/>
        <v>63879</v>
      </c>
      <c r="D26" s="293">
        <v>166</v>
      </c>
      <c r="E26" s="293">
        <v>161</v>
      </c>
      <c r="F26" s="293">
        <v>129</v>
      </c>
      <c r="G26" s="293">
        <v>967</v>
      </c>
      <c r="H26" s="293">
        <v>7102</v>
      </c>
      <c r="I26" s="293">
        <v>13236</v>
      </c>
      <c r="J26" s="293">
        <v>17435</v>
      </c>
      <c r="K26" s="293">
        <v>13840</v>
      </c>
      <c r="L26" s="293">
        <v>9263</v>
      </c>
      <c r="M26" s="293">
        <v>1127</v>
      </c>
      <c r="N26" s="293">
        <v>293</v>
      </c>
      <c r="O26" s="293">
        <v>160</v>
      </c>
      <c r="Q26" s="294"/>
    </row>
    <row r="27" spans="1:17" x14ac:dyDescent="0.25">
      <c r="A27" s="6" t="s">
        <v>312</v>
      </c>
      <c r="B27" s="292">
        <f t="shared" si="1"/>
        <v>5.1327730092658548E-3</v>
      </c>
      <c r="C27" s="43">
        <f t="shared" si="2"/>
        <v>49182</v>
      </c>
      <c r="D27" s="293">
        <v>161</v>
      </c>
      <c r="E27" s="293">
        <v>130</v>
      </c>
      <c r="F27" s="293">
        <v>168</v>
      </c>
      <c r="G27" s="293">
        <v>750</v>
      </c>
      <c r="H27" s="293">
        <v>5423</v>
      </c>
      <c r="I27" s="293">
        <v>10246</v>
      </c>
      <c r="J27" s="293">
        <v>13368</v>
      </c>
      <c r="K27" s="293">
        <v>10658</v>
      </c>
      <c r="L27" s="293">
        <v>7005</v>
      </c>
      <c r="M27" s="293">
        <v>873</v>
      </c>
      <c r="N27" s="293">
        <v>247</v>
      </c>
      <c r="O27" s="293">
        <v>153</v>
      </c>
      <c r="Q27" s="294"/>
    </row>
    <row r="28" spans="1:17" x14ac:dyDescent="0.25">
      <c r="A28" s="6" t="s">
        <v>313</v>
      </c>
      <c r="B28" s="292">
        <f t="shared" si="1"/>
        <v>3.9329134816433594E-3</v>
      </c>
      <c r="C28" s="43">
        <f t="shared" si="2"/>
        <v>37685</v>
      </c>
      <c r="D28" s="293">
        <v>135</v>
      </c>
      <c r="E28" s="293">
        <v>134</v>
      </c>
      <c r="F28" s="293">
        <v>142</v>
      </c>
      <c r="G28" s="293">
        <v>576</v>
      </c>
      <c r="H28" s="293">
        <v>4075</v>
      </c>
      <c r="I28" s="293">
        <v>8035</v>
      </c>
      <c r="J28" s="293">
        <v>10294</v>
      </c>
      <c r="K28" s="293">
        <v>8101</v>
      </c>
      <c r="L28" s="293">
        <v>5197</v>
      </c>
      <c r="M28" s="293">
        <v>657</v>
      </c>
      <c r="N28" s="293">
        <v>205</v>
      </c>
      <c r="O28" s="293">
        <v>134</v>
      </c>
      <c r="Q28" s="294"/>
    </row>
    <row r="29" spans="1:17" x14ac:dyDescent="0.25">
      <c r="A29" s="6" t="s">
        <v>314</v>
      </c>
      <c r="B29" s="292">
        <f t="shared" si="1"/>
        <v>3.0481253564643125E-3</v>
      </c>
      <c r="C29" s="43">
        <f t="shared" si="2"/>
        <v>29207</v>
      </c>
      <c r="D29" s="293">
        <v>142</v>
      </c>
      <c r="E29" s="293">
        <v>154</v>
      </c>
      <c r="F29" s="293">
        <v>134</v>
      </c>
      <c r="G29" s="293">
        <v>444</v>
      </c>
      <c r="H29" s="293">
        <v>3121</v>
      </c>
      <c r="I29" s="293">
        <v>6096</v>
      </c>
      <c r="J29" s="293">
        <v>7984</v>
      </c>
      <c r="K29" s="293">
        <v>6278</v>
      </c>
      <c r="L29" s="293">
        <v>4042</v>
      </c>
      <c r="M29" s="293">
        <v>529</v>
      </c>
      <c r="N29" s="293">
        <v>172</v>
      </c>
      <c r="O29" s="293">
        <v>111</v>
      </c>
      <c r="Q29" s="294"/>
    </row>
    <row r="30" spans="1:17" x14ac:dyDescent="0.25">
      <c r="A30" s="6" t="s">
        <v>315</v>
      </c>
      <c r="B30" s="292">
        <f t="shared" si="1"/>
        <v>2.4191305427754568E-3</v>
      </c>
      <c r="C30" s="43">
        <f t="shared" si="2"/>
        <v>23180</v>
      </c>
      <c r="D30" s="293">
        <v>112</v>
      </c>
      <c r="E30" s="293">
        <v>136</v>
      </c>
      <c r="F30" s="293">
        <v>132</v>
      </c>
      <c r="G30" s="293">
        <v>366</v>
      </c>
      <c r="H30" s="293">
        <v>2469</v>
      </c>
      <c r="I30" s="293">
        <v>4742</v>
      </c>
      <c r="J30" s="293">
        <v>6472</v>
      </c>
      <c r="K30" s="293">
        <v>4734</v>
      </c>
      <c r="L30" s="293">
        <v>3321</v>
      </c>
      <c r="M30" s="293">
        <v>422</v>
      </c>
      <c r="N30" s="293">
        <v>165</v>
      </c>
      <c r="O30" s="293">
        <v>109</v>
      </c>
      <c r="Q30" s="294"/>
    </row>
    <row r="31" spans="1:17" x14ac:dyDescent="0.25">
      <c r="A31" s="6" t="s">
        <v>316</v>
      </c>
      <c r="B31" s="292">
        <f t="shared" si="1"/>
        <v>1.8763394317756659E-3</v>
      </c>
      <c r="C31" s="43">
        <f t="shared" si="2"/>
        <v>17979</v>
      </c>
      <c r="D31" s="293">
        <v>112</v>
      </c>
      <c r="E31" s="293">
        <v>118</v>
      </c>
      <c r="F31" s="293">
        <v>111</v>
      </c>
      <c r="G31" s="293">
        <v>305</v>
      </c>
      <c r="H31" s="293">
        <v>1933</v>
      </c>
      <c r="I31" s="293">
        <v>3680</v>
      </c>
      <c r="J31" s="293">
        <v>4926</v>
      </c>
      <c r="K31" s="293">
        <v>3715</v>
      </c>
      <c r="L31" s="293">
        <v>2523</v>
      </c>
      <c r="M31" s="293">
        <v>325</v>
      </c>
      <c r="N31" s="293">
        <v>132</v>
      </c>
      <c r="O31" s="293">
        <v>99</v>
      </c>
      <c r="Q31" s="294"/>
    </row>
    <row r="32" spans="1:17" x14ac:dyDescent="0.25">
      <c r="A32" s="6" t="s">
        <v>317</v>
      </c>
      <c r="B32" s="292">
        <f t="shared" si="1"/>
        <v>1.5378907540267097E-3</v>
      </c>
      <c r="C32" s="43">
        <f t="shared" si="2"/>
        <v>14736</v>
      </c>
      <c r="D32" s="293">
        <v>104</v>
      </c>
      <c r="E32" s="293">
        <v>107</v>
      </c>
      <c r="F32" s="293">
        <v>115</v>
      </c>
      <c r="G32" s="293">
        <v>269</v>
      </c>
      <c r="H32" s="293">
        <v>1545</v>
      </c>
      <c r="I32" s="293">
        <v>3044</v>
      </c>
      <c r="J32" s="293">
        <v>3923</v>
      </c>
      <c r="K32" s="293">
        <v>3181</v>
      </c>
      <c r="L32" s="293">
        <v>1956</v>
      </c>
      <c r="M32" s="293">
        <v>283</v>
      </c>
      <c r="N32" s="293">
        <v>122</v>
      </c>
      <c r="O32" s="293">
        <v>87</v>
      </c>
      <c r="Q32" s="294"/>
    </row>
    <row r="33" spans="1:17" x14ac:dyDescent="0.25">
      <c r="A33" s="6" t="s">
        <v>251</v>
      </c>
      <c r="B33" s="292">
        <f t="shared" si="1"/>
        <v>8.0862412733100925E-3</v>
      </c>
      <c r="C33" s="43">
        <f t="shared" si="2"/>
        <v>77482</v>
      </c>
      <c r="D33" s="293">
        <v>1278</v>
      </c>
      <c r="E33" s="293">
        <v>1296</v>
      </c>
      <c r="F33" s="293">
        <v>1267</v>
      </c>
      <c r="G33" s="293">
        <v>2056</v>
      </c>
      <c r="H33" s="293">
        <v>7937</v>
      </c>
      <c r="I33" s="293">
        <v>15060</v>
      </c>
      <c r="J33" s="293">
        <v>19476</v>
      </c>
      <c r="K33" s="293">
        <v>14785</v>
      </c>
      <c r="L33" s="293">
        <v>9867</v>
      </c>
      <c r="M33" s="293">
        <v>2106</v>
      </c>
      <c r="N33" s="293">
        <v>1398</v>
      </c>
      <c r="O33" s="293">
        <v>956</v>
      </c>
      <c r="Q33" s="294"/>
    </row>
    <row r="34" spans="1:17" x14ac:dyDescent="0.25">
      <c r="A34" s="295" t="s">
        <v>318</v>
      </c>
      <c r="B34" s="296">
        <f>SUM(B7:B33)</f>
        <v>0.99999999999999989</v>
      </c>
      <c r="C34" s="297">
        <f>SUM(C7:C33)</f>
        <v>9581955</v>
      </c>
      <c r="D34" s="297">
        <f t="shared" ref="D34:O34" si="3">SUM(D7:D33)</f>
        <v>793660</v>
      </c>
      <c r="E34" s="297">
        <f t="shared" si="3"/>
        <v>794575</v>
      </c>
      <c r="F34" s="297">
        <f t="shared" si="3"/>
        <v>795425</v>
      </c>
      <c r="G34" s="297">
        <f t="shared" si="3"/>
        <v>796625</v>
      </c>
      <c r="H34" s="297">
        <f t="shared" si="3"/>
        <v>797445</v>
      </c>
      <c r="I34" s="297">
        <f t="shared" si="3"/>
        <v>798366</v>
      </c>
      <c r="J34" s="297">
        <f t="shared" si="3"/>
        <v>798966</v>
      </c>
      <c r="K34" s="297">
        <f t="shared" si="3"/>
        <v>799808</v>
      </c>
      <c r="L34" s="297">
        <f t="shared" si="3"/>
        <v>800780</v>
      </c>
      <c r="M34" s="297">
        <f t="shared" si="3"/>
        <v>801556</v>
      </c>
      <c r="N34" s="297">
        <f t="shared" si="3"/>
        <v>802079</v>
      </c>
      <c r="O34" s="297">
        <f t="shared" si="3"/>
        <v>802670</v>
      </c>
      <c r="Q34" s="294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scale="78" orientation="landscape" horizontalDpi="90" verticalDpi="90" r:id="rId1"/>
  <headerFooter>
    <oddFooter>&amp;L&amp;F
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zoomScale="90" zoomScaleNormal="90" workbookViewId="0">
      <selection activeCell="L20" sqref="L20"/>
    </sheetView>
  </sheetViews>
  <sheetFormatPr defaultColWidth="9.140625" defaultRowHeight="15" x14ac:dyDescent="0.25"/>
  <cols>
    <col min="1" max="1" width="1.5703125" style="26" customWidth="1"/>
    <col min="2" max="2" width="14.85546875" style="26" customWidth="1"/>
    <col min="3" max="3" width="2.85546875" style="26" customWidth="1"/>
    <col min="4" max="15" width="13.42578125" style="26" customWidth="1"/>
    <col min="16" max="16" width="14" style="26" customWidth="1"/>
    <col min="17" max="16384" width="9.140625" style="26"/>
  </cols>
  <sheetData>
    <row r="1" spans="2:18" x14ac:dyDescent="0.25"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</row>
    <row r="2" spans="2:18" x14ac:dyDescent="0.25">
      <c r="B2" s="393" t="s">
        <v>186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</row>
    <row r="3" spans="2:18" x14ac:dyDescent="0.25">
      <c r="B3" s="393" t="s">
        <v>255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</row>
    <row r="4" spans="2:18" x14ac:dyDescent="0.25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8" x14ac:dyDescent="0.25">
      <c r="B5" s="26" t="s">
        <v>185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2:18" x14ac:dyDescent="0.25">
      <c r="B7" s="29" t="s">
        <v>21</v>
      </c>
      <c r="D7" s="35">
        <v>44927</v>
      </c>
      <c r="E7" s="35">
        <f>EDATE(D7,1)</f>
        <v>44958</v>
      </c>
      <c r="F7" s="35">
        <f t="shared" ref="F7:O7" si="0">EDATE(E7,1)</f>
        <v>44986</v>
      </c>
      <c r="G7" s="35">
        <f t="shared" si="0"/>
        <v>45017</v>
      </c>
      <c r="H7" s="35">
        <f t="shared" si="0"/>
        <v>45047</v>
      </c>
      <c r="I7" s="35">
        <f t="shared" si="0"/>
        <v>45078</v>
      </c>
      <c r="J7" s="35">
        <f t="shared" si="0"/>
        <v>45108</v>
      </c>
      <c r="K7" s="35">
        <f t="shared" si="0"/>
        <v>45139</v>
      </c>
      <c r="L7" s="35">
        <f t="shared" si="0"/>
        <v>45170</v>
      </c>
      <c r="M7" s="35">
        <f t="shared" si="0"/>
        <v>45200</v>
      </c>
      <c r="N7" s="35">
        <f t="shared" si="0"/>
        <v>45231</v>
      </c>
      <c r="O7" s="35">
        <f t="shared" si="0"/>
        <v>45261</v>
      </c>
      <c r="P7" s="30" t="s">
        <v>6</v>
      </c>
    </row>
    <row r="8" spans="2:18" x14ac:dyDescent="0.25">
      <c r="B8" s="31"/>
    </row>
    <row r="9" spans="2:18" x14ac:dyDescent="0.25">
      <c r="B9" s="69">
        <v>16</v>
      </c>
      <c r="D9" s="275">
        <v>736</v>
      </c>
      <c r="E9" s="275">
        <v>736</v>
      </c>
      <c r="F9" s="275">
        <v>736</v>
      </c>
      <c r="G9" s="275">
        <v>736</v>
      </c>
      <c r="H9" s="275">
        <v>736</v>
      </c>
      <c r="I9" s="275">
        <v>736</v>
      </c>
      <c r="J9" s="275">
        <v>736</v>
      </c>
      <c r="K9" s="275">
        <v>736</v>
      </c>
      <c r="L9" s="275">
        <v>736</v>
      </c>
      <c r="M9" s="275">
        <v>736</v>
      </c>
      <c r="N9" s="275">
        <v>736</v>
      </c>
      <c r="O9" s="275">
        <v>736</v>
      </c>
      <c r="P9" s="28">
        <f>SUM(D9:O9)</f>
        <v>8832</v>
      </c>
      <c r="R9" s="71"/>
    </row>
    <row r="10" spans="2:18" x14ac:dyDescent="0.25">
      <c r="B10" s="31">
        <v>23</v>
      </c>
      <c r="D10" s="275">
        <v>97941516</v>
      </c>
      <c r="E10" s="275">
        <v>83022104</v>
      </c>
      <c r="F10" s="275">
        <v>75914577</v>
      </c>
      <c r="G10" s="275">
        <v>53571434</v>
      </c>
      <c r="H10" s="275">
        <v>30561974</v>
      </c>
      <c r="I10" s="275">
        <v>20171882</v>
      </c>
      <c r="J10" s="275">
        <v>14529332</v>
      </c>
      <c r="K10" s="275">
        <v>13851846</v>
      </c>
      <c r="L10" s="275">
        <v>20485033</v>
      </c>
      <c r="M10" s="275">
        <v>47224738</v>
      </c>
      <c r="N10" s="275">
        <v>77482026</v>
      </c>
      <c r="O10" s="275">
        <v>101612899</v>
      </c>
      <c r="P10" s="28">
        <f>SUM(D10:O10)</f>
        <v>636369361</v>
      </c>
      <c r="R10" s="71"/>
    </row>
    <row r="11" spans="2:18" x14ac:dyDescent="0.25">
      <c r="B11" s="31">
        <v>53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5">
        <v>0</v>
      </c>
      <c r="O11" s="275">
        <v>0</v>
      </c>
      <c r="P11" s="28">
        <f t="shared" ref="P11:P26" si="1">SUM(D11:O11)</f>
        <v>0</v>
      </c>
      <c r="R11" s="71"/>
    </row>
    <row r="12" spans="2:18" x14ac:dyDescent="0.25">
      <c r="B12" s="31">
        <v>31</v>
      </c>
      <c r="D12" s="275">
        <v>32813556</v>
      </c>
      <c r="E12" s="275">
        <v>30024227</v>
      </c>
      <c r="F12" s="275">
        <v>27311157</v>
      </c>
      <c r="G12" s="275">
        <v>19906498</v>
      </c>
      <c r="H12" s="275">
        <v>14088839</v>
      </c>
      <c r="I12" s="275">
        <v>10820806</v>
      </c>
      <c r="J12" s="275">
        <v>8981782</v>
      </c>
      <c r="K12" s="275">
        <v>9265748</v>
      </c>
      <c r="L12" s="275">
        <v>10441065</v>
      </c>
      <c r="M12" s="275">
        <v>17481865</v>
      </c>
      <c r="N12" s="275">
        <v>26613144</v>
      </c>
      <c r="O12" s="275">
        <v>35443561</v>
      </c>
      <c r="P12" s="28">
        <f t="shared" si="1"/>
        <v>243192248</v>
      </c>
      <c r="R12" s="71"/>
    </row>
    <row r="13" spans="2:18" x14ac:dyDescent="0.25">
      <c r="B13" s="31">
        <v>41</v>
      </c>
      <c r="D13" s="275">
        <v>7910759</v>
      </c>
      <c r="E13" s="275">
        <v>7671023</v>
      </c>
      <c r="F13" s="275">
        <v>7204827</v>
      </c>
      <c r="G13" s="275">
        <v>5641062</v>
      </c>
      <c r="H13" s="275">
        <v>4422143</v>
      </c>
      <c r="I13" s="275">
        <v>3620707</v>
      </c>
      <c r="J13" s="275">
        <v>2879055</v>
      </c>
      <c r="K13" s="275">
        <v>2993984</v>
      </c>
      <c r="L13" s="275">
        <v>3434869</v>
      </c>
      <c r="M13" s="275">
        <v>5338183</v>
      </c>
      <c r="N13" s="275">
        <v>7301859</v>
      </c>
      <c r="O13" s="275">
        <v>8504414</v>
      </c>
      <c r="P13" s="28">
        <f t="shared" si="1"/>
        <v>66922885</v>
      </c>
      <c r="R13" s="71"/>
    </row>
    <row r="14" spans="2:18" x14ac:dyDescent="0.25">
      <c r="B14" s="31">
        <v>85</v>
      </c>
      <c r="D14" s="275">
        <v>1198131</v>
      </c>
      <c r="E14" s="275">
        <v>1185502</v>
      </c>
      <c r="F14" s="275">
        <v>1088002</v>
      </c>
      <c r="G14" s="275">
        <v>873041</v>
      </c>
      <c r="H14" s="275">
        <v>810165</v>
      </c>
      <c r="I14" s="275">
        <v>636889</v>
      </c>
      <c r="J14" s="275">
        <v>601480</v>
      </c>
      <c r="K14" s="275">
        <v>658848</v>
      </c>
      <c r="L14" s="275">
        <v>666097</v>
      </c>
      <c r="M14" s="275">
        <v>946492</v>
      </c>
      <c r="N14" s="275">
        <v>1081303</v>
      </c>
      <c r="O14" s="275">
        <v>1378690</v>
      </c>
      <c r="P14" s="28">
        <f t="shared" si="1"/>
        <v>11124640</v>
      </c>
      <c r="R14" s="71"/>
    </row>
    <row r="15" spans="2:18" x14ac:dyDescent="0.25">
      <c r="B15" s="31">
        <v>86</v>
      </c>
      <c r="D15" s="275">
        <v>759018</v>
      </c>
      <c r="E15" s="275">
        <v>747461</v>
      </c>
      <c r="F15" s="275">
        <v>701258</v>
      </c>
      <c r="G15" s="275">
        <v>488482</v>
      </c>
      <c r="H15" s="275">
        <v>417860</v>
      </c>
      <c r="I15" s="275">
        <v>257965</v>
      </c>
      <c r="J15" s="275">
        <v>186909</v>
      </c>
      <c r="K15" s="275">
        <v>152379</v>
      </c>
      <c r="L15" s="275">
        <v>170002</v>
      </c>
      <c r="M15" s="275">
        <v>380238</v>
      </c>
      <c r="N15" s="275">
        <v>579415</v>
      </c>
      <c r="O15" s="275">
        <v>850503</v>
      </c>
      <c r="P15" s="28">
        <f t="shared" si="1"/>
        <v>5691490</v>
      </c>
      <c r="R15" s="71"/>
    </row>
    <row r="16" spans="2:18" x14ac:dyDescent="0.25">
      <c r="B16" s="31">
        <v>87</v>
      </c>
      <c r="D16" s="275">
        <v>2998650.8943750001</v>
      </c>
      <c r="E16" s="275">
        <v>4620973.8603750002</v>
      </c>
      <c r="F16" s="275">
        <v>-230183.26163159739</v>
      </c>
      <c r="G16" s="275">
        <v>2722328.7807902782</v>
      </c>
      <c r="H16" s="275">
        <v>1246699.5224090284</v>
      </c>
      <c r="I16" s="275">
        <v>1711965.7117916665</v>
      </c>
      <c r="J16" s="275">
        <v>204785.59449999995</v>
      </c>
      <c r="K16" s="275">
        <v>2315404.6089999997</v>
      </c>
      <c r="L16" s="275">
        <v>955360.63349999976</v>
      </c>
      <c r="M16" s="275">
        <v>1332643.2697923623</v>
      </c>
      <c r="N16" s="275">
        <v>4079298.5974499993</v>
      </c>
      <c r="O16" s="275">
        <v>-138472.44999652982</v>
      </c>
      <c r="P16" s="28">
        <f t="shared" si="1"/>
        <v>21819455.762355205</v>
      </c>
      <c r="R16" s="71"/>
    </row>
    <row r="17" spans="2:18" x14ac:dyDescent="0.25">
      <c r="B17" s="31" t="s">
        <v>33</v>
      </c>
      <c r="D17" s="275">
        <v>3528</v>
      </c>
      <c r="E17" s="275">
        <v>3764</v>
      </c>
      <c r="F17" s="275">
        <v>3289</v>
      </c>
      <c r="G17" s="275">
        <v>2864</v>
      </c>
      <c r="H17" s="275">
        <v>2114</v>
      </c>
      <c r="I17" s="275">
        <v>1988</v>
      </c>
      <c r="J17" s="275">
        <v>1731</v>
      </c>
      <c r="K17" s="275">
        <v>1953</v>
      </c>
      <c r="L17" s="275">
        <v>2044</v>
      </c>
      <c r="M17" s="275">
        <v>2851</v>
      </c>
      <c r="N17" s="275">
        <v>3983</v>
      </c>
      <c r="O17" s="275">
        <v>4288</v>
      </c>
      <c r="P17" s="28">
        <f t="shared" si="1"/>
        <v>34397</v>
      </c>
      <c r="R17" s="71"/>
    </row>
    <row r="18" spans="2:18" x14ac:dyDescent="0.25">
      <c r="B18" s="31" t="s">
        <v>35</v>
      </c>
      <c r="D18" s="275">
        <v>2116956</v>
      </c>
      <c r="E18" s="275">
        <v>2331781</v>
      </c>
      <c r="F18" s="275">
        <v>1977795</v>
      </c>
      <c r="G18" s="275">
        <v>2219457</v>
      </c>
      <c r="H18" s="275">
        <v>2069887</v>
      </c>
      <c r="I18" s="275">
        <v>2183125</v>
      </c>
      <c r="J18" s="275">
        <v>1984196</v>
      </c>
      <c r="K18" s="275">
        <v>2033669</v>
      </c>
      <c r="L18" s="275">
        <v>1976564</v>
      </c>
      <c r="M18" s="275">
        <v>2014514</v>
      </c>
      <c r="N18" s="275">
        <v>2305708</v>
      </c>
      <c r="O18" s="275">
        <v>2250869</v>
      </c>
      <c r="P18" s="28">
        <f t="shared" si="1"/>
        <v>25464521</v>
      </c>
      <c r="R18" s="71"/>
    </row>
    <row r="19" spans="2:18" x14ac:dyDescent="0.25">
      <c r="B19" s="31" t="s">
        <v>37</v>
      </c>
      <c r="D19" s="275">
        <v>5016441</v>
      </c>
      <c r="E19" s="275">
        <v>6201400</v>
      </c>
      <c r="F19" s="275">
        <v>4921274</v>
      </c>
      <c r="G19" s="275">
        <v>5504027</v>
      </c>
      <c r="H19" s="275">
        <v>4906016</v>
      </c>
      <c r="I19" s="275">
        <v>5236530</v>
      </c>
      <c r="J19" s="275">
        <v>4812895</v>
      </c>
      <c r="K19" s="275">
        <v>4804341</v>
      </c>
      <c r="L19" s="275">
        <v>4845237</v>
      </c>
      <c r="M19" s="275">
        <v>5320951</v>
      </c>
      <c r="N19" s="275">
        <v>5758442</v>
      </c>
      <c r="O19" s="275">
        <v>5459964</v>
      </c>
      <c r="P19" s="28">
        <f t="shared" si="1"/>
        <v>62787518</v>
      </c>
      <c r="R19" s="71"/>
    </row>
    <row r="20" spans="2:18" x14ac:dyDescent="0.25">
      <c r="B20" s="31" t="s">
        <v>39</v>
      </c>
      <c r="D20" s="275">
        <v>42937</v>
      </c>
      <c r="E20" s="275">
        <v>60764</v>
      </c>
      <c r="F20" s="275">
        <v>34773</v>
      </c>
      <c r="G20" s="275">
        <v>44687</v>
      </c>
      <c r="H20" s="275">
        <v>40593</v>
      </c>
      <c r="I20" s="275">
        <v>45663</v>
      </c>
      <c r="J20" s="275">
        <v>45435</v>
      </c>
      <c r="K20" s="275">
        <v>42617</v>
      </c>
      <c r="L20" s="275">
        <v>43435</v>
      </c>
      <c r="M20" s="275">
        <v>42130</v>
      </c>
      <c r="N20" s="275">
        <v>49027</v>
      </c>
      <c r="O20" s="275">
        <v>50348</v>
      </c>
      <c r="P20" s="28">
        <f t="shared" si="1"/>
        <v>542409</v>
      </c>
      <c r="R20" s="71"/>
    </row>
    <row r="21" spans="2:18" x14ac:dyDescent="0.25">
      <c r="B21" s="31" t="s">
        <v>41</v>
      </c>
      <c r="D21" s="275">
        <v>9534334.2782708313</v>
      </c>
      <c r="E21" s="275">
        <v>9083630.6327500008</v>
      </c>
      <c r="F21" s="275">
        <v>11122338.460125834</v>
      </c>
      <c r="G21" s="275">
        <v>11482920.092618749</v>
      </c>
      <c r="H21" s="275">
        <v>11256643.514784165</v>
      </c>
      <c r="I21" s="275">
        <v>10322709.920044998</v>
      </c>
      <c r="J21" s="275">
        <v>9478611.2100000009</v>
      </c>
      <c r="K21" s="275">
        <v>11385047.600000001</v>
      </c>
      <c r="L21" s="275">
        <v>10431732.109999999</v>
      </c>
      <c r="M21" s="275">
        <v>11797093.040597919</v>
      </c>
      <c r="N21" s="275">
        <v>9379606.9908349998</v>
      </c>
      <c r="O21" s="275">
        <v>13678744.795452083</v>
      </c>
      <c r="P21" s="28">
        <f t="shared" si="1"/>
        <v>128953412.64547956</v>
      </c>
      <c r="R21" s="71"/>
    </row>
    <row r="22" spans="2:18" x14ac:dyDescent="0.25">
      <c r="B22" s="31" t="s">
        <v>13</v>
      </c>
      <c r="D22" s="275">
        <v>3285881</v>
      </c>
      <c r="E22" s="275">
        <v>4444835</v>
      </c>
      <c r="F22" s="275">
        <v>2651562</v>
      </c>
      <c r="G22" s="275">
        <v>2584624</v>
      </c>
      <c r="H22" s="275">
        <v>1940500</v>
      </c>
      <c r="I22" s="275">
        <v>1936192</v>
      </c>
      <c r="J22" s="275">
        <v>1696949</v>
      </c>
      <c r="K22" s="275">
        <v>1557426</v>
      </c>
      <c r="L22" s="275">
        <v>1711238</v>
      </c>
      <c r="M22" s="275">
        <v>2425672</v>
      </c>
      <c r="N22" s="275">
        <v>3276015</v>
      </c>
      <c r="O22" s="275">
        <v>3555866</v>
      </c>
      <c r="P22" s="28">
        <f t="shared" si="1"/>
        <v>31066760</v>
      </c>
      <c r="R22" s="71"/>
    </row>
    <row r="23" spans="2:18" x14ac:dyDescent="0.25">
      <c r="B23" s="31" t="s">
        <v>6</v>
      </c>
      <c r="D23" s="32">
        <f t="shared" ref="D23:P23" si="2">SUM(D9:D22)</f>
        <v>163622444.17264584</v>
      </c>
      <c r="E23" s="32">
        <f t="shared" si="2"/>
        <v>149398201.49312499</v>
      </c>
      <c r="F23" s="32">
        <f t="shared" si="2"/>
        <v>132701405.19849424</v>
      </c>
      <c r="G23" s="32">
        <f t="shared" si="2"/>
        <v>105042160.87340903</v>
      </c>
      <c r="H23" s="32">
        <f t="shared" si="2"/>
        <v>71764170.037193194</v>
      </c>
      <c r="I23" s="32">
        <f t="shared" si="2"/>
        <v>56947158.63183666</v>
      </c>
      <c r="J23" s="32">
        <f t="shared" si="2"/>
        <v>45403896.804500006</v>
      </c>
      <c r="K23" s="32">
        <f t="shared" si="2"/>
        <v>49063999.208999999</v>
      </c>
      <c r="L23" s="32">
        <f t="shared" si="2"/>
        <v>55163412.743500002</v>
      </c>
      <c r="M23" s="32">
        <f t="shared" si="2"/>
        <v>94308106.310390279</v>
      </c>
      <c r="N23" s="32">
        <f t="shared" si="2"/>
        <v>137910563.588285</v>
      </c>
      <c r="O23" s="32">
        <f t="shared" si="2"/>
        <v>172652410.34545556</v>
      </c>
      <c r="P23" s="32">
        <f t="shared" si="2"/>
        <v>1233977929.407835</v>
      </c>
    </row>
    <row r="24" spans="2:18" x14ac:dyDescent="0.25">
      <c r="B24" s="3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8" x14ac:dyDescent="0.25">
      <c r="B25" s="31" t="s">
        <v>72</v>
      </c>
      <c r="D25" s="28">
        <f t="shared" ref="D25:O25" si="3">SUM(D9:D13)</f>
        <v>138666567</v>
      </c>
      <c r="E25" s="28">
        <f t="shared" si="3"/>
        <v>120718090</v>
      </c>
      <c r="F25" s="28">
        <f t="shared" si="3"/>
        <v>110431297</v>
      </c>
      <c r="G25" s="28">
        <f t="shared" si="3"/>
        <v>79119730</v>
      </c>
      <c r="H25" s="28">
        <f t="shared" si="3"/>
        <v>49073692</v>
      </c>
      <c r="I25" s="28">
        <f t="shared" si="3"/>
        <v>34614131</v>
      </c>
      <c r="J25" s="28">
        <f t="shared" si="3"/>
        <v>26390905</v>
      </c>
      <c r="K25" s="28">
        <f t="shared" si="3"/>
        <v>26112314</v>
      </c>
      <c r="L25" s="28">
        <f t="shared" si="3"/>
        <v>34361703</v>
      </c>
      <c r="M25" s="28">
        <f t="shared" si="3"/>
        <v>70045522</v>
      </c>
      <c r="N25" s="28">
        <f t="shared" si="3"/>
        <v>111397765</v>
      </c>
      <c r="O25" s="28">
        <f t="shared" si="3"/>
        <v>145561610</v>
      </c>
      <c r="P25" s="28">
        <f t="shared" si="1"/>
        <v>946493326</v>
      </c>
    </row>
    <row r="26" spans="2:18" x14ac:dyDescent="0.25">
      <c r="B26" s="31" t="s">
        <v>73</v>
      </c>
      <c r="D26" s="28">
        <f>SUM(D14:D16)</f>
        <v>4955799.8943750001</v>
      </c>
      <c r="E26" s="28">
        <f t="shared" ref="E26:O26" si="4">SUM(E14:E16)</f>
        <v>6553936.8603750002</v>
      </c>
      <c r="F26" s="28">
        <f t="shared" si="4"/>
        <v>1559076.7383684027</v>
      </c>
      <c r="G26" s="28">
        <f t="shared" si="4"/>
        <v>4083851.7807902782</v>
      </c>
      <c r="H26" s="28">
        <f t="shared" si="4"/>
        <v>2474724.5224090284</v>
      </c>
      <c r="I26" s="28">
        <f t="shared" si="4"/>
        <v>2606819.7117916662</v>
      </c>
      <c r="J26" s="28">
        <f t="shared" si="4"/>
        <v>993174.59449999989</v>
      </c>
      <c r="K26" s="28">
        <f t="shared" si="4"/>
        <v>3126631.6089999997</v>
      </c>
      <c r="L26" s="28">
        <f t="shared" si="4"/>
        <v>1791459.6334999998</v>
      </c>
      <c r="M26" s="28">
        <f t="shared" si="4"/>
        <v>2659373.2697923621</v>
      </c>
      <c r="N26" s="28">
        <f t="shared" si="4"/>
        <v>5740016.5974499993</v>
      </c>
      <c r="O26" s="28">
        <f t="shared" si="4"/>
        <v>2090720.5500034702</v>
      </c>
      <c r="P26" s="28">
        <f t="shared" si="1"/>
        <v>38635585.762355208</v>
      </c>
    </row>
    <row r="27" spans="2:18" x14ac:dyDescent="0.25">
      <c r="B27" s="31" t="s">
        <v>74</v>
      </c>
      <c r="D27" s="32">
        <f>SUM(D25:D26)</f>
        <v>143622366.894375</v>
      </c>
      <c r="E27" s="32">
        <f t="shared" ref="E27:P27" si="5">SUM(E25:E26)</f>
        <v>127272026.860375</v>
      </c>
      <c r="F27" s="32">
        <f t="shared" si="5"/>
        <v>111990373.73836841</v>
      </c>
      <c r="G27" s="32">
        <f t="shared" si="5"/>
        <v>83203581.780790284</v>
      </c>
      <c r="H27" s="32">
        <f t="shared" si="5"/>
        <v>51548416.522409029</v>
      </c>
      <c r="I27" s="32">
        <f t="shared" si="5"/>
        <v>37220950.711791664</v>
      </c>
      <c r="J27" s="32">
        <f t="shared" si="5"/>
        <v>27384079.594500002</v>
      </c>
      <c r="K27" s="32">
        <f t="shared" si="5"/>
        <v>29238945.609000001</v>
      </c>
      <c r="L27" s="32">
        <f t="shared" si="5"/>
        <v>36153162.633500002</v>
      </c>
      <c r="M27" s="32">
        <f t="shared" si="5"/>
        <v>72704895.269792363</v>
      </c>
      <c r="N27" s="32">
        <f t="shared" si="5"/>
        <v>117137781.59745</v>
      </c>
      <c r="O27" s="32">
        <f t="shared" si="5"/>
        <v>147652330.55000347</v>
      </c>
      <c r="P27" s="32">
        <f t="shared" si="5"/>
        <v>985128911.76235521</v>
      </c>
    </row>
    <row r="28" spans="2:18" x14ac:dyDescent="0.25">
      <c r="B28" s="31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2:18" x14ac:dyDescent="0.25">
      <c r="B29" s="31" t="s">
        <v>75</v>
      </c>
      <c r="D29" s="28">
        <f>SUM(D17:D22)</f>
        <v>20000077.278270833</v>
      </c>
      <c r="E29" s="28">
        <f t="shared" ref="E29:O29" si="6">SUM(E17:E22)</f>
        <v>22126174.632750001</v>
      </c>
      <c r="F29" s="28">
        <f t="shared" si="6"/>
        <v>20711031.460125834</v>
      </c>
      <c r="G29" s="28">
        <f t="shared" si="6"/>
        <v>21838579.092618749</v>
      </c>
      <c r="H29" s="28">
        <f t="shared" si="6"/>
        <v>20215753.514784165</v>
      </c>
      <c r="I29" s="28">
        <f t="shared" si="6"/>
        <v>19726207.920044996</v>
      </c>
      <c r="J29" s="28">
        <f t="shared" si="6"/>
        <v>18019817.210000001</v>
      </c>
      <c r="K29" s="28">
        <f t="shared" si="6"/>
        <v>19825053.600000001</v>
      </c>
      <c r="L29" s="28">
        <f t="shared" si="6"/>
        <v>19010250.109999999</v>
      </c>
      <c r="M29" s="28">
        <f t="shared" si="6"/>
        <v>21603211.040597919</v>
      </c>
      <c r="N29" s="28">
        <f t="shared" si="6"/>
        <v>20772781.990835</v>
      </c>
      <c r="O29" s="28">
        <f t="shared" si="6"/>
        <v>25000079.795452081</v>
      </c>
      <c r="P29" s="28">
        <f>SUM(D29:O29)</f>
        <v>248849017.64547959</v>
      </c>
    </row>
    <row r="30" spans="2:18" x14ac:dyDescent="0.25">
      <c r="B30" s="31" t="s">
        <v>6</v>
      </c>
      <c r="D30" s="32">
        <f>D27+D29</f>
        <v>163622444.17264584</v>
      </c>
      <c r="E30" s="32">
        <f t="shared" ref="E30:P30" si="7">E27+E29</f>
        <v>149398201.49312499</v>
      </c>
      <c r="F30" s="32">
        <f t="shared" si="7"/>
        <v>132701405.19849424</v>
      </c>
      <c r="G30" s="32">
        <f t="shared" si="7"/>
        <v>105042160.87340903</v>
      </c>
      <c r="H30" s="32">
        <f t="shared" si="7"/>
        <v>71764170.037193194</v>
      </c>
      <c r="I30" s="32">
        <f t="shared" si="7"/>
        <v>56947158.63183666</v>
      </c>
      <c r="J30" s="32">
        <f t="shared" si="7"/>
        <v>45403896.804499999</v>
      </c>
      <c r="K30" s="32">
        <f t="shared" si="7"/>
        <v>49063999.209000006</v>
      </c>
      <c r="L30" s="32">
        <f t="shared" si="7"/>
        <v>55163412.743500002</v>
      </c>
      <c r="M30" s="32">
        <f t="shared" si="7"/>
        <v>94308106.310390279</v>
      </c>
      <c r="N30" s="32">
        <f t="shared" si="7"/>
        <v>137910563.588285</v>
      </c>
      <c r="O30" s="32">
        <f t="shared" si="7"/>
        <v>172652410.34545556</v>
      </c>
      <c r="P30" s="32">
        <f t="shared" si="7"/>
        <v>1233977929.4078348</v>
      </c>
    </row>
    <row r="31" spans="2:18" x14ac:dyDescent="0.25">
      <c r="B31" s="33" t="s">
        <v>76</v>
      </c>
      <c r="D31" s="34">
        <f>D23-D30</f>
        <v>0</v>
      </c>
      <c r="E31" s="34">
        <f t="shared" ref="E31:P31" si="8">E23-E30</f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0</v>
      </c>
      <c r="N31" s="34">
        <f t="shared" si="8"/>
        <v>0</v>
      </c>
      <c r="O31" s="34">
        <f t="shared" si="8"/>
        <v>0</v>
      </c>
      <c r="P31" s="34">
        <f t="shared" si="8"/>
        <v>0</v>
      </c>
    </row>
    <row r="32" spans="2:18" x14ac:dyDescent="0.25">
      <c r="C32" s="28"/>
    </row>
    <row r="33" spans="2:16" x14ac:dyDescent="0.2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x14ac:dyDescent="0.25">
      <c r="B34" s="232" t="s">
        <v>184</v>
      </c>
      <c r="C34" s="28"/>
      <c r="D34" s="28">
        <f t="shared" ref="D34:P34" si="9">SUM(D9:D11)</f>
        <v>97942252</v>
      </c>
      <c r="E34" s="28">
        <f t="shared" si="9"/>
        <v>83022840</v>
      </c>
      <c r="F34" s="28">
        <f t="shared" si="9"/>
        <v>75915313</v>
      </c>
      <c r="G34" s="28">
        <f t="shared" si="9"/>
        <v>53572170</v>
      </c>
      <c r="H34" s="28">
        <f t="shared" si="9"/>
        <v>30562710</v>
      </c>
      <c r="I34" s="28">
        <f t="shared" si="9"/>
        <v>20172618</v>
      </c>
      <c r="J34" s="28">
        <f t="shared" si="9"/>
        <v>14530068</v>
      </c>
      <c r="K34" s="28">
        <f t="shared" si="9"/>
        <v>13852582</v>
      </c>
      <c r="L34" s="28">
        <f t="shared" si="9"/>
        <v>20485769</v>
      </c>
      <c r="M34" s="28">
        <f t="shared" si="9"/>
        <v>47225474</v>
      </c>
      <c r="N34" s="28">
        <f t="shared" si="9"/>
        <v>77482762</v>
      </c>
      <c r="O34" s="28">
        <f t="shared" si="9"/>
        <v>101613635</v>
      </c>
      <c r="P34" s="28">
        <f t="shared" si="9"/>
        <v>636378193</v>
      </c>
    </row>
    <row r="35" spans="2:16" x14ac:dyDescent="0.25">
      <c r="B35" s="31" t="s">
        <v>124</v>
      </c>
      <c r="C35" s="28"/>
      <c r="D35" s="28">
        <f t="shared" ref="D35:P35" si="10">SUM(D12,D17)</f>
        <v>32817084</v>
      </c>
      <c r="E35" s="28">
        <f t="shared" si="10"/>
        <v>30027991</v>
      </c>
      <c r="F35" s="28">
        <f t="shared" si="10"/>
        <v>27314446</v>
      </c>
      <c r="G35" s="28">
        <f t="shared" si="10"/>
        <v>19909362</v>
      </c>
      <c r="H35" s="28">
        <f t="shared" si="10"/>
        <v>14090953</v>
      </c>
      <c r="I35" s="28">
        <f t="shared" si="10"/>
        <v>10822794</v>
      </c>
      <c r="J35" s="28">
        <f t="shared" si="10"/>
        <v>8983513</v>
      </c>
      <c r="K35" s="28">
        <f t="shared" si="10"/>
        <v>9267701</v>
      </c>
      <c r="L35" s="28">
        <f t="shared" si="10"/>
        <v>10443109</v>
      </c>
      <c r="M35" s="28">
        <f t="shared" si="10"/>
        <v>17484716</v>
      </c>
      <c r="N35" s="28">
        <f t="shared" si="10"/>
        <v>26617127</v>
      </c>
      <c r="O35" s="28">
        <f t="shared" si="10"/>
        <v>35447849</v>
      </c>
      <c r="P35" s="28">
        <f t="shared" si="10"/>
        <v>243226645</v>
      </c>
    </row>
    <row r="36" spans="2:16" x14ac:dyDescent="0.25">
      <c r="B36" s="31" t="s">
        <v>125</v>
      </c>
      <c r="D36" s="28">
        <f t="shared" ref="D36:P36" si="11">SUM(D13,D18)</f>
        <v>10027715</v>
      </c>
      <c r="E36" s="28">
        <f t="shared" si="11"/>
        <v>10002804</v>
      </c>
      <c r="F36" s="28">
        <f t="shared" si="11"/>
        <v>9182622</v>
      </c>
      <c r="G36" s="28">
        <f t="shared" si="11"/>
        <v>7860519</v>
      </c>
      <c r="H36" s="28">
        <f t="shared" si="11"/>
        <v>6492030</v>
      </c>
      <c r="I36" s="28">
        <f t="shared" si="11"/>
        <v>5803832</v>
      </c>
      <c r="J36" s="28">
        <f t="shared" si="11"/>
        <v>4863251</v>
      </c>
      <c r="K36" s="28">
        <f t="shared" si="11"/>
        <v>5027653</v>
      </c>
      <c r="L36" s="28">
        <f t="shared" si="11"/>
        <v>5411433</v>
      </c>
      <c r="M36" s="28">
        <f t="shared" si="11"/>
        <v>7352697</v>
      </c>
      <c r="N36" s="28">
        <f t="shared" si="11"/>
        <v>9607567</v>
      </c>
      <c r="O36" s="28">
        <f t="shared" si="11"/>
        <v>10755283</v>
      </c>
      <c r="P36" s="28">
        <f t="shared" si="11"/>
        <v>92387406</v>
      </c>
    </row>
    <row r="37" spans="2:16" x14ac:dyDescent="0.25">
      <c r="B37" s="83" t="s">
        <v>128</v>
      </c>
      <c r="D37" s="28">
        <f t="shared" ref="D37:P37" si="12">SUM(D14,D19)</f>
        <v>6214572</v>
      </c>
      <c r="E37" s="28">
        <f t="shared" si="12"/>
        <v>7386902</v>
      </c>
      <c r="F37" s="28">
        <f t="shared" si="12"/>
        <v>6009276</v>
      </c>
      <c r="G37" s="28">
        <f t="shared" si="12"/>
        <v>6377068</v>
      </c>
      <c r="H37" s="28">
        <f t="shared" si="12"/>
        <v>5716181</v>
      </c>
      <c r="I37" s="28">
        <f t="shared" si="12"/>
        <v>5873419</v>
      </c>
      <c r="J37" s="28">
        <f t="shared" si="12"/>
        <v>5414375</v>
      </c>
      <c r="K37" s="28">
        <f t="shared" si="12"/>
        <v>5463189</v>
      </c>
      <c r="L37" s="28">
        <f t="shared" si="12"/>
        <v>5511334</v>
      </c>
      <c r="M37" s="28">
        <f t="shared" si="12"/>
        <v>6267443</v>
      </c>
      <c r="N37" s="28">
        <f t="shared" si="12"/>
        <v>6839745</v>
      </c>
      <c r="O37" s="28">
        <f t="shared" si="12"/>
        <v>6838654</v>
      </c>
      <c r="P37" s="28">
        <f t="shared" si="12"/>
        <v>73912158</v>
      </c>
    </row>
    <row r="38" spans="2:16" x14ac:dyDescent="0.25">
      <c r="B38" s="31" t="s">
        <v>126</v>
      </c>
      <c r="D38" s="28">
        <f t="shared" ref="D38:P38" si="13">SUM(D15,D20)</f>
        <v>801955</v>
      </c>
      <c r="E38" s="28">
        <f t="shared" si="13"/>
        <v>808225</v>
      </c>
      <c r="F38" s="28">
        <f t="shared" si="13"/>
        <v>736031</v>
      </c>
      <c r="G38" s="28">
        <f t="shared" si="13"/>
        <v>533169</v>
      </c>
      <c r="H38" s="28">
        <f t="shared" si="13"/>
        <v>458453</v>
      </c>
      <c r="I38" s="28">
        <f t="shared" si="13"/>
        <v>303628</v>
      </c>
      <c r="J38" s="28">
        <f t="shared" si="13"/>
        <v>232344</v>
      </c>
      <c r="K38" s="28">
        <f t="shared" si="13"/>
        <v>194996</v>
      </c>
      <c r="L38" s="28">
        <f t="shared" si="13"/>
        <v>213437</v>
      </c>
      <c r="M38" s="28">
        <f t="shared" si="13"/>
        <v>422368</v>
      </c>
      <c r="N38" s="28">
        <f t="shared" si="13"/>
        <v>628442</v>
      </c>
      <c r="O38" s="28">
        <f t="shared" si="13"/>
        <v>900851</v>
      </c>
      <c r="P38" s="28">
        <f t="shared" si="13"/>
        <v>6233899</v>
      </c>
    </row>
    <row r="39" spans="2:16" x14ac:dyDescent="0.25">
      <c r="B39" s="31" t="s">
        <v>127</v>
      </c>
      <c r="D39" s="28">
        <f t="shared" ref="D39:P39" si="14">SUM(D16,D21)</f>
        <v>12532985.172645831</v>
      </c>
      <c r="E39" s="28">
        <f t="shared" si="14"/>
        <v>13704604.493125001</v>
      </c>
      <c r="F39" s="28">
        <f t="shared" si="14"/>
        <v>10892155.198494237</v>
      </c>
      <c r="G39" s="28">
        <f t="shared" si="14"/>
        <v>14205248.873409027</v>
      </c>
      <c r="H39" s="28">
        <f t="shared" si="14"/>
        <v>12503343.037193194</v>
      </c>
      <c r="I39" s="28">
        <f t="shared" si="14"/>
        <v>12034675.631836664</v>
      </c>
      <c r="J39" s="28">
        <f t="shared" si="14"/>
        <v>9683396.8045000006</v>
      </c>
      <c r="K39" s="28">
        <f t="shared" si="14"/>
        <v>13700452.209000001</v>
      </c>
      <c r="L39" s="28">
        <f t="shared" si="14"/>
        <v>11387092.7435</v>
      </c>
      <c r="M39" s="28">
        <f t="shared" si="14"/>
        <v>13129736.310390282</v>
      </c>
      <c r="N39" s="28">
        <f t="shared" si="14"/>
        <v>13458905.588284999</v>
      </c>
      <c r="O39" s="28">
        <f t="shared" si="14"/>
        <v>13540272.345455553</v>
      </c>
      <c r="P39" s="28">
        <f t="shared" si="14"/>
        <v>150772868.40783477</v>
      </c>
    </row>
    <row r="40" spans="2:16" x14ac:dyDescent="0.25">
      <c r="B40" s="83" t="s">
        <v>13</v>
      </c>
      <c r="D40" s="28">
        <f t="shared" ref="D40:P40" si="15">D22</f>
        <v>3285881</v>
      </c>
      <c r="E40" s="28">
        <f t="shared" si="15"/>
        <v>4444835</v>
      </c>
      <c r="F40" s="28">
        <f t="shared" si="15"/>
        <v>2651562</v>
      </c>
      <c r="G40" s="28">
        <f t="shared" si="15"/>
        <v>2584624</v>
      </c>
      <c r="H40" s="28">
        <f t="shared" si="15"/>
        <v>1940500</v>
      </c>
      <c r="I40" s="28">
        <f t="shared" si="15"/>
        <v>1936192</v>
      </c>
      <c r="J40" s="28">
        <f t="shared" si="15"/>
        <v>1696949</v>
      </c>
      <c r="K40" s="28">
        <f t="shared" si="15"/>
        <v>1557426</v>
      </c>
      <c r="L40" s="28">
        <f t="shared" si="15"/>
        <v>1711238</v>
      </c>
      <c r="M40" s="28">
        <f t="shared" si="15"/>
        <v>2425672</v>
      </c>
      <c r="N40" s="28">
        <f t="shared" si="15"/>
        <v>3276015</v>
      </c>
      <c r="O40" s="28">
        <f t="shared" si="15"/>
        <v>3555866</v>
      </c>
      <c r="P40" s="28">
        <f t="shared" si="15"/>
        <v>31066760</v>
      </c>
    </row>
    <row r="41" spans="2:16" x14ac:dyDescent="0.25">
      <c r="B41" s="33" t="s">
        <v>76</v>
      </c>
      <c r="D41" s="34">
        <f>SUM(D34:D40)-D23</f>
        <v>0</v>
      </c>
      <c r="E41" s="34">
        <f t="shared" ref="E41:P41" si="16">SUM(E34:E40)-E23</f>
        <v>0</v>
      </c>
      <c r="F41" s="34">
        <f t="shared" si="16"/>
        <v>0</v>
      </c>
      <c r="G41" s="34">
        <f t="shared" si="16"/>
        <v>0</v>
      </c>
      <c r="H41" s="34">
        <f t="shared" si="16"/>
        <v>0</v>
      </c>
      <c r="I41" s="34">
        <f t="shared" si="16"/>
        <v>0</v>
      </c>
      <c r="J41" s="34">
        <f t="shared" si="16"/>
        <v>0</v>
      </c>
      <c r="K41" s="34">
        <f t="shared" si="16"/>
        <v>0</v>
      </c>
      <c r="L41" s="34">
        <f t="shared" si="16"/>
        <v>0</v>
      </c>
      <c r="M41" s="34">
        <f t="shared" si="16"/>
        <v>0</v>
      </c>
      <c r="N41" s="34">
        <f t="shared" si="16"/>
        <v>0</v>
      </c>
      <c r="O41" s="34">
        <f t="shared" si="16"/>
        <v>0</v>
      </c>
      <c r="P41" s="34">
        <f t="shared" si="16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zoomScale="90" zoomScaleNormal="90" workbookViewId="0">
      <selection activeCell="F15" sqref="F15"/>
    </sheetView>
  </sheetViews>
  <sheetFormatPr defaultColWidth="9.140625" defaultRowHeight="15" x14ac:dyDescent="0.25"/>
  <cols>
    <col min="1" max="1" width="1.5703125" style="26" customWidth="1"/>
    <col min="2" max="2" width="14.85546875" style="26" customWidth="1"/>
    <col min="3" max="3" width="2.85546875" style="26" customWidth="1"/>
    <col min="4" max="15" width="13.42578125" style="26" customWidth="1"/>
    <col min="16" max="16" width="14" style="26" customWidth="1"/>
    <col min="17" max="16384" width="9.140625" style="26"/>
  </cols>
  <sheetData>
    <row r="1" spans="2:18" x14ac:dyDescent="0.25"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</row>
    <row r="2" spans="2:18" x14ac:dyDescent="0.25">
      <c r="B2" s="393" t="s">
        <v>186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</row>
    <row r="3" spans="2:18" x14ac:dyDescent="0.25">
      <c r="B3" s="393" t="s">
        <v>271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</row>
    <row r="4" spans="2:18" x14ac:dyDescent="0.25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8" x14ac:dyDescent="0.25">
      <c r="B5" s="26" t="s">
        <v>185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2:18" x14ac:dyDescent="0.25">
      <c r="B7" s="29" t="s">
        <v>21</v>
      </c>
      <c r="D7" s="35">
        <v>45292</v>
      </c>
      <c r="E7" s="35">
        <f>EDATE(D7,1)</f>
        <v>45323</v>
      </c>
      <c r="F7" s="35">
        <f t="shared" ref="F7:O7" si="0">EDATE(E7,1)</f>
        <v>45352</v>
      </c>
      <c r="G7" s="35">
        <f t="shared" si="0"/>
        <v>45383</v>
      </c>
      <c r="H7" s="35">
        <f t="shared" si="0"/>
        <v>45413</v>
      </c>
      <c r="I7" s="35">
        <f t="shared" si="0"/>
        <v>45444</v>
      </c>
      <c r="J7" s="35">
        <f t="shared" si="0"/>
        <v>45474</v>
      </c>
      <c r="K7" s="35">
        <f t="shared" si="0"/>
        <v>45505</v>
      </c>
      <c r="L7" s="35">
        <f t="shared" si="0"/>
        <v>45536</v>
      </c>
      <c r="M7" s="35">
        <f t="shared" si="0"/>
        <v>45566</v>
      </c>
      <c r="N7" s="35">
        <f t="shared" si="0"/>
        <v>45597</v>
      </c>
      <c r="O7" s="35">
        <f t="shared" si="0"/>
        <v>45627</v>
      </c>
      <c r="P7" s="30" t="s">
        <v>6</v>
      </c>
    </row>
    <row r="8" spans="2:18" x14ac:dyDescent="0.25">
      <c r="B8" s="31"/>
    </row>
    <row r="9" spans="2:18" x14ac:dyDescent="0.25">
      <c r="B9" s="69">
        <v>16</v>
      </c>
      <c r="D9" s="275">
        <v>736</v>
      </c>
      <c r="E9" s="275">
        <v>736</v>
      </c>
      <c r="F9" s="275">
        <v>736</v>
      </c>
      <c r="G9" s="275">
        <v>736</v>
      </c>
      <c r="H9" s="275">
        <v>736</v>
      </c>
      <c r="I9" s="275">
        <v>736</v>
      </c>
      <c r="J9" s="275">
        <v>736</v>
      </c>
      <c r="K9" s="275">
        <v>736</v>
      </c>
      <c r="L9" s="275">
        <v>736</v>
      </c>
      <c r="M9" s="275">
        <v>736</v>
      </c>
      <c r="N9" s="275">
        <v>736</v>
      </c>
      <c r="O9" s="275">
        <v>736</v>
      </c>
      <c r="P9" s="28">
        <f>SUM(D9:O9)</f>
        <v>8832</v>
      </c>
      <c r="R9" s="71"/>
    </row>
    <row r="10" spans="2:18" x14ac:dyDescent="0.25">
      <c r="B10" s="31">
        <v>23</v>
      </c>
      <c r="D10" s="275">
        <v>97939022</v>
      </c>
      <c r="E10" s="275">
        <v>84388896</v>
      </c>
      <c r="F10" s="275">
        <v>77323969</v>
      </c>
      <c r="G10" s="275">
        <v>53507958</v>
      </c>
      <c r="H10" s="275">
        <v>30480725</v>
      </c>
      <c r="I10" s="275">
        <v>20098155</v>
      </c>
      <c r="J10" s="275">
        <v>14466554</v>
      </c>
      <c r="K10" s="275">
        <v>13798925</v>
      </c>
      <c r="L10" s="275">
        <v>20484242</v>
      </c>
      <c r="M10" s="275">
        <v>47350638</v>
      </c>
      <c r="N10" s="275">
        <v>77723497</v>
      </c>
      <c r="O10" s="275">
        <v>101901968</v>
      </c>
      <c r="P10" s="28">
        <f>SUM(D10:O10)</f>
        <v>639464549</v>
      </c>
      <c r="R10" s="71"/>
    </row>
    <row r="11" spans="2:18" x14ac:dyDescent="0.25">
      <c r="B11" s="31">
        <v>53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5">
        <v>0</v>
      </c>
      <c r="O11" s="275">
        <v>0</v>
      </c>
      <c r="P11" s="28">
        <f t="shared" ref="P11:P26" si="1">SUM(D11:O11)</f>
        <v>0</v>
      </c>
      <c r="R11" s="71"/>
    </row>
    <row r="12" spans="2:18" x14ac:dyDescent="0.25">
      <c r="B12" s="31">
        <v>31</v>
      </c>
      <c r="D12" s="275">
        <v>32928097</v>
      </c>
      <c r="E12" s="275">
        <v>30624982</v>
      </c>
      <c r="F12" s="275">
        <v>27968358</v>
      </c>
      <c r="G12" s="275">
        <v>20038502</v>
      </c>
      <c r="H12" s="275">
        <v>14236908</v>
      </c>
      <c r="I12" s="275">
        <v>10978875</v>
      </c>
      <c r="J12" s="275">
        <v>9137542</v>
      </c>
      <c r="K12" s="275">
        <v>9432504</v>
      </c>
      <c r="L12" s="275">
        <v>10596109</v>
      </c>
      <c r="M12" s="275">
        <v>17665776</v>
      </c>
      <c r="N12" s="275">
        <v>26773535</v>
      </c>
      <c r="O12" s="275">
        <v>35555055</v>
      </c>
      <c r="P12" s="28">
        <f t="shared" si="1"/>
        <v>245936243</v>
      </c>
      <c r="R12" s="71"/>
    </row>
    <row r="13" spans="2:18" x14ac:dyDescent="0.25">
      <c r="B13" s="31">
        <v>41</v>
      </c>
      <c r="D13" s="275">
        <v>7888189</v>
      </c>
      <c r="E13" s="275">
        <v>7769589</v>
      </c>
      <c r="F13" s="275">
        <v>7323085</v>
      </c>
      <c r="G13" s="275">
        <v>5619867</v>
      </c>
      <c r="H13" s="275">
        <v>4403676</v>
      </c>
      <c r="I13" s="275">
        <v>3602353</v>
      </c>
      <c r="J13" s="275">
        <v>2860641</v>
      </c>
      <c r="K13" s="275">
        <v>2970849</v>
      </c>
      <c r="L13" s="275">
        <v>3405163</v>
      </c>
      <c r="M13" s="275">
        <v>5305866</v>
      </c>
      <c r="N13" s="275">
        <v>7269688</v>
      </c>
      <c r="O13" s="275">
        <v>8471575</v>
      </c>
      <c r="P13" s="28">
        <f t="shared" si="1"/>
        <v>66890541</v>
      </c>
      <c r="R13" s="71"/>
    </row>
    <row r="14" spans="2:18" x14ac:dyDescent="0.25">
      <c r="B14" s="31">
        <v>85</v>
      </c>
      <c r="D14" s="275">
        <v>1161136</v>
      </c>
      <c r="E14" s="275">
        <v>1161191</v>
      </c>
      <c r="F14" s="275">
        <v>1058245</v>
      </c>
      <c r="G14" s="275">
        <v>840349</v>
      </c>
      <c r="H14" s="275">
        <v>780885</v>
      </c>
      <c r="I14" s="275">
        <v>615102</v>
      </c>
      <c r="J14" s="275">
        <v>581128</v>
      </c>
      <c r="K14" s="275">
        <v>636053</v>
      </c>
      <c r="L14" s="275">
        <v>642739</v>
      </c>
      <c r="M14" s="275">
        <v>909563</v>
      </c>
      <c r="N14" s="275">
        <v>1037256</v>
      </c>
      <c r="O14" s="275">
        <v>1321731</v>
      </c>
      <c r="P14" s="28">
        <f t="shared" si="1"/>
        <v>10745378</v>
      </c>
      <c r="R14" s="71"/>
    </row>
    <row r="15" spans="2:18" x14ac:dyDescent="0.25">
      <c r="B15" s="31">
        <v>86</v>
      </c>
      <c r="D15" s="275">
        <v>734470</v>
      </c>
      <c r="E15" s="275">
        <v>730359</v>
      </c>
      <c r="F15" s="275">
        <v>680496</v>
      </c>
      <c r="G15" s="275">
        <v>469537</v>
      </c>
      <c r="H15" s="275">
        <v>402401</v>
      </c>
      <c r="I15" s="275">
        <v>248868</v>
      </c>
      <c r="J15" s="275">
        <v>180391</v>
      </c>
      <c r="K15" s="275">
        <v>146949</v>
      </c>
      <c r="L15" s="275">
        <v>163570</v>
      </c>
      <c r="M15" s="275">
        <v>364476</v>
      </c>
      <c r="N15" s="275">
        <v>554566</v>
      </c>
      <c r="O15" s="275">
        <v>813325</v>
      </c>
      <c r="P15" s="28">
        <f t="shared" si="1"/>
        <v>5489408</v>
      </c>
      <c r="R15" s="71"/>
    </row>
    <row r="16" spans="2:18" x14ac:dyDescent="0.25">
      <c r="B16" s="31">
        <v>87</v>
      </c>
      <c r="D16" s="275">
        <v>2998650.8943750001</v>
      </c>
      <c r="E16" s="275">
        <v>4620973.8603750002</v>
      </c>
      <c r="F16" s="275">
        <v>-230183.26163159739</v>
      </c>
      <c r="G16" s="275">
        <v>2722328.7807902782</v>
      </c>
      <c r="H16" s="275">
        <v>1246699.5224090284</v>
      </c>
      <c r="I16" s="275">
        <v>1711965.7117916665</v>
      </c>
      <c r="J16" s="275">
        <v>204785.59449999995</v>
      </c>
      <c r="K16" s="275">
        <v>2315404.6089999997</v>
      </c>
      <c r="L16" s="275">
        <v>955360.63349999976</v>
      </c>
      <c r="M16" s="275">
        <v>1332643.2697923623</v>
      </c>
      <c r="N16" s="275">
        <v>4079298.5974499993</v>
      </c>
      <c r="O16" s="275">
        <v>-138472.44999652982</v>
      </c>
      <c r="P16" s="28">
        <f t="shared" si="1"/>
        <v>21819455.762355205</v>
      </c>
      <c r="R16" s="71"/>
    </row>
    <row r="17" spans="2:18" x14ac:dyDescent="0.25">
      <c r="B17" s="31" t="s">
        <v>33</v>
      </c>
      <c r="D17" s="275">
        <v>3584</v>
      </c>
      <c r="E17" s="275">
        <v>3704</v>
      </c>
      <c r="F17" s="275">
        <v>3231</v>
      </c>
      <c r="G17" s="275">
        <v>2806</v>
      </c>
      <c r="H17" s="275">
        <v>2070</v>
      </c>
      <c r="I17" s="275">
        <v>1945</v>
      </c>
      <c r="J17" s="275">
        <v>1693</v>
      </c>
      <c r="K17" s="275">
        <v>1910</v>
      </c>
      <c r="L17" s="275">
        <v>2000</v>
      </c>
      <c r="M17" s="275">
        <v>2796</v>
      </c>
      <c r="N17" s="275">
        <v>3910</v>
      </c>
      <c r="O17" s="275">
        <v>4218</v>
      </c>
      <c r="P17" s="28">
        <f t="shared" si="1"/>
        <v>33867</v>
      </c>
      <c r="R17" s="71"/>
    </row>
    <row r="18" spans="2:18" x14ac:dyDescent="0.25">
      <c r="B18" s="31" t="s">
        <v>35</v>
      </c>
      <c r="D18" s="275">
        <v>2265846</v>
      </c>
      <c r="E18" s="275">
        <v>2422810</v>
      </c>
      <c r="F18" s="275">
        <v>2062550</v>
      </c>
      <c r="G18" s="275">
        <v>2310270</v>
      </c>
      <c r="H18" s="275">
        <v>2150213</v>
      </c>
      <c r="I18" s="275">
        <v>2264391</v>
      </c>
      <c r="J18" s="275">
        <v>2055994</v>
      </c>
      <c r="K18" s="275">
        <v>2108840</v>
      </c>
      <c r="L18" s="275">
        <v>2050826</v>
      </c>
      <c r="M18" s="275">
        <v>2092145</v>
      </c>
      <c r="N18" s="275">
        <v>2394558</v>
      </c>
      <c r="O18" s="275">
        <v>2331791</v>
      </c>
      <c r="P18" s="28">
        <f t="shared" si="1"/>
        <v>26510234</v>
      </c>
      <c r="R18" s="71"/>
    </row>
    <row r="19" spans="2:18" x14ac:dyDescent="0.25">
      <c r="B19" s="31" t="s">
        <v>37</v>
      </c>
      <c r="D19" s="275">
        <v>5134678</v>
      </c>
      <c r="E19" s="275">
        <v>6142926</v>
      </c>
      <c r="F19" s="275">
        <v>4864940</v>
      </c>
      <c r="G19" s="275">
        <v>5439076</v>
      </c>
      <c r="H19" s="275">
        <v>4847607</v>
      </c>
      <c r="I19" s="275">
        <v>5177332</v>
      </c>
      <c r="J19" s="275">
        <v>4759620</v>
      </c>
      <c r="K19" s="275">
        <v>4751470</v>
      </c>
      <c r="L19" s="275">
        <v>4791537</v>
      </c>
      <c r="M19" s="275">
        <v>5268534</v>
      </c>
      <c r="N19" s="275">
        <v>5701725</v>
      </c>
      <c r="O19" s="275">
        <v>5409481</v>
      </c>
      <c r="P19" s="28">
        <f t="shared" si="1"/>
        <v>62288926</v>
      </c>
      <c r="R19" s="71"/>
    </row>
    <row r="20" spans="2:18" x14ac:dyDescent="0.25">
      <c r="B20" s="31" t="s">
        <v>39</v>
      </c>
      <c r="D20" s="275">
        <v>47088</v>
      </c>
      <c r="E20" s="275">
        <v>64390</v>
      </c>
      <c r="F20" s="275">
        <v>37100</v>
      </c>
      <c r="G20" s="275">
        <v>47661</v>
      </c>
      <c r="H20" s="275">
        <v>43279</v>
      </c>
      <c r="I20" s="275">
        <v>48694</v>
      </c>
      <c r="J20" s="275">
        <v>48436</v>
      </c>
      <c r="K20" s="275">
        <v>45424</v>
      </c>
      <c r="L20" s="275">
        <v>46262</v>
      </c>
      <c r="M20" s="275">
        <v>44895</v>
      </c>
      <c r="N20" s="275">
        <v>52241</v>
      </c>
      <c r="O20" s="275">
        <v>53232</v>
      </c>
      <c r="P20" s="28">
        <f t="shared" si="1"/>
        <v>578702</v>
      </c>
      <c r="R20" s="71"/>
    </row>
    <row r="21" spans="2:18" x14ac:dyDescent="0.25">
      <c r="B21" s="31" t="s">
        <v>41</v>
      </c>
      <c r="D21" s="275">
        <v>11091789.278270831</v>
      </c>
      <c r="E21" s="275">
        <v>10641085.632750001</v>
      </c>
      <c r="F21" s="275">
        <v>12679793.460125834</v>
      </c>
      <c r="G21" s="275">
        <v>12414385.092618749</v>
      </c>
      <c r="H21" s="275">
        <v>12188108.514784165</v>
      </c>
      <c r="I21" s="275">
        <v>11254174.920044998</v>
      </c>
      <c r="J21" s="275">
        <v>10410076.210000001</v>
      </c>
      <c r="K21" s="275">
        <v>12316512.600000001</v>
      </c>
      <c r="L21" s="275">
        <v>11363197.109999999</v>
      </c>
      <c r="M21" s="275">
        <v>12728558.040597919</v>
      </c>
      <c r="N21" s="275">
        <v>10311071.990835</v>
      </c>
      <c r="O21" s="275">
        <v>14610213.795452083</v>
      </c>
      <c r="P21" s="28">
        <f t="shared" si="1"/>
        <v>142008966.64547956</v>
      </c>
      <c r="R21" s="71"/>
    </row>
    <row r="22" spans="2:18" x14ac:dyDescent="0.25">
      <c r="B22" s="31" t="s">
        <v>13</v>
      </c>
      <c r="D22" s="275">
        <v>3376573</v>
      </c>
      <c r="E22" s="275">
        <v>4414906</v>
      </c>
      <c r="F22" s="275">
        <v>2630513</v>
      </c>
      <c r="G22" s="275">
        <v>2564284</v>
      </c>
      <c r="H22" s="275">
        <v>1925391</v>
      </c>
      <c r="I22" s="275">
        <v>1922345</v>
      </c>
      <c r="J22" s="275">
        <v>1684994</v>
      </c>
      <c r="K22" s="275">
        <v>1546823</v>
      </c>
      <c r="L22" s="275">
        <v>1699014</v>
      </c>
      <c r="M22" s="275">
        <v>2410628</v>
      </c>
      <c r="N22" s="275">
        <v>3256750</v>
      </c>
      <c r="O22" s="275">
        <v>3535679</v>
      </c>
      <c r="P22" s="28">
        <f t="shared" si="1"/>
        <v>30967900</v>
      </c>
      <c r="R22" s="71"/>
    </row>
    <row r="23" spans="2:18" x14ac:dyDescent="0.25">
      <c r="B23" s="31" t="s">
        <v>6</v>
      </c>
      <c r="D23" s="32">
        <f t="shared" ref="D23:P23" si="2">SUM(D9:D22)</f>
        <v>165569859.17264584</v>
      </c>
      <c r="E23" s="32">
        <f t="shared" si="2"/>
        <v>152986548.49312499</v>
      </c>
      <c r="F23" s="32">
        <f t="shared" si="2"/>
        <v>136402833.19849426</v>
      </c>
      <c r="G23" s="32">
        <f t="shared" si="2"/>
        <v>105977759.87340903</v>
      </c>
      <c r="H23" s="32">
        <f t="shared" si="2"/>
        <v>72708699.037193194</v>
      </c>
      <c r="I23" s="32">
        <f t="shared" si="2"/>
        <v>57924936.63183666</v>
      </c>
      <c r="J23" s="32">
        <f t="shared" si="2"/>
        <v>46392590.804500006</v>
      </c>
      <c r="K23" s="32">
        <f t="shared" si="2"/>
        <v>50072400.208999999</v>
      </c>
      <c r="L23" s="32">
        <f t="shared" si="2"/>
        <v>56200755.743500002</v>
      </c>
      <c r="M23" s="32">
        <f t="shared" si="2"/>
        <v>95477254.310390279</v>
      </c>
      <c r="N23" s="32">
        <f t="shared" si="2"/>
        <v>139158832.588285</v>
      </c>
      <c r="O23" s="32">
        <f t="shared" si="2"/>
        <v>173870532.34545556</v>
      </c>
      <c r="P23" s="32">
        <f t="shared" si="2"/>
        <v>1252743002.407835</v>
      </c>
    </row>
    <row r="24" spans="2:18" x14ac:dyDescent="0.25">
      <c r="B24" s="3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8" x14ac:dyDescent="0.25">
      <c r="B25" s="31" t="s">
        <v>72</v>
      </c>
      <c r="D25" s="28">
        <f t="shared" ref="D25:O25" si="3">SUM(D9:D13)</f>
        <v>138756044</v>
      </c>
      <c r="E25" s="28">
        <f t="shared" si="3"/>
        <v>122784203</v>
      </c>
      <c r="F25" s="28">
        <f t="shared" si="3"/>
        <v>112616148</v>
      </c>
      <c r="G25" s="28">
        <f t="shared" si="3"/>
        <v>79167063</v>
      </c>
      <c r="H25" s="28">
        <f t="shared" si="3"/>
        <v>49122045</v>
      </c>
      <c r="I25" s="28">
        <f t="shared" si="3"/>
        <v>34680119</v>
      </c>
      <c r="J25" s="28">
        <f t="shared" si="3"/>
        <v>26465473</v>
      </c>
      <c r="K25" s="28">
        <f t="shared" si="3"/>
        <v>26203014</v>
      </c>
      <c r="L25" s="28">
        <f t="shared" si="3"/>
        <v>34486250</v>
      </c>
      <c r="M25" s="28">
        <f t="shared" si="3"/>
        <v>70323016</v>
      </c>
      <c r="N25" s="28">
        <f t="shared" si="3"/>
        <v>111767456</v>
      </c>
      <c r="O25" s="28">
        <f t="shared" si="3"/>
        <v>145929334</v>
      </c>
      <c r="P25" s="28">
        <f t="shared" si="1"/>
        <v>952300165</v>
      </c>
    </row>
    <row r="26" spans="2:18" x14ac:dyDescent="0.25">
      <c r="B26" s="31" t="s">
        <v>73</v>
      </c>
      <c r="D26" s="28">
        <f>SUM(D14:D16)</f>
        <v>4894256.8943750001</v>
      </c>
      <c r="E26" s="28">
        <f t="shared" ref="E26:O26" si="4">SUM(E14:E16)</f>
        <v>6512523.8603750002</v>
      </c>
      <c r="F26" s="28">
        <f t="shared" si="4"/>
        <v>1508557.7383684027</v>
      </c>
      <c r="G26" s="28">
        <f t="shared" si="4"/>
        <v>4032214.7807902782</v>
      </c>
      <c r="H26" s="28">
        <f t="shared" si="4"/>
        <v>2429985.5224090284</v>
      </c>
      <c r="I26" s="28">
        <f t="shared" si="4"/>
        <v>2575935.7117916662</v>
      </c>
      <c r="J26" s="28">
        <f t="shared" si="4"/>
        <v>966304.59449999989</v>
      </c>
      <c r="K26" s="28">
        <f t="shared" si="4"/>
        <v>3098406.6089999997</v>
      </c>
      <c r="L26" s="28">
        <f t="shared" si="4"/>
        <v>1761669.6334999998</v>
      </c>
      <c r="M26" s="28">
        <f t="shared" si="4"/>
        <v>2606682.2697923621</v>
      </c>
      <c r="N26" s="28">
        <f t="shared" si="4"/>
        <v>5671120.5974499993</v>
      </c>
      <c r="O26" s="28">
        <f t="shared" si="4"/>
        <v>1996583.5500034702</v>
      </c>
      <c r="P26" s="28">
        <f t="shared" si="1"/>
        <v>38054241.762355208</v>
      </c>
    </row>
    <row r="27" spans="2:18" x14ac:dyDescent="0.25">
      <c r="B27" s="31" t="s">
        <v>74</v>
      </c>
      <c r="D27" s="32">
        <f>SUM(D25:D26)</f>
        <v>143650300.894375</v>
      </c>
      <c r="E27" s="32">
        <f t="shared" ref="E27:P27" si="5">SUM(E25:E26)</f>
        <v>129296726.860375</v>
      </c>
      <c r="F27" s="32">
        <f t="shared" si="5"/>
        <v>114124705.73836841</v>
      </c>
      <c r="G27" s="32">
        <f t="shared" si="5"/>
        <v>83199277.780790284</v>
      </c>
      <c r="H27" s="32">
        <f t="shared" si="5"/>
        <v>51552030.522409029</v>
      </c>
      <c r="I27" s="32">
        <f t="shared" si="5"/>
        <v>37256054.711791664</v>
      </c>
      <c r="J27" s="32">
        <f t="shared" si="5"/>
        <v>27431777.594500002</v>
      </c>
      <c r="K27" s="32">
        <f t="shared" si="5"/>
        <v>29301420.609000001</v>
      </c>
      <c r="L27" s="32">
        <f t="shared" si="5"/>
        <v>36247919.633500002</v>
      </c>
      <c r="M27" s="32">
        <f t="shared" si="5"/>
        <v>72929698.269792363</v>
      </c>
      <c r="N27" s="32">
        <f t="shared" si="5"/>
        <v>117438576.59745</v>
      </c>
      <c r="O27" s="32">
        <f t="shared" si="5"/>
        <v>147925917.55000347</v>
      </c>
      <c r="P27" s="32">
        <f t="shared" si="5"/>
        <v>990354406.76235521</v>
      </c>
    </row>
    <row r="28" spans="2:18" x14ac:dyDescent="0.25">
      <c r="B28" s="31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2:18" x14ac:dyDescent="0.25">
      <c r="B29" s="31" t="s">
        <v>75</v>
      </c>
      <c r="D29" s="28">
        <f>SUM(D17:D22)</f>
        <v>21919558.278270833</v>
      </c>
      <c r="E29" s="28">
        <f t="shared" ref="E29:O29" si="6">SUM(E17:E22)</f>
        <v>23689821.632750001</v>
      </c>
      <c r="F29" s="28">
        <f t="shared" si="6"/>
        <v>22278127.460125834</v>
      </c>
      <c r="G29" s="28">
        <f t="shared" si="6"/>
        <v>22778482.092618749</v>
      </c>
      <c r="H29" s="28">
        <f t="shared" si="6"/>
        <v>21156668.514784165</v>
      </c>
      <c r="I29" s="28">
        <f t="shared" si="6"/>
        <v>20668881.920044996</v>
      </c>
      <c r="J29" s="28">
        <f t="shared" si="6"/>
        <v>18960813.210000001</v>
      </c>
      <c r="K29" s="28">
        <f t="shared" si="6"/>
        <v>20770979.600000001</v>
      </c>
      <c r="L29" s="28">
        <f t="shared" si="6"/>
        <v>19952836.109999999</v>
      </c>
      <c r="M29" s="28">
        <f t="shared" si="6"/>
        <v>22547556.040597919</v>
      </c>
      <c r="N29" s="28">
        <f t="shared" si="6"/>
        <v>21720255.990835</v>
      </c>
      <c r="O29" s="28">
        <f t="shared" si="6"/>
        <v>25944614.795452081</v>
      </c>
      <c r="P29" s="28">
        <f>SUM(D29:O29)</f>
        <v>262388595.64547959</v>
      </c>
    </row>
    <row r="30" spans="2:18" x14ac:dyDescent="0.25">
      <c r="B30" s="31" t="s">
        <v>6</v>
      </c>
      <c r="D30" s="32">
        <f>D27+D29</f>
        <v>165569859.17264584</v>
      </c>
      <c r="E30" s="32">
        <f t="shared" ref="E30:P30" si="7">E27+E29</f>
        <v>152986548.49312499</v>
      </c>
      <c r="F30" s="32">
        <f t="shared" si="7"/>
        <v>136402833.19849426</v>
      </c>
      <c r="G30" s="32">
        <f t="shared" si="7"/>
        <v>105977759.87340903</v>
      </c>
      <c r="H30" s="32">
        <f t="shared" si="7"/>
        <v>72708699.037193194</v>
      </c>
      <c r="I30" s="32">
        <f t="shared" si="7"/>
        <v>57924936.63183666</v>
      </c>
      <c r="J30" s="32">
        <f t="shared" si="7"/>
        <v>46392590.804499999</v>
      </c>
      <c r="K30" s="32">
        <f t="shared" si="7"/>
        <v>50072400.209000006</v>
      </c>
      <c r="L30" s="32">
        <f t="shared" si="7"/>
        <v>56200755.743500002</v>
      </c>
      <c r="M30" s="32">
        <f t="shared" si="7"/>
        <v>95477254.310390279</v>
      </c>
      <c r="N30" s="32">
        <f t="shared" si="7"/>
        <v>139158832.588285</v>
      </c>
      <c r="O30" s="32">
        <f t="shared" si="7"/>
        <v>173870532.34545556</v>
      </c>
      <c r="P30" s="32">
        <f t="shared" si="7"/>
        <v>1252743002.4078348</v>
      </c>
    </row>
    <row r="31" spans="2:18" x14ac:dyDescent="0.25">
      <c r="B31" s="33" t="s">
        <v>76</v>
      </c>
      <c r="D31" s="34">
        <f>D23-D30</f>
        <v>0</v>
      </c>
      <c r="E31" s="34">
        <f t="shared" ref="E31:P31" si="8">E23-E30</f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0</v>
      </c>
      <c r="N31" s="34">
        <f t="shared" si="8"/>
        <v>0</v>
      </c>
      <c r="O31" s="34">
        <f t="shared" si="8"/>
        <v>0</v>
      </c>
      <c r="P31" s="34">
        <f t="shared" si="8"/>
        <v>0</v>
      </c>
    </row>
    <row r="32" spans="2:18" x14ac:dyDescent="0.25">
      <c r="C32" s="28"/>
    </row>
    <row r="33" spans="2:16" x14ac:dyDescent="0.2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x14ac:dyDescent="0.25">
      <c r="B34" s="232" t="s">
        <v>184</v>
      </c>
      <c r="C34" s="28"/>
      <c r="D34" s="28">
        <f t="shared" ref="D34:P34" si="9">SUM(D9:D11)</f>
        <v>97939758</v>
      </c>
      <c r="E34" s="28">
        <f t="shared" si="9"/>
        <v>84389632</v>
      </c>
      <c r="F34" s="28">
        <f t="shared" si="9"/>
        <v>77324705</v>
      </c>
      <c r="G34" s="28">
        <f t="shared" si="9"/>
        <v>53508694</v>
      </c>
      <c r="H34" s="28">
        <f t="shared" si="9"/>
        <v>30481461</v>
      </c>
      <c r="I34" s="28">
        <f t="shared" si="9"/>
        <v>20098891</v>
      </c>
      <c r="J34" s="28">
        <f t="shared" si="9"/>
        <v>14467290</v>
      </c>
      <c r="K34" s="28">
        <f t="shared" si="9"/>
        <v>13799661</v>
      </c>
      <c r="L34" s="28">
        <f t="shared" si="9"/>
        <v>20484978</v>
      </c>
      <c r="M34" s="28">
        <f t="shared" si="9"/>
        <v>47351374</v>
      </c>
      <c r="N34" s="28">
        <f t="shared" si="9"/>
        <v>77724233</v>
      </c>
      <c r="O34" s="28">
        <f t="shared" si="9"/>
        <v>101902704</v>
      </c>
      <c r="P34" s="28">
        <f t="shared" si="9"/>
        <v>639473381</v>
      </c>
    </row>
    <row r="35" spans="2:16" x14ac:dyDescent="0.25">
      <c r="B35" s="31" t="s">
        <v>124</v>
      </c>
      <c r="C35" s="28"/>
      <c r="D35" s="28">
        <f t="shared" ref="D35:P39" si="10">SUM(D12,D17)</f>
        <v>32931681</v>
      </c>
      <c r="E35" s="28">
        <f t="shared" si="10"/>
        <v>30628686</v>
      </c>
      <c r="F35" s="28">
        <f t="shared" si="10"/>
        <v>27971589</v>
      </c>
      <c r="G35" s="28">
        <f t="shared" si="10"/>
        <v>20041308</v>
      </c>
      <c r="H35" s="28">
        <f t="shared" si="10"/>
        <v>14238978</v>
      </c>
      <c r="I35" s="28">
        <f t="shared" si="10"/>
        <v>10980820</v>
      </c>
      <c r="J35" s="28">
        <f t="shared" si="10"/>
        <v>9139235</v>
      </c>
      <c r="K35" s="28">
        <f t="shared" si="10"/>
        <v>9434414</v>
      </c>
      <c r="L35" s="28">
        <f t="shared" si="10"/>
        <v>10598109</v>
      </c>
      <c r="M35" s="28">
        <f t="shared" si="10"/>
        <v>17668572</v>
      </c>
      <c r="N35" s="28">
        <f t="shared" si="10"/>
        <v>26777445</v>
      </c>
      <c r="O35" s="28">
        <f t="shared" si="10"/>
        <v>35559273</v>
      </c>
      <c r="P35" s="28">
        <f t="shared" si="10"/>
        <v>245970110</v>
      </c>
    </row>
    <row r="36" spans="2:16" x14ac:dyDescent="0.25">
      <c r="B36" s="31" t="s">
        <v>125</v>
      </c>
      <c r="D36" s="28">
        <f t="shared" si="10"/>
        <v>10154035</v>
      </c>
      <c r="E36" s="28">
        <f t="shared" si="10"/>
        <v>10192399</v>
      </c>
      <c r="F36" s="28">
        <f t="shared" si="10"/>
        <v>9385635</v>
      </c>
      <c r="G36" s="28">
        <f t="shared" si="10"/>
        <v>7930137</v>
      </c>
      <c r="H36" s="28">
        <f t="shared" si="10"/>
        <v>6553889</v>
      </c>
      <c r="I36" s="28">
        <f t="shared" si="10"/>
        <v>5866744</v>
      </c>
      <c r="J36" s="28">
        <f t="shared" si="10"/>
        <v>4916635</v>
      </c>
      <c r="K36" s="28">
        <f t="shared" si="10"/>
        <v>5079689</v>
      </c>
      <c r="L36" s="28">
        <f t="shared" si="10"/>
        <v>5455989</v>
      </c>
      <c r="M36" s="28">
        <f t="shared" si="10"/>
        <v>7398011</v>
      </c>
      <c r="N36" s="28">
        <f t="shared" si="10"/>
        <v>9664246</v>
      </c>
      <c r="O36" s="28">
        <f t="shared" si="10"/>
        <v>10803366</v>
      </c>
      <c r="P36" s="28">
        <f t="shared" si="10"/>
        <v>93400775</v>
      </c>
    </row>
    <row r="37" spans="2:16" x14ac:dyDescent="0.25">
      <c r="B37" s="83" t="s">
        <v>128</v>
      </c>
      <c r="D37" s="28">
        <f t="shared" si="10"/>
        <v>6295814</v>
      </c>
      <c r="E37" s="28">
        <f t="shared" si="10"/>
        <v>7304117</v>
      </c>
      <c r="F37" s="28">
        <f t="shared" si="10"/>
        <v>5923185</v>
      </c>
      <c r="G37" s="28">
        <f t="shared" si="10"/>
        <v>6279425</v>
      </c>
      <c r="H37" s="28">
        <f t="shared" si="10"/>
        <v>5628492</v>
      </c>
      <c r="I37" s="28">
        <f t="shared" si="10"/>
        <v>5792434</v>
      </c>
      <c r="J37" s="28">
        <f t="shared" si="10"/>
        <v>5340748</v>
      </c>
      <c r="K37" s="28">
        <f t="shared" si="10"/>
        <v>5387523</v>
      </c>
      <c r="L37" s="28">
        <f t="shared" si="10"/>
        <v>5434276</v>
      </c>
      <c r="M37" s="28">
        <f t="shared" si="10"/>
        <v>6178097</v>
      </c>
      <c r="N37" s="28">
        <f t="shared" si="10"/>
        <v>6738981</v>
      </c>
      <c r="O37" s="28">
        <f t="shared" si="10"/>
        <v>6731212</v>
      </c>
      <c r="P37" s="28">
        <f t="shared" si="10"/>
        <v>73034304</v>
      </c>
    </row>
    <row r="38" spans="2:16" x14ac:dyDescent="0.25">
      <c r="B38" s="31" t="s">
        <v>126</v>
      </c>
      <c r="D38" s="28">
        <f t="shared" si="10"/>
        <v>781558</v>
      </c>
      <c r="E38" s="28">
        <f t="shared" si="10"/>
        <v>794749</v>
      </c>
      <c r="F38" s="28">
        <f t="shared" si="10"/>
        <v>717596</v>
      </c>
      <c r="G38" s="28">
        <f t="shared" si="10"/>
        <v>517198</v>
      </c>
      <c r="H38" s="28">
        <f t="shared" si="10"/>
        <v>445680</v>
      </c>
      <c r="I38" s="28">
        <f t="shared" si="10"/>
        <v>297562</v>
      </c>
      <c r="J38" s="28">
        <f t="shared" si="10"/>
        <v>228827</v>
      </c>
      <c r="K38" s="28">
        <f t="shared" si="10"/>
        <v>192373</v>
      </c>
      <c r="L38" s="28">
        <f t="shared" si="10"/>
        <v>209832</v>
      </c>
      <c r="M38" s="28">
        <f t="shared" si="10"/>
        <v>409371</v>
      </c>
      <c r="N38" s="28">
        <f t="shared" si="10"/>
        <v>606807</v>
      </c>
      <c r="O38" s="28">
        <f t="shared" si="10"/>
        <v>866557</v>
      </c>
      <c r="P38" s="28">
        <f t="shared" si="10"/>
        <v>6068110</v>
      </c>
    </row>
    <row r="39" spans="2:16" x14ac:dyDescent="0.25">
      <c r="B39" s="31" t="s">
        <v>127</v>
      </c>
      <c r="D39" s="28">
        <f t="shared" si="10"/>
        <v>14090440.172645831</v>
      </c>
      <c r="E39" s="28">
        <f t="shared" si="10"/>
        <v>15262059.493125001</v>
      </c>
      <c r="F39" s="28">
        <f t="shared" si="10"/>
        <v>12449610.198494237</v>
      </c>
      <c r="G39" s="28">
        <f t="shared" si="10"/>
        <v>15136713.873409027</v>
      </c>
      <c r="H39" s="28">
        <f t="shared" si="10"/>
        <v>13434808.037193194</v>
      </c>
      <c r="I39" s="28">
        <f t="shared" si="10"/>
        <v>12966140.631836664</v>
      </c>
      <c r="J39" s="28">
        <f t="shared" si="10"/>
        <v>10614861.804500001</v>
      </c>
      <c r="K39" s="28">
        <f t="shared" si="10"/>
        <v>14631917.209000001</v>
      </c>
      <c r="L39" s="28">
        <f t="shared" si="10"/>
        <v>12318557.7435</v>
      </c>
      <c r="M39" s="28">
        <f t="shared" si="10"/>
        <v>14061201.310390282</v>
      </c>
      <c r="N39" s="28">
        <f t="shared" si="10"/>
        <v>14390370.588284999</v>
      </c>
      <c r="O39" s="28">
        <f t="shared" si="10"/>
        <v>14471741.345455553</v>
      </c>
      <c r="P39" s="28">
        <f t="shared" si="10"/>
        <v>163828422.40783477</v>
      </c>
    </row>
    <row r="40" spans="2:16" x14ac:dyDescent="0.25">
      <c r="B40" s="83" t="s">
        <v>13</v>
      </c>
      <c r="D40" s="28">
        <f t="shared" ref="D40:P40" si="11">D22</f>
        <v>3376573</v>
      </c>
      <c r="E40" s="28">
        <f t="shared" si="11"/>
        <v>4414906</v>
      </c>
      <c r="F40" s="28">
        <f t="shared" si="11"/>
        <v>2630513</v>
      </c>
      <c r="G40" s="28">
        <f t="shared" si="11"/>
        <v>2564284</v>
      </c>
      <c r="H40" s="28">
        <f t="shared" si="11"/>
        <v>1925391</v>
      </c>
      <c r="I40" s="28">
        <f t="shared" si="11"/>
        <v>1922345</v>
      </c>
      <c r="J40" s="28">
        <f t="shared" si="11"/>
        <v>1684994</v>
      </c>
      <c r="K40" s="28">
        <f t="shared" si="11"/>
        <v>1546823</v>
      </c>
      <c r="L40" s="28">
        <f t="shared" si="11"/>
        <v>1699014</v>
      </c>
      <c r="M40" s="28">
        <f t="shared" si="11"/>
        <v>2410628</v>
      </c>
      <c r="N40" s="28">
        <f t="shared" si="11"/>
        <v>3256750</v>
      </c>
      <c r="O40" s="28">
        <f t="shared" si="11"/>
        <v>3535679</v>
      </c>
      <c r="P40" s="28">
        <f t="shared" si="11"/>
        <v>30967900</v>
      </c>
    </row>
    <row r="41" spans="2:16" x14ac:dyDescent="0.25">
      <c r="B41" s="33" t="s">
        <v>76</v>
      </c>
      <c r="D41" s="34">
        <f>SUM(D34:D40)-D23</f>
        <v>0</v>
      </c>
      <c r="E41" s="34">
        <f t="shared" ref="E41:P41" si="12">SUM(E34:E40)-E23</f>
        <v>0</v>
      </c>
      <c r="F41" s="34">
        <f t="shared" si="12"/>
        <v>0</v>
      </c>
      <c r="G41" s="34">
        <f t="shared" si="12"/>
        <v>0</v>
      </c>
      <c r="H41" s="34">
        <f t="shared" si="12"/>
        <v>0</v>
      </c>
      <c r="I41" s="34">
        <f t="shared" si="12"/>
        <v>0</v>
      </c>
      <c r="J41" s="34">
        <f t="shared" si="12"/>
        <v>0</v>
      </c>
      <c r="K41" s="34">
        <f t="shared" si="12"/>
        <v>0</v>
      </c>
      <c r="L41" s="34">
        <f t="shared" si="12"/>
        <v>0</v>
      </c>
      <c r="M41" s="34">
        <f t="shared" si="12"/>
        <v>0</v>
      </c>
      <c r="N41" s="34">
        <f t="shared" si="12"/>
        <v>0</v>
      </c>
      <c r="O41" s="34">
        <f t="shared" si="12"/>
        <v>0</v>
      </c>
      <c r="P41" s="34">
        <f t="shared" si="12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zoomScale="90" zoomScaleNormal="90" workbookViewId="0">
      <selection activeCell="P18" sqref="P18"/>
    </sheetView>
  </sheetViews>
  <sheetFormatPr defaultColWidth="9.140625" defaultRowHeight="15" x14ac:dyDescent="0.25"/>
  <cols>
    <col min="1" max="1" width="1.5703125" style="26" customWidth="1"/>
    <col min="2" max="2" width="14.85546875" style="26" customWidth="1"/>
    <col min="3" max="3" width="2.85546875" style="26" customWidth="1"/>
    <col min="4" max="15" width="13.42578125" style="26" customWidth="1"/>
    <col min="16" max="16" width="14" style="26" customWidth="1"/>
    <col min="17" max="16384" width="9.140625" style="26"/>
  </cols>
  <sheetData>
    <row r="1" spans="2:18" x14ac:dyDescent="0.25">
      <c r="B1" s="392" t="s">
        <v>0</v>
      </c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</row>
    <row r="2" spans="2:18" x14ac:dyDescent="0.25">
      <c r="B2" s="393" t="s">
        <v>186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</row>
    <row r="3" spans="2:18" x14ac:dyDescent="0.25">
      <c r="B3" s="393" t="s">
        <v>281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</row>
    <row r="4" spans="2:18" x14ac:dyDescent="0.25"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8" x14ac:dyDescent="0.25">
      <c r="B5" s="26" t="s">
        <v>185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7" spans="2:18" x14ac:dyDescent="0.25">
      <c r="B7" s="29" t="s">
        <v>21</v>
      </c>
      <c r="D7" s="35">
        <v>45658</v>
      </c>
      <c r="E7" s="35">
        <f>EDATE(D7,1)</f>
        <v>45689</v>
      </c>
      <c r="F7" s="35">
        <f t="shared" ref="F7:O7" si="0">EDATE(E7,1)</f>
        <v>45717</v>
      </c>
      <c r="G7" s="35">
        <f t="shared" si="0"/>
        <v>45748</v>
      </c>
      <c r="H7" s="35">
        <f t="shared" si="0"/>
        <v>45778</v>
      </c>
      <c r="I7" s="35">
        <f t="shared" si="0"/>
        <v>45809</v>
      </c>
      <c r="J7" s="35">
        <f t="shared" si="0"/>
        <v>45839</v>
      </c>
      <c r="K7" s="35">
        <f t="shared" si="0"/>
        <v>45870</v>
      </c>
      <c r="L7" s="35">
        <f t="shared" si="0"/>
        <v>45901</v>
      </c>
      <c r="M7" s="35">
        <f t="shared" si="0"/>
        <v>45931</v>
      </c>
      <c r="N7" s="35">
        <f t="shared" si="0"/>
        <v>45962</v>
      </c>
      <c r="O7" s="35">
        <f t="shared" si="0"/>
        <v>45992</v>
      </c>
      <c r="P7" s="30" t="s">
        <v>6</v>
      </c>
    </row>
    <row r="8" spans="2:18" x14ac:dyDescent="0.25">
      <c r="B8" s="31"/>
    </row>
    <row r="9" spans="2:18" x14ac:dyDescent="0.25">
      <c r="B9" s="69">
        <v>16</v>
      </c>
      <c r="D9" s="275">
        <v>0</v>
      </c>
      <c r="E9" s="275">
        <v>0</v>
      </c>
      <c r="F9" s="275">
        <v>0</v>
      </c>
      <c r="G9" s="275">
        <v>0</v>
      </c>
      <c r="H9" s="275">
        <v>0</v>
      </c>
      <c r="I9" s="275">
        <v>0</v>
      </c>
      <c r="J9" s="275">
        <v>0</v>
      </c>
      <c r="K9" s="275">
        <v>0</v>
      </c>
      <c r="L9" s="275">
        <v>0</v>
      </c>
      <c r="M9" s="275">
        <v>0</v>
      </c>
      <c r="N9" s="275">
        <v>0</v>
      </c>
      <c r="O9" s="275">
        <v>0</v>
      </c>
      <c r="P9" s="28">
        <f>SUM(D9:O9)</f>
        <v>0</v>
      </c>
      <c r="R9" s="71"/>
    </row>
    <row r="10" spans="2:18" x14ac:dyDescent="0.25">
      <c r="B10" s="31">
        <v>23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5">
        <v>0</v>
      </c>
      <c r="P10" s="28">
        <f>SUM(D10:O10)</f>
        <v>0</v>
      </c>
      <c r="R10" s="71"/>
    </row>
    <row r="11" spans="2:18" x14ac:dyDescent="0.25">
      <c r="B11" s="31">
        <v>53</v>
      </c>
      <c r="D11" s="275">
        <v>0</v>
      </c>
      <c r="E11" s="275">
        <v>0</v>
      </c>
      <c r="F11" s="275">
        <v>0</v>
      </c>
      <c r="G11" s="275">
        <v>0</v>
      </c>
      <c r="H11" s="275">
        <v>0</v>
      </c>
      <c r="I11" s="275">
        <v>0</v>
      </c>
      <c r="J11" s="275">
        <v>0</v>
      </c>
      <c r="K11" s="275">
        <v>0</v>
      </c>
      <c r="L11" s="275">
        <v>0</v>
      </c>
      <c r="M11" s="275">
        <v>0</v>
      </c>
      <c r="N11" s="275">
        <v>0</v>
      </c>
      <c r="O11" s="275">
        <v>0</v>
      </c>
      <c r="P11" s="28">
        <f t="shared" ref="P11:P26" si="1">SUM(D11:O11)</f>
        <v>0</v>
      </c>
      <c r="R11" s="71"/>
    </row>
    <row r="12" spans="2:18" x14ac:dyDescent="0.25">
      <c r="B12" s="31">
        <v>31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8">
        <f t="shared" si="1"/>
        <v>0</v>
      </c>
      <c r="R12" s="71"/>
    </row>
    <row r="13" spans="2:18" x14ac:dyDescent="0.25">
      <c r="B13" s="31">
        <v>41</v>
      </c>
      <c r="D13" s="275">
        <v>0</v>
      </c>
      <c r="E13" s="275">
        <v>0</v>
      </c>
      <c r="F13" s="275">
        <v>0</v>
      </c>
      <c r="G13" s="275">
        <v>0</v>
      </c>
      <c r="H13" s="275">
        <v>0</v>
      </c>
      <c r="I13" s="275">
        <v>0</v>
      </c>
      <c r="J13" s="275">
        <v>0</v>
      </c>
      <c r="K13" s="275">
        <v>0</v>
      </c>
      <c r="L13" s="275">
        <v>0</v>
      </c>
      <c r="M13" s="275">
        <v>0</v>
      </c>
      <c r="N13" s="275">
        <v>0</v>
      </c>
      <c r="O13" s="275">
        <v>0</v>
      </c>
      <c r="P13" s="28">
        <f t="shared" si="1"/>
        <v>0</v>
      </c>
      <c r="R13" s="71"/>
    </row>
    <row r="14" spans="2:18" x14ac:dyDescent="0.25">
      <c r="B14" s="31">
        <v>85</v>
      </c>
      <c r="D14" s="275">
        <v>0</v>
      </c>
      <c r="E14" s="275">
        <v>0</v>
      </c>
      <c r="F14" s="275">
        <v>0</v>
      </c>
      <c r="G14" s="275">
        <v>0</v>
      </c>
      <c r="H14" s="275">
        <v>0</v>
      </c>
      <c r="I14" s="275">
        <v>0</v>
      </c>
      <c r="J14" s="275">
        <v>0</v>
      </c>
      <c r="K14" s="275">
        <v>0</v>
      </c>
      <c r="L14" s="275">
        <v>0</v>
      </c>
      <c r="M14" s="275">
        <v>0</v>
      </c>
      <c r="N14" s="275">
        <v>0</v>
      </c>
      <c r="O14" s="275">
        <v>0</v>
      </c>
      <c r="P14" s="28">
        <f t="shared" si="1"/>
        <v>0</v>
      </c>
      <c r="R14" s="71"/>
    </row>
    <row r="15" spans="2:18" x14ac:dyDescent="0.25">
      <c r="B15" s="31">
        <v>86</v>
      </c>
      <c r="D15" s="275">
        <v>0</v>
      </c>
      <c r="E15" s="275">
        <v>0</v>
      </c>
      <c r="F15" s="275">
        <v>0</v>
      </c>
      <c r="G15" s="275">
        <v>0</v>
      </c>
      <c r="H15" s="275">
        <v>0</v>
      </c>
      <c r="I15" s="275">
        <v>0</v>
      </c>
      <c r="J15" s="275">
        <v>0</v>
      </c>
      <c r="K15" s="275">
        <v>0</v>
      </c>
      <c r="L15" s="275">
        <v>0</v>
      </c>
      <c r="M15" s="275">
        <v>0</v>
      </c>
      <c r="N15" s="275">
        <v>0</v>
      </c>
      <c r="O15" s="275">
        <v>0</v>
      </c>
      <c r="P15" s="28">
        <f t="shared" si="1"/>
        <v>0</v>
      </c>
      <c r="R15" s="71"/>
    </row>
    <row r="16" spans="2:18" x14ac:dyDescent="0.25">
      <c r="B16" s="31">
        <v>87</v>
      </c>
      <c r="D16" s="275">
        <v>0</v>
      </c>
      <c r="E16" s="275">
        <v>0</v>
      </c>
      <c r="F16" s="275">
        <v>0</v>
      </c>
      <c r="G16" s="275">
        <v>0</v>
      </c>
      <c r="H16" s="275">
        <v>0</v>
      </c>
      <c r="I16" s="275">
        <v>0</v>
      </c>
      <c r="J16" s="275">
        <v>0</v>
      </c>
      <c r="K16" s="275">
        <v>0</v>
      </c>
      <c r="L16" s="275">
        <v>0</v>
      </c>
      <c r="M16" s="275">
        <v>0</v>
      </c>
      <c r="N16" s="275">
        <v>0</v>
      </c>
      <c r="O16" s="275">
        <v>0</v>
      </c>
      <c r="P16" s="28">
        <f t="shared" si="1"/>
        <v>0</v>
      </c>
      <c r="R16" s="71"/>
    </row>
    <row r="17" spans="2:18" x14ac:dyDescent="0.25">
      <c r="B17" s="31" t="s">
        <v>33</v>
      </c>
      <c r="D17" s="275">
        <v>0</v>
      </c>
      <c r="E17" s="275">
        <v>0</v>
      </c>
      <c r="F17" s="275">
        <v>0</v>
      </c>
      <c r="G17" s="275">
        <v>0</v>
      </c>
      <c r="H17" s="275">
        <v>0</v>
      </c>
      <c r="I17" s="275">
        <v>0</v>
      </c>
      <c r="J17" s="275">
        <v>0</v>
      </c>
      <c r="K17" s="275">
        <v>0</v>
      </c>
      <c r="L17" s="275">
        <v>0</v>
      </c>
      <c r="M17" s="275">
        <v>0</v>
      </c>
      <c r="N17" s="275">
        <v>0</v>
      </c>
      <c r="O17" s="275">
        <v>0</v>
      </c>
      <c r="P17" s="28">
        <f t="shared" si="1"/>
        <v>0</v>
      </c>
      <c r="R17" s="71"/>
    </row>
    <row r="18" spans="2:18" x14ac:dyDescent="0.25">
      <c r="B18" s="31" t="s">
        <v>35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5">
        <v>0</v>
      </c>
      <c r="P18" s="28">
        <f t="shared" si="1"/>
        <v>0</v>
      </c>
      <c r="R18" s="71"/>
    </row>
    <row r="19" spans="2:18" x14ac:dyDescent="0.25">
      <c r="B19" s="31" t="s">
        <v>37</v>
      </c>
      <c r="D19" s="275">
        <v>0</v>
      </c>
      <c r="E19" s="275">
        <v>0</v>
      </c>
      <c r="F19" s="275">
        <v>0</v>
      </c>
      <c r="G19" s="275">
        <v>0</v>
      </c>
      <c r="H19" s="275">
        <v>0</v>
      </c>
      <c r="I19" s="275">
        <v>0</v>
      </c>
      <c r="J19" s="275">
        <v>0</v>
      </c>
      <c r="K19" s="275">
        <v>0</v>
      </c>
      <c r="L19" s="275">
        <v>0</v>
      </c>
      <c r="M19" s="275">
        <v>0</v>
      </c>
      <c r="N19" s="275">
        <v>0</v>
      </c>
      <c r="O19" s="275">
        <v>0</v>
      </c>
      <c r="P19" s="28">
        <f t="shared" si="1"/>
        <v>0</v>
      </c>
      <c r="R19" s="71"/>
    </row>
    <row r="20" spans="2:18" x14ac:dyDescent="0.25">
      <c r="B20" s="31" t="s">
        <v>39</v>
      </c>
      <c r="D20" s="275">
        <v>0</v>
      </c>
      <c r="E20" s="275">
        <v>0</v>
      </c>
      <c r="F20" s="275">
        <v>0</v>
      </c>
      <c r="G20" s="275">
        <v>0</v>
      </c>
      <c r="H20" s="275">
        <v>0</v>
      </c>
      <c r="I20" s="275">
        <v>0</v>
      </c>
      <c r="J20" s="275">
        <v>0</v>
      </c>
      <c r="K20" s="275">
        <v>0</v>
      </c>
      <c r="L20" s="275">
        <v>0</v>
      </c>
      <c r="M20" s="275">
        <v>0</v>
      </c>
      <c r="N20" s="275">
        <v>0</v>
      </c>
      <c r="O20" s="275">
        <v>0</v>
      </c>
      <c r="P20" s="28">
        <f t="shared" si="1"/>
        <v>0</v>
      </c>
      <c r="R20" s="71"/>
    </row>
    <row r="21" spans="2:18" x14ac:dyDescent="0.25">
      <c r="B21" s="31" t="s">
        <v>41</v>
      </c>
      <c r="D21" s="275">
        <v>0</v>
      </c>
      <c r="E21" s="275">
        <v>0</v>
      </c>
      <c r="F21" s="275">
        <v>0</v>
      </c>
      <c r="G21" s="275">
        <v>0</v>
      </c>
      <c r="H21" s="275">
        <v>0</v>
      </c>
      <c r="I21" s="275">
        <v>0</v>
      </c>
      <c r="J21" s="275">
        <v>0</v>
      </c>
      <c r="K21" s="275">
        <v>0</v>
      </c>
      <c r="L21" s="275">
        <v>0</v>
      </c>
      <c r="M21" s="275">
        <v>0</v>
      </c>
      <c r="N21" s="275">
        <v>0</v>
      </c>
      <c r="O21" s="275">
        <v>0</v>
      </c>
      <c r="P21" s="28">
        <f t="shared" si="1"/>
        <v>0</v>
      </c>
      <c r="R21" s="71"/>
    </row>
    <row r="22" spans="2:18" x14ac:dyDescent="0.25">
      <c r="B22" s="31" t="s">
        <v>13</v>
      </c>
      <c r="D22" s="275">
        <v>0</v>
      </c>
      <c r="E22" s="275">
        <v>0</v>
      </c>
      <c r="F22" s="275">
        <v>0</v>
      </c>
      <c r="G22" s="275">
        <v>0</v>
      </c>
      <c r="H22" s="275">
        <v>0</v>
      </c>
      <c r="I22" s="275">
        <v>0</v>
      </c>
      <c r="J22" s="275">
        <v>0</v>
      </c>
      <c r="K22" s="275">
        <v>0</v>
      </c>
      <c r="L22" s="275">
        <v>0</v>
      </c>
      <c r="M22" s="275">
        <v>0</v>
      </c>
      <c r="N22" s="275">
        <v>0</v>
      </c>
      <c r="O22" s="275">
        <v>0</v>
      </c>
      <c r="P22" s="28">
        <f t="shared" si="1"/>
        <v>0</v>
      </c>
      <c r="R22" s="71"/>
    </row>
    <row r="23" spans="2:18" x14ac:dyDescent="0.25">
      <c r="B23" s="31" t="s">
        <v>6</v>
      </c>
      <c r="D23" s="32">
        <f t="shared" ref="D23:P23" si="2">SUM(D9:D22)</f>
        <v>0</v>
      </c>
      <c r="E23" s="32">
        <f t="shared" si="2"/>
        <v>0</v>
      </c>
      <c r="F23" s="32">
        <f t="shared" si="2"/>
        <v>0</v>
      </c>
      <c r="G23" s="32">
        <f t="shared" si="2"/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2">
        <f t="shared" si="2"/>
        <v>0</v>
      </c>
      <c r="L23" s="32">
        <f t="shared" si="2"/>
        <v>0</v>
      </c>
      <c r="M23" s="32">
        <f t="shared" si="2"/>
        <v>0</v>
      </c>
      <c r="N23" s="32">
        <f t="shared" si="2"/>
        <v>0</v>
      </c>
      <c r="O23" s="32">
        <f t="shared" si="2"/>
        <v>0</v>
      </c>
      <c r="P23" s="32">
        <f t="shared" si="2"/>
        <v>0</v>
      </c>
    </row>
    <row r="24" spans="2:18" x14ac:dyDescent="0.25">
      <c r="B24" s="3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2:18" x14ac:dyDescent="0.25">
      <c r="B25" s="31" t="s">
        <v>72</v>
      </c>
      <c r="D25" s="28">
        <f t="shared" ref="D25:O25" si="3">SUM(D9:D13)</f>
        <v>0</v>
      </c>
      <c r="E25" s="28">
        <f t="shared" si="3"/>
        <v>0</v>
      </c>
      <c r="F25" s="28">
        <f t="shared" si="3"/>
        <v>0</v>
      </c>
      <c r="G25" s="28">
        <f t="shared" si="3"/>
        <v>0</v>
      </c>
      <c r="H25" s="28">
        <f t="shared" si="3"/>
        <v>0</v>
      </c>
      <c r="I25" s="28">
        <f t="shared" si="3"/>
        <v>0</v>
      </c>
      <c r="J25" s="28">
        <f t="shared" si="3"/>
        <v>0</v>
      </c>
      <c r="K25" s="28">
        <f t="shared" si="3"/>
        <v>0</v>
      </c>
      <c r="L25" s="28">
        <f t="shared" si="3"/>
        <v>0</v>
      </c>
      <c r="M25" s="28">
        <f t="shared" si="3"/>
        <v>0</v>
      </c>
      <c r="N25" s="28">
        <f t="shared" si="3"/>
        <v>0</v>
      </c>
      <c r="O25" s="28">
        <f t="shared" si="3"/>
        <v>0</v>
      </c>
      <c r="P25" s="28">
        <f t="shared" si="1"/>
        <v>0</v>
      </c>
    </row>
    <row r="26" spans="2:18" x14ac:dyDescent="0.25">
      <c r="B26" s="31" t="s">
        <v>73</v>
      </c>
      <c r="D26" s="28">
        <f>SUM(D14:D16)</f>
        <v>0</v>
      </c>
      <c r="E26" s="28">
        <f t="shared" ref="E26:O26" si="4">SUM(E14:E16)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4"/>
        <v>0</v>
      </c>
      <c r="J26" s="28">
        <f t="shared" si="4"/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1"/>
        <v>0</v>
      </c>
    </row>
    <row r="27" spans="2:18" x14ac:dyDescent="0.25">
      <c r="B27" s="31" t="s">
        <v>74</v>
      </c>
      <c r="D27" s="32">
        <f>SUM(D25:D26)</f>
        <v>0</v>
      </c>
      <c r="E27" s="32">
        <f t="shared" ref="E27:P27" si="5">SUM(E25:E26)</f>
        <v>0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32">
        <f t="shared" si="5"/>
        <v>0</v>
      </c>
      <c r="P27" s="32">
        <f t="shared" si="5"/>
        <v>0</v>
      </c>
    </row>
    <row r="28" spans="2:18" x14ac:dyDescent="0.25">
      <c r="B28" s="31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2:18" x14ac:dyDescent="0.25">
      <c r="B29" s="31" t="s">
        <v>75</v>
      </c>
      <c r="D29" s="28">
        <f>SUM(D17:D22)</f>
        <v>0</v>
      </c>
      <c r="E29" s="28">
        <f t="shared" ref="E29:O29" si="6">SUM(E17:E22)</f>
        <v>0</v>
      </c>
      <c r="F29" s="28">
        <f t="shared" si="6"/>
        <v>0</v>
      </c>
      <c r="G29" s="28">
        <f t="shared" si="6"/>
        <v>0</v>
      </c>
      <c r="H29" s="28">
        <f t="shared" si="6"/>
        <v>0</v>
      </c>
      <c r="I29" s="28">
        <f t="shared" si="6"/>
        <v>0</v>
      </c>
      <c r="J29" s="28">
        <f t="shared" si="6"/>
        <v>0</v>
      </c>
      <c r="K29" s="28">
        <f t="shared" si="6"/>
        <v>0</v>
      </c>
      <c r="L29" s="28">
        <f t="shared" si="6"/>
        <v>0</v>
      </c>
      <c r="M29" s="28">
        <f t="shared" si="6"/>
        <v>0</v>
      </c>
      <c r="N29" s="28">
        <f t="shared" si="6"/>
        <v>0</v>
      </c>
      <c r="O29" s="28">
        <f t="shared" si="6"/>
        <v>0</v>
      </c>
      <c r="P29" s="28">
        <f>SUM(D29:O29)</f>
        <v>0</v>
      </c>
    </row>
    <row r="30" spans="2:18" x14ac:dyDescent="0.25">
      <c r="B30" s="31" t="s">
        <v>6</v>
      </c>
      <c r="D30" s="32">
        <f>D27+D29</f>
        <v>0</v>
      </c>
      <c r="E30" s="32">
        <f t="shared" ref="E30:P30" si="7">E27+E29</f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7"/>
        <v>0</v>
      </c>
      <c r="O30" s="32">
        <f t="shared" si="7"/>
        <v>0</v>
      </c>
      <c r="P30" s="32">
        <f t="shared" si="7"/>
        <v>0</v>
      </c>
    </row>
    <row r="31" spans="2:18" x14ac:dyDescent="0.25">
      <c r="B31" s="33" t="s">
        <v>76</v>
      </c>
      <c r="D31" s="34">
        <f>D23-D30</f>
        <v>0</v>
      </c>
      <c r="E31" s="34">
        <f t="shared" ref="E31:P31" si="8">E23-E30</f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0</v>
      </c>
      <c r="N31" s="34">
        <f t="shared" si="8"/>
        <v>0</v>
      </c>
      <c r="O31" s="34">
        <f t="shared" si="8"/>
        <v>0</v>
      </c>
      <c r="P31" s="34">
        <f t="shared" si="8"/>
        <v>0</v>
      </c>
    </row>
    <row r="32" spans="2:18" x14ac:dyDescent="0.25">
      <c r="C32" s="28"/>
    </row>
    <row r="33" spans="2:16" x14ac:dyDescent="0.25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2:16" x14ac:dyDescent="0.25">
      <c r="B34" s="232" t="s">
        <v>184</v>
      </c>
      <c r="C34" s="28"/>
      <c r="D34" s="28">
        <f t="shared" ref="D34:P34" si="9">SUM(D9:D11)</f>
        <v>0</v>
      </c>
      <c r="E34" s="28">
        <f t="shared" si="9"/>
        <v>0</v>
      </c>
      <c r="F34" s="28">
        <f t="shared" si="9"/>
        <v>0</v>
      </c>
      <c r="G34" s="28">
        <f t="shared" si="9"/>
        <v>0</v>
      </c>
      <c r="H34" s="28">
        <f t="shared" si="9"/>
        <v>0</v>
      </c>
      <c r="I34" s="28">
        <f t="shared" si="9"/>
        <v>0</v>
      </c>
      <c r="J34" s="28">
        <f t="shared" si="9"/>
        <v>0</v>
      </c>
      <c r="K34" s="28">
        <f t="shared" si="9"/>
        <v>0</v>
      </c>
      <c r="L34" s="28">
        <f t="shared" si="9"/>
        <v>0</v>
      </c>
      <c r="M34" s="28">
        <f t="shared" si="9"/>
        <v>0</v>
      </c>
      <c r="N34" s="28">
        <f t="shared" si="9"/>
        <v>0</v>
      </c>
      <c r="O34" s="28">
        <f t="shared" si="9"/>
        <v>0</v>
      </c>
      <c r="P34" s="28">
        <f t="shared" si="9"/>
        <v>0</v>
      </c>
    </row>
    <row r="35" spans="2:16" x14ac:dyDescent="0.25">
      <c r="B35" s="31" t="s">
        <v>124</v>
      </c>
      <c r="C35" s="28"/>
      <c r="D35" s="28">
        <f t="shared" ref="D35:P39" si="10">SUM(D12,D17)</f>
        <v>0</v>
      </c>
      <c r="E35" s="28">
        <f t="shared" si="10"/>
        <v>0</v>
      </c>
      <c r="F35" s="28">
        <f t="shared" si="10"/>
        <v>0</v>
      </c>
      <c r="G35" s="28">
        <f t="shared" si="10"/>
        <v>0</v>
      </c>
      <c r="H35" s="28">
        <f t="shared" si="10"/>
        <v>0</v>
      </c>
      <c r="I35" s="28">
        <f t="shared" si="10"/>
        <v>0</v>
      </c>
      <c r="J35" s="28">
        <f t="shared" si="10"/>
        <v>0</v>
      </c>
      <c r="K35" s="28">
        <f t="shared" si="10"/>
        <v>0</v>
      </c>
      <c r="L35" s="28">
        <f t="shared" si="10"/>
        <v>0</v>
      </c>
      <c r="M35" s="28">
        <f t="shared" si="10"/>
        <v>0</v>
      </c>
      <c r="N35" s="28">
        <f t="shared" si="10"/>
        <v>0</v>
      </c>
      <c r="O35" s="28">
        <f t="shared" si="10"/>
        <v>0</v>
      </c>
      <c r="P35" s="28">
        <f t="shared" si="10"/>
        <v>0</v>
      </c>
    </row>
    <row r="36" spans="2:16" x14ac:dyDescent="0.25">
      <c r="B36" s="31" t="s">
        <v>125</v>
      </c>
      <c r="D36" s="28">
        <f t="shared" si="10"/>
        <v>0</v>
      </c>
      <c r="E36" s="28">
        <f t="shared" si="10"/>
        <v>0</v>
      </c>
      <c r="F36" s="28">
        <f t="shared" si="10"/>
        <v>0</v>
      </c>
      <c r="G36" s="28">
        <f t="shared" si="10"/>
        <v>0</v>
      </c>
      <c r="H36" s="28">
        <f t="shared" si="10"/>
        <v>0</v>
      </c>
      <c r="I36" s="28">
        <f t="shared" si="10"/>
        <v>0</v>
      </c>
      <c r="J36" s="28">
        <f t="shared" si="10"/>
        <v>0</v>
      </c>
      <c r="K36" s="28">
        <f t="shared" si="10"/>
        <v>0</v>
      </c>
      <c r="L36" s="28">
        <f t="shared" si="10"/>
        <v>0</v>
      </c>
      <c r="M36" s="28">
        <f t="shared" si="10"/>
        <v>0</v>
      </c>
      <c r="N36" s="28">
        <f t="shared" si="10"/>
        <v>0</v>
      </c>
      <c r="O36" s="28">
        <f t="shared" si="10"/>
        <v>0</v>
      </c>
      <c r="P36" s="28">
        <f t="shared" si="10"/>
        <v>0</v>
      </c>
    </row>
    <row r="37" spans="2:16" x14ac:dyDescent="0.25">
      <c r="B37" s="83" t="s">
        <v>128</v>
      </c>
      <c r="D37" s="28">
        <f t="shared" si="10"/>
        <v>0</v>
      </c>
      <c r="E37" s="28">
        <f t="shared" si="10"/>
        <v>0</v>
      </c>
      <c r="F37" s="28">
        <f t="shared" si="10"/>
        <v>0</v>
      </c>
      <c r="G37" s="28">
        <f t="shared" si="10"/>
        <v>0</v>
      </c>
      <c r="H37" s="28">
        <f t="shared" si="10"/>
        <v>0</v>
      </c>
      <c r="I37" s="28">
        <f t="shared" si="10"/>
        <v>0</v>
      </c>
      <c r="J37" s="28">
        <f t="shared" si="10"/>
        <v>0</v>
      </c>
      <c r="K37" s="28">
        <f t="shared" si="10"/>
        <v>0</v>
      </c>
      <c r="L37" s="28">
        <f t="shared" si="10"/>
        <v>0</v>
      </c>
      <c r="M37" s="28">
        <f t="shared" si="10"/>
        <v>0</v>
      </c>
      <c r="N37" s="28">
        <f t="shared" si="10"/>
        <v>0</v>
      </c>
      <c r="O37" s="28">
        <f t="shared" si="10"/>
        <v>0</v>
      </c>
      <c r="P37" s="28">
        <f t="shared" si="10"/>
        <v>0</v>
      </c>
    </row>
    <row r="38" spans="2:16" x14ac:dyDescent="0.25">
      <c r="B38" s="31" t="s">
        <v>126</v>
      </c>
      <c r="D38" s="28">
        <f t="shared" si="10"/>
        <v>0</v>
      </c>
      <c r="E38" s="28">
        <f t="shared" si="10"/>
        <v>0</v>
      </c>
      <c r="F38" s="28">
        <f t="shared" si="10"/>
        <v>0</v>
      </c>
      <c r="G38" s="28">
        <f t="shared" si="10"/>
        <v>0</v>
      </c>
      <c r="H38" s="28">
        <f t="shared" si="10"/>
        <v>0</v>
      </c>
      <c r="I38" s="28">
        <f t="shared" si="10"/>
        <v>0</v>
      </c>
      <c r="J38" s="28">
        <f t="shared" si="10"/>
        <v>0</v>
      </c>
      <c r="K38" s="28">
        <f t="shared" si="10"/>
        <v>0</v>
      </c>
      <c r="L38" s="28">
        <f t="shared" si="10"/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</row>
    <row r="39" spans="2:16" x14ac:dyDescent="0.25">
      <c r="B39" s="31" t="s">
        <v>127</v>
      </c>
      <c r="D39" s="28">
        <f t="shared" si="10"/>
        <v>0</v>
      </c>
      <c r="E39" s="28">
        <f t="shared" si="10"/>
        <v>0</v>
      </c>
      <c r="F39" s="28">
        <f t="shared" si="10"/>
        <v>0</v>
      </c>
      <c r="G39" s="28">
        <f t="shared" si="10"/>
        <v>0</v>
      </c>
      <c r="H39" s="28">
        <f t="shared" si="10"/>
        <v>0</v>
      </c>
      <c r="I39" s="28">
        <f t="shared" si="10"/>
        <v>0</v>
      </c>
      <c r="J39" s="28">
        <f t="shared" si="10"/>
        <v>0</v>
      </c>
      <c r="K39" s="28">
        <f t="shared" si="10"/>
        <v>0</v>
      </c>
      <c r="L39" s="28">
        <f t="shared" si="10"/>
        <v>0</v>
      </c>
      <c r="M39" s="28">
        <f t="shared" si="10"/>
        <v>0</v>
      </c>
      <c r="N39" s="28">
        <f t="shared" si="10"/>
        <v>0</v>
      </c>
      <c r="O39" s="28">
        <f t="shared" si="10"/>
        <v>0</v>
      </c>
      <c r="P39" s="28">
        <f t="shared" si="10"/>
        <v>0</v>
      </c>
    </row>
    <row r="40" spans="2:16" x14ac:dyDescent="0.25">
      <c r="B40" s="83" t="s">
        <v>13</v>
      </c>
      <c r="D40" s="28">
        <f t="shared" ref="D40:P40" si="11">D22</f>
        <v>0</v>
      </c>
      <c r="E40" s="28">
        <f t="shared" si="11"/>
        <v>0</v>
      </c>
      <c r="F40" s="28">
        <f t="shared" si="11"/>
        <v>0</v>
      </c>
      <c r="G40" s="28">
        <f t="shared" si="11"/>
        <v>0</v>
      </c>
      <c r="H40" s="28">
        <f t="shared" si="11"/>
        <v>0</v>
      </c>
      <c r="I40" s="28">
        <f t="shared" si="11"/>
        <v>0</v>
      </c>
      <c r="J40" s="28">
        <f t="shared" si="11"/>
        <v>0</v>
      </c>
      <c r="K40" s="28">
        <f t="shared" si="11"/>
        <v>0</v>
      </c>
      <c r="L40" s="28">
        <f t="shared" si="11"/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</row>
    <row r="41" spans="2:16" x14ac:dyDescent="0.25">
      <c r="B41" s="33" t="s">
        <v>76</v>
      </c>
      <c r="D41" s="34">
        <f>SUM(D34:D40)-D23</f>
        <v>0</v>
      </c>
      <c r="E41" s="34">
        <f t="shared" ref="E41:P41" si="12">SUM(E34:E40)-E23</f>
        <v>0</v>
      </c>
      <c r="F41" s="34">
        <f t="shared" si="12"/>
        <v>0</v>
      </c>
      <c r="G41" s="34">
        <f t="shared" si="12"/>
        <v>0</v>
      </c>
      <c r="H41" s="34">
        <f t="shared" si="12"/>
        <v>0</v>
      </c>
      <c r="I41" s="34">
        <f t="shared" si="12"/>
        <v>0</v>
      </c>
      <c r="J41" s="34">
        <f t="shared" si="12"/>
        <v>0</v>
      </c>
      <c r="K41" s="34">
        <f t="shared" si="12"/>
        <v>0</v>
      </c>
      <c r="L41" s="34">
        <f t="shared" si="12"/>
        <v>0</v>
      </c>
      <c r="M41" s="34">
        <f t="shared" si="12"/>
        <v>0</v>
      </c>
      <c r="N41" s="34">
        <f t="shared" si="12"/>
        <v>0</v>
      </c>
      <c r="O41" s="34">
        <f t="shared" si="12"/>
        <v>0</v>
      </c>
      <c r="P41" s="34">
        <f t="shared" si="12"/>
        <v>0</v>
      </c>
    </row>
  </sheetData>
  <mergeCells count="3">
    <mergeCell ref="B1:P1"/>
    <mergeCell ref="B2:P2"/>
    <mergeCell ref="B3:P3"/>
  </mergeCells>
  <printOptions horizontalCentered="1"/>
  <pageMargins left="0.7" right="0.7" top="0.75" bottom="0.75" header="0.3" footer="0.3"/>
  <pageSetup scale="59" orientation="landscape" blackAndWhite="1" r:id="rId1"/>
  <headerFooter>
    <oddFooter>&amp;L&amp;F 
&amp;A&amp;C&amp;P&amp;R&amp;D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zoomScale="90" zoomScaleNormal="90" workbookViewId="0">
      <pane ySplit="5" topLeftCell="A18" activePane="bottomLeft" state="frozen"/>
      <selection pane="bottomLeft" activeCell="K60" sqref="K60"/>
    </sheetView>
  </sheetViews>
  <sheetFormatPr defaultColWidth="9.140625" defaultRowHeight="12.75" x14ac:dyDescent="0.2"/>
  <cols>
    <col min="1" max="1" width="32.7109375" style="88" bestFit="1" customWidth="1"/>
    <col min="2" max="6" width="10.28515625" style="88" bestFit="1" customWidth="1"/>
    <col min="7" max="7" width="11.28515625" style="88" bestFit="1" customWidth="1"/>
    <col min="8" max="9" width="10.28515625" style="88" bestFit="1" customWidth="1"/>
    <col min="10" max="10" width="11.28515625" style="88" bestFit="1" customWidth="1"/>
    <col min="11" max="13" width="10.28515625" style="88" bestFit="1" customWidth="1"/>
    <col min="14" max="14" width="10.28515625" style="88" customWidth="1"/>
    <col min="15" max="16384" width="9.140625" style="88"/>
  </cols>
  <sheetData>
    <row r="1" spans="1:42" x14ac:dyDescent="0.2">
      <c r="A1" s="88" t="s">
        <v>0</v>
      </c>
    </row>
    <row r="2" spans="1:42" x14ac:dyDescent="0.2">
      <c r="A2" s="88" t="s">
        <v>261</v>
      </c>
    </row>
    <row r="3" spans="1:42" x14ac:dyDescent="0.2">
      <c r="A3" s="88" t="s">
        <v>264</v>
      </c>
    </row>
    <row r="5" spans="1:42" x14ac:dyDescent="0.2">
      <c r="A5" s="72" t="s">
        <v>83</v>
      </c>
      <c r="B5" s="278">
        <v>44927</v>
      </c>
      <c r="C5" s="278">
        <f>EDATE(B5,1)</f>
        <v>44958</v>
      </c>
      <c r="D5" s="278">
        <f t="shared" ref="D5:M5" si="0">EDATE(C5,1)</f>
        <v>44986</v>
      </c>
      <c r="E5" s="278">
        <f t="shared" si="0"/>
        <v>45017</v>
      </c>
      <c r="F5" s="278">
        <f t="shared" si="0"/>
        <v>45047</v>
      </c>
      <c r="G5" s="278">
        <f t="shared" si="0"/>
        <v>45078</v>
      </c>
      <c r="H5" s="278">
        <f t="shared" si="0"/>
        <v>45108</v>
      </c>
      <c r="I5" s="278">
        <f t="shared" si="0"/>
        <v>45139</v>
      </c>
      <c r="J5" s="278">
        <f t="shared" si="0"/>
        <v>45170</v>
      </c>
      <c r="K5" s="278">
        <f t="shared" si="0"/>
        <v>45200</v>
      </c>
      <c r="L5" s="278">
        <f t="shared" si="0"/>
        <v>45231</v>
      </c>
      <c r="M5" s="278">
        <f t="shared" si="0"/>
        <v>45261</v>
      </c>
      <c r="N5" s="89" t="s">
        <v>6</v>
      </c>
    </row>
    <row r="6" spans="1:42" x14ac:dyDescent="0.2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42" x14ac:dyDescent="0.2">
      <c r="A7" s="37" t="s">
        <v>90</v>
      </c>
      <c r="B7" s="282">
        <f>'12ME Dec 2023 Therms by Block'!B7/'12ME Dec 2023 Therms by Block'!B$10</f>
        <v>0.20143365493515783</v>
      </c>
      <c r="C7" s="282">
        <f>'12ME Dec 2023 Therms by Block'!C7/'12ME Dec 2023 Therms by Block'!C$10</f>
        <v>0.20178546578340087</v>
      </c>
      <c r="D7" s="282">
        <f>'12ME Dec 2023 Therms by Block'!D7/'12ME Dec 2023 Therms by Block'!D$10</f>
        <v>0.20123008103514536</v>
      </c>
      <c r="E7" s="282">
        <f>'12ME Dec 2023 Therms by Block'!E7/'12ME Dec 2023 Therms by Block'!E$10</f>
        <v>0.19645624823521232</v>
      </c>
      <c r="F7" s="282">
        <f>'12ME Dec 2023 Therms by Block'!F7/'12ME Dec 2023 Therms by Block'!F$10</f>
        <v>0.19438162194049557</v>
      </c>
      <c r="G7" s="282">
        <f>'12ME Dec 2023 Therms by Block'!G7/'12ME Dec 2023 Therms by Block'!G$10</f>
        <v>0.19084851183563456</v>
      </c>
      <c r="H7" s="282">
        <f>'12ME Dec 2023 Therms by Block'!H7/'12ME Dec 2023 Therms by Block'!H$10</f>
        <v>0.1893948436895686</v>
      </c>
      <c r="I7" s="282">
        <f>'12ME Dec 2023 Therms by Block'!I7/'12ME Dec 2023 Therms by Block'!I$10</f>
        <v>0.18804147085642231</v>
      </c>
      <c r="J7" s="282">
        <f>'12ME Dec 2023 Therms by Block'!J7/'12ME Dec 2023 Therms by Block'!J$10</f>
        <v>0.18559738506890938</v>
      </c>
      <c r="K7" s="282">
        <f>'12ME Dec 2023 Therms by Block'!K7/'12ME Dec 2023 Therms by Block'!K$10</f>
        <v>0.19788770874163344</v>
      </c>
      <c r="L7" s="282">
        <f>'12ME Dec 2023 Therms by Block'!L7/'12ME Dec 2023 Therms by Block'!L$10</f>
        <v>0.19702058073318385</v>
      </c>
      <c r="M7" s="282">
        <f>'12ME Dec 2023 Therms by Block'!M7/'12ME Dec 2023 Therms by Block'!M$10</f>
        <v>0.1995585890215946</v>
      </c>
      <c r="N7" s="282">
        <f>'12ME Dec 2023 Therms by Block'!N7/'12ME Dec 2023 Therms by Block'!N$10</f>
        <v>0.19706134769590197</v>
      </c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">
      <c r="A8" s="37" t="s">
        <v>85</v>
      </c>
      <c r="B8" s="282">
        <f>'12ME Dec 2023 Therms by Block'!B8/'12ME Dec 2023 Therms by Block'!B$10</f>
        <v>0.44823643806803992</v>
      </c>
      <c r="C8" s="282">
        <f>'12ME Dec 2023 Therms by Block'!C8/'12ME Dec 2023 Therms by Block'!C$10</f>
        <v>0.44874917633742112</v>
      </c>
      <c r="D8" s="282">
        <f>'12ME Dec 2023 Therms by Block'!D8/'12ME Dec 2023 Therms by Block'!D$10</f>
        <v>0.44793974417782928</v>
      </c>
      <c r="E8" s="282">
        <f>'12ME Dec 2023 Therms by Block'!E8/'12ME Dec 2023 Therms by Block'!E$10</f>
        <v>0.44098223624316363</v>
      </c>
      <c r="F8" s="282">
        <f>'12ME Dec 2023 Therms by Block'!F8/'12ME Dec 2023 Therms by Block'!F$10</f>
        <v>0.43795862198772517</v>
      </c>
      <c r="G8" s="282">
        <f>'12ME Dec 2023 Therms by Block'!G8/'12ME Dec 2023 Therms by Block'!G$10</f>
        <v>0.43280937553967996</v>
      </c>
      <c r="H8" s="282">
        <f>'12ME Dec 2023 Therms by Block'!H8/'12ME Dec 2023 Therms by Block'!H$10</f>
        <v>0.43069076182099958</v>
      </c>
      <c r="I8" s="282">
        <f>'12ME Dec 2023 Therms by Block'!I8/'12ME Dec 2023 Therms by Block'!I$10</f>
        <v>0.42871832109678559</v>
      </c>
      <c r="J8" s="282">
        <f>'12ME Dec 2023 Therms by Block'!J8/'12ME Dec 2023 Therms by Block'!J$10</f>
        <v>0.42515624697892734</v>
      </c>
      <c r="K8" s="282">
        <f>'12ME Dec 2023 Therms by Block'!K8/'12ME Dec 2023 Therms by Block'!K$10</f>
        <v>0.44306848397092763</v>
      </c>
      <c r="L8" s="282">
        <f>'12ME Dec 2023 Therms by Block'!L8/'12ME Dec 2023 Therms by Block'!L$10</f>
        <v>0.44180470908563141</v>
      </c>
      <c r="M8" s="282">
        <f>'12ME Dec 2023 Therms by Block'!M8/'12ME Dec 2023 Therms by Block'!M$10</f>
        <v>0.44550366829616611</v>
      </c>
      <c r="N8" s="282">
        <f>'12ME Dec 2023 Therms by Block'!N8/'12ME Dec 2023 Therms by Block'!N$10</f>
        <v>0.4418641239161189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">
      <c r="A9" s="37" t="s">
        <v>86</v>
      </c>
      <c r="B9" s="282">
        <f>'12ME Dec 2023 Therms by Block'!B9/'12ME Dec 2023 Therms by Block'!B$10</f>
        <v>0.35032990699680222</v>
      </c>
      <c r="C9" s="282">
        <f>'12ME Dec 2023 Therms by Block'!C9/'12ME Dec 2023 Therms by Block'!C$10</f>
        <v>0.34946535787917804</v>
      </c>
      <c r="D9" s="282">
        <f>'12ME Dec 2023 Therms by Block'!D9/'12ME Dec 2023 Therms by Block'!D$10</f>
        <v>0.35083017478702533</v>
      </c>
      <c r="E9" s="282">
        <f>'12ME Dec 2023 Therms by Block'!E9/'12ME Dec 2023 Therms by Block'!E$10</f>
        <v>0.36256151552162402</v>
      </c>
      <c r="F9" s="282">
        <f>'12ME Dec 2023 Therms by Block'!F9/'12ME Dec 2023 Therms by Block'!F$10</f>
        <v>0.36765975607177914</v>
      </c>
      <c r="G9" s="282">
        <f>'12ME Dec 2023 Therms by Block'!G9/'12ME Dec 2023 Therms by Block'!G$10</f>
        <v>0.37634211262468548</v>
      </c>
      <c r="H9" s="282">
        <f>'12ME Dec 2023 Therms by Block'!H9/'12ME Dec 2023 Therms by Block'!H$10</f>
        <v>0.37991439448943187</v>
      </c>
      <c r="I9" s="282">
        <f>'12ME Dec 2023 Therms by Block'!I9/'12ME Dec 2023 Therms by Block'!I$10</f>
        <v>0.38324020804679204</v>
      </c>
      <c r="J9" s="282">
        <f>'12ME Dec 2023 Therms by Block'!J9/'12ME Dec 2023 Therms by Block'!J$10</f>
        <v>0.38924636795216316</v>
      </c>
      <c r="K9" s="282">
        <f>'12ME Dec 2023 Therms by Block'!K9/'12ME Dec 2023 Therms by Block'!K$10</f>
        <v>0.35904380728743895</v>
      </c>
      <c r="L9" s="282">
        <f>'12ME Dec 2023 Therms by Block'!L9/'12ME Dec 2023 Therms by Block'!L$10</f>
        <v>0.36117471018118469</v>
      </c>
      <c r="M9" s="282">
        <f>'12ME Dec 2023 Therms by Block'!M9/'12ME Dec 2023 Therms by Block'!M$10</f>
        <v>0.35493774268223932</v>
      </c>
      <c r="N9" s="282">
        <f>'12ME Dec 2023 Therms by Block'!N9/'12ME Dec 2023 Therms by Block'!N$10</f>
        <v>0.36107452838797921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">
      <c r="A10" s="37" t="s">
        <v>6</v>
      </c>
      <c r="B10" s="283">
        <f>SUM(B7:B9)</f>
        <v>1</v>
      </c>
      <c r="C10" s="283">
        <f t="shared" ref="C10:N10" si="1">SUM(C7:C9)</f>
        <v>1</v>
      </c>
      <c r="D10" s="283">
        <f t="shared" si="1"/>
        <v>1</v>
      </c>
      <c r="E10" s="283">
        <f t="shared" si="1"/>
        <v>1</v>
      </c>
      <c r="F10" s="283">
        <f t="shared" si="1"/>
        <v>0.99999999999999989</v>
      </c>
      <c r="G10" s="283">
        <f t="shared" si="1"/>
        <v>1</v>
      </c>
      <c r="H10" s="283">
        <f t="shared" si="1"/>
        <v>1</v>
      </c>
      <c r="I10" s="283">
        <f t="shared" si="1"/>
        <v>1</v>
      </c>
      <c r="J10" s="283">
        <f t="shared" si="1"/>
        <v>0.99999999999999989</v>
      </c>
      <c r="K10" s="283">
        <f t="shared" si="1"/>
        <v>1</v>
      </c>
      <c r="L10" s="283">
        <f t="shared" si="1"/>
        <v>1</v>
      </c>
      <c r="M10" s="283">
        <f t="shared" si="1"/>
        <v>1</v>
      </c>
      <c r="N10" s="283">
        <f t="shared" si="1"/>
        <v>1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">
      <c r="A11" s="37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">
      <c r="A12" s="38" t="s">
        <v>35</v>
      </c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">
      <c r="A13" s="37" t="s">
        <v>84</v>
      </c>
      <c r="B13" s="282">
        <f>'12ME Dec 2023 Therms by Block'!B13/'12ME Dec 2023 Therms by Block'!B$16</f>
        <v>5.5968859101086572E-2</v>
      </c>
      <c r="C13" s="282">
        <f>'12ME Dec 2023 Therms by Block'!C13/'12ME Dec 2023 Therms by Block'!C$16</f>
        <v>5.5239154129875477E-2</v>
      </c>
      <c r="D13" s="282">
        <f>'12ME Dec 2023 Therms by Block'!D13/'12ME Dec 2023 Therms by Block'!D$16</f>
        <v>5.6344046137411348E-2</v>
      </c>
      <c r="E13" s="282">
        <f>'12ME Dec 2023 Therms by Block'!E13/'12ME Dec 2023 Therms by Block'!E$16</f>
        <v>5.6084470326119504E-2</v>
      </c>
      <c r="F13" s="282">
        <f>'12ME Dec 2023 Therms by Block'!F13/'12ME Dec 2023 Therms by Block'!F$16</f>
        <v>5.6080740551912853E-2</v>
      </c>
      <c r="G13" s="282">
        <f>'12ME Dec 2023 Therms by Block'!G13/'12ME Dec 2023 Therms by Block'!G$16</f>
        <v>5.5747151029351148E-2</v>
      </c>
      <c r="H13" s="282">
        <f>'12ME Dec 2023 Therms by Block'!H13/'12ME Dec 2023 Therms by Block'!H$16</f>
        <v>5.5512521441063438E-2</v>
      </c>
      <c r="I13" s="282">
        <f>'12ME Dec 2023 Therms by Block'!I13/'12ME Dec 2023 Therms by Block'!I$16</f>
        <v>5.598007560003411E-2</v>
      </c>
      <c r="J13" s="282">
        <f>'12ME Dec 2023 Therms by Block'!J13/'12ME Dec 2023 Therms by Block'!J$16</f>
        <v>5.6316692237614985E-2</v>
      </c>
      <c r="K13" s="282">
        <f>'12ME Dec 2023 Therms by Block'!K13/'12ME Dec 2023 Therms by Block'!K$16</f>
        <v>5.5918833605190843E-2</v>
      </c>
      <c r="L13" s="282">
        <f>'12ME Dec 2023 Therms by Block'!L13/'12ME Dec 2023 Therms by Block'!L$16</f>
        <v>5.6195299079141031E-2</v>
      </c>
      <c r="M13" s="282">
        <f>'12ME Dec 2023 Therms by Block'!M13/'12ME Dec 2023 Therms by Block'!M$16</f>
        <v>5.660252633904915E-2</v>
      </c>
      <c r="N13" s="282">
        <f>'12ME Dec 2023 Therms by Block'!N13/'12ME Dec 2023 Therms by Block'!N$16</f>
        <v>5.5996237649370922E-2</v>
      </c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</row>
    <row r="14" spans="1:42" x14ac:dyDescent="0.2">
      <c r="A14" s="37" t="s">
        <v>85</v>
      </c>
      <c r="B14" s="282">
        <f>'12ME Dec 2023 Therms by Block'!B14/'12ME Dec 2023 Therms by Block'!B$16</f>
        <v>0.20418907574533451</v>
      </c>
      <c r="C14" s="282">
        <f>'12ME Dec 2023 Therms by Block'!C14/'12ME Dec 2023 Therms by Block'!C$16</f>
        <v>0.20249820781508202</v>
      </c>
      <c r="D14" s="282">
        <f>'12ME Dec 2023 Therms by Block'!D14/'12ME Dec 2023 Therms by Block'!D$16</f>
        <v>0.20505845686866048</v>
      </c>
      <c r="E14" s="282">
        <f>'12ME Dec 2023 Therms by Block'!E14/'12ME Dec 2023 Therms by Block'!E$16</f>
        <v>0.20445696937426366</v>
      </c>
      <c r="F14" s="282">
        <f>'12ME Dec 2023 Therms by Block'!F14/'12ME Dec 2023 Therms by Block'!F$16</f>
        <v>0.20444832676411037</v>
      </c>
      <c r="G14" s="282">
        <f>'12ME Dec 2023 Therms by Block'!G14/'12ME Dec 2023 Therms by Block'!G$16</f>
        <v>0.20367533514719477</v>
      </c>
      <c r="H14" s="282">
        <f>'12ME Dec 2023 Therms by Block'!H14/'12ME Dec 2023 Therms by Block'!H$16</f>
        <v>0.2031316528893288</v>
      </c>
      <c r="I14" s="282">
        <f>'12ME Dec 2023 Therms by Block'!I14/'12ME Dec 2023 Therms by Block'!I$16</f>
        <v>0.20421506654861576</v>
      </c>
      <c r="J14" s="282">
        <f>'12ME Dec 2023 Therms by Block'!J14/'12ME Dec 2023 Therms by Block'!J$16</f>
        <v>0.20499507257808033</v>
      </c>
      <c r="K14" s="282">
        <f>'12ME Dec 2023 Therms by Block'!K14/'12ME Dec 2023 Therms by Block'!K$16</f>
        <v>0.20407315696988104</v>
      </c>
      <c r="L14" s="282">
        <f>'12ME Dec 2023 Therms by Block'!L14/'12ME Dec 2023 Therms by Block'!L$16</f>
        <v>0.20471378108807584</v>
      </c>
      <c r="M14" s="282">
        <f>'12ME Dec 2023 Therms by Block'!M14/'12ME Dec 2023 Therms by Block'!M$16</f>
        <v>0.20565740562301685</v>
      </c>
      <c r="N14" s="282">
        <f>'12ME Dec 2023 Therms by Block'!N14/'12ME Dec 2023 Therms by Block'!N$16</f>
        <v>0.20425251715124138</v>
      </c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</row>
    <row r="15" spans="1:42" x14ac:dyDescent="0.2">
      <c r="A15" s="37" t="s">
        <v>86</v>
      </c>
      <c r="B15" s="282">
        <f>'12ME Dec 2023 Therms by Block'!B15/'12ME Dec 2023 Therms by Block'!B$16</f>
        <v>0.73984206515357875</v>
      </c>
      <c r="C15" s="282">
        <f>'12ME Dec 2023 Therms by Block'!C15/'12ME Dec 2023 Therms by Block'!C$16</f>
        <v>0.74226263805504256</v>
      </c>
      <c r="D15" s="282">
        <f>'12ME Dec 2023 Therms by Block'!D15/'12ME Dec 2023 Therms by Block'!D$16</f>
        <v>0.73859749699392818</v>
      </c>
      <c r="E15" s="282">
        <f>'12ME Dec 2023 Therms by Block'!E15/'12ME Dec 2023 Therms by Block'!E$16</f>
        <v>0.73945856029961687</v>
      </c>
      <c r="F15" s="282">
        <f>'12ME Dec 2023 Therms by Block'!F15/'12ME Dec 2023 Therms by Block'!F$16</f>
        <v>0.73947093268397668</v>
      </c>
      <c r="G15" s="282">
        <f>'12ME Dec 2023 Therms by Block'!G15/'12ME Dec 2023 Therms by Block'!G$16</f>
        <v>0.74057751382345405</v>
      </c>
      <c r="H15" s="282">
        <f>'12ME Dec 2023 Therms by Block'!H15/'12ME Dec 2023 Therms by Block'!H$16</f>
        <v>0.74135582566960778</v>
      </c>
      <c r="I15" s="282">
        <f>'12ME Dec 2023 Therms by Block'!I15/'12ME Dec 2023 Therms by Block'!I$16</f>
        <v>0.73980485785135008</v>
      </c>
      <c r="J15" s="282">
        <f>'12ME Dec 2023 Therms by Block'!J15/'12ME Dec 2023 Therms by Block'!J$16</f>
        <v>0.73868823518430471</v>
      </c>
      <c r="K15" s="282">
        <f>'12ME Dec 2023 Therms by Block'!K15/'12ME Dec 2023 Therms by Block'!K$16</f>
        <v>0.74000800942492806</v>
      </c>
      <c r="L15" s="282">
        <f>'12ME Dec 2023 Therms by Block'!L15/'12ME Dec 2023 Therms by Block'!L$16</f>
        <v>0.73909091983278297</v>
      </c>
      <c r="M15" s="282">
        <f>'12ME Dec 2023 Therms by Block'!M15/'12ME Dec 2023 Therms by Block'!M$16</f>
        <v>0.7377400680379339</v>
      </c>
      <c r="N15" s="282">
        <f>'12ME Dec 2023 Therms by Block'!N15/'12ME Dec 2023 Therms by Block'!N$16</f>
        <v>0.73975124519938762</v>
      </c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x14ac:dyDescent="0.2">
      <c r="A16" s="37" t="s">
        <v>6</v>
      </c>
      <c r="B16" s="286">
        <f>SUM(B13:B15)</f>
        <v>0.99999999999999978</v>
      </c>
      <c r="C16" s="286">
        <f t="shared" ref="C16:N16" si="2">SUM(C13:C15)</f>
        <v>1</v>
      </c>
      <c r="D16" s="286">
        <f t="shared" si="2"/>
        <v>1</v>
      </c>
      <c r="E16" s="286">
        <f t="shared" si="2"/>
        <v>1</v>
      </c>
      <c r="F16" s="286">
        <f t="shared" si="2"/>
        <v>0.99999999999999989</v>
      </c>
      <c r="G16" s="286">
        <f t="shared" si="2"/>
        <v>1</v>
      </c>
      <c r="H16" s="286">
        <f t="shared" si="2"/>
        <v>1</v>
      </c>
      <c r="I16" s="286">
        <f t="shared" si="2"/>
        <v>1</v>
      </c>
      <c r="J16" s="286">
        <f t="shared" si="2"/>
        <v>1</v>
      </c>
      <c r="K16" s="286">
        <f t="shared" si="2"/>
        <v>1</v>
      </c>
      <c r="L16" s="286">
        <f t="shared" si="2"/>
        <v>0.99999999999999978</v>
      </c>
      <c r="M16" s="286">
        <f t="shared" si="2"/>
        <v>0.99999999999999989</v>
      </c>
      <c r="N16" s="286">
        <f t="shared" si="2"/>
        <v>0.99999999999999989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</row>
    <row r="17" spans="1:42" x14ac:dyDescent="0.2"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</row>
    <row r="18" spans="1:42" x14ac:dyDescent="0.2">
      <c r="A18" s="88" t="s">
        <v>92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</row>
    <row r="19" spans="1:42" x14ac:dyDescent="0.2">
      <c r="A19" s="37" t="s">
        <v>62</v>
      </c>
      <c r="B19" s="282">
        <f>'12ME Dec 2023 Therms by Block'!B19/'12ME Dec 2023 Therms by Block'!B$22</f>
        <v>0.42105412496061773</v>
      </c>
      <c r="C19" s="282">
        <f>'12ME Dec 2023 Therms by Block'!C19/'12ME Dec 2023 Therms by Block'!C$22</f>
        <v>0.42009370837293675</v>
      </c>
      <c r="D19" s="282">
        <f>'12ME Dec 2023 Therms by Block'!D19/'12ME Dec 2023 Therms by Block'!D$22</f>
        <v>0.42006583355044663</v>
      </c>
      <c r="E19" s="282">
        <f>'12ME Dec 2023 Therms by Block'!E19/'12ME Dec 2023 Therms by Block'!E$22</f>
        <v>0.42061960974366186</v>
      </c>
      <c r="F19" s="282">
        <f>'12ME Dec 2023 Therms by Block'!F19/'12ME Dec 2023 Therms by Block'!F$22</f>
        <v>0.42136121154948286</v>
      </c>
      <c r="G19" s="282">
        <f>'12ME Dec 2023 Therms by Block'!G19/'12ME Dec 2023 Therms by Block'!G$22</f>
        <v>0.41949727114666047</v>
      </c>
      <c r="H19" s="282">
        <f>'12ME Dec 2023 Therms by Block'!H19/'12ME Dec 2023 Therms by Block'!H$22</f>
        <v>0.41933302949511753</v>
      </c>
      <c r="I19" s="282">
        <f>'12ME Dec 2023 Therms by Block'!I19/'12ME Dec 2023 Therms by Block'!I$22</f>
        <v>0.41986200402273088</v>
      </c>
      <c r="J19" s="282">
        <f>'12ME Dec 2023 Therms by Block'!J19/'12ME Dec 2023 Therms by Block'!J$22</f>
        <v>0.41704284902222216</v>
      </c>
      <c r="K19" s="282">
        <f>'12ME Dec 2023 Therms by Block'!K19/'12ME Dec 2023 Therms by Block'!K$22</f>
        <v>0.41935999149536646</v>
      </c>
      <c r="L19" s="282">
        <f>'12ME Dec 2023 Therms by Block'!L19/'12ME Dec 2023 Therms by Block'!L$22</f>
        <v>0.42090755548794723</v>
      </c>
      <c r="M19" s="282">
        <f>'12ME Dec 2023 Therms by Block'!M19/'12ME Dec 2023 Therms by Block'!M$22</f>
        <v>0.42137441878209569</v>
      </c>
      <c r="N19" s="282">
        <f>'12ME Dec 2023 Therms by Block'!N19/'12ME Dec 2023 Therms by Block'!N$22</f>
        <v>0.42023172941011622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2" x14ac:dyDescent="0.2">
      <c r="A20" s="37" t="s">
        <v>63</v>
      </c>
      <c r="B20" s="282">
        <f>'12ME Dec 2023 Therms by Block'!B20/'12ME Dec 2023 Therms by Block'!B$22</f>
        <v>0.2325618190433125</v>
      </c>
      <c r="C20" s="282">
        <f>'12ME Dec 2023 Therms by Block'!C20/'12ME Dec 2023 Therms by Block'!C$22</f>
        <v>0.23073227796988469</v>
      </c>
      <c r="D20" s="282">
        <f>'12ME Dec 2023 Therms by Block'!D20/'12ME Dec 2023 Therms by Block'!D$22</f>
        <v>0.23067917795754186</v>
      </c>
      <c r="E20" s="282">
        <f>'12ME Dec 2023 Therms by Block'!E20/'12ME Dec 2023 Therms by Block'!E$22</f>
        <v>0.23173409131906569</v>
      </c>
      <c r="F20" s="282">
        <f>'12ME Dec 2023 Therms by Block'!F20/'12ME Dec 2023 Therms by Block'!F$22</f>
        <v>0.2331468022002405</v>
      </c>
      <c r="G20" s="282">
        <f>'12ME Dec 2023 Therms by Block'!G20/'12ME Dec 2023 Therms by Block'!G$22</f>
        <v>0.2295960976735526</v>
      </c>
      <c r="H20" s="282">
        <f>'12ME Dec 2023 Therms by Block'!H20/'12ME Dec 2023 Therms by Block'!H$22</f>
        <v>0.22928322630989673</v>
      </c>
      <c r="I20" s="282">
        <f>'12ME Dec 2023 Therms by Block'!I20/'12ME Dec 2023 Therms by Block'!I$22</f>
        <v>0.23029089385487569</v>
      </c>
      <c r="J20" s="282">
        <f>'12ME Dec 2023 Therms by Block'!J20/'12ME Dec 2023 Therms by Block'!J$22</f>
        <v>0.22492055776119799</v>
      </c>
      <c r="K20" s="282">
        <f>'12ME Dec 2023 Therms by Block'!K20/'12ME Dec 2023 Therms by Block'!K$22</f>
        <v>0.22933458744579335</v>
      </c>
      <c r="L20" s="282">
        <f>'12ME Dec 2023 Therms by Block'!L20/'12ME Dec 2023 Therms by Block'!L$22</f>
        <v>0.23228261221390026</v>
      </c>
      <c r="M20" s="282">
        <f>'12ME Dec 2023 Therms by Block'!M20/'12ME Dec 2023 Therms by Block'!M$22</f>
        <v>0.23317196125605175</v>
      </c>
      <c r="N20" s="282">
        <f>'12ME Dec 2023 Therms by Block'!N20/'12ME Dec 2023 Therms by Block'!N$22</f>
        <v>0.2309952004972087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2" x14ac:dyDescent="0.2">
      <c r="A21" s="37" t="s">
        <v>87</v>
      </c>
      <c r="B21" s="282">
        <f>'12ME Dec 2023 Therms by Block'!B21/'12ME Dec 2023 Therms by Block'!B$22</f>
        <v>0.34638405599606975</v>
      </c>
      <c r="C21" s="282">
        <f>'12ME Dec 2023 Therms by Block'!C21/'12ME Dec 2023 Therms by Block'!C$22</f>
        <v>0.34917401365717865</v>
      </c>
      <c r="D21" s="282">
        <f>'12ME Dec 2023 Therms by Block'!D21/'12ME Dec 2023 Therms by Block'!D$22</f>
        <v>0.34925498849201159</v>
      </c>
      <c r="E21" s="282">
        <f>'12ME Dec 2023 Therms by Block'!E21/'12ME Dec 2023 Therms by Block'!E$22</f>
        <v>0.3476462989372725</v>
      </c>
      <c r="F21" s="282">
        <f>'12ME Dec 2023 Therms by Block'!F21/'12ME Dec 2023 Therms by Block'!F$22</f>
        <v>0.34549198625027661</v>
      </c>
      <c r="G21" s="282">
        <f>'12ME Dec 2023 Therms by Block'!G21/'12ME Dec 2023 Therms by Block'!G$22</f>
        <v>0.35090663117978693</v>
      </c>
      <c r="H21" s="282">
        <f>'12ME Dec 2023 Therms by Block'!H21/'12ME Dec 2023 Therms by Block'!H$22</f>
        <v>0.3513837441949858</v>
      </c>
      <c r="I21" s="282">
        <f>'12ME Dec 2023 Therms by Block'!I21/'12ME Dec 2023 Therms by Block'!I$22</f>
        <v>0.34984710212239345</v>
      </c>
      <c r="J21" s="282">
        <f>'12ME Dec 2023 Therms by Block'!J21/'12ME Dec 2023 Therms by Block'!J$22</f>
        <v>0.35803659321657993</v>
      </c>
      <c r="K21" s="282">
        <f>'12ME Dec 2023 Therms by Block'!K21/'12ME Dec 2023 Therms by Block'!K$22</f>
        <v>0.35130542105884022</v>
      </c>
      <c r="L21" s="282">
        <f>'12ME Dec 2023 Therms by Block'!L21/'12ME Dec 2023 Therms by Block'!L$22</f>
        <v>0.3468098322981526</v>
      </c>
      <c r="M21" s="282">
        <f>'12ME Dec 2023 Therms by Block'!M21/'12ME Dec 2023 Therms by Block'!M$22</f>
        <v>0.34545361996185253</v>
      </c>
      <c r="N21" s="282">
        <f>'12ME Dec 2023 Therms by Block'!N21/'12ME Dec 2023 Therms by Block'!N$22</f>
        <v>0.34877307009267516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x14ac:dyDescent="0.2">
      <c r="A22" s="37" t="s">
        <v>6</v>
      </c>
      <c r="B22" s="286">
        <f>SUM(B19:B21)</f>
        <v>1</v>
      </c>
      <c r="C22" s="286">
        <f t="shared" ref="C22:N22" si="3">SUM(C19:C21)</f>
        <v>1</v>
      </c>
      <c r="D22" s="286">
        <f t="shared" si="3"/>
        <v>1</v>
      </c>
      <c r="E22" s="286">
        <f t="shared" si="3"/>
        <v>1</v>
      </c>
      <c r="F22" s="286">
        <f t="shared" si="3"/>
        <v>1</v>
      </c>
      <c r="G22" s="286">
        <f t="shared" si="3"/>
        <v>1</v>
      </c>
      <c r="H22" s="286">
        <f t="shared" si="3"/>
        <v>1</v>
      </c>
      <c r="I22" s="286">
        <f t="shared" si="3"/>
        <v>1</v>
      </c>
      <c r="J22" s="286">
        <f t="shared" si="3"/>
        <v>1</v>
      </c>
      <c r="K22" s="286">
        <f t="shared" si="3"/>
        <v>1</v>
      </c>
      <c r="L22" s="286">
        <f t="shared" si="3"/>
        <v>1</v>
      </c>
      <c r="M22" s="286">
        <f t="shared" si="3"/>
        <v>1</v>
      </c>
      <c r="N22" s="286">
        <f t="shared" si="3"/>
        <v>1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x14ac:dyDescent="0.2">
      <c r="B23" s="285"/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:42" x14ac:dyDescent="0.2">
      <c r="A24" s="38" t="s">
        <v>37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</row>
    <row r="25" spans="1:42" x14ac:dyDescent="0.2">
      <c r="A25" s="37" t="s">
        <v>62</v>
      </c>
      <c r="B25" s="282">
        <f>'12ME Dec 2023 Therms by Block'!B25/'12ME Dec 2023 Therms by Block'!B$28</f>
        <v>0.35749288689882597</v>
      </c>
      <c r="C25" s="282">
        <f>'12ME Dec 2023 Therms by Block'!C25/'12ME Dec 2023 Therms by Block'!C$28</f>
        <v>0.35424839566755673</v>
      </c>
      <c r="D25" s="282">
        <f>'12ME Dec 2023 Therms by Block'!D25/'12ME Dec 2023 Therms by Block'!D$28</f>
        <v>0.35804946994578335</v>
      </c>
      <c r="E25" s="282">
        <f>'12ME Dec 2023 Therms by Block'!E25/'12ME Dec 2023 Therms by Block'!E$28</f>
        <v>0.355867816220794</v>
      </c>
      <c r="F25" s="282">
        <f>'12ME Dec 2023 Therms by Block'!F25/'12ME Dec 2023 Therms by Block'!F$28</f>
        <v>0.35543447260407351</v>
      </c>
      <c r="G25" s="282">
        <f>'12ME Dec 2023 Therms by Block'!G25/'12ME Dec 2023 Therms by Block'!G$28</f>
        <v>0.35387616975808833</v>
      </c>
      <c r="H25" s="282">
        <f>'12ME Dec 2023 Therms by Block'!H25/'12ME Dec 2023 Therms by Block'!H$28</f>
        <v>0.35299506198314118</v>
      </c>
      <c r="I25" s="282">
        <f>'12ME Dec 2023 Therms by Block'!I25/'12ME Dec 2023 Therms by Block'!I$28</f>
        <v>0.35346010824225271</v>
      </c>
      <c r="J25" s="282">
        <f>'12ME Dec 2023 Therms by Block'!J25/'12ME Dec 2023 Therms by Block'!J$28</f>
        <v>0.35319921007057886</v>
      </c>
      <c r="K25" s="282">
        <f>'12ME Dec 2023 Therms by Block'!K25/'12ME Dec 2023 Therms by Block'!K$28</f>
        <v>0.35360002120058881</v>
      </c>
      <c r="L25" s="282">
        <f>'12ME Dec 2023 Therms by Block'!L25/'12ME Dec 2023 Therms by Block'!L$28</f>
        <v>0.35569011833568615</v>
      </c>
      <c r="M25" s="282">
        <f>'12ME Dec 2023 Therms by Block'!M25/'12ME Dec 2023 Therms by Block'!M$28</f>
        <v>0.35658843021366515</v>
      </c>
      <c r="N25" s="282">
        <f>'12ME Dec 2023 Therms by Block'!N25/'12ME Dec 2023 Therms by Block'!N$28</f>
        <v>0.35505254746842407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x14ac:dyDescent="0.2">
      <c r="A26" s="37" t="s">
        <v>63</v>
      </c>
      <c r="B26" s="282">
        <f>'12ME Dec 2023 Therms by Block'!B26/'12ME Dec 2023 Therms by Block'!B$28</f>
        <v>0.25264321766889536</v>
      </c>
      <c r="C26" s="282">
        <f>'12ME Dec 2023 Therms by Block'!C26/'12ME Dec 2023 Therms by Block'!C$28</f>
        <v>0.25175237267836109</v>
      </c>
      <c r="D26" s="282">
        <f>'12ME Dec 2023 Therms by Block'!D26/'12ME Dec 2023 Therms by Block'!D$28</f>
        <v>0.25279603953952318</v>
      </c>
      <c r="E26" s="282">
        <f>'12ME Dec 2023 Therms by Block'!E26/'12ME Dec 2023 Therms by Block'!E$28</f>
        <v>0.25219701949186324</v>
      </c>
      <c r="F26" s="282">
        <f>'12ME Dec 2023 Therms by Block'!F26/'12ME Dec 2023 Therms by Block'!F$28</f>
        <v>0.25207803566277631</v>
      </c>
      <c r="G26" s="282">
        <f>'12ME Dec 2023 Therms by Block'!G26/'12ME Dec 2023 Therms by Block'!G$28</f>
        <v>0.25165017003296597</v>
      </c>
      <c r="H26" s="282">
        <f>'12ME Dec 2023 Therms by Block'!H26/'12ME Dec 2023 Therms by Block'!H$28</f>
        <v>0.25140824290434016</v>
      </c>
      <c r="I26" s="282">
        <f>'12ME Dec 2023 Therms by Block'!I26/'12ME Dec 2023 Therms by Block'!I$28</f>
        <v>0.2515359313771286</v>
      </c>
      <c r="J26" s="282">
        <f>'12ME Dec 2023 Therms by Block'!J26/'12ME Dec 2023 Therms by Block'!J$28</f>
        <v>0.25146429616140198</v>
      </c>
      <c r="K26" s="282">
        <f>'12ME Dec 2023 Therms by Block'!K26/'12ME Dec 2023 Therms by Block'!K$28</f>
        <v>0.25157434749514529</v>
      </c>
      <c r="L26" s="282">
        <f>'12ME Dec 2023 Therms by Block'!L26/'12ME Dec 2023 Therms by Block'!L$28</f>
        <v>0.25214822870788728</v>
      </c>
      <c r="M26" s="282">
        <f>'12ME Dec 2023 Therms by Block'!M26/'12ME Dec 2023 Therms by Block'!M$28</f>
        <v>0.25239487959377116</v>
      </c>
      <c r="N26" s="282">
        <f>'12ME Dec 2023 Therms by Block'!N26/'12ME Dec 2023 Therms by Block'!N$28</f>
        <v>0.25197316988580232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</row>
    <row r="27" spans="1:42" x14ac:dyDescent="0.2">
      <c r="A27" s="37" t="s">
        <v>87</v>
      </c>
      <c r="B27" s="282">
        <f>'12ME Dec 2023 Therms by Block'!B27/'12ME Dec 2023 Therms by Block'!B$28</f>
        <v>0.38986389543227862</v>
      </c>
      <c r="C27" s="282">
        <f>'12ME Dec 2023 Therms by Block'!C27/'12ME Dec 2023 Therms by Block'!C$28</f>
        <v>0.39399923165408218</v>
      </c>
      <c r="D27" s="282">
        <f>'12ME Dec 2023 Therms by Block'!D27/'12ME Dec 2023 Therms by Block'!D$28</f>
        <v>0.38915449051469342</v>
      </c>
      <c r="E27" s="282">
        <f>'12ME Dec 2023 Therms by Block'!E27/'12ME Dec 2023 Therms by Block'!E$28</f>
        <v>0.39193516428734276</v>
      </c>
      <c r="F27" s="282">
        <f>'12ME Dec 2023 Therms by Block'!F27/'12ME Dec 2023 Therms by Block'!F$28</f>
        <v>0.39248749173315006</v>
      </c>
      <c r="G27" s="282">
        <f>'12ME Dec 2023 Therms by Block'!G27/'12ME Dec 2023 Therms by Block'!G$28</f>
        <v>0.3944736602089457</v>
      </c>
      <c r="H27" s="282">
        <f>'12ME Dec 2023 Therms by Block'!H27/'12ME Dec 2023 Therms by Block'!H$28</f>
        <v>0.39559669511251866</v>
      </c>
      <c r="I27" s="282">
        <f>'12ME Dec 2023 Therms by Block'!I27/'12ME Dec 2023 Therms by Block'!I$28</f>
        <v>0.39500396038061864</v>
      </c>
      <c r="J27" s="282">
        <f>'12ME Dec 2023 Therms by Block'!J27/'12ME Dec 2023 Therms by Block'!J$28</f>
        <v>0.39533649376801921</v>
      </c>
      <c r="K27" s="282">
        <f>'12ME Dec 2023 Therms by Block'!K27/'12ME Dec 2023 Therms by Block'!K$28</f>
        <v>0.39482563130426579</v>
      </c>
      <c r="L27" s="282">
        <f>'12ME Dec 2023 Therms by Block'!L27/'12ME Dec 2023 Therms by Block'!L$28</f>
        <v>0.39216165295642663</v>
      </c>
      <c r="M27" s="282">
        <f>'12ME Dec 2023 Therms by Block'!M27/'12ME Dec 2023 Therms by Block'!M$28</f>
        <v>0.3910166901925638</v>
      </c>
      <c r="N27" s="282">
        <f>'12ME Dec 2023 Therms by Block'!N27/'12ME Dec 2023 Therms by Block'!N$28</f>
        <v>0.39297428264577366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</row>
    <row r="28" spans="1:42" x14ac:dyDescent="0.2">
      <c r="A28" s="37" t="s">
        <v>6</v>
      </c>
      <c r="B28" s="286">
        <f>SUM(B25:B27)</f>
        <v>1</v>
      </c>
      <c r="C28" s="286">
        <f t="shared" ref="C28:N28" si="4">SUM(C25:C27)</f>
        <v>1</v>
      </c>
      <c r="D28" s="286">
        <f t="shared" si="4"/>
        <v>0.99999999999999989</v>
      </c>
      <c r="E28" s="286">
        <f t="shared" si="4"/>
        <v>1</v>
      </c>
      <c r="F28" s="286">
        <f t="shared" si="4"/>
        <v>0.99999999999999978</v>
      </c>
      <c r="G28" s="286">
        <f t="shared" si="4"/>
        <v>1</v>
      </c>
      <c r="H28" s="286">
        <f t="shared" si="4"/>
        <v>1</v>
      </c>
      <c r="I28" s="286">
        <f t="shared" si="4"/>
        <v>1</v>
      </c>
      <c r="J28" s="286">
        <f t="shared" si="4"/>
        <v>1</v>
      </c>
      <c r="K28" s="286">
        <f t="shared" si="4"/>
        <v>0.99999999999999978</v>
      </c>
      <c r="L28" s="286">
        <f t="shared" si="4"/>
        <v>1</v>
      </c>
      <c r="M28" s="286">
        <f t="shared" si="4"/>
        <v>1</v>
      </c>
      <c r="N28" s="286">
        <f t="shared" si="4"/>
        <v>1</v>
      </c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</row>
    <row r="29" spans="1:42" x14ac:dyDescent="0.2"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</row>
    <row r="30" spans="1:42" x14ac:dyDescent="0.2">
      <c r="A30" s="38" t="s">
        <v>93</v>
      </c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</row>
    <row r="31" spans="1:42" x14ac:dyDescent="0.2">
      <c r="A31" s="37" t="s">
        <v>65</v>
      </c>
      <c r="B31" s="282">
        <f>'12ME Dec 2023 Therms by Block'!B31/'12ME Dec 2023 Therms by Block'!B$33</f>
        <v>0.18367535198650514</v>
      </c>
      <c r="C31" s="282">
        <f>'12ME Dec 2023 Therms by Block'!C31/'12ME Dec 2023 Therms by Block'!C$33</f>
        <v>0.18388907898009788</v>
      </c>
      <c r="D31" s="282">
        <f>'12ME Dec 2023 Therms by Block'!D31/'12ME Dec 2023 Therms by Block'!D$33</f>
        <v>0.18399615888968715</v>
      </c>
      <c r="E31" s="282">
        <f>'12ME Dec 2023 Therms by Block'!E31/'12ME Dec 2023 Therms by Block'!E$33</f>
        <v>0.18389464075835349</v>
      </c>
      <c r="F31" s="282">
        <f>'12ME Dec 2023 Therms by Block'!F31/'12ME Dec 2023 Therms by Block'!F$33</f>
        <v>0.18399356542572587</v>
      </c>
      <c r="G31" s="282">
        <f>'12ME Dec 2023 Therms by Block'!G31/'12ME Dec 2023 Therms by Block'!G$33</f>
        <v>0.18413106532186607</v>
      </c>
      <c r="H31" s="282">
        <f>'12ME Dec 2023 Therms by Block'!H31/'12ME Dec 2023 Therms by Block'!H$33</f>
        <v>0.18405663109580814</v>
      </c>
      <c r="I31" s="282">
        <f>'12ME Dec 2023 Therms by Block'!I31/'12ME Dec 2023 Therms by Block'!I$33</f>
        <v>0.1841979109551857</v>
      </c>
      <c r="J31" s="282">
        <f>'12ME Dec 2023 Therms by Block'!J31/'12ME Dec 2023 Therms by Block'!J$33</f>
        <v>0.18432808646079177</v>
      </c>
      <c r="K31" s="282">
        <f>'12ME Dec 2023 Therms by Block'!K31/'12ME Dec 2023 Therms by Block'!K$33</f>
        <v>0.184077456805502</v>
      </c>
      <c r="L31" s="282">
        <f>'12ME Dec 2023 Therms by Block'!L31/'12ME Dec 2023 Therms by Block'!L$33</f>
        <v>0.18380124008887497</v>
      </c>
      <c r="M31" s="282">
        <f>'12ME Dec 2023 Therms by Block'!M31/'12ME Dec 2023 Therms by Block'!M$33</f>
        <v>0.18344434776819421</v>
      </c>
      <c r="N31" s="282">
        <f>'12ME Dec 2023 Therms by Block'!N31/'12ME Dec 2023 Therms by Block'!N$33</f>
        <v>0.18385695491620016</v>
      </c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</row>
    <row r="32" spans="1:42" x14ac:dyDescent="0.2">
      <c r="A32" s="37" t="s">
        <v>88</v>
      </c>
      <c r="B32" s="282">
        <f>'12ME Dec 2023 Therms by Block'!B32/'12ME Dec 2023 Therms by Block'!B$33</f>
        <v>0.81632464801349491</v>
      </c>
      <c r="C32" s="282">
        <f>'12ME Dec 2023 Therms by Block'!C32/'12ME Dec 2023 Therms by Block'!C$33</f>
        <v>0.81611092101990224</v>
      </c>
      <c r="D32" s="282">
        <f>'12ME Dec 2023 Therms by Block'!D32/'12ME Dec 2023 Therms by Block'!D$33</f>
        <v>0.81600384111031277</v>
      </c>
      <c r="E32" s="282">
        <f>'12ME Dec 2023 Therms by Block'!E32/'12ME Dec 2023 Therms by Block'!E$33</f>
        <v>0.81610535924164662</v>
      </c>
      <c r="F32" s="282">
        <f>'12ME Dec 2023 Therms by Block'!F32/'12ME Dec 2023 Therms by Block'!F$33</f>
        <v>0.81600643457427413</v>
      </c>
      <c r="G32" s="282">
        <f>'12ME Dec 2023 Therms by Block'!G32/'12ME Dec 2023 Therms by Block'!G$33</f>
        <v>0.81586893467813393</v>
      </c>
      <c r="H32" s="282">
        <f>'12ME Dec 2023 Therms by Block'!H32/'12ME Dec 2023 Therms by Block'!H$33</f>
        <v>0.81594336890419195</v>
      </c>
      <c r="I32" s="282">
        <f>'12ME Dec 2023 Therms by Block'!I32/'12ME Dec 2023 Therms by Block'!I$33</f>
        <v>0.81580208904481444</v>
      </c>
      <c r="J32" s="282">
        <f>'12ME Dec 2023 Therms by Block'!J32/'12ME Dec 2023 Therms by Block'!J$33</f>
        <v>0.81567191353920832</v>
      </c>
      <c r="K32" s="282">
        <f>'12ME Dec 2023 Therms by Block'!K32/'12ME Dec 2023 Therms by Block'!K$33</f>
        <v>0.81592254319449797</v>
      </c>
      <c r="L32" s="282">
        <f>'12ME Dec 2023 Therms by Block'!L32/'12ME Dec 2023 Therms by Block'!L$33</f>
        <v>0.81619875991112512</v>
      </c>
      <c r="M32" s="282">
        <f>'12ME Dec 2023 Therms by Block'!M32/'12ME Dec 2023 Therms by Block'!M$33</f>
        <v>0.81655565223180582</v>
      </c>
      <c r="N32" s="282">
        <f>'12ME Dec 2023 Therms by Block'!N32/'12ME Dec 2023 Therms by Block'!N$33</f>
        <v>0.81614304508379987</v>
      </c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42" x14ac:dyDescent="0.2">
      <c r="A33" s="37" t="s">
        <v>6</v>
      </c>
      <c r="B33" s="283">
        <f>SUM(B31:B32)</f>
        <v>1</v>
      </c>
      <c r="C33" s="283">
        <f t="shared" ref="C33:N33" si="5">SUM(C31:C32)</f>
        <v>1</v>
      </c>
      <c r="D33" s="283">
        <f t="shared" si="5"/>
        <v>0.99999999999999989</v>
      </c>
      <c r="E33" s="283">
        <f t="shared" si="5"/>
        <v>1</v>
      </c>
      <c r="F33" s="283">
        <f t="shared" si="5"/>
        <v>1</v>
      </c>
      <c r="G33" s="283">
        <f t="shared" si="5"/>
        <v>1</v>
      </c>
      <c r="H33" s="283">
        <f t="shared" si="5"/>
        <v>1</v>
      </c>
      <c r="I33" s="283">
        <f t="shared" si="5"/>
        <v>1.0000000000000002</v>
      </c>
      <c r="J33" s="283">
        <f t="shared" si="5"/>
        <v>1</v>
      </c>
      <c r="K33" s="283">
        <f t="shared" si="5"/>
        <v>1</v>
      </c>
      <c r="L33" s="283">
        <f t="shared" si="5"/>
        <v>1</v>
      </c>
      <c r="M33" s="283">
        <f t="shared" si="5"/>
        <v>1</v>
      </c>
      <c r="N33" s="283">
        <f t="shared" si="5"/>
        <v>1</v>
      </c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</row>
    <row r="34" spans="1:42" x14ac:dyDescent="0.2"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</row>
    <row r="35" spans="1:42" x14ac:dyDescent="0.2">
      <c r="A35" s="38" t="s">
        <v>39</v>
      </c>
      <c r="B35" s="284"/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</row>
    <row r="36" spans="1:42" x14ac:dyDescent="0.2">
      <c r="A36" s="37" t="s">
        <v>65</v>
      </c>
      <c r="B36" s="282">
        <f>'12ME Dec 2023 Therms by Block'!B36/'12ME Dec 2023 Therms by Block'!B$38</f>
        <v>9.905870503922716E-2</v>
      </c>
      <c r="C36" s="282">
        <f>'12ME Dec 2023 Therms by Block'!C36/'12ME Dec 2023 Therms by Block'!C$38</f>
        <v>9.905870503922716E-2</v>
      </c>
      <c r="D36" s="282">
        <f>'12ME Dec 2023 Therms by Block'!D36/'12ME Dec 2023 Therms by Block'!D$38</f>
        <v>9.9058705039227146E-2</v>
      </c>
      <c r="E36" s="282">
        <f>'12ME Dec 2023 Therms by Block'!E36/'12ME Dec 2023 Therms by Block'!E$38</f>
        <v>9.9058705039227132E-2</v>
      </c>
      <c r="F36" s="282">
        <f>'12ME Dec 2023 Therms by Block'!F36/'12ME Dec 2023 Therms by Block'!F$38</f>
        <v>9.9058705039227146E-2</v>
      </c>
      <c r="G36" s="282">
        <f>'12ME Dec 2023 Therms by Block'!G36/'12ME Dec 2023 Therms by Block'!G$38</f>
        <v>9.905870503922716E-2</v>
      </c>
      <c r="H36" s="282">
        <f>'12ME Dec 2023 Therms by Block'!H36/'12ME Dec 2023 Therms by Block'!H$38</f>
        <v>9.9058705039227146E-2</v>
      </c>
      <c r="I36" s="282">
        <f>'12ME Dec 2023 Therms by Block'!I36/'12ME Dec 2023 Therms by Block'!I$38</f>
        <v>9.9058705039227132E-2</v>
      </c>
      <c r="J36" s="282">
        <f>'12ME Dec 2023 Therms by Block'!J36/'12ME Dec 2023 Therms by Block'!J$38</f>
        <v>9.905870503922716E-2</v>
      </c>
      <c r="K36" s="282">
        <f>'12ME Dec 2023 Therms by Block'!K36/'12ME Dec 2023 Therms by Block'!K$38</f>
        <v>9.905870503922716E-2</v>
      </c>
      <c r="L36" s="282">
        <f>'12ME Dec 2023 Therms by Block'!L36/'12ME Dec 2023 Therms by Block'!L$38</f>
        <v>9.9058705039227146E-2</v>
      </c>
      <c r="M36" s="282">
        <f>'12ME Dec 2023 Therms by Block'!M36/'12ME Dec 2023 Therms by Block'!M$38</f>
        <v>9.9058705039227146E-2</v>
      </c>
      <c r="N36" s="282">
        <f>'12ME Dec 2023 Therms by Block'!N36/'12ME Dec 2023 Therms by Block'!N$38</f>
        <v>9.9058705039227146E-2</v>
      </c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2" x14ac:dyDescent="0.2">
      <c r="A37" s="37" t="s">
        <v>88</v>
      </c>
      <c r="B37" s="282">
        <f>'12ME Dec 2023 Therms by Block'!B37/'12ME Dec 2023 Therms by Block'!B$38</f>
        <v>0.9009412949607728</v>
      </c>
      <c r="C37" s="282">
        <f>'12ME Dec 2023 Therms by Block'!C37/'12ME Dec 2023 Therms by Block'!C$38</f>
        <v>0.90094129496077291</v>
      </c>
      <c r="D37" s="282">
        <f>'12ME Dec 2023 Therms by Block'!D37/'12ME Dec 2023 Therms by Block'!D$38</f>
        <v>0.9009412949607728</v>
      </c>
      <c r="E37" s="282">
        <f>'12ME Dec 2023 Therms by Block'!E37/'12ME Dec 2023 Therms by Block'!E$38</f>
        <v>0.9009412949607728</v>
      </c>
      <c r="F37" s="282">
        <f>'12ME Dec 2023 Therms by Block'!F37/'12ME Dec 2023 Therms by Block'!F$38</f>
        <v>0.90094129496077291</v>
      </c>
      <c r="G37" s="282">
        <f>'12ME Dec 2023 Therms by Block'!G37/'12ME Dec 2023 Therms by Block'!G$38</f>
        <v>0.90094129496077291</v>
      </c>
      <c r="H37" s="282">
        <f>'12ME Dec 2023 Therms by Block'!H37/'12ME Dec 2023 Therms by Block'!H$38</f>
        <v>0.90094129496077291</v>
      </c>
      <c r="I37" s="282">
        <f>'12ME Dec 2023 Therms by Block'!I37/'12ME Dec 2023 Therms by Block'!I$38</f>
        <v>0.90094129496077291</v>
      </c>
      <c r="J37" s="282">
        <f>'12ME Dec 2023 Therms by Block'!J37/'12ME Dec 2023 Therms by Block'!J$38</f>
        <v>0.90094129496077291</v>
      </c>
      <c r="K37" s="282">
        <f>'12ME Dec 2023 Therms by Block'!K37/'12ME Dec 2023 Therms by Block'!K$38</f>
        <v>0.90094129496077291</v>
      </c>
      <c r="L37" s="282">
        <f>'12ME Dec 2023 Therms by Block'!L37/'12ME Dec 2023 Therms by Block'!L$38</f>
        <v>0.9009412949607728</v>
      </c>
      <c r="M37" s="282">
        <f>'12ME Dec 2023 Therms by Block'!M37/'12ME Dec 2023 Therms by Block'!M$38</f>
        <v>0.9009412949607728</v>
      </c>
      <c r="N37" s="282">
        <f>'12ME Dec 2023 Therms by Block'!N37/'12ME Dec 2023 Therms by Block'!N$38</f>
        <v>0.9009412949607728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</row>
    <row r="38" spans="1:42" x14ac:dyDescent="0.2">
      <c r="A38" s="37" t="s">
        <v>6</v>
      </c>
      <c r="B38" s="286">
        <f>SUM(B36:B37)</f>
        <v>1</v>
      </c>
      <c r="C38" s="286">
        <f t="shared" ref="C38:M38" si="6">SUM(C36:C37)</f>
        <v>1</v>
      </c>
      <c r="D38" s="286">
        <f t="shared" si="6"/>
        <v>1</v>
      </c>
      <c r="E38" s="286">
        <f t="shared" si="6"/>
        <v>0.99999999999999989</v>
      </c>
      <c r="F38" s="286">
        <f t="shared" si="6"/>
        <v>1</v>
      </c>
      <c r="G38" s="286">
        <f t="shared" si="6"/>
        <v>1</v>
      </c>
      <c r="H38" s="286">
        <f t="shared" si="6"/>
        <v>1</v>
      </c>
      <c r="I38" s="286">
        <f t="shared" si="6"/>
        <v>1</v>
      </c>
      <c r="J38" s="286">
        <f t="shared" si="6"/>
        <v>1</v>
      </c>
      <c r="K38" s="286">
        <f t="shared" si="6"/>
        <v>1</v>
      </c>
      <c r="L38" s="286">
        <f t="shared" si="6"/>
        <v>1</v>
      </c>
      <c r="M38" s="286">
        <f t="shared" si="6"/>
        <v>1</v>
      </c>
      <c r="N38" s="286">
        <f>SUM(N36:N37)</f>
        <v>1</v>
      </c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</row>
    <row r="39" spans="1:42" x14ac:dyDescent="0.2"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</row>
    <row r="40" spans="1:42" x14ac:dyDescent="0.2">
      <c r="A40" s="88" t="s">
        <v>94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x14ac:dyDescent="0.2">
      <c r="A41" s="37" t="s">
        <v>62</v>
      </c>
      <c r="B41" s="282">
        <f>'12ME Dec 2023 Therms by Block'!B41/'12ME Dec 2023 Therms by Block'!B$47</f>
        <v>2.5011247604944033E-2</v>
      </c>
      <c r="C41" s="282">
        <f>'12ME Dec 2023 Therms by Block'!C41/'12ME Dec 2023 Therms by Block'!C$47</f>
        <v>2.6148817035332502E-2</v>
      </c>
      <c r="D41" s="282">
        <f>'12ME Dec 2023 Therms by Block'!D41/'12ME Dec 2023 Therms by Block'!D$47</f>
        <v>-0.54304556775313839</v>
      </c>
      <c r="E41" s="282">
        <f>'12ME Dec 2023 Therms by Block'!E41/'12ME Dec 2023 Therms by Block'!E$47</f>
        <v>5.509988398846364E-2</v>
      </c>
      <c r="F41" s="282">
        <f>'12ME Dec 2023 Therms by Block'!F41/'12ME Dec 2023 Therms by Block'!F$47</f>
        <v>8.0211789771738679E-2</v>
      </c>
      <c r="G41" s="282">
        <f>'12ME Dec 2023 Therms by Block'!G41/'12ME Dec 2023 Therms by Block'!G$47</f>
        <v>8.0137703141507408E-2</v>
      </c>
      <c r="H41" s="282">
        <f>'12ME Dec 2023 Therms by Block'!H41/'12ME Dec 2023 Therms by Block'!H$47</f>
        <v>-4.9667844336580043</v>
      </c>
      <c r="I41" s="282">
        <f>'12ME Dec 2023 Therms by Block'!I41/'12ME Dec 2023 Therms by Block'!I$47</f>
        <v>0.55805620234903841</v>
      </c>
      <c r="J41" s="282">
        <f>'12ME Dec 2023 Therms by Block'!J41/'12ME Dec 2023 Therms by Block'!J$47</f>
        <v>0.10231499035280275</v>
      </c>
      <c r="K41" s="282">
        <f>'12ME Dec 2023 Therms by Block'!K41/'12ME Dec 2023 Therms by Block'!K$47</f>
        <v>0.11424834346232976</v>
      </c>
      <c r="L41" s="282">
        <f>'12ME Dec 2023 Therms by Block'!L41/'12ME Dec 2023 Therms by Block'!L$47</f>
        <v>3.064252273127014E-2</v>
      </c>
      <c r="M41" s="282">
        <f>'12ME Dec 2023 Therms by Block'!M41/'12ME Dec 2023 Therms by Block'!M$47</f>
        <v>-1.1133405959370513</v>
      </c>
      <c r="N41" s="282">
        <f>'12ME Dec 2023 Therms by Block'!N41/'12ME Dec 2023 Therms by Block'!N$47</f>
        <v>6.9304799187932295E-2</v>
      </c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</row>
    <row r="42" spans="1:42" s="68" customFormat="1" x14ac:dyDescent="0.2">
      <c r="A42" s="37" t="s">
        <v>63</v>
      </c>
      <c r="B42" s="282">
        <f>'12ME Dec 2023 Therms by Block'!B42/'12ME Dec 2023 Therms by Block'!B$47</f>
        <v>2.5011247604944033E-2</v>
      </c>
      <c r="C42" s="282">
        <f>'12ME Dec 2023 Therms by Block'!C42/'12ME Dec 2023 Therms by Block'!C$47</f>
        <v>2.614903343993253E-2</v>
      </c>
      <c r="D42" s="282">
        <f>'12ME Dec 2023 Therms by Block'!D42/'12ME Dec 2023 Therms by Block'!D$47</f>
        <v>-0.5251770660608529</v>
      </c>
      <c r="E42" s="282">
        <f>'12ME Dec 2023 Therms by Block'!E42/'12ME Dec 2023 Therms by Block'!E$47</f>
        <v>4.8829056922878894E-2</v>
      </c>
      <c r="F42" s="282">
        <f>'12ME Dec 2023 Therms by Block'!F42/'12ME Dec 2023 Therms by Block'!F$47</f>
        <v>6.5064339515634187E-2</v>
      </c>
      <c r="G42" s="282">
        <f>'12ME Dec 2023 Therms by Block'!G42/'12ME Dec 2023 Therms by Block'!G$47</f>
        <v>7.3015481057258219E-2</v>
      </c>
      <c r="H42" s="282">
        <f>'12ME Dec 2023 Therms by Block'!H42/'12ME Dec 2023 Therms by Block'!H$47</f>
        <v>0.67516413123482688</v>
      </c>
      <c r="I42" s="282">
        <f>'12ME Dec 2023 Therms by Block'!I42/'12ME Dec 2023 Therms by Block'!I$47</f>
        <v>4.9567993237073157E-2</v>
      </c>
      <c r="J42" s="282">
        <f>'12ME Dec 2023 Therms by Block'!J42/'12ME Dec 2023 Therms by Block'!J$47</f>
        <v>7.8506479511540411E-2</v>
      </c>
      <c r="K42" s="282">
        <f>'12ME Dec 2023 Therms by Block'!K42/'12ME Dec 2023 Therms by Block'!K$47</f>
        <v>0.10133909956341267</v>
      </c>
      <c r="L42" s="282">
        <f>'12ME Dec 2023 Therms by Block'!L42/'12ME Dec 2023 Therms by Block'!L$47</f>
        <v>3.064252273127014E-2</v>
      </c>
      <c r="M42" s="282">
        <f>'12ME Dec 2023 Therms by Block'!M42/'12ME Dec 2023 Therms by Block'!M$47</f>
        <v>-1.1133333742839353</v>
      </c>
      <c r="N42" s="282">
        <f>'12ME Dec 2023 Therms by Block'!N42/'12ME Dec 2023 Therms by Block'!N$47</f>
        <v>6.4071997497388414E-2</v>
      </c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</row>
    <row r="43" spans="1:42" x14ac:dyDescent="0.2">
      <c r="A43" s="37" t="s">
        <v>68</v>
      </c>
      <c r="B43" s="282">
        <f>'12ME Dec 2023 Therms by Block'!B43/'12ME Dec 2023 Therms by Block'!B$47</f>
        <v>5.1402482959633261E-2</v>
      </c>
      <c r="C43" s="282">
        <f>'12ME Dec 2023 Therms by Block'!C43/'12ME Dec 2023 Therms by Block'!C$47</f>
        <v>4.2734801140808541E-2</v>
      </c>
      <c r="D43" s="282">
        <f>'12ME Dec 2023 Therms by Block'!D43/'12ME Dec 2023 Therms by Block'!D$47</f>
        <v>-0.8688729084050214</v>
      </c>
      <c r="E43" s="282">
        <f>'12ME Dec 2023 Therms by Block'!E43/'12ME Dec 2023 Therms by Block'!E$47</f>
        <v>9.1833139980772735E-2</v>
      </c>
      <c r="F43" s="282">
        <f>'12ME Dec 2023 Therms by Block'!F43/'12ME Dec 2023 Therms by Block'!F$47</f>
        <v>0.12031768465760802</v>
      </c>
      <c r="G43" s="282">
        <f>'12ME Dec 2023 Therms by Block'!G43/'12ME Dec 2023 Therms by Block'!G$47</f>
        <v>0.13348926349747492</v>
      </c>
      <c r="H43" s="282">
        <f>'12ME Dec 2023 Therms by Block'!H43/'12ME Dec 2023 Therms by Block'!H$47</f>
        <v>1.0466965975968592</v>
      </c>
      <c r="I43" s="282">
        <f>'12ME Dec 2023 Therms by Block'!I43/'12ME Dec 2023 Therms by Block'!I$47</f>
        <v>7.0434193387234473E-2</v>
      </c>
      <c r="J43" s="282">
        <f>'12ME Dec 2023 Therms by Block'!J43/'12ME Dec 2023 Therms by Block'!J$47</f>
        <v>0.11281646555305758</v>
      </c>
      <c r="K43" s="282">
        <f>'12ME Dec 2023 Therms by Block'!K43/'12ME Dec 2023 Therms by Block'!K$47</f>
        <v>0.14922024258673797</v>
      </c>
      <c r="L43" s="282">
        <f>'12ME Dec 2023 Therms by Block'!L43/'12ME Dec 2023 Therms by Block'!L$47</f>
        <v>5.0333558599596165E-2</v>
      </c>
      <c r="M43" s="282">
        <f>'12ME Dec 2023 Therms by Block'!M43/'12ME Dec 2023 Therms by Block'!M$47</f>
        <v>-1.786284098434012</v>
      </c>
      <c r="N43" s="282">
        <f>'12ME Dec 2023 Therms by Block'!N43/'12ME Dec 2023 Therms by Block'!N$47</f>
        <v>0.106184596042826</v>
      </c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</row>
    <row r="44" spans="1:42" x14ac:dyDescent="0.2">
      <c r="A44" s="37" t="s">
        <v>69</v>
      </c>
      <c r="B44" s="282">
        <f>'12ME Dec 2023 Therms by Block'!B44/'12ME Dec 2023 Therms by Block'!B$47</f>
        <v>0.22861311207848459</v>
      </c>
      <c r="C44" s="282">
        <f>'12ME Dec 2023 Therms by Block'!C44/'12ME Dec 2023 Therms by Block'!C$47</f>
        <v>7.2843215774582151E-2</v>
      </c>
      <c r="D44" s="282">
        <f>'12ME Dec 2023 Therms by Block'!D44/'12ME Dec 2023 Therms by Block'!D$47</f>
        <v>-0.71146628273130508</v>
      </c>
      <c r="E44" s="282">
        <f>'12ME Dec 2023 Therms by Block'!E44/'12ME Dec 2023 Therms by Block'!E$47</f>
        <v>0.24129414240307537</v>
      </c>
      <c r="F44" s="282">
        <f>'12ME Dec 2023 Therms by Block'!F44/'12ME Dec 2023 Therms by Block'!F$47</f>
        <v>-7.9008352236845363E-3</v>
      </c>
      <c r="G44" s="282">
        <f>'12ME Dec 2023 Therms by Block'!G44/'12ME Dec 2023 Therms by Block'!G$47</f>
        <v>9.8595971775245969E-2</v>
      </c>
      <c r="H44" s="282">
        <f>'12ME Dec 2023 Therms by Block'!H44/'12ME Dec 2023 Therms by Block'!H$47</f>
        <v>0.50332246148300186</v>
      </c>
      <c r="I44" s="282">
        <f>'12ME Dec 2023 Therms by Block'!I44/'12ME Dec 2023 Therms by Block'!I$47</f>
        <v>1.3591900904780848E-3</v>
      </c>
      <c r="J44" s="282">
        <f>'12ME Dec 2023 Therms by Block'!J44/'12ME Dec 2023 Therms by Block'!J$47</f>
        <v>1.1661415709777561E-2</v>
      </c>
      <c r="K44" s="282">
        <f>'12ME Dec 2023 Therms by Block'!K44/'12ME Dec 2023 Therms by Block'!K$47</f>
        <v>0.1390343884217933</v>
      </c>
      <c r="L44" s="282">
        <f>'12ME Dec 2023 Therms by Block'!L44/'12ME Dec 2023 Therms by Block'!L$47</f>
        <v>0.18221658595049953</v>
      </c>
      <c r="M44" s="282">
        <f>'12ME Dec 2023 Therms by Block'!M44/'12ME Dec 2023 Therms by Block'!M$47</f>
        <v>1.7573401785416196E-2</v>
      </c>
      <c r="N44" s="282">
        <f>'12ME Dec 2023 Therms by Block'!N44/'12ME Dec 2023 Therms by Block'!N$47</f>
        <v>0.1395661244334947</v>
      </c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</row>
    <row r="45" spans="1:42" x14ac:dyDescent="0.2">
      <c r="A45" s="37" t="s">
        <v>70</v>
      </c>
      <c r="B45" s="282">
        <f>'12ME Dec 2023 Therms by Block'!B45/'12ME Dec 2023 Therms by Block'!B$47</f>
        <v>2.8002187136059221E-2</v>
      </c>
      <c r="C45" s="282">
        <f>'12ME Dec 2023 Therms by Block'!C45/'12ME Dec 2023 Therms by Block'!C$47</f>
        <v>0.31370468267101614</v>
      </c>
      <c r="D45" s="282">
        <f>'12ME Dec 2023 Therms by Block'!D45/'12ME Dec 2023 Therms by Block'!D$47</f>
        <v>3.311755948701689</v>
      </c>
      <c r="E45" s="282">
        <f>'12ME Dec 2023 Therms by Block'!E45/'12ME Dec 2023 Therms by Block'!E$47</f>
        <v>0.12978734456806934</v>
      </c>
      <c r="F45" s="282">
        <f>'12ME Dec 2023 Therms by Block'!F45/'12ME Dec 2023 Therms by Block'!F$47</f>
        <v>0.1978633761111431</v>
      </c>
      <c r="G45" s="282">
        <f>'12ME Dec 2023 Therms by Block'!G45/'12ME Dec 2023 Therms by Block'!G$47</f>
        <v>0.17523715453741973</v>
      </c>
      <c r="H45" s="282">
        <f>'12ME Dec 2023 Therms by Block'!H45/'12ME Dec 2023 Therms by Block'!H$47</f>
        <v>1.464946793413245</v>
      </c>
      <c r="I45" s="282">
        <f>'12ME Dec 2023 Therms by Block'!I45/'12ME Dec 2023 Therms by Block'!I$47</f>
        <v>0.1295669874862895</v>
      </c>
      <c r="J45" s="282">
        <f>'12ME Dec 2023 Therms by Block'!J45/'12ME Dec 2023 Therms by Block'!J$47</f>
        <v>0.31401754424498179</v>
      </c>
      <c r="K45" s="282">
        <f>'12ME Dec 2023 Therms by Block'!K45/'12ME Dec 2023 Therms by Block'!K$47</f>
        <v>0.2251165085212509</v>
      </c>
      <c r="L45" s="282">
        <f>'12ME Dec 2023 Therms by Block'!L45/'12ME Dec 2023 Therms by Block'!L$47</f>
        <v>0.27763703770250475</v>
      </c>
      <c r="M45" s="282">
        <f>'12ME Dec 2023 Therms by Block'!M45/'12ME Dec 2023 Therms by Block'!M$47</f>
        <v>1.5295556011705433</v>
      </c>
      <c r="N45" s="282">
        <f>'12ME Dec 2023 Therms by Block'!N45/'12ME Dec 2023 Therms by Block'!N$47</f>
        <v>0.1737917867567694</v>
      </c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</row>
    <row r="46" spans="1:42" x14ac:dyDescent="0.2">
      <c r="A46" s="37" t="s">
        <v>89</v>
      </c>
      <c r="B46" s="282">
        <f>'12ME Dec 2023 Therms by Block'!B46/'12ME Dec 2023 Therms by Block'!B$47</f>
        <v>0.64195972261593492</v>
      </c>
      <c r="C46" s="282">
        <f>'12ME Dec 2023 Therms by Block'!C46/'12ME Dec 2023 Therms by Block'!C$47</f>
        <v>0.51841944993832811</v>
      </c>
      <c r="D46" s="282">
        <f>'12ME Dec 2023 Therms by Block'!D46/'12ME Dec 2023 Therms by Block'!D$47</f>
        <v>0.33680587624862884</v>
      </c>
      <c r="E46" s="282">
        <f>'12ME Dec 2023 Therms by Block'!E46/'12ME Dec 2023 Therms by Block'!E$47</f>
        <v>0.43315643213673999</v>
      </c>
      <c r="F46" s="282">
        <f>'12ME Dec 2023 Therms by Block'!F46/'12ME Dec 2023 Therms by Block'!F$47</f>
        <v>0.5444436451675605</v>
      </c>
      <c r="G46" s="282">
        <f>'12ME Dec 2023 Therms by Block'!G46/'12ME Dec 2023 Therms by Block'!G$47</f>
        <v>0.4395244259910937</v>
      </c>
      <c r="H46" s="282">
        <f>'12ME Dec 2023 Therms by Block'!H46/'12ME Dec 2023 Therms by Block'!H$47</f>
        <v>2.2766544499300712</v>
      </c>
      <c r="I46" s="282">
        <f>'12ME Dec 2023 Therms by Block'!I46/'12ME Dec 2023 Therms by Block'!I$47</f>
        <v>0.19101543344988639</v>
      </c>
      <c r="J46" s="282">
        <f>'12ME Dec 2023 Therms by Block'!J46/'12ME Dec 2023 Therms by Block'!J$47</f>
        <v>0.38068310462783983</v>
      </c>
      <c r="K46" s="282">
        <f>'12ME Dec 2023 Therms by Block'!K46/'12ME Dec 2023 Therms by Block'!K$47</f>
        <v>0.27104141744447535</v>
      </c>
      <c r="L46" s="282">
        <f>'12ME Dec 2023 Therms by Block'!L46/'12ME Dec 2023 Therms by Block'!L$47</f>
        <v>0.42852777228485933</v>
      </c>
      <c r="M46" s="282">
        <f>'12ME Dec 2023 Therms by Block'!M46/'12ME Dec 2023 Therms by Block'!M$47</f>
        <v>3.4658290656990389</v>
      </c>
      <c r="N46" s="282">
        <f>'12ME Dec 2023 Therms by Block'!N46/'12ME Dec 2023 Therms by Block'!N$47</f>
        <v>0.44708069608158912</v>
      </c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</row>
    <row r="47" spans="1:42" x14ac:dyDescent="0.2">
      <c r="A47" s="37" t="s">
        <v>6</v>
      </c>
      <c r="B47" s="283">
        <f>SUM(B41:B46)</f>
        <v>1</v>
      </c>
      <c r="C47" s="283">
        <f t="shared" ref="C47:N47" si="7">SUM(C41:C46)</f>
        <v>1</v>
      </c>
      <c r="D47" s="283">
        <f t="shared" si="7"/>
        <v>1</v>
      </c>
      <c r="E47" s="283">
        <f t="shared" si="7"/>
        <v>1</v>
      </c>
      <c r="F47" s="283">
        <f t="shared" si="7"/>
        <v>1</v>
      </c>
      <c r="G47" s="283">
        <f t="shared" si="7"/>
        <v>1</v>
      </c>
      <c r="H47" s="283">
        <f t="shared" si="7"/>
        <v>0.99999999999999978</v>
      </c>
      <c r="I47" s="283">
        <f t="shared" si="7"/>
        <v>1</v>
      </c>
      <c r="J47" s="283">
        <f t="shared" si="7"/>
        <v>1</v>
      </c>
      <c r="K47" s="283">
        <f t="shared" si="7"/>
        <v>1</v>
      </c>
      <c r="L47" s="283">
        <f t="shared" si="7"/>
        <v>1</v>
      </c>
      <c r="M47" s="283">
        <f t="shared" si="7"/>
        <v>1</v>
      </c>
      <c r="N47" s="283">
        <f t="shared" si="7"/>
        <v>1</v>
      </c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</row>
    <row r="48" spans="1:42" x14ac:dyDescent="0.2"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</row>
    <row r="49" spans="1:42" x14ac:dyDescent="0.2">
      <c r="A49" s="38" t="s">
        <v>41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</row>
    <row r="50" spans="1:42" x14ac:dyDescent="0.2">
      <c r="A50" s="37" t="s">
        <v>62</v>
      </c>
      <c r="B50" s="282">
        <f>'12ME Dec 2023 Therms by Block'!B50/'12ME Dec 2023 Therms by Block'!B$56</f>
        <v>1.6550687797849992E-2</v>
      </c>
      <c r="C50" s="282">
        <f>'12ME Dec 2023 Therms by Block'!C50/'12ME Dec 2023 Therms by Block'!C$56</f>
        <v>2.201762798224343E-2</v>
      </c>
      <c r="D50" s="282">
        <f>'12ME Dec 2023 Therms by Block'!D50/'12ME Dec 2023 Therms by Block'!D$56</f>
        <v>3.1468202595593395E-2</v>
      </c>
      <c r="E50" s="282">
        <f>'12ME Dec 2023 Therms by Block'!E50/'12ME Dec 2023 Therms by Block'!E$56</f>
        <v>2.3672127630212276E-2</v>
      </c>
      <c r="F50" s="282">
        <f>'12ME Dec 2023 Therms by Block'!F50/'12ME Dec 2023 Therms by Block'!F$56</f>
        <v>2.4345839826949042E-2</v>
      </c>
      <c r="G50" s="282">
        <f>'12ME Dec 2023 Therms by Block'!G50/'12ME Dec 2023 Therms by Block'!G$56</f>
        <v>2.6275467595317029E-2</v>
      </c>
      <c r="H50" s="282">
        <f>'12ME Dec 2023 Therms by Block'!H50/'12ME Dec 2023 Therms by Block'!H$56</f>
        <v>2.6359022905846144E-2</v>
      </c>
      <c r="I50" s="282">
        <f>'12ME Dec 2023 Therms by Block'!I50/'12ME Dec 2023 Therms by Block'!I$56</f>
        <v>2.6353513884298557E-2</v>
      </c>
      <c r="J50" s="282">
        <f>'12ME Dec 2023 Therms by Block'!J50/'12ME Dec 2023 Therms by Block'!J$56</f>
        <v>2.6349004853806587E-2</v>
      </c>
      <c r="K50" s="282">
        <f>'12ME Dec 2023 Therms by Block'!K50/'12ME Dec 2023 Therms by Block'!K$56</f>
        <v>2.3643621275183484E-2</v>
      </c>
      <c r="L50" s="282">
        <f>'12ME Dec 2023 Therms by Block'!L50/'12ME Dec 2023 Therms by Block'!L$56</f>
        <v>1.8977698124658167E-2</v>
      </c>
      <c r="M50" s="282">
        <f>'12ME Dec 2023 Therms by Block'!M50/'12ME Dec 2023 Therms by Block'!M$56</f>
        <v>3.5982849110807812E-2</v>
      </c>
      <c r="N50" s="282">
        <f>'12ME Dec 2023 Therms by Block'!N50/'12ME Dec 2023 Therms by Block'!N$56</f>
        <v>2.5581251417277934E-2</v>
      </c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</row>
    <row r="51" spans="1:42" x14ac:dyDescent="0.2">
      <c r="A51" s="37" t="s">
        <v>63</v>
      </c>
      <c r="B51" s="282">
        <f>'12ME Dec 2023 Therms by Block'!B51/'12ME Dec 2023 Therms by Block'!B$56</f>
        <v>1.6020493465192631E-2</v>
      </c>
      <c r="C51" s="282">
        <f>'12ME Dec 2023 Therms by Block'!C51/'12ME Dec 2023 Therms by Block'!C$56</f>
        <v>2.4467668158883946E-2</v>
      </c>
      <c r="D51" s="282">
        <f>'12ME Dec 2023 Therms by Block'!D51/'12ME Dec 2023 Therms by Block'!D$56</f>
        <v>2.9412284221774974E-2</v>
      </c>
      <c r="E51" s="282">
        <f>'12ME Dec 2023 Therms by Block'!E51/'12ME Dec 2023 Therms by Block'!E$56</f>
        <v>2.3762824943404363E-2</v>
      </c>
      <c r="F51" s="282">
        <f>'12ME Dec 2023 Therms by Block'!F51/'12ME Dec 2023 Therms by Block'!F$56</f>
        <v>2.4430017672570206E-2</v>
      </c>
      <c r="G51" s="282">
        <f>'12ME Dec 2023 Therms by Block'!G51/'12ME Dec 2023 Therms by Block'!G$56</f>
        <v>2.6640291370194892E-2</v>
      </c>
      <c r="H51" s="282">
        <f>'12ME Dec 2023 Therms by Block'!H51/'12ME Dec 2023 Therms by Block'!H$56</f>
        <v>2.6375171896094684E-2</v>
      </c>
      <c r="I51" s="282">
        <f>'12ME Dec 2023 Therms by Block'!I51/'12ME Dec 2023 Therms by Block'!I$56</f>
        <v>2.5743750074439738E-2</v>
      </c>
      <c r="J51" s="282">
        <f>'12ME Dec 2023 Therms by Block'!J51/'12ME Dec 2023 Therms by Block'!J$56</f>
        <v>2.6077064396547278E-2</v>
      </c>
      <c r="K51" s="282">
        <f>'12ME Dec 2023 Therms by Block'!K51/'12ME Dec 2023 Therms by Block'!K$56</f>
        <v>2.4148087077014473E-2</v>
      </c>
      <c r="L51" s="282">
        <f>'12ME Dec 2023 Therms by Block'!L51/'12ME Dec 2023 Therms by Block'!L$56</f>
        <v>2.1322855018917525E-2</v>
      </c>
      <c r="M51" s="282">
        <f>'12ME Dec 2023 Therms by Block'!M51/'12ME Dec 2023 Therms by Block'!M$56</f>
        <v>3.4725408442295692E-2</v>
      </c>
      <c r="N51" s="282">
        <f>'12ME Dec 2023 Therms by Block'!N51/'12ME Dec 2023 Therms by Block'!N$56</f>
        <v>2.559063720998531E-2</v>
      </c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</row>
    <row r="52" spans="1:42" x14ac:dyDescent="0.2">
      <c r="A52" s="37" t="s">
        <v>68</v>
      </c>
      <c r="B52" s="282">
        <f>'12ME Dec 2023 Therms by Block'!B52/'12ME Dec 2023 Therms by Block'!B$56</f>
        <v>2.6291149720991509E-2</v>
      </c>
      <c r="C52" s="282">
        <f>'12ME Dec 2023 Therms by Block'!C52/'12ME Dec 2023 Therms by Block'!C$56</f>
        <v>5.4970463924382533E-2</v>
      </c>
      <c r="D52" s="282">
        <f>'12ME Dec 2023 Therms by Block'!D52/'12ME Dec 2023 Therms by Block'!D$56</f>
        <v>5.8440947677530587E-2</v>
      </c>
      <c r="E52" s="282">
        <f>'12ME Dec 2023 Therms by Block'!E52/'12ME Dec 2023 Therms by Block'!E$56</f>
        <v>4.7897224361383599E-2</v>
      </c>
      <c r="F52" s="282">
        <f>'12ME Dec 2023 Therms by Block'!F52/'12ME Dec 2023 Therms by Block'!F$56</f>
        <v>4.8860035345140412E-2</v>
      </c>
      <c r="G52" s="282">
        <f>'12ME Dec 2023 Therms by Block'!G52/'12ME Dec 2023 Therms by Block'!G$56</f>
        <v>5.3280582740389784E-2</v>
      </c>
      <c r="H52" s="282">
        <f>'12ME Dec 2023 Therms by Block'!H52/'12ME Dec 2023 Therms by Block'!H$56</f>
        <v>5.2750343792189368E-2</v>
      </c>
      <c r="I52" s="282">
        <f>'12ME Dec 2023 Therms by Block'!I52/'12ME Dec 2023 Therms by Block'!I$56</f>
        <v>4.8308976767036084E-2</v>
      </c>
      <c r="J52" s="282">
        <f>'12ME Dec 2023 Therms by Block'!J52/'12ME Dec 2023 Therms by Block'!J$56</f>
        <v>5.2723746564845408E-2</v>
      </c>
      <c r="K52" s="282">
        <f>'12ME Dec 2023 Therms by Block'!K52/'12ME Dec 2023 Therms by Block'!K$56</f>
        <v>5.0859987111671522E-2</v>
      </c>
      <c r="L52" s="282">
        <f>'12ME Dec 2023 Therms by Block'!L52/'12ME Dec 2023 Therms by Block'!L$56</f>
        <v>4.2645710037835051E-2</v>
      </c>
      <c r="M52" s="282">
        <f>'12ME Dec 2023 Therms by Block'!M52/'12ME Dec 2023 Therms by Block'!M$56</f>
        <v>6.9450816884591385E-2</v>
      </c>
      <c r="N52" s="282">
        <f>'12ME Dec 2023 Therms by Block'!N52/'12ME Dec 2023 Therms by Block'!N$56</f>
        <v>5.118127441997062E-2</v>
      </c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</row>
    <row r="53" spans="1:42" x14ac:dyDescent="0.2">
      <c r="A53" s="37" t="s">
        <v>69</v>
      </c>
      <c r="B53" s="282">
        <f>'12ME Dec 2023 Therms by Block'!B53/'12ME Dec 2023 Therms by Block'!B$56</f>
        <v>4.9195401200582523E-2</v>
      </c>
      <c r="C53" s="282">
        <f>'12ME Dec 2023 Therms by Block'!C53/'12ME Dec 2023 Therms by Block'!C$56</f>
        <v>0.11008813991121714</v>
      </c>
      <c r="D53" s="282">
        <f>'12ME Dec 2023 Therms by Block'!D53/'12ME Dec 2023 Therms by Block'!D$56</f>
        <v>0.11218145307060579</v>
      </c>
      <c r="E53" s="282">
        <f>'12ME Dec 2023 Therms by Block'!E53/'12ME Dec 2023 Therms by Block'!E$56</f>
        <v>9.2878191383179376E-2</v>
      </c>
      <c r="F53" s="282">
        <f>'12ME Dec 2023 Therms by Block'!F53/'12ME Dec 2023 Therms by Block'!F$56</f>
        <v>9.4936995081743109E-2</v>
      </c>
      <c r="G53" s="282">
        <f>'12ME Dec 2023 Therms by Block'!G53/'12ME Dec 2023 Therms by Block'!G$56</f>
        <v>0.10023985252076997</v>
      </c>
      <c r="H53" s="282">
        <f>'12ME Dec 2023 Therms by Block'!H53/'12ME Dec 2023 Therms by Block'!H$56</f>
        <v>9.8536925854141047E-2</v>
      </c>
      <c r="I53" s="282">
        <f>'12ME Dec 2023 Therms by Block'!I53/'12ME Dec 2023 Therms by Block'!I$56</f>
        <v>8.9842363944091022E-2</v>
      </c>
      <c r="J53" s="282">
        <f>'12ME Dec 2023 Therms by Block'!J53/'12ME Dec 2023 Therms by Block'!J$56</f>
        <v>9.3715497070984491E-2</v>
      </c>
      <c r="K53" s="282">
        <f>'12ME Dec 2023 Therms by Block'!K53/'12ME Dec 2023 Therms by Block'!K$56</f>
        <v>0.10156107490860942</v>
      </c>
      <c r="L53" s="282">
        <f>'12ME Dec 2023 Therms by Block'!L53/'12ME Dec 2023 Therms by Block'!L$56</f>
        <v>8.5291420075670102E-2</v>
      </c>
      <c r="M53" s="282">
        <f>'12ME Dec 2023 Therms by Block'!M53/'12ME Dec 2023 Therms by Block'!M$56</f>
        <v>0.13483698011627701</v>
      </c>
      <c r="N53" s="282">
        <f>'12ME Dec 2023 Therms by Block'!N53/'12ME Dec 2023 Therms by Block'!N$56</f>
        <v>9.8203612918839042E-2</v>
      </c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</row>
    <row r="54" spans="1:42" x14ac:dyDescent="0.2">
      <c r="A54" s="37" t="s">
        <v>70</v>
      </c>
      <c r="B54" s="282">
        <f>'12ME Dec 2023 Therms by Block'!B54/'12ME Dec 2023 Therms by Block'!B$56</f>
        <v>0.12570900232977483</v>
      </c>
      <c r="C54" s="282">
        <f>'12ME Dec 2023 Therms by Block'!C54/'12ME Dec 2023 Therms by Block'!C$56</f>
        <v>0.25333485068220229</v>
      </c>
      <c r="D54" s="282">
        <f>'12ME Dec 2023 Therms by Block'!D54/'12ME Dec 2023 Therms by Block'!D$56</f>
        <v>0.25434590577708377</v>
      </c>
      <c r="E54" s="282">
        <f>'12ME Dec 2023 Therms by Block'!E54/'12ME Dec 2023 Therms by Block'!E$56</f>
        <v>0.21249803275810489</v>
      </c>
      <c r="F54" s="282">
        <f>'12ME Dec 2023 Therms by Block'!F54/'12ME Dec 2023 Therms by Block'!F$56</f>
        <v>0.21598985495159106</v>
      </c>
      <c r="G54" s="282">
        <f>'12ME Dec 2023 Therms by Block'!G54/'12ME Dec 2023 Therms by Block'!G$56</f>
        <v>0.23311281714186832</v>
      </c>
      <c r="H54" s="282">
        <f>'12ME Dec 2023 Therms by Block'!H54/'12ME Dec 2023 Therms by Block'!H$56</f>
        <v>0.2236970588859083</v>
      </c>
      <c r="I54" s="282">
        <f>'12ME Dec 2023 Therms by Block'!I54/'12ME Dec 2023 Therms by Block'!I$56</f>
        <v>0.21192878631442877</v>
      </c>
      <c r="J54" s="282">
        <f>'12ME Dec 2023 Therms by Block'!J54/'12ME Dec 2023 Therms by Block'!J$56</f>
        <v>0.20130885052031883</v>
      </c>
      <c r="K54" s="282">
        <f>'12ME Dec 2023 Therms by Block'!K54/'12ME Dec 2023 Therms by Block'!K$56</f>
        <v>0.23232299436549067</v>
      </c>
      <c r="L54" s="282">
        <f>'12ME Dec 2023 Therms by Block'!L54/'12ME Dec 2023 Therms by Block'!L$56</f>
        <v>0.23332022462544322</v>
      </c>
      <c r="M54" s="282">
        <f>'12ME Dec 2023 Therms by Block'!M54/'12ME Dec 2023 Therms by Block'!M$56</f>
        <v>0.30527724746998536</v>
      </c>
      <c r="N54" s="282">
        <f>'12ME Dec 2023 Therms by Block'!N54/'12ME Dec 2023 Therms by Block'!N$56</f>
        <v>0.22755971748242576</v>
      </c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</row>
    <row r="55" spans="1:42" x14ac:dyDescent="0.2">
      <c r="A55" s="37" t="s">
        <v>89</v>
      </c>
      <c r="B55" s="282">
        <f>'12ME Dec 2023 Therms by Block'!B55/'12ME Dec 2023 Therms by Block'!B$56</f>
        <v>0.76623326548560844</v>
      </c>
      <c r="C55" s="282">
        <f>'12ME Dec 2023 Therms by Block'!C55/'12ME Dec 2023 Therms by Block'!C$56</f>
        <v>0.53512124934107064</v>
      </c>
      <c r="D55" s="282">
        <f>'12ME Dec 2023 Therms by Block'!D55/'12ME Dec 2023 Therms by Block'!D$56</f>
        <v>0.51415120665741165</v>
      </c>
      <c r="E55" s="282">
        <f>'12ME Dec 2023 Therms by Block'!E55/'12ME Dec 2023 Therms by Block'!E$56</f>
        <v>0.59929159892371542</v>
      </c>
      <c r="F55" s="282">
        <f>'12ME Dec 2023 Therms by Block'!F55/'12ME Dec 2023 Therms by Block'!F$56</f>
        <v>0.59143725712200612</v>
      </c>
      <c r="G55" s="282">
        <f>'12ME Dec 2023 Therms by Block'!G55/'12ME Dec 2023 Therms by Block'!G$56</f>
        <v>0.56045098863145992</v>
      </c>
      <c r="H55" s="282">
        <f>'12ME Dec 2023 Therms by Block'!H55/'12ME Dec 2023 Therms by Block'!H$56</f>
        <v>0.57228147666582052</v>
      </c>
      <c r="I55" s="282">
        <f>'12ME Dec 2023 Therms by Block'!I55/'12ME Dec 2023 Therms by Block'!I$56</f>
        <v>0.59782260901570583</v>
      </c>
      <c r="J55" s="282">
        <f>'12ME Dec 2023 Therms by Block'!J55/'12ME Dec 2023 Therms by Block'!J$56</f>
        <v>0.59982583659349742</v>
      </c>
      <c r="K55" s="282">
        <f>'12ME Dec 2023 Therms by Block'!K55/'12ME Dec 2023 Therms by Block'!K$56</f>
        <v>0.56746423526203027</v>
      </c>
      <c r="L55" s="282">
        <f>'12ME Dec 2023 Therms by Block'!L55/'12ME Dec 2023 Therms by Block'!L$56</f>
        <v>0.5984420921174759</v>
      </c>
      <c r="M55" s="282">
        <f>'12ME Dec 2023 Therms by Block'!M55/'12ME Dec 2023 Therms by Block'!M$56</f>
        <v>0.41972669797604273</v>
      </c>
      <c r="N55" s="282">
        <f>'12ME Dec 2023 Therms by Block'!N55/'12ME Dec 2023 Therms by Block'!N$56</f>
        <v>0.57188350655150133</v>
      </c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</row>
    <row r="56" spans="1:42" x14ac:dyDescent="0.2">
      <c r="A56" s="37" t="s">
        <v>6</v>
      </c>
      <c r="B56" s="286">
        <f>SUM(B50:B55)</f>
        <v>0.99999999999999989</v>
      </c>
      <c r="C56" s="286">
        <f t="shared" ref="C56:N56" si="8">SUM(C50:C55)</f>
        <v>1</v>
      </c>
      <c r="D56" s="286">
        <f t="shared" si="8"/>
        <v>1.0000000000000002</v>
      </c>
      <c r="E56" s="286">
        <f t="shared" si="8"/>
        <v>0.99999999999999989</v>
      </c>
      <c r="F56" s="286">
        <f t="shared" si="8"/>
        <v>1</v>
      </c>
      <c r="G56" s="286">
        <f t="shared" si="8"/>
        <v>0.99999999999999989</v>
      </c>
      <c r="H56" s="286">
        <f t="shared" si="8"/>
        <v>1</v>
      </c>
      <c r="I56" s="286">
        <f t="shared" si="8"/>
        <v>1</v>
      </c>
      <c r="J56" s="286">
        <f t="shared" si="8"/>
        <v>1</v>
      </c>
      <c r="K56" s="286">
        <f t="shared" si="8"/>
        <v>0.99999999999999989</v>
      </c>
      <c r="L56" s="286">
        <f t="shared" si="8"/>
        <v>1</v>
      </c>
      <c r="M56" s="286">
        <f t="shared" si="8"/>
        <v>1</v>
      </c>
      <c r="N56" s="286">
        <f t="shared" si="8"/>
        <v>1</v>
      </c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</row>
    <row r="60" spans="1:42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7" spans="1:14" x14ac:dyDescent="0.2">
      <c r="A67" s="37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</row>
    <row r="74" spans="1:14" x14ac:dyDescent="0.2">
      <c r="A74" s="37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80" spans="1:14" x14ac:dyDescent="0.2">
      <c r="A80" s="37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</row>
  </sheetData>
  <printOptions horizontalCentered="1"/>
  <pageMargins left="0.5" right="0.5" top="1" bottom="1" header="0.5" footer="0.5"/>
  <pageSetup scale="63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29" max="13" man="1"/>
  </rowBreaks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zoomScale="90" zoomScaleNormal="90" workbookViewId="0">
      <pane ySplit="5" topLeftCell="A21" activePane="bottomLeft" state="frozen"/>
      <selection pane="bottomLeft" activeCell="H61" sqref="H61"/>
    </sheetView>
  </sheetViews>
  <sheetFormatPr defaultColWidth="9.140625" defaultRowHeight="12.75" x14ac:dyDescent="0.2"/>
  <cols>
    <col min="1" max="1" width="32.7109375" style="88" bestFit="1" customWidth="1"/>
    <col min="2" max="13" width="12.140625" style="88" customWidth="1"/>
    <col min="14" max="14" width="13.28515625" style="88" bestFit="1" customWidth="1"/>
    <col min="15" max="16384" width="9.140625" style="88"/>
  </cols>
  <sheetData>
    <row r="1" spans="1:42" x14ac:dyDescent="0.2">
      <c r="A1" s="88" t="s">
        <v>0</v>
      </c>
    </row>
    <row r="2" spans="1:42" x14ac:dyDescent="0.2">
      <c r="A2" s="88" t="s">
        <v>261</v>
      </c>
    </row>
    <row r="3" spans="1:42" x14ac:dyDescent="0.2">
      <c r="A3" s="88" t="s">
        <v>263</v>
      </c>
    </row>
    <row r="5" spans="1:42" x14ac:dyDescent="0.2">
      <c r="A5" s="72" t="s">
        <v>83</v>
      </c>
      <c r="B5" s="278">
        <v>44927</v>
      </c>
      <c r="C5" s="278">
        <f>EDATE(B5,1)</f>
        <v>44958</v>
      </c>
      <c r="D5" s="278">
        <f t="shared" ref="D5:M5" si="0">EDATE(C5,1)</f>
        <v>44986</v>
      </c>
      <c r="E5" s="278">
        <f t="shared" si="0"/>
        <v>45017</v>
      </c>
      <c r="F5" s="278">
        <f t="shared" si="0"/>
        <v>45047</v>
      </c>
      <c r="G5" s="278">
        <f t="shared" si="0"/>
        <v>45078</v>
      </c>
      <c r="H5" s="278">
        <f t="shared" si="0"/>
        <v>45108</v>
      </c>
      <c r="I5" s="278">
        <f t="shared" si="0"/>
        <v>45139</v>
      </c>
      <c r="J5" s="278">
        <f t="shared" si="0"/>
        <v>45170</v>
      </c>
      <c r="K5" s="278">
        <f t="shared" si="0"/>
        <v>45200</v>
      </c>
      <c r="L5" s="278">
        <f t="shared" si="0"/>
        <v>45231</v>
      </c>
      <c r="M5" s="278">
        <f t="shared" si="0"/>
        <v>45261</v>
      </c>
      <c r="N5" s="89" t="s">
        <v>6</v>
      </c>
    </row>
    <row r="6" spans="1:42" x14ac:dyDescent="0.2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42" x14ac:dyDescent="0.2">
      <c r="A7" s="37" t="s">
        <v>90</v>
      </c>
      <c r="B7" s="79">
        <v>1593493.0986811942</v>
      </c>
      <c r="C7" s="79">
        <v>1547900.9490901812</v>
      </c>
      <c r="D7" s="79">
        <v>1449827.9210542033</v>
      </c>
      <c r="E7" s="79">
        <v>1108221.8765822232</v>
      </c>
      <c r="F7" s="79">
        <v>859583.32879280893</v>
      </c>
      <c r="G7" s="79">
        <v>691006.54274286493</v>
      </c>
      <c r="H7" s="79">
        <v>545278.17169867095</v>
      </c>
      <c r="I7" s="79">
        <v>562993.1550805947</v>
      </c>
      <c r="J7" s="79">
        <v>637502.70445425971</v>
      </c>
      <c r="K7" s="79">
        <v>1056360.802713539</v>
      </c>
      <c r="L7" s="79">
        <v>1438616.5006118251</v>
      </c>
      <c r="M7" s="79">
        <v>1697128.8582954954</v>
      </c>
      <c r="N7" s="276">
        <f>SUM(B7:M7)</f>
        <v>13187913.90979786</v>
      </c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">
      <c r="A8" s="37" t="s">
        <v>85</v>
      </c>
      <c r="B8" s="79">
        <v>3545890.4365746896</v>
      </c>
      <c r="C8" s="79">
        <v>3442365.2529154131</v>
      </c>
      <c r="D8" s="79">
        <v>3227328.3632255173</v>
      </c>
      <c r="E8" s="79">
        <v>2487608.1355463332</v>
      </c>
      <c r="F8" s="79">
        <v>1936715.654512665</v>
      </c>
      <c r="G8" s="79">
        <v>1567075.935682148</v>
      </c>
      <c r="H8" s="79">
        <v>1239982.3912745579</v>
      </c>
      <c r="I8" s="79">
        <v>1283575.7938706386</v>
      </c>
      <c r="J8" s="79">
        <v>1460356.0129042612</v>
      </c>
      <c r="K8" s="79">
        <v>2365180.6489693783</v>
      </c>
      <c r="L8" s="79">
        <v>3225995.6912792996</v>
      </c>
      <c r="M8" s="79">
        <v>3788747.6337092714</v>
      </c>
      <c r="N8" s="276">
        <f t="shared" ref="N8:N9" si="1">SUM(B8:M8)</f>
        <v>29570821.95046417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">
      <c r="A9" s="37" t="s">
        <v>86</v>
      </c>
      <c r="B9" s="79">
        <v>2771375.4647441162</v>
      </c>
      <c r="C9" s="79">
        <v>2680756.797994406</v>
      </c>
      <c r="D9" s="79">
        <v>2527670.7157202791</v>
      </c>
      <c r="E9" s="79">
        <v>2045231.9878714434</v>
      </c>
      <c r="F9" s="79">
        <v>1625844.0166945257</v>
      </c>
      <c r="G9" s="79">
        <v>1362624.5215749871</v>
      </c>
      <c r="H9" s="79">
        <v>1093794.4370267713</v>
      </c>
      <c r="I9" s="79">
        <v>1147415.0510487666</v>
      </c>
      <c r="J9" s="79">
        <v>1337010.2826414788</v>
      </c>
      <c r="K9" s="79">
        <v>1916641.5483170827</v>
      </c>
      <c r="L9" s="79">
        <v>2637246.8081088751</v>
      </c>
      <c r="M9" s="79">
        <v>3018537.5079952334</v>
      </c>
      <c r="N9" s="276">
        <f t="shared" si="1"/>
        <v>24164149.139737964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">
      <c r="A10" s="37" t="s">
        <v>6</v>
      </c>
      <c r="B10" s="279">
        <f>SUM(B7:B9)</f>
        <v>7910759</v>
      </c>
      <c r="C10" s="279">
        <f t="shared" ref="C10:N10" si="2">SUM(C7:C9)</f>
        <v>7671023</v>
      </c>
      <c r="D10" s="279">
        <f t="shared" si="2"/>
        <v>7204827</v>
      </c>
      <c r="E10" s="279">
        <f t="shared" si="2"/>
        <v>5641062</v>
      </c>
      <c r="F10" s="279">
        <f t="shared" si="2"/>
        <v>4422143</v>
      </c>
      <c r="G10" s="279">
        <f t="shared" si="2"/>
        <v>3620707</v>
      </c>
      <c r="H10" s="279">
        <f t="shared" si="2"/>
        <v>2879055</v>
      </c>
      <c r="I10" s="279">
        <f t="shared" si="2"/>
        <v>2993984</v>
      </c>
      <c r="J10" s="279">
        <f t="shared" si="2"/>
        <v>3434869</v>
      </c>
      <c r="K10" s="279">
        <f t="shared" si="2"/>
        <v>5338183</v>
      </c>
      <c r="L10" s="279">
        <f t="shared" si="2"/>
        <v>7301859</v>
      </c>
      <c r="M10" s="279">
        <f t="shared" si="2"/>
        <v>8504414</v>
      </c>
      <c r="N10" s="279">
        <f t="shared" si="2"/>
        <v>66922884.999999993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">
      <c r="A11" s="37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">
      <c r="A12" s="38" t="s">
        <v>35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">
      <c r="A13" s="37" t="s">
        <v>84</v>
      </c>
      <c r="B13" s="79">
        <v>118483.61208719983</v>
      </c>
      <c r="C13" s="79">
        <v>128805.61005611517</v>
      </c>
      <c r="D13" s="79">
        <v>111436.97273034148</v>
      </c>
      <c r="E13" s="79">
        <v>124477.07025659822</v>
      </c>
      <c r="F13" s="79">
        <v>116080.79581877725</v>
      </c>
      <c r="G13" s="79">
        <v>121702.99909095223</v>
      </c>
      <c r="H13" s="79">
        <v>110147.72299327231</v>
      </c>
      <c r="I13" s="79">
        <v>113844.94436544576</v>
      </c>
      <c r="J13" s="79">
        <v>111313.54647594923</v>
      </c>
      <c r="K13" s="79">
        <v>112649.27316132742</v>
      </c>
      <c r="L13" s="79">
        <v>129569.95064916811</v>
      </c>
      <c r="M13" s="79">
        <v>127404.87185824921</v>
      </c>
      <c r="N13" s="276">
        <f>SUM(B13:M13)</f>
        <v>1425917.3695433964</v>
      </c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</row>
    <row r="14" spans="1:42" x14ac:dyDescent="0.2">
      <c r="A14" s="37" t="s">
        <v>85</v>
      </c>
      <c r="B14" s="79">
        <v>432259.28903354035</v>
      </c>
      <c r="C14" s="79">
        <v>472181.47351725976</v>
      </c>
      <c r="D14" s="79">
        <v>405563.59070255235</v>
      </c>
      <c r="E14" s="79">
        <v>453783.45187649509</v>
      </c>
      <c r="F14" s="79">
        <v>423184.93374078412</v>
      </c>
      <c r="G14" s="79">
        <v>444648.71604321955</v>
      </c>
      <c r="H14" s="79">
        <v>403053.01313639467</v>
      </c>
      <c r="I14" s="79">
        <v>415305.85017285682</v>
      </c>
      <c r="J14" s="79">
        <v>405185.88063522079</v>
      </c>
      <c r="K14" s="79">
        <v>411108.23174002295</v>
      </c>
      <c r="L14" s="79">
        <v>472010.20276502514</v>
      </c>
      <c r="M14" s="79">
        <v>462907.87893727433</v>
      </c>
      <c r="N14" s="276">
        <f t="shared" ref="N14:N15" si="3">SUM(B14:M14)</f>
        <v>5201192.5123006459</v>
      </c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</row>
    <row r="15" spans="1:42" x14ac:dyDescent="0.2">
      <c r="A15" s="37" t="s">
        <v>86</v>
      </c>
      <c r="B15" s="79">
        <v>1566213.0988792595</v>
      </c>
      <c r="C15" s="79">
        <v>1730793.9164266251</v>
      </c>
      <c r="D15" s="79">
        <v>1460794.4365671063</v>
      </c>
      <c r="E15" s="79">
        <v>1641196.4778669067</v>
      </c>
      <c r="F15" s="79">
        <v>1530621.2704404385</v>
      </c>
      <c r="G15" s="79">
        <v>1616773.2848658282</v>
      </c>
      <c r="H15" s="79">
        <v>1470995.2638703331</v>
      </c>
      <c r="I15" s="79">
        <v>1504518.2054616972</v>
      </c>
      <c r="J15" s="79">
        <v>1460064.57288883</v>
      </c>
      <c r="K15" s="79">
        <v>1490756.4950986495</v>
      </c>
      <c r="L15" s="79">
        <v>1704127.8465858065</v>
      </c>
      <c r="M15" s="79">
        <v>1660556.2492044764</v>
      </c>
      <c r="N15" s="276">
        <f t="shared" si="3"/>
        <v>18837411.118155956</v>
      </c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</row>
    <row r="16" spans="1:42" x14ac:dyDescent="0.2">
      <c r="A16" s="37" t="s">
        <v>6</v>
      </c>
      <c r="B16" s="280">
        <f>SUM(B13:B15)</f>
        <v>2116956</v>
      </c>
      <c r="C16" s="280">
        <f t="shared" ref="C16:N16" si="4">SUM(C13:C15)</f>
        <v>2331781</v>
      </c>
      <c r="D16" s="280">
        <f t="shared" si="4"/>
        <v>1977795</v>
      </c>
      <c r="E16" s="280">
        <f t="shared" si="4"/>
        <v>2219457</v>
      </c>
      <c r="F16" s="280">
        <f t="shared" si="4"/>
        <v>2069887</v>
      </c>
      <c r="G16" s="280">
        <f t="shared" si="4"/>
        <v>2183125</v>
      </c>
      <c r="H16" s="280">
        <f t="shared" si="4"/>
        <v>1984196</v>
      </c>
      <c r="I16" s="280">
        <f t="shared" si="4"/>
        <v>2033668.9999999998</v>
      </c>
      <c r="J16" s="280">
        <f t="shared" si="4"/>
        <v>1976564</v>
      </c>
      <c r="K16" s="280">
        <f t="shared" si="4"/>
        <v>2014514</v>
      </c>
      <c r="L16" s="280">
        <f t="shared" si="4"/>
        <v>2305708</v>
      </c>
      <c r="M16" s="280">
        <f t="shared" si="4"/>
        <v>2250869</v>
      </c>
      <c r="N16" s="280">
        <f t="shared" si="4"/>
        <v>25464521</v>
      </c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</row>
    <row r="17" spans="1:42" x14ac:dyDescent="0.2"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</row>
    <row r="18" spans="1:42" x14ac:dyDescent="0.2">
      <c r="A18" s="88" t="s">
        <v>92</v>
      </c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</row>
    <row r="19" spans="1:42" x14ac:dyDescent="0.2">
      <c r="A19" s="37" t="s">
        <v>62</v>
      </c>
      <c r="B19" s="79">
        <v>504477.99979318987</v>
      </c>
      <c r="C19" s="79">
        <v>498021.93146353326</v>
      </c>
      <c r="D19" s="79">
        <v>457032.46703455306</v>
      </c>
      <c r="E19" s="79">
        <v>367218.16471021628</v>
      </c>
      <c r="F19" s="79">
        <v>341372.10595498682</v>
      </c>
      <c r="G19" s="79">
        <v>267173.19752332545</v>
      </c>
      <c r="H19" s="79">
        <v>252220.4305807233</v>
      </c>
      <c r="I19" s="79">
        <v>276625.2416263682</v>
      </c>
      <c r="J19" s="79">
        <v>277790.99060515512</v>
      </c>
      <c r="K19" s="79">
        <v>396920.87707043241</v>
      </c>
      <c r="L19" s="79">
        <v>455128.60247178382</v>
      </c>
      <c r="M19" s="79">
        <v>580944.69743068749</v>
      </c>
      <c r="N19" s="276">
        <f>SUM(B19:M19)</f>
        <v>4674926.706264955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2" x14ac:dyDescent="0.2">
      <c r="A20" s="37" t="s">
        <v>63</v>
      </c>
      <c r="B20" s="79">
        <v>278639.52481218305</v>
      </c>
      <c r="C20" s="79">
        <v>273533.57699785422</v>
      </c>
      <c r="D20" s="79">
        <v>250979.40697616147</v>
      </c>
      <c r="E20" s="79">
        <v>202313.36281928842</v>
      </c>
      <c r="F20" s="79">
        <v>188887.37900455788</v>
      </c>
      <c r="G20" s="79">
        <v>146227.22905121124</v>
      </c>
      <c r="H20" s="79">
        <v>137909.27496087668</v>
      </c>
      <c r="I20" s="79">
        <v>151726.69483449715</v>
      </c>
      <c r="J20" s="79">
        <v>149818.9087630607</v>
      </c>
      <c r="K20" s="79">
        <v>217063.35234074385</v>
      </c>
      <c r="L20" s="79">
        <v>251167.88543472698</v>
      </c>
      <c r="M20" s="79">
        <v>321471.85126410599</v>
      </c>
      <c r="N20" s="276">
        <f t="shared" ref="N20:N21" si="5">SUM(B20:M20)</f>
        <v>2569738.4472592678</v>
      </c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  <row r="21" spans="1:42" x14ac:dyDescent="0.2">
      <c r="A21" s="37" t="s">
        <v>87</v>
      </c>
      <c r="B21" s="79">
        <v>415013.47539462708</v>
      </c>
      <c r="C21" s="79">
        <v>413946.49153861258</v>
      </c>
      <c r="D21" s="79">
        <v>379990.12598928559</v>
      </c>
      <c r="E21" s="79">
        <v>303509.47247049533</v>
      </c>
      <c r="F21" s="79">
        <v>279905.51504045539</v>
      </c>
      <c r="G21" s="79">
        <v>223488.57342546331</v>
      </c>
      <c r="H21" s="79">
        <v>211350.29445840005</v>
      </c>
      <c r="I21" s="79">
        <v>230496.06353913469</v>
      </c>
      <c r="J21" s="79">
        <v>238487.10063178424</v>
      </c>
      <c r="K21" s="79">
        <v>332507.77058882377</v>
      </c>
      <c r="L21" s="79">
        <v>375006.51209348929</v>
      </c>
      <c r="M21" s="79">
        <v>476273.45130520646</v>
      </c>
      <c r="N21" s="276">
        <f t="shared" si="5"/>
        <v>3879974.8464757777</v>
      </c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</row>
    <row r="22" spans="1:42" x14ac:dyDescent="0.2">
      <c r="A22" s="37" t="s">
        <v>6</v>
      </c>
      <c r="B22" s="280">
        <f>SUM(B19:B21)</f>
        <v>1198131</v>
      </c>
      <c r="C22" s="280">
        <f t="shared" ref="C22:N22" si="6">SUM(C19:C21)</f>
        <v>1185502</v>
      </c>
      <c r="D22" s="280">
        <f t="shared" si="6"/>
        <v>1088002</v>
      </c>
      <c r="E22" s="280">
        <f t="shared" si="6"/>
        <v>873041</v>
      </c>
      <c r="F22" s="280">
        <f t="shared" si="6"/>
        <v>810165.00000000012</v>
      </c>
      <c r="G22" s="280">
        <f t="shared" si="6"/>
        <v>636889</v>
      </c>
      <c r="H22" s="280">
        <f t="shared" si="6"/>
        <v>601480</v>
      </c>
      <c r="I22" s="280">
        <f t="shared" si="6"/>
        <v>658848</v>
      </c>
      <c r="J22" s="280">
        <f t="shared" si="6"/>
        <v>666097</v>
      </c>
      <c r="K22" s="280">
        <f t="shared" si="6"/>
        <v>946492</v>
      </c>
      <c r="L22" s="280">
        <f t="shared" si="6"/>
        <v>1081303</v>
      </c>
      <c r="M22" s="280">
        <f t="shared" si="6"/>
        <v>1378690</v>
      </c>
      <c r="N22" s="280">
        <f t="shared" si="6"/>
        <v>11124640</v>
      </c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</row>
    <row r="23" spans="1:42" x14ac:dyDescent="0.2"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</row>
    <row r="24" spans="1:42" x14ac:dyDescent="0.2">
      <c r="A24" s="38" t="s">
        <v>37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</row>
    <row r="25" spans="1:42" x14ac:dyDescent="0.2">
      <c r="A25" s="37" t="s">
        <v>62</v>
      </c>
      <c r="B25" s="79">
        <v>1793341.9750476335</v>
      </c>
      <c r="C25" s="79">
        <v>2196836.0008927863</v>
      </c>
      <c r="D25" s="79">
        <v>1762059.5471579651</v>
      </c>
      <c r="E25" s="79">
        <v>1958706.0689102882</v>
      </c>
      <c r="F25" s="79">
        <v>1743767.2095471465</v>
      </c>
      <c r="G25" s="79">
        <v>1853083.1792233223</v>
      </c>
      <c r="H25" s="79">
        <v>1698928.1688433504</v>
      </c>
      <c r="I25" s="79">
        <v>1698142.8898926927</v>
      </c>
      <c r="J25" s="79">
        <v>1711333.8810047414</v>
      </c>
      <c r="K25" s="79">
        <v>1881488.3864072943</v>
      </c>
      <c r="L25" s="79">
        <v>2048220.9164091852</v>
      </c>
      <c r="M25" s="79">
        <v>1946959.9917831239</v>
      </c>
      <c r="N25" s="276">
        <f>SUM(B25:M25)</f>
        <v>22292868.21511953</v>
      </c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</row>
    <row r="26" spans="1:42" x14ac:dyDescent="0.2">
      <c r="A26" s="37" t="s">
        <v>63</v>
      </c>
      <c r="B26" s="79">
        <v>1267369.795486171</v>
      </c>
      <c r="C26" s="79">
        <v>1561217.1639275884</v>
      </c>
      <c r="D26" s="79">
        <v>1244078.5766888275</v>
      </c>
      <c r="E26" s="79">
        <v>1388099.2046027416</v>
      </c>
      <c r="F26" s="79">
        <v>1236698.8762101512</v>
      </c>
      <c r="G26" s="79">
        <v>1317773.6648827272</v>
      </c>
      <c r="H26" s="79">
        <v>1210001.4752330843</v>
      </c>
      <c r="I26" s="79">
        <v>1208464.3880883255</v>
      </c>
      <c r="J26" s="79">
        <v>1218404.1119401827</v>
      </c>
      <c r="K26" s="79">
        <v>1338614.7758786408</v>
      </c>
      <c r="L26" s="79">
        <v>1451980.9504171037</v>
      </c>
      <c r="M26" s="79">
        <v>1378066.956366325</v>
      </c>
      <c r="N26" s="276">
        <f t="shared" ref="N26:N27" si="7">SUM(B26:M26)</f>
        <v>15820769.939721867</v>
      </c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</row>
    <row r="27" spans="1:42" x14ac:dyDescent="0.2">
      <c r="A27" s="37" t="s">
        <v>87</v>
      </c>
      <c r="B27" s="79">
        <v>1955729.2294661952</v>
      </c>
      <c r="C27" s="79">
        <v>2443346.8351796251</v>
      </c>
      <c r="D27" s="79">
        <v>1915135.8761532074</v>
      </c>
      <c r="E27" s="79">
        <v>2157221.7264869702</v>
      </c>
      <c r="F27" s="79">
        <v>1925549.9142427021</v>
      </c>
      <c r="G27" s="79">
        <v>2065673.1558939505</v>
      </c>
      <c r="H27" s="79">
        <v>1903965.3559235656</v>
      </c>
      <c r="I27" s="79">
        <v>1897733.7220189818</v>
      </c>
      <c r="J27" s="79">
        <v>1915499.0070550761</v>
      </c>
      <c r="K27" s="79">
        <v>2100847.8377140644</v>
      </c>
      <c r="L27" s="79">
        <v>2258240.1331737111</v>
      </c>
      <c r="M27" s="79">
        <v>2134937.0518505513</v>
      </c>
      <c r="N27" s="276">
        <f t="shared" si="7"/>
        <v>24673879.845158599</v>
      </c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</row>
    <row r="28" spans="1:42" x14ac:dyDescent="0.2">
      <c r="A28" s="37" t="s">
        <v>6</v>
      </c>
      <c r="B28" s="280">
        <f>SUM(B25:B27)</f>
        <v>5016441</v>
      </c>
      <c r="C28" s="280">
        <f t="shared" ref="C28:N28" si="8">SUM(C25:C27)</f>
        <v>6201400</v>
      </c>
      <c r="D28" s="280">
        <f t="shared" si="8"/>
        <v>4921274</v>
      </c>
      <c r="E28" s="280">
        <f t="shared" si="8"/>
        <v>5504027</v>
      </c>
      <c r="F28" s="280">
        <f t="shared" si="8"/>
        <v>4906016</v>
      </c>
      <c r="G28" s="280">
        <f t="shared" si="8"/>
        <v>5236530</v>
      </c>
      <c r="H28" s="280">
        <f t="shared" si="8"/>
        <v>4812895</v>
      </c>
      <c r="I28" s="280">
        <f t="shared" si="8"/>
        <v>4804341</v>
      </c>
      <c r="J28" s="280">
        <f t="shared" si="8"/>
        <v>4845237</v>
      </c>
      <c r="K28" s="280">
        <f t="shared" si="8"/>
        <v>5320951</v>
      </c>
      <c r="L28" s="280">
        <f t="shared" si="8"/>
        <v>5758442</v>
      </c>
      <c r="M28" s="280">
        <f t="shared" si="8"/>
        <v>5459964</v>
      </c>
      <c r="N28" s="280">
        <f t="shared" si="8"/>
        <v>62787517.999999993</v>
      </c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</row>
    <row r="29" spans="1:42" x14ac:dyDescent="0.2"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</row>
    <row r="30" spans="1:42" x14ac:dyDescent="0.2">
      <c r="A30" s="38" t="s">
        <v>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</row>
    <row r="31" spans="1:42" x14ac:dyDescent="0.2">
      <c r="A31" s="37" t="s">
        <v>65</v>
      </c>
      <c r="B31" s="79">
        <v>139412.89831409315</v>
      </c>
      <c r="C31" s="79">
        <v>137449.91486354294</v>
      </c>
      <c r="D31" s="79">
        <v>129028.77839066423</v>
      </c>
      <c r="E31" s="79">
        <v>89829.22190692203</v>
      </c>
      <c r="F31" s="79">
        <v>76883.551248793825</v>
      </c>
      <c r="G31" s="79">
        <v>47499.370265755184</v>
      </c>
      <c r="H31" s="79">
        <v>34401.840861486402</v>
      </c>
      <c r="I31" s="79">
        <v>28067.893473440243</v>
      </c>
      <c r="J31" s="79">
        <v>31336.143354507523</v>
      </c>
      <c r="K31" s="79">
        <v>69993.244020810467</v>
      </c>
      <c r="L31" s="79">
        <v>106497.19552609549</v>
      </c>
      <c r="M31" s="79">
        <v>156019.96810989248</v>
      </c>
      <c r="N31" s="276">
        <f>SUM(B31:M31)</f>
        <v>1046420.020336004</v>
      </c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</row>
    <row r="32" spans="1:42" x14ac:dyDescent="0.2">
      <c r="A32" s="37" t="s">
        <v>88</v>
      </c>
      <c r="B32" s="79">
        <v>619605.10168590688</v>
      </c>
      <c r="C32" s="79">
        <v>610011.08513645711</v>
      </c>
      <c r="D32" s="79">
        <v>572229.22160933574</v>
      </c>
      <c r="E32" s="79">
        <v>398652.778093078</v>
      </c>
      <c r="F32" s="79">
        <v>340976.44875120622</v>
      </c>
      <c r="G32" s="79">
        <v>210465.62973424484</v>
      </c>
      <c r="H32" s="79">
        <v>152507.15913851361</v>
      </c>
      <c r="I32" s="79">
        <v>124311.10652655977</v>
      </c>
      <c r="J32" s="79">
        <v>138665.85664549249</v>
      </c>
      <c r="K32" s="79">
        <v>310244.75597918953</v>
      </c>
      <c r="L32" s="79">
        <v>472917.80447390454</v>
      </c>
      <c r="M32" s="79">
        <v>694483.03189010755</v>
      </c>
      <c r="N32" s="276">
        <f>SUM(B32:M32)</f>
        <v>4645069.979663996</v>
      </c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</row>
    <row r="33" spans="1:42" x14ac:dyDescent="0.2">
      <c r="A33" s="37" t="s">
        <v>6</v>
      </c>
      <c r="B33" s="279">
        <f>SUM(B31:B32)</f>
        <v>759018</v>
      </c>
      <c r="C33" s="279">
        <f t="shared" ref="C33:N33" si="9">SUM(C31:C32)</f>
        <v>747461</v>
      </c>
      <c r="D33" s="279">
        <f t="shared" si="9"/>
        <v>701258</v>
      </c>
      <c r="E33" s="279">
        <f t="shared" si="9"/>
        <v>488482</v>
      </c>
      <c r="F33" s="279">
        <f t="shared" si="9"/>
        <v>417860.00000000006</v>
      </c>
      <c r="G33" s="279">
        <f t="shared" si="9"/>
        <v>257965.00000000003</v>
      </c>
      <c r="H33" s="279">
        <f t="shared" si="9"/>
        <v>186909</v>
      </c>
      <c r="I33" s="279">
        <f t="shared" si="9"/>
        <v>152379</v>
      </c>
      <c r="J33" s="279">
        <f t="shared" si="9"/>
        <v>170002</v>
      </c>
      <c r="K33" s="279">
        <f t="shared" si="9"/>
        <v>380238</v>
      </c>
      <c r="L33" s="279">
        <f t="shared" si="9"/>
        <v>579415</v>
      </c>
      <c r="M33" s="279">
        <f t="shared" si="9"/>
        <v>850503</v>
      </c>
      <c r="N33" s="279">
        <f t="shared" si="9"/>
        <v>5691490</v>
      </c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</row>
    <row r="34" spans="1:42" x14ac:dyDescent="0.2"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</row>
    <row r="35" spans="1:42" x14ac:dyDescent="0.2">
      <c r="A35" s="38" t="s">
        <v>39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</row>
    <row r="36" spans="1:42" x14ac:dyDescent="0.2">
      <c r="A36" s="37" t="s">
        <v>65</v>
      </c>
      <c r="B36" s="79">
        <v>4253.2836182692963</v>
      </c>
      <c r="C36" s="79">
        <v>6019.2031530035983</v>
      </c>
      <c r="D36" s="79">
        <v>3444.5683503290456</v>
      </c>
      <c r="E36" s="79">
        <v>4426.6363520879431</v>
      </c>
      <c r="F36" s="79">
        <v>4021.0900136573478</v>
      </c>
      <c r="G36" s="79">
        <v>4523.317648206229</v>
      </c>
      <c r="H36" s="79">
        <v>4500.7322634572856</v>
      </c>
      <c r="I36" s="79">
        <v>4221.5848326567429</v>
      </c>
      <c r="J36" s="79">
        <v>4302.614853378831</v>
      </c>
      <c r="K36" s="79">
        <v>4173.3432433026401</v>
      </c>
      <c r="L36" s="79">
        <v>4856.5511319581892</v>
      </c>
      <c r="M36" s="79">
        <v>4987.4076813150086</v>
      </c>
      <c r="N36" s="276">
        <f>SUM(B36:M36)</f>
        <v>53730.333141622155</v>
      </c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</row>
    <row r="37" spans="1:42" x14ac:dyDescent="0.2">
      <c r="A37" s="37" t="s">
        <v>88</v>
      </c>
      <c r="B37" s="79">
        <v>38683.716381730701</v>
      </c>
      <c r="C37" s="79">
        <v>54744.796846996396</v>
      </c>
      <c r="D37" s="79">
        <v>31328.431649670951</v>
      </c>
      <c r="E37" s="79">
        <v>40260.363647912054</v>
      </c>
      <c r="F37" s="79">
        <v>36571.909986342653</v>
      </c>
      <c r="G37" s="79">
        <v>41139.682351793766</v>
      </c>
      <c r="H37" s="79">
        <v>40934.267736542715</v>
      </c>
      <c r="I37" s="79">
        <v>38395.415167343257</v>
      </c>
      <c r="J37" s="79">
        <v>39132.385146621164</v>
      </c>
      <c r="K37" s="79">
        <v>37956.656756697361</v>
      </c>
      <c r="L37" s="79">
        <v>44170.448868041807</v>
      </c>
      <c r="M37" s="79">
        <v>45360.59231868499</v>
      </c>
      <c r="N37" s="276">
        <f>SUM(B37:M37)</f>
        <v>488678.66685837781</v>
      </c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</row>
    <row r="38" spans="1:42" x14ac:dyDescent="0.2">
      <c r="A38" s="37" t="s">
        <v>6</v>
      </c>
      <c r="B38" s="280">
        <f>SUM(B36:B37)</f>
        <v>42937</v>
      </c>
      <c r="C38" s="280">
        <f t="shared" ref="C38:M38" si="10">SUM(C36:C37)</f>
        <v>60763.999999999993</v>
      </c>
      <c r="D38" s="280">
        <f t="shared" si="10"/>
        <v>34773</v>
      </c>
      <c r="E38" s="280">
        <f t="shared" si="10"/>
        <v>44687</v>
      </c>
      <c r="F38" s="280">
        <f t="shared" si="10"/>
        <v>40593</v>
      </c>
      <c r="G38" s="280">
        <f t="shared" si="10"/>
        <v>45662.999999999993</v>
      </c>
      <c r="H38" s="280">
        <f t="shared" si="10"/>
        <v>45435</v>
      </c>
      <c r="I38" s="280">
        <f t="shared" si="10"/>
        <v>42617</v>
      </c>
      <c r="J38" s="280">
        <f t="shared" si="10"/>
        <v>43434.999999999993</v>
      </c>
      <c r="K38" s="280">
        <f t="shared" si="10"/>
        <v>42130</v>
      </c>
      <c r="L38" s="280">
        <f t="shared" si="10"/>
        <v>49027</v>
      </c>
      <c r="M38" s="280">
        <f t="shared" si="10"/>
        <v>50348</v>
      </c>
      <c r="N38" s="280">
        <f>SUM(N36:N37)</f>
        <v>542409</v>
      </c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</row>
    <row r="39" spans="1:42" x14ac:dyDescent="0.2"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</row>
    <row r="40" spans="1:42" x14ac:dyDescent="0.2">
      <c r="A40" s="88" t="s">
        <v>94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2" x14ac:dyDescent="0.2">
      <c r="A41" s="37" t="s">
        <v>62</v>
      </c>
      <c r="B41" s="79">
        <v>75000</v>
      </c>
      <c r="C41" s="79">
        <v>120833</v>
      </c>
      <c r="D41" s="79">
        <v>125000</v>
      </c>
      <c r="E41" s="79">
        <v>150000</v>
      </c>
      <c r="F41" s="79">
        <v>100000</v>
      </c>
      <c r="G41" s="79">
        <v>137193</v>
      </c>
      <c r="H41" s="79">
        <v>-1017125.9029999999</v>
      </c>
      <c r="I41" s="79">
        <v>1292125.9029999999</v>
      </c>
      <c r="J41" s="79">
        <v>97747.714000000007</v>
      </c>
      <c r="K41" s="79">
        <v>152252.28599999999</v>
      </c>
      <c r="L41" s="79">
        <v>125000</v>
      </c>
      <c r="M41" s="79">
        <v>154167</v>
      </c>
      <c r="N41" s="276">
        <f>SUM(B41:M41)</f>
        <v>1512193</v>
      </c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</row>
    <row r="42" spans="1:42" s="68" customFormat="1" x14ac:dyDescent="0.2">
      <c r="A42" s="37" t="s">
        <v>63</v>
      </c>
      <c r="B42" s="79">
        <v>75000</v>
      </c>
      <c r="C42" s="79">
        <v>120834</v>
      </c>
      <c r="D42" s="79">
        <v>120886.97</v>
      </c>
      <c r="E42" s="79">
        <v>132928.747</v>
      </c>
      <c r="F42" s="79">
        <v>81115.681000000011</v>
      </c>
      <c r="G42" s="79">
        <v>125000</v>
      </c>
      <c r="H42" s="79">
        <v>138263.88800000001</v>
      </c>
      <c r="I42" s="79">
        <v>114769.96</v>
      </c>
      <c r="J42" s="79">
        <v>75002</v>
      </c>
      <c r="K42" s="79">
        <v>135048.86900000001</v>
      </c>
      <c r="L42" s="79">
        <v>125000</v>
      </c>
      <c r="M42" s="79">
        <v>154166</v>
      </c>
      <c r="N42" s="276">
        <f t="shared" ref="N42:N46" si="11">SUM(B42:M42)</f>
        <v>1398016.115</v>
      </c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</row>
    <row r="43" spans="1:42" x14ac:dyDescent="0.2">
      <c r="A43" s="37" t="s">
        <v>68</v>
      </c>
      <c r="B43" s="79">
        <v>154138.10149999999</v>
      </c>
      <c r="C43" s="79">
        <v>197476.399</v>
      </c>
      <c r="D43" s="79">
        <v>200000</v>
      </c>
      <c r="E43" s="79">
        <v>250000</v>
      </c>
      <c r="F43" s="79">
        <v>150000</v>
      </c>
      <c r="G43" s="79">
        <v>228529.04199999999</v>
      </c>
      <c r="H43" s="79">
        <v>214348.38500000001</v>
      </c>
      <c r="I43" s="79">
        <v>163083.65599999999</v>
      </c>
      <c r="J43" s="79">
        <v>107780.40999999999</v>
      </c>
      <c r="K43" s="79">
        <v>198857.35200000001</v>
      </c>
      <c r="L43" s="79">
        <v>205325.61499999999</v>
      </c>
      <c r="M43" s="79">
        <v>247351.13550000003</v>
      </c>
      <c r="N43" s="276">
        <f t="shared" si="11"/>
        <v>2316890.0959999999</v>
      </c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</row>
    <row r="44" spans="1:42" x14ac:dyDescent="0.2">
      <c r="A44" s="37" t="s">
        <v>69</v>
      </c>
      <c r="B44" s="79">
        <v>685530.91299999994</v>
      </c>
      <c r="C44" s="79">
        <v>336606.59600000002</v>
      </c>
      <c r="D44" s="79">
        <v>163767.62950000004</v>
      </c>
      <c r="E44" s="79">
        <v>656881.98849999998</v>
      </c>
      <c r="F44" s="79">
        <v>-9849.9674999999406</v>
      </c>
      <c r="G44" s="79">
        <v>168792.92300000001</v>
      </c>
      <c r="H44" s="79">
        <v>103073.18949999986</v>
      </c>
      <c r="I44" s="79">
        <v>3147.0750000000844</v>
      </c>
      <c r="J44" s="79">
        <v>11140.85749999994</v>
      </c>
      <c r="K44" s="79">
        <v>185283.242</v>
      </c>
      <c r="L44" s="79">
        <v>743315.86349999998</v>
      </c>
      <c r="M44" s="79">
        <v>-2433.4319999999716</v>
      </c>
      <c r="N44" s="276">
        <f t="shared" si="11"/>
        <v>3045256.878</v>
      </c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</row>
    <row r="45" spans="1:42" x14ac:dyDescent="0.2">
      <c r="A45" s="37" t="s">
        <v>70</v>
      </c>
      <c r="B45" s="79">
        <v>83968.783500000107</v>
      </c>
      <c r="C45" s="79">
        <v>1449621.1384999999</v>
      </c>
      <c r="D45" s="79">
        <v>-762310.78599999985</v>
      </c>
      <c r="E45" s="79">
        <v>353323.82349999994</v>
      </c>
      <c r="F45" s="79">
        <v>246676.17650000006</v>
      </c>
      <c r="G45" s="79">
        <v>300000</v>
      </c>
      <c r="H45" s="79">
        <v>300000</v>
      </c>
      <c r="I45" s="79">
        <v>300000</v>
      </c>
      <c r="J45" s="79">
        <v>300000</v>
      </c>
      <c r="K45" s="79">
        <v>300000</v>
      </c>
      <c r="L45" s="79">
        <v>1132564.3785000001</v>
      </c>
      <c r="M45" s="79">
        <v>-211801.31150000013</v>
      </c>
      <c r="N45" s="276">
        <f t="shared" si="11"/>
        <v>3792042.2029999997</v>
      </c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</row>
    <row r="46" spans="1:42" x14ac:dyDescent="0.2">
      <c r="A46" s="37" t="s">
        <v>89</v>
      </c>
      <c r="B46" s="79">
        <v>1925013.0963750002</v>
      </c>
      <c r="C46" s="79">
        <v>2395602.7268750002</v>
      </c>
      <c r="D46" s="79">
        <v>-77527.07513159755</v>
      </c>
      <c r="E46" s="79">
        <v>1179194.2217902783</v>
      </c>
      <c r="F46" s="79">
        <v>678757.63240902824</v>
      </c>
      <c r="G46" s="79">
        <v>752450.74679166637</v>
      </c>
      <c r="H46" s="79">
        <v>466226.03499999997</v>
      </c>
      <c r="I46" s="79">
        <v>442278.01499999966</v>
      </c>
      <c r="J46" s="79">
        <v>363689.65199999977</v>
      </c>
      <c r="K46" s="79">
        <v>361201.52079236228</v>
      </c>
      <c r="L46" s="79">
        <v>1748092.7404499995</v>
      </c>
      <c r="M46" s="79">
        <v>-479921.84199652972</v>
      </c>
      <c r="N46" s="276">
        <f t="shared" si="11"/>
        <v>9755057.4703552071</v>
      </c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</row>
    <row r="47" spans="1:42" x14ac:dyDescent="0.2">
      <c r="A47" s="37" t="s">
        <v>6</v>
      </c>
      <c r="B47" s="279">
        <f>SUM(B41:B46)</f>
        <v>2998650.8943750001</v>
      </c>
      <c r="C47" s="279">
        <f t="shared" ref="C47:N47" si="12">SUM(C41:C46)</f>
        <v>4620973.8603750002</v>
      </c>
      <c r="D47" s="279">
        <f t="shared" si="12"/>
        <v>-230183.26163159739</v>
      </c>
      <c r="E47" s="279">
        <f t="shared" si="12"/>
        <v>2722328.7807902782</v>
      </c>
      <c r="F47" s="279">
        <f t="shared" si="12"/>
        <v>1246699.5224090284</v>
      </c>
      <c r="G47" s="279">
        <f t="shared" si="12"/>
        <v>1711965.7117916665</v>
      </c>
      <c r="H47" s="279">
        <f t="shared" si="12"/>
        <v>204785.59449999995</v>
      </c>
      <c r="I47" s="279">
        <f t="shared" si="12"/>
        <v>2315404.6089999997</v>
      </c>
      <c r="J47" s="279">
        <f t="shared" si="12"/>
        <v>955360.63349999976</v>
      </c>
      <c r="K47" s="279">
        <f t="shared" si="12"/>
        <v>1332643.2697923623</v>
      </c>
      <c r="L47" s="279">
        <f t="shared" si="12"/>
        <v>4079298.5974499993</v>
      </c>
      <c r="M47" s="279">
        <f t="shared" si="12"/>
        <v>-138472.44999652979</v>
      </c>
      <c r="N47" s="279">
        <f t="shared" si="12"/>
        <v>21819455.762355208</v>
      </c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</row>
    <row r="48" spans="1:42" x14ac:dyDescent="0.2"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</row>
    <row r="49" spans="1:42" x14ac:dyDescent="0.2">
      <c r="A49" s="88" t="s">
        <v>41</v>
      </c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</row>
    <row r="50" spans="1:42" x14ac:dyDescent="0.2">
      <c r="A50" s="37" t="s">
        <v>62</v>
      </c>
      <c r="B50" s="79">
        <v>157799.79</v>
      </c>
      <c r="C50" s="79">
        <v>200000</v>
      </c>
      <c r="D50" s="79">
        <v>350000</v>
      </c>
      <c r="E50" s="79">
        <v>271825.15000000002</v>
      </c>
      <c r="F50" s="79">
        <v>274052.44</v>
      </c>
      <c r="G50" s="79">
        <v>271234.03000000003</v>
      </c>
      <c r="H50" s="79">
        <v>249846.93</v>
      </c>
      <c r="I50" s="79">
        <v>300036.01</v>
      </c>
      <c r="J50" s="79">
        <v>274865.76</v>
      </c>
      <c r="K50" s="79">
        <v>278926</v>
      </c>
      <c r="L50" s="79">
        <v>178003.35</v>
      </c>
      <c r="M50" s="79">
        <v>492200.20999999996</v>
      </c>
      <c r="N50" s="276">
        <f>SUM(B50:M50)</f>
        <v>3298789.6700000004</v>
      </c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</row>
    <row r="51" spans="1:42" x14ac:dyDescent="0.2">
      <c r="A51" s="37" t="s">
        <v>63</v>
      </c>
      <c r="B51" s="79">
        <v>152744.74</v>
      </c>
      <c r="C51" s="79">
        <v>222255.26</v>
      </c>
      <c r="D51" s="79">
        <v>327133.38</v>
      </c>
      <c r="E51" s="79">
        <v>272866.62</v>
      </c>
      <c r="F51" s="79">
        <v>275000</v>
      </c>
      <c r="G51" s="79">
        <v>275000</v>
      </c>
      <c r="H51" s="79">
        <v>250000</v>
      </c>
      <c r="I51" s="79">
        <v>293093.82</v>
      </c>
      <c r="J51" s="79">
        <v>272028.95</v>
      </c>
      <c r="K51" s="79">
        <v>284877.23</v>
      </c>
      <c r="L51" s="79">
        <v>200000</v>
      </c>
      <c r="M51" s="79">
        <v>475000</v>
      </c>
      <c r="N51" s="276">
        <f t="shared" ref="N51:N55" si="13">SUM(B51:M51)</f>
        <v>3300000</v>
      </c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</row>
    <row r="52" spans="1:42" x14ac:dyDescent="0.2">
      <c r="A52" s="37" t="s">
        <v>68</v>
      </c>
      <c r="B52" s="79">
        <v>250668.61</v>
      </c>
      <c r="C52" s="79">
        <v>499331.39</v>
      </c>
      <c r="D52" s="79">
        <v>650000</v>
      </c>
      <c r="E52" s="79">
        <v>550000</v>
      </c>
      <c r="F52" s="79">
        <v>550000</v>
      </c>
      <c r="G52" s="79">
        <v>550000</v>
      </c>
      <c r="H52" s="79">
        <v>500000</v>
      </c>
      <c r="I52" s="79">
        <v>550000</v>
      </c>
      <c r="J52" s="79">
        <v>550000</v>
      </c>
      <c r="K52" s="79">
        <v>600000</v>
      </c>
      <c r="L52" s="79">
        <v>400000</v>
      </c>
      <c r="M52" s="79">
        <v>950000</v>
      </c>
      <c r="N52" s="276">
        <f t="shared" si="13"/>
        <v>6600000</v>
      </c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</row>
    <row r="53" spans="1:42" x14ac:dyDescent="0.2">
      <c r="A53" s="37" t="s">
        <v>69</v>
      </c>
      <c r="B53" s="79">
        <v>469045.4</v>
      </c>
      <c r="C53" s="79">
        <v>1000000</v>
      </c>
      <c r="D53" s="79">
        <v>1247720.0900000001</v>
      </c>
      <c r="E53" s="79">
        <v>1066512.8500000001</v>
      </c>
      <c r="F53" s="79">
        <v>1068671.9099999999</v>
      </c>
      <c r="G53" s="79">
        <v>1034746.9199999999</v>
      </c>
      <c r="H53" s="79">
        <v>933993.21000000008</v>
      </c>
      <c r="I53" s="79">
        <v>1022859.5900000001</v>
      </c>
      <c r="J53" s="79">
        <v>977614.95999999985</v>
      </c>
      <c r="K53" s="79">
        <v>1198125.4500000002</v>
      </c>
      <c r="L53" s="79">
        <v>800000</v>
      </c>
      <c r="M53" s="79">
        <v>1844400.6400000001</v>
      </c>
      <c r="N53" s="276">
        <f t="shared" si="13"/>
        <v>12663691.02</v>
      </c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</row>
    <row r="54" spans="1:42" x14ac:dyDescent="0.2">
      <c r="A54" s="37" t="s">
        <v>70</v>
      </c>
      <c r="B54" s="79">
        <v>1198551.6500000001</v>
      </c>
      <c r="C54" s="79">
        <v>2301200.21</v>
      </c>
      <c r="D54" s="79">
        <v>2828921.25</v>
      </c>
      <c r="E54" s="79">
        <v>2440097.9300000002</v>
      </c>
      <c r="F54" s="79">
        <v>2431320.8000000003</v>
      </c>
      <c r="G54" s="79">
        <v>2406355.9900000002</v>
      </c>
      <c r="H54" s="79">
        <v>2120337.4500000002</v>
      </c>
      <c r="I54" s="79">
        <v>2412819.3200000003</v>
      </c>
      <c r="J54" s="79">
        <v>2100000</v>
      </c>
      <c r="K54" s="79">
        <v>2740735.9799999995</v>
      </c>
      <c r="L54" s="79">
        <v>2188452.0099999998</v>
      </c>
      <c r="M54" s="79">
        <v>4175809.5599999996</v>
      </c>
      <c r="N54" s="276">
        <f t="shared" si="13"/>
        <v>29344602.150000002</v>
      </c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</row>
    <row r="55" spans="1:42" x14ac:dyDescent="0.2">
      <c r="A55" s="37" t="s">
        <v>89</v>
      </c>
      <c r="B55" s="79">
        <v>7305524.0882708319</v>
      </c>
      <c r="C55" s="79">
        <v>4860843.7727500005</v>
      </c>
      <c r="D55" s="79">
        <v>5718563.7401258349</v>
      </c>
      <c r="E55" s="79">
        <v>6881617.5426187497</v>
      </c>
      <c r="F55" s="79">
        <v>6657598.3647841662</v>
      </c>
      <c r="G55" s="79">
        <v>5785372.9800449992</v>
      </c>
      <c r="H55" s="79">
        <v>5424433.6199999992</v>
      </c>
      <c r="I55" s="79">
        <v>6806238.8600000013</v>
      </c>
      <c r="J55" s="79">
        <v>6257222.4399999995</v>
      </c>
      <c r="K55" s="79">
        <v>6694428.3805979183</v>
      </c>
      <c r="L55" s="79">
        <v>5613151.6308349995</v>
      </c>
      <c r="M55" s="79">
        <v>5741334.3854520824</v>
      </c>
      <c r="N55" s="276">
        <f t="shared" si="13"/>
        <v>73746329.805479571</v>
      </c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</row>
    <row r="56" spans="1:42" x14ac:dyDescent="0.2">
      <c r="A56" s="37" t="s">
        <v>6</v>
      </c>
      <c r="B56" s="280">
        <f>SUM(B50:B55)</f>
        <v>9534334.2782708332</v>
      </c>
      <c r="C56" s="280">
        <f t="shared" ref="C56:N56" si="14">SUM(C50:C55)</f>
        <v>9083630.6327500008</v>
      </c>
      <c r="D56" s="280">
        <f t="shared" si="14"/>
        <v>11122338.460125834</v>
      </c>
      <c r="E56" s="280">
        <f t="shared" si="14"/>
        <v>11482920.09261875</v>
      </c>
      <c r="F56" s="280">
        <f t="shared" si="14"/>
        <v>11256643.514784167</v>
      </c>
      <c r="G56" s="280">
        <f t="shared" si="14"/>
        <v>10322709.920045</v>
      </c>
      <c r="H56" s="280">
        <f t="shared" si="14"/>
        <v>9478611.209999999</v>
      </c>
      <c r="I56" s="280">
        <f t="shared" si="14"/>
        <v>11385047.600000001</v>
      </c>
      <c r="J56" s="280">
        <f t="shared" si="14"/>
        <v>10431732.109999999</v>
      </c>
      <c r="K56" s="280">
        <f t="shared" si="14"/>
        <v>11797093.040597919</v>
      </c>
      <c r="L56" s="280">
        <f t="shared" si="14"/>
        <v>9379606.9908349998</v>
      </c>
      <c r="M56" s="280">
        <f t="shared" si="14"/>
        <v>13678744.795452083</v>
      </c>
      <c r="N56" s="280">
        <f t="shared" si="14"/>
        <v>128953412.64547957</v>
      </c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</row>
    <row r="58" spans="1:42" x14ac:dyDescent="0.2">
      <c r="A58" s="88" t="s">
        <v>262</v>
      </c>
      <c r="B58" s="68">
        <f>SUM(B10,B16,B22,B28,B33,B38,B47,B56)</f>
        <v>29577227.172645833</v>
      </c>
      <c r="C58" s="68">
        <f t="shared" ref="C58:N58" si="15">SUM(C10,C16,C22,C28,C33,C38,C47,C56)</f>
        <v>31902535.493125003</v>
      </c>
      <c r="D58" s="68">
        <f t="shared" si="15"/>
        <v>26820084.198494237</v>
      </c>
      <c r="E58" s="68">
        <f t="shared" si="15"/>
        <v>28976004.873409025</v>
      </c>
      <c r="F58" s="68">
        <f t="shared" si="15"/>
        <v>25170007.037193194</v>
      </c>
      <c r="G58" s="68">
        <f t="shared" si="15"/>
        <v>24015554.631836668</v>
      </c>
      <c r="H58" s="68">
        <f t="shared" si="15"/>
        <v>20193366.804499999</v>
      </c>
      <c r="I58" s="68">
        <f t="shared" si="15"/>
        <v>24386290.208999999</v>
      </c>
      <c r="J58" s="68">
        <f t="shared" si="15"/>
        <v>22523296.743500002</v>
      </c>
      <c r="K58" s="68">
        <f t="shared" si="15"/>
        <v>27172244.310390282</v>
      </c>
      <c r="L58" s="68">
        <f t="shared" si="15"/>
        <v>30534659.588284999</v>
      </c>
      <c r="M58" s="68">
        <f t="shared" si="15"/>
        <v>32035060.34545555</v>
      </c>
      <c r="N58" s="68">
        <f t="shared" si="15"/>
        <v>323306331.40783477</v>
      </c>
    </row>
    <row r="59" spans="1:42" x14ac:dyDescent="0.2">
      <c r="A59" s="88" t="s">
        <v>48</v>
      </c>
      <c r="B59" s="281">
        <v>0</v>
      </c>
      <c r="C59" s="281">
        <v>0</v>
      </c>
      <c r="D59" s="281">
        <v>0</v>
      </c>
      <c r="E59" s="281">
        <v>0</v>
      </c>
      <c r="F59" s="281">
        <v>0</v>
      </c>
      <c r="G59" s="281">
        <v>0</v>
      </c>
      <c r="H59" s="281">
        <v>0</v>
      </c>
      <c r="I59" s="281">
        <v>0</v>
      </c>
      <c r="J59" s="281">
        <v>0</v>
      </c>
      <c r="K59" s="281">
        <v>0</v>
      </c>
      <c r="L59" s="281">
        <v>0</v>
      </c>
      <c r="M59" s="281">
        <v>0</v>
      </c>
      <c r="N59" s="281">
        <v>0</v>
      </c>
    </row>
    <row r="60" spans="1:42" x14ac:dyDescent="0.2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7" spans="1:14" x14ac:dyDescent="0.2">
      <c r="A67" s="37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</row>
    <row r="74" spans="1:14" x14ac:dyDescent="0.2">
      <c r="A74" s="37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80" spans="1:14" x14ac:dyDescent="0.2">
      <c r="A80" s="37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</row>
  </sheetData>
  <printOptions horizontalCentered="1"/>
  <pageMargins left="0.5" right="0.5" top="1" bottom="1" header="0.5" footer="0.5"/>
  <pageSetup scale="63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29" max="1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="90" zoomScaleNormal="90" workbookViewId="0">
      <selection activeCell="Q36" sqref="Q36"/>
    </sheetView>
  </sheetViews>
  <sheetFormatPr defaultRowHeight="15" x14ac:dyDescent="0.25"/>
  <cols>
    <col min="1" max="1" width="40.85546875" customWidth="1"/>
    <col min="2" max="13" width="11.85546875" customWidth="1"/>
    <col min="14" max="14" width="13.5703125" customWidth="1"/>
  </cols>
  <sheetData>
    <row r="1" spans="1:14" x14ac:dyDescent="0.25">
      <c r="A1" t="s">
        <v>0</v>
      </c>
    </row>
    <row r="2" spans="1:14" x14ac:dyDescent="0.25">
      <c r="A2" t="s">
        <v>261</v>
      </c>
    </row>
    <row r="3" spans="1:14" x14ac:dyDescent="0.25">
      <c r="A3" t="s">
        <v>265</v>
      </c>
    </row>
    <row r="5" spans="1:14" x14ac:dyDescent="0.25">
      <c r="A5" s="76" t="s">
        <v>266</v>
      </c>
    </row>
    <row r="6" spans="1:14" x14ac:dyDescent="0.25">
      <c r="A6" s="288" t="s">
        <v>21</v>
      </c>
      <c r="B6" s="77">
        <v>44927</v>
      </c>
      <c r="C6" s="77">
        <f>EDATE(B6,1)</f>
        <v>44958</v>
      </c>
      <c r="D6" s="77">
        <f t="shared" ref="D6:M6" si="0">EDATE(C6,1)</f>
        <v>44986</v>
      </c>
      <c r="E6" s="77">
        <f t="shared" si="0"/>
        <v>45017</v>
      </c>
      <c r="F6" s="77">
        <f t="shared" si="0"/>
        <v>45047</v>
      </c>
      <c r="G6" s="77">
        <f t="shared" si="0"/>
        <v>45078</v>
      </c>
      <c r="H6" s="77">
        <f t="shared" si="0"/>
        <v>45108</v>
      </c>
      <c r="I6" s="77">
        <f t="shared" si="0"/>
        <v>45139</v>
      </c>
      <c r="J6" s="77">
        <f t="shared" si="0"/>
        <v>45170</v>
      </c>
      <c r="K6" s="77">
        <f t="shared" si="0"/>
        <v>45200</v>
      </c>
      <c r="L6" s="77">
        <f t="shared" si="0"/>
        <v>45231</v>
      </c>
      <c r="M6" s="77">
        <f t="shared" si="0"/>
        <v>45261</v>
      </c>
      <c r="N6" s="78" t="s">
        <v>95</v>
      </c>
    </row>
    <row r="7" spans="1:14" x14ac:dyDescent="0.25">
      <c r="A7" s="6" t="s">
        <v>96</v>
      </c>
      <c r="B7" s="210">
        <v>0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45">
        <f>SUM(B7:M7)</f>
        <v>0</v>
      </c>
    </row>
    <row r="8" spans="1:14" x14ac:dyDescent="0.25">
      <c r="A8" s="6" t="s">
        <v>97</v>
      </c>
      <c r="B8" s="210">
        <v>0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45">
        <f t="shared" ref="N8:N19" si="1">SUM(B8:M8)</f>
        <v>0</v>
      </c>
    </row>
    <row r="9" spans="1:14" x14ac:dyDescent="0.25">
      <c r="A9" s="6" t="s">
        <v>98</v>
      </c>
      <c r="B9" s="210">
        <v>0</v>
      </c>
      <c r="C9" s="210">
        <v>0</v>
      </c>
      <c r="D9" s="210">
        <v>0</v>
      </c>
      <c r="E9" s="210">
        <v>0</v>
      </c>
      <c r="F9" s="210">
        <v>0</v>
      </c>
      <c r="G9" s="210">
        <v>0</v>
      </c>
      <c r="H9" s="210">
        <v>0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45">
        <f t="shared" si="1"/>
        <v>0</v>
      </c>
    </row>
    <row r="10" spans="1:14" x14ac:dyDescent="0.25">
      <c r="A10" s="42" t="s">
        <v>99</v>
      </c>
      <c r="B10" s="210">
        <v>0</v>
      </c>
      <c r="C10" s="210">
        <v>0</v>
      </c>
      <c r="D10" s="210">
        <v>0</v>
      </c>
      <c r="E10" s="210">
        <v>0</v>
      </c>
      <c r="F10" s="210">
        <v>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45">
        <f t="shared" si="1"/>
        <v>0</v>
      </c>
    </row>
    <row r="11" spans="1:14" x14ac:dyDescent="0.25">
      <c r="A11" s="6" t="s">
        <v>102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0</v>
      </c>
      <c r="N11" s="45">
        <f>SUM(B11:M11)</f>
        <v>0</v>
      </c>
    </row>
    <row r="12" spans="1:14" x14ac:dyDescent="0.25">
      <c r="A12" s="6" t="s">
        <v>100</v>
      </c>
      <c r="B12" s="80">
        <v>390237</v>
      </c>
      <c r="C12" s="80">
        <v>390237</v>
      </c>
      <c r="D12" s="80">
        <v>390237</v>
      </c>
      <c r="E12" s="80">
        <v>390237</v>
      </c>
      <c r="F12" s="80">
        <v>390237</v>
      </c>
      <c r="G12" s="80">
        <v>390237</v>
      </c>
      <c r="H12" s="80">
        <v>390237</v>
      </c>
      <c r="I12" s="80">
        <v>390237</v>
      </c>
      <c r="J12" s="80">
        <v>390237</v>
      </c>
      <c r="K12" s="80">
        <v>390237</v>
      </c>
      <c r="L12" s="80">
        <v>390237</v>
      </c>
      <c r="M12" s="80">
        <v>390237</v>
      </c>
      <c r="N12" s="45">
        <f>SUM(B12:M12)</f>
        <v>4682844</v>
      </c>
    </row>
    <row r="13" spans="1:14" x14ac:dyDescent="0.25">
      <c r="A13" s="6" t="s">
        <v>101</v>
      </c>
      <c r="B13" s="80">
        <v>91073</v>
      </c>
      <c r="C13" s="80">
        <v>91073</v>
      </c>
      <c r="D13" s="80">
        <v>91073</v>
      </c>
      <c r="E13" s="80">
        <v>91073</v>
      </c>
      <c r="F13" s="80">
        <v>91073</v>
      </c>
      <c r="G13" s="80">
        <v>91073</v>
      </c>
      <c r="H13" s="80">
        <v>91073</v>
      </c>
      <c r="I13" s="80">
        <v>91073</v>
      </c>
      <c r="J13" s="80">
        <v>91073</v>
      </c>
      <c r="K13" s="80">
        <v>91073</v>
      </c>
      <c r="L13" s="80">
        <v>91073</v>
      </c>
      <c r="M13" s="80">
        <v>91073</v>
      </c>
      <c r="N13" s="45">
        <f>SUM(B13:M13)</f>
        <v>1092876</v>
      </c>
    </row>
    <row r="14" spans="1:14" x14ac:dyDescent="0.25">
      <c r="A14" s="6" t="s">
        <v>103</v>
      </c>
      <c r="B14" s="80">
        <v>7878</v>
      </c>
      <c r="C14" s="80">
        <v>7878</v>
      </c>
      <c r="D14" s="80">
        <v>7878</v>
      </c>
      <c r="E14" s="80">
        <v>7878</v>
      </c>
      <c r="F14" s="80">
        <v>7878</v>
      </c>
      <c r="G14" s="80">
        <v>7878</v>
      </c>
      <c r="H14" s="80">
        <v>7878</v>
      </c>
      <c r="I14" s="80">
        <v>7878</v>
      </c>
      <c r="J14" s="80">
        <v>7878</v>
      </c>
      <c r="K14" s="80">
        <v>7878</v>
      </c>
      <c r="L14" s="80">
        <v>7878</v>
      </c>
      <c r="M14" s="80">
        <v>7878</v>
      </c>
      <c r="N14" s="45">
        <f t="shared" si="1"/>
        <v>94536</v>
      </c>
    </row>
    <row r="15" spans="1:14" x14ac:dyDescent="0.25">
      <c r="A15" s="6" t="s">
        <v>104</v>
      </c>
      <c r="B15" s="80">
        <v>54236</v>
      </c>
      <c r="C15" s="80">
        <v>54236</v>
      </c>
      <c r="D15" s="80">
        <v>54236</v>
      </c>
      <c r="E15" s="80">
        <v>54236</v>
      </c>
      <c r="F15" s="80">
        <v>54236</v>
      </c>
      <c r="G15" s="80">
        <v>54236</v>
      </c>
      <c r="H15" s="80">
        <v>54236</v>
      </c>
      <c r="I15" s="80">
        <v>54236</v>
      </c>
      <c r="J15" s="80">
        <v>54236</v>
      </c>
      <c r="K15" s="80">
        <v>54236</v>
      </c>
      <c r="L15" s="80">
        <v>54236</v>
      </c>
      <c r="M15" s="80">
        <v>54236</v>
      </c>
      <c r="N15" s="45">
        <f t="shared" si="1"/>
        <v>650832</v>
      </c>
    </row>
    <row r="16" spans="1:14" x14ac:dyDescent="0.25">
      <c r="A16" s="6" t="s">
        <v>105</v>
      </c>
      <c r="B16" s="80">
        <v>3182</v>
      </c>
      <c r="C16" s="80">
        <v>3182</v>
      </c>
      <c r="D16" s="80">
        <v>3182</v>
      </c>
      <c r="E16" s="80">
        <v>3182</v>
      </c>
      <c r="F16" s="80">
        <v>3182</v>
      </c>
      <c r="G16" s="80">
        <v>3182</v>
      </c>
      <c r="H16" s="80">
        <v>3182</v>
      </c>
      <c r="I16" s="80">
        <v>3182</v>
      </c>
      <c r="J16" s="80">
        <v>3182</v>
      </c>
      <c r="K16" s="80">
        <v>3182</v>
      </c>
      <c r="L16" s="80">
        <v>3182</v>
      </c>
      <c r="M16" s="80">
        <v>3182</v>
      </c>
      <c r="N16" s="45">
        <f t="shared" si="1"/>
        <v>38184</v>
      </c>
    </row>
    <row r="17" spans="1:14" x14ac:dyDescent="0.25">
      <c r="A17" s="6" t="s">
        <v>106</v>
      </c>
      <c r="B17" s="80">
        <v>1612</v>
      </c>
      <c r="C17" s="80">
        <v>1612</v>
      </c>
      <c r="D17" s="80">
        <v>1612</v>
      </c>
      <c r="E17" s="80">
        <v>1612</v>
      </c>
      <c r="F17" s="80">
        <v>1612</v>
      </c>
      <c r="G17" s="80">
        <v>1612</v>
      </c>
      <c r="H17" s="80">
        <v>1612</v>
      </c>
      <c r="I17" s="80">
        <v>1612</v>
      </c>
      <c r="J17" s="80">
        <v>1612</v>
      </c>
      <c r="K17" s="80">
        <v>1612</v>
      </c>
      <c r="L17" s="80">
        <v>1612</v>
      </c>
      <c r="M17" s="80">
        <v>1612</v>
      </c>
      <c r="N17" s="45">
        <f t="shared" si="1"/>
        <v>19344</v>
      </c>
    </row>
    <row r="18" spans="1:14" x14ac:dyDescent="0.25">
      <c r="A18" s="6" t="s">
        <v>107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45">
        <f t="shared" si="1"/>
        <v>0</v>
      </c>
    </row>
    <row r="19" spans="1:14" x14ac:dyDescent="0.25">
      <c r="A19" s="6" t="s">
        <v>108</v>
      </c>
      <c r="B19" s="277">
        <v>23934</v>
      </c>
      <c r="C19" s="277">
        <v>23934</v>
      </c>
      <c r="D19" s="277">
        <v>23934</v>
      </c>
      <c r="E19" s="277">
        <v>23934</v>
      </c>
      <c r="F19" s="277">
        <v>23934</v>
      </c>
      <c r="G19" s="277">
        <v>23934</v>
      </c>
      <c r="H19" s="277">
        <v>23934</v>
      </c>
      <c r="I19" s="277">
        <v>23934</v>
      </c>
      <c r="J19" s="277">
        <v>23934</v>
      </c>
      <c r="K19" s="277">
        <v>23934</v>
      </c>
      <c r="L19" s="277">
        <v>23934</v>
      </c>
      <c r="M19" s="277">
        <v>23934</v>
      </c>
      <c r="N19" s="87">
        <f t="shared" si="1"/>
        <v>287208</v>
      </c>
    </row>
    <row r="20" spans="1:14" x14ac:dyDescent="0.25">
      <c r="A20" s="6" t="s">
        <v>6</v>
      </c>
      <c r="B20" s="43">
        <f t="shared" ref="B20:N20" si="2">SUM(B7:B19)</f>
        <v>572152</v>
      </c>
      <c r="C20" s="43">
        <f t="shared" si="2"/>
        <v>572152</v>
      </c>
      <c r="D20" s="43">
        <f t="shared" si="2"/>
        <v>572152</v>
      </c>
      <c r="E20" s="43">
        <f t="shared" si="2"/>
        <v>572152</v>
      </c>
      <c r="F20" s="43">
        <f t="shared" si="2"/>
        <v>572152</v>
      </c>
      <c r="G20" s="43">
        <f t="shared" si="2"/>
        <v>572152</v>
      </c>
      <c r="H20" s="43">
        <f t="shared" si="2"/>
        <v>572152</v>
      </c>
      <c r="I20" s="43">
        <f t="shared" si="2"/>
        <v>572152</v>
      </c>
      <c r="J20" s="43">
        <f t="shared" si="2"/>
        <v>572152</v>
      </c>
      <c r="K20" s="43">
        <f t="shared" si="2"/>
        <v>572152</v>
      </c>
      <c r="L20" s="43">
        <f t="shared" si="2"/>
        <v>572152</v>
      </c>
      <c r="M20" s="43">
        <f t="shared" si="2"/>
        <v>572152</v>
      </c>
      <c r="N20" s="43">
        <f t="shared" si="2"/>
        <v>6865824</v>
      </c>
    </row>
    <row r="23" spans="1:14" x14ac:dyDescent="0.25">
      <c r="A23" s="44" t="s">
        <v>267</v>
      </c>
    </row>
    <row r="24" spans="1:14" x14ac:dyDescent="0.25">
      <c r="A24" s="288" t="s">
        <v>21</v>
      </c>
      <c r="B24" s="77">
        <f t="shared" ref="B24:M24" si="3">+B6</f>
        <v>44927</v>
      </c>
      <c r="C24" s="77">
        <f t="shared" si="3"/>
        <v>44958</v>
      </c>
      <c r="D24" s="77">
        <f t="shared" si="3"/>
        <v>44986</v>
      </c>
      <c r="E24" s="77">
        <f t="shared" si="3"/>
        <v>45017</v>
      </c>
      <c r="F24" s="77">
        <f t="shared" si="3"/>
        <v>45047</v>
      </c>
      <c r="G24" s="77">
        <f t="shared" si="3"/>
        <v>45078</v>
      </c>
      <c r="H24" s="77">
        <f t="shared" si="3"/>
        <v>45108</v>
      </c>
      <c r="I24" s="77">
        <f t="shared" si="3"/>
        <v>45139</v>
      </c>
      <c r="J24" s="77">
        <f t="shared" si="3"/>
        <v>45170</v>
      </c>
      <c r="K24" s="77">
        <f t="shared" si="3"/>
        <v>45200</v>
      </c>
      <c r="L24" s="77">
        <f t="shared" si="3"/>
        <v>45231</v>
      </c>
      <c r="M24" s="77">
        <f t="shared" si="3"/>
        <v>45261</v>
      </c>
      <c r="N24" s="78" t="s">
        <v>95</v>
      </c>
    </row>
    <row r="25" spans="1:14" x14ac:dyDescent="0.25">
      <c r="A25" s="6" t="s">
        <v>96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210">
        <v>0</v>
      </c>
      <c r="M25" s="210">
        <v>0</v>
      </c>
      <c r="N25" s="43">
        <f>SUM(B25:M25)</f>
        <v>0</v>
      </c>
    </row>
    <row r="26" spans="1:14" x14ac:dyDescent="0.25">
      <c r="A26" s="6" t="s">
        <v>97</v>
      </c>
      <c r="B26" s="80">
        <v>824680</v>
      </c>
      <c r="C26" s="80">
        <v>825242</v>
      </c>
      <c r="D26" s="80">
        <v>825507</v>
      </c>
      <c r="E26" s="80">
        <v>825363</v>
      </c>
      <c r="F26" s="80">
        <v>825589</v>
      </c>
      <c r="G26" s="80">
        <v>825814</v>
      </c>
      <c r="H26" s="80">
        <v>826038</v>
      </c>
      <c r="I26" s="80">
        <v>826259</v>
      </c>
      <c r="J26" s="80">
        <v>827193</v>
      </c>
      <c r="K26" s="80">
        <v>829805</v>
      </c>
      <c r="L26" s="80">
        <v>831976</v>
      </c>
      <c r="M26" s="80">
        <v>833379</v>
      </c>
      <c r="N26" s="43">
        <f>SUM(B26:M26)</f>
        <v>9926845</v>
      </c>
    </row>
    <row r="27" spans="1:14" x14ac:dyDescent="0.25">
      <c r="A27" s="6" t="s">
        <v>98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43">
        <f t="shared" ref="N27:N37" si="4">SUM(B27:M27)</f>
        <v>0</v>
      </c>
    </row>
    <row r="28" spans="1:14" x14ac:dyDescent="0.25">
      <c r="A28" s="42" t="s">
        <v>99</v>
      </c>
      <c r="B28" s="80">
        <v>59024</v>
      </c>
      <c r="C28" s="80">
        <v>59084</v>
      </c>
      <c r="D28" s="80">
        <v>59137</v>
      </c>
      <c r="E28" s="80">
        <v>59181</v>
      </c>
      <c r="F28" s="80">
        <v>59164</v>
      </c>
      <c r="G28" s="80">
        <v>59142</v>
      </c>
      <c r="H28" s="80">
        <v>59137</v>
      </c>
      <c r="I28" s="80">
        <v>59126</v>
      </c>
      <c r="J28" s="80">
        <v>59167</v>
      </c>
      <c r="K28" s="80">
        <v>59209</v>
      </c>
      <c r="L28" s="80">
        <v>59252</v>
      </c>
      <c r="M28" s="80">
        <v>59302</v>
      </c>
      <c r="N28" s="43">
        <f t="shared" si="4"/>
        <v>709925</v>
      </c>
    </row>
    <row r="29" spans="1:14" x14ac:dyDescent="0.25">
      <c r="A29" s="6" t="s">
        <v>102</v>
      </c>
      <c r="B29" s="80">
        <v>2</v>
      </c>
      <c r="C29" s="80">
        <v>2</v>
      </c>
      <c r="D29" s="80">
        <v>2</v>
      </c>
      <c r="E29" s="80">
        <v>2</v>
      </c>
      <c r="F29" s="80">
        <v>2</v>
      </c>
      <c r="G29" s="80">
        <v>2</v>
      </c>
      <c r="H29" s="80">
        <v>2</v>
      </c>
      <c r="I29" s="80">
        <v>2</v>
      </c>
      <c r="J29" s="80">
        <v>2</v>
      </c>
      <c r="K29" s="80">
        <v>2</v>
      </c>
      <c r="L29" s="80">
        <v>2</v>
      </c>
      <c r="M29" s="80">
        <v>2</v>
      </c>
      <c r="N29" s="43">
        <f>SUM(B29:M29)</f>
        <v>24</v>
      </c>
    </row>
    <row r="30" spans="1:14" x14ac:dyDescent="0.25">
      <c r="A30" s="6" t="s">
        <v>100</v>
      </c>
      <c r="B30" s="80">
        <v>1309</v>
      </c>
      <c r="C30" s="80">
        <v>1308</v>
      </c>
      <c r="D30" s="80">
        <v>1311</v>
      </c>
      <c r="E30" s="80">
        <v>1311</v>
      </c>
      <c r="F30" s="80">
        <v>1308</v>
      </c>
      <c r="G30" s="80">
        <v>1306</v>
      </c>
      <c r="H30" s="80">
        <v>1294</v>
      </c>
      <c r="I30" s="80">
        <v>1290</v>
      </c>
      <c r="J30" s="80">
        <v>1292</v>
      </c>
      <c r="K30" s="80">
        <v>1294</v>
      </c>
      <c r="L30" s="80">
        <v>1294</v>
      </c>
      <c r="M30" s="80">
        <v>1292</v>
      </c>
      <c r="N30" s="43">
        <f>SUM(B30:M30)</f>
        <v>15609</v>
      </c>
    </row>
    <row r="31" spans="1:14" x14ac:dyDescent="0.25">
      <c r="A31" s="6" t="s">
        <v>101</v>
      </c>
      <c r="B31" s="80">
        <v>86</v>
      </c>
      <c r="C31" s="80">
        <v>86</v>
      </c>
      <c r="D31" s="80">
        <v>86</v>
      </c>
      <c r="E31" s="80">
        <v>86</v>
      </c>
      <c r="F31" s="80">
        <v>86</v>
      </c>
      <c r="G31" s="80">
        <v>86</v>
      </c>
      <c r="H31" s="80">
        <v>86</v>
      </c>
      <c r="I31" s="80">
        <v>86</v>
      </c>
      <c r="J31" s="80">
        <v>86</v>
      </c>
      <c r="K31" s="80">
        <v>86</v>
      </c>
      <c r="L31" s="80">
        <v>86</v>
      </c>
      <c r="M31" s="80">
        <v>86</v>
      </c>
      <c r="N31" s="43">
        <f>SUM(B31:M31)</f>
        <v>1032</v>
      </c>
    </row>
    <row r="32" spans="1:14" x14ac:dyDescent="0.25">
      <c r="A32" s="6" t="s">
        <v>103</v>
      </c>
      <c r="B32" s="80">
        <v>33</v>
      </c>
      <c r="C32" s="80">
        <v>33</v>
      </c>
      <c r="D32" s="80">
        <v>33</v>
      </c>
      <c r="E32" s="80">
        <v>33</v>
      </c>
      <c r="F32" s="80">
        <v>33</v>
      </c>
      <c r="G32" s="80">
        <v>33</v>
      </c>
      <c r="H32" s="80">
        <v>33</v>
      </c>
      <c r="I32" s="80">
        <v>33</v>
      </c>
      <c r="J32" s="80">
        <v>33</v>
      </c>
      <c r="K32" s="80">
        <v>33</v>
      </c>
      <c r="L32" s="80">
        <v>33</v>
      </c>
      <c r="M32" s="80">
        <v>33</v>
      </c>
      <c r="N32" s="43">
        <f t="shared" si="4"/>
        <v>396</v>
      </c>
    </row>
    <row r="33" spans="1:14" x14ac:dyDescent="0.25">
      <c r="A33" s="6" t="s">
        <v>104</v>
      </c>
      <c r="B33" s="80">
        <v>73</v>
      </c>
      <c r="C33" s="80">
        <v>73</v>
      </c>
      <c r="D33" s="80">
        <v>73</v>
      </c>
      <c r="E33" s="80">
        <v>73</v>
      </c>
      <c r="F33" s="80">
        <v>73</v>
      </c>
      <c r="G33" s="80">
        <v>73</v>
      </c>
      <c r="H33" s="80">
        <v>73</v>
      </c>
      <c r="I33" s="80">
        <v>73</v>
      </c>
      <c r="J33" s="80">
        <v>73</v>
      </c>
      <c r="K33" s="80">
        <v>73</v>
      </c>
      <c r="L33" s="80">
        <v>73</v>
      </c>
      <c r="M33" s="80">
        <v>73</v>
      </c>
      <c r="N33" s="43">
        <f t="shared" si="4"/>
        <v>876</v>
      </c>
    </row>
    <row r="34" spans="1:14" x14ac:dyDescent="0.25">
      <c r="A34" s="6" t="s">
        <v>105</v>
      </c>
      <c r="B34" s="80">
        <v>102</v>
      </c>
      <c r="C34" s="80">
        <v>102</v>
      </c>
      <c r="D34" s="80">
        <v>101</v>
      </c>
      <c r="E34" s="80">
        <v>101</v>
      </c>
      <c r="F34" s="80">
        <v>100</v>
      </c>
      <c r="G34" s="80">
        <v>100</v>
      </c>
      <c r="H34" s="80">
        <v>99</v>
      </c>
      <c r="I34" s="80">
        <v>99</v>
      </c>
      <c r="J34" s="80">
        <v>98</v>
      </c>
      <c r="K34" s="80">
        <v>98</v>
      </c>
      <c r="L34" s="80">
        <v>97</v>
      </c>
      <c r="M34" s="80">
        <v>97</v>
      </c>
      <c r="N34" s="43">
        <f t="shared" si="4"/>
        <v>1194</v>
      </c>
    </row>
    <row r="35" spans="1:14" x14ac:dyDescent="0.25">
      <c r="A35" s="6" t="s">
        <v>106</v>
      </c>
      <c r="B35" s="80">
        <v>8</v>
      </c>
      <c r="C35" s="80">
        <v>8</v>
      </c>
      <c r="D35" s="80">
        <v>8</v>
      </c>
      <c r="E35" s="80">
        <v>8</v>
      </c>
      <c r="F35" s="80">
        <v>8</v>
      </c>
      <c r="G35" s="80">
        <v>8</v>
      </c>
      <c r="H35" s="80">
        <v>8</v>
      </c>
      <c r="I35" s="80">
        <v>8</v>
      </c>
      <c r="J35" s="80">
        <v>8</v>
      </c>
      <c r="K35" s="80">
        <v>8</v>
      </c>
      <c r="L35" s="80">
        <v>8</v>
      </c>
      <c r="M35" s="80">
        <v>8</v>
      </c>
      <c r="N35" s="43">
        <f t="shared" si="4"/>
        <v>96</v>
      </c>
    </row>
    <row r="36" spans="1:14" x14ac:dyDescent="0.25">
      <c r="A36" s="6" t="s">
        <v>107</v>
      </c>
      <c r="B36" s="80">
        <v>5</v>
      </c>
      <c r="C36" s="80">
        <v>5</v>
      </c>
      <c r="D36" s="80">
        <v>5</v>
      </c>
      <c r="E36" s="80">
        <v>5</v>
      </c>
      <c r="F36" s="80">
        <v>5</v>
      </c>
      <c r="G36" s="80">
        <v>5</v>
      </c>
      <c r="H36" s="80">
        <v>5</v>
      </c>
      <c r="I36" s="80">
        <v>5</v>
      </c>
      <c r="J36" s="80">
        <v>5</v>
      </c>
      <c r="K36" s="80">
        <v>5</v>
      </c>
      <c r="L36" s="80">
        <v>5</v>
      </c>
      <c r="M36" s="80">
        <v>5</v>
      </c>
      <c r="N36" s="43">
        <f t="shared" si="4"/>
        <v>60</v>
      </c>
    </row>
    <row r="37" spans="1:14" x14ac:dyDescent="0.25">
      <c r="A37" s="6" t="s">
        <v>108</v>
      </c>
      <c r="B37" s="277">
        <v>11</v>
      </c>
      <c r="C37" s="277">
        <v>11</v>
      </c>
      <c r="D37" s="277">
        <v>11</v>
      </c>
      <c r="E37" s="277">
        <v>11</v>
      </c>
      <c r="F37" s="277">
        <v>11</v>
      </c>
      <c r="G37" s="277">
        <v>11</v>
      </c>
      <c r="H37" s="277">
        <v>11</v>
      </c>
      <c r="I37" s="277">
        <v>11</v>
      </c>
      <c r="J37" s="277">
        <v>11</v>
      </c>
      <c r="K37" s="277">
        <v>11</v>
      </c>
      <c r="L37" s="277">
        <v>11</v>
      </c>
      <c r="M37" s="277">
        <v>11</v>
      </c>
      <c r="N37" s="91">
        <f t="shared" si="4"/>
        <v>132</v>
      </c>
    </row>
    <row r="38" spans="1:14" x14ac:dyDescent="0.25">
      <c r="A38" s="6" t="s">
        <v>6</v>
      </c>
      <c r="B38" s="43">
        <f t="shared" ref="B38:N38" si="5">SUM(B25:B37)</f>
        <v>885333</v>
      </c>
      <c r="C38" s="43">
        <f t="shared" si="5"/>
        <v>885954</v>
      </c>
      <c r="D38" s="43">
        <f t="shared" si="5"/>
        <v>886274</v>
      </c>
      <c r="E38" s="43">
        <f t="shared" si="5"/>
        <v>886174</v>
      </c>
      <c r="F38" s="43">
        <f t="shared" si="5"/>
        <v>886379</v>
      </c>
      <c r="G38" s="43">
        <f t="shared" si="5"/>
        <v>886580</v>
      </c>
      <c r="H38" s="43">
        <f t="shared" si="5"/>
        <v>886786</v>
      </c>
      <c r="I38" s="43">
        <f t="shared" si="5"/>
        <v>886992</v>
      </c>
      <c r="J38" s="43">
        <f t="shared" si="5"/>
        <v>887968</v>
      </c>
      <c r="K38" s="43">
        <f t="shared" si="5"/>
        <v>890624</v>
      </c>
      <c r="L38" s="43">
        <f t="shared" si="5"/>
        <v>892837</v>
      </c>
      <c r="M38" s="43">
        <f t="shared" si="5"/>
        <v>894288</v>
      </c>
      <c r="N38" s="43">
        <f t="shared" si="5"/>
        <v>10656189</v>
      </c>
    </row>
    <row r="46" spans="1:14" x14ac:dyDescent="0.25">
      <c r="C46" s="16"/>
      <c r="D46" s="43"/>
    </row>
  </sheetData>
  <pageMargins left="0.7" right="0.7" top="0.75" bottom="0.75" header="0.3" footer="0.3"/>
  <pageSetup scale="62" orientation="landscape" r:id="rId1"/>
  <headerFooter>
    <oddFooter>&amp;L&amp;F
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0A6C047F5E9E4CB30FC5B40F879497" ma:contentTypeVersion="24" ma:contentTypeDescription="" ma:contentTypeScope="" ma:versionID="93427c6408556438459469a6d116b8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4F6667-C16D-43DD-AB4F-DE78E9C3101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6E24A810-A80B-484C-B244-BEE5F4B3DD89}"/>
</file>

<file path=customXml/itemProps3.xml><?xml version="1.0" encoding="utf-8"?>
<ds:datastoreItem xmlns:ds="http://schemas.openxmlformats.org/officeDocument/2006/customXml" ds:itemID="{761865DD-A7A4-4EE4-90B3-38DA8081593D}"/>
</file>

<file path=customXml/itemProps4.xml><?xml version="1.0" encoding="utf-8"?>
<ds:datastoreItem xmlns:ds="http://schemas.openxmlformats.org/officeDocument/2006/customXml" ds:itemID="{E7B48BCD-25B7-4D31-9427-691F94CB6EA4}"/>
</file>

<file path=customXml/itemProps5.xml><?xml version="1.0" encoding="utf-8"?>
<ds:datastoreItem xmlns:ds="http://schemas.openxmlformats.org/officeDocument/2006/customXml" ds:itemID="{7EBAE007-E459-48DF-8B1A-DC3B7511E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29</vt:i4>
      </vt:variant>
    </vt:vector>
  </HeadingPairs>
  <TitlesOfParts>
    <vt:vector size="72" baseType="lpstr">
      <vt:lpstr>Table of Contents</vt:lpstr>
      <vt:lpstr>Overall Rate Impacts--&gt;</vt:lpstr>
      <vt:lpstr>Rate Impacts_RY#1</vt:lpstr>
      <vt:lpstr>Rate Impacts_RY#2</vt:lpstr>
      <vt:lpstr>Rate Impacts_RY#3</vt:lpstr>
      <vt:lpstr>Res. Bill Impacts--&gt;</vt:lpstr>
      <vt:lpstr>Res Bill Summary</vt:lpstr>
      <vt:lpstr>Typical Res Bill Impacts--&gt;</vt:lpstr>
      <vt:lpstr>Typical Res Bill_RY#1 </vt:lpstr>
      <vt:lpstr>Typical Res Bill_RY#2</vt:lpstr>
      <vt:lpstr>Typical Res Bill_RY#3</vt:lpstr>
      <vt:lpstr>Avg Per Therm Impacts--&gt;</vt:lpstr>
      <vt:lpstr>Avg Per Therm_RY#1 </vt:lpstr>
      <vt:lpstr>Avg Per Therm_RY#2</vt:lpstr>
      <vt:lpstr>Avg Per Therm_RY#3</vt:lpstr>
      <vt:lpstr>Work Papers--&gt;</vt:lpstr>
      <vt:lpstr>Revenue Calculations--&gt;</vt:lpstr>
      <vt:lpstr>Revenue by Sch_RY#1</vt:lpstr>
      <vt:lpstr>Revenue by Sch_RY#2</vt:lpstr>
      <vt:lpstr>Revenue by Sch_RY#3</vt:lpstr>
      <vt:lpstr>Rider Revenue Calculation--&gt;</vt:lpstr>
      <vt:lpstr>Sch. 101</vt:lpstr>
      <vt:lpstr>Sch. 106</vt:lpstr>
      <vt:lpstr>Sch. 120</vt:lpstr>
      <vt:lpstr>Sch. 129</vt:lpstr>
      <vt:lpstr>Sch. 140</vt:lpstr>
      <vt:lpstr>Sch. 141D_2024</vt:lpstr>
      <vt:lpstr>Sch. 141N_2024</vt:lpstr>
      <vt:lpstr>Sch. 141N_2025</vt:lpstr>
      <vt:lpstr>Sch. 141R_2024</vt:lpstr>
      <vt:lpstr>Sch. 141R_2025</vt:lpstr>
      <vt:lpstr>Sch. 141X</vt:lpstr>
      <vt:lpstr>Sch. 141Z</vt:lpstr>
      <vt:lpstr>Sch. 142</vt:lpstr>
      <vt:lpstr>Sch. 149</vt:lpstr>
      <vt:lpstr>Data--&gt;</vt:lpstr>
      <vt:lpstr>Res Billing Data</vt:lpstr>
      <vt:lpstr>Therms_CY2023</vt:lpstr>
      <vt:lpstr>Therms_CY2024</vt:lpstr>
      <vt:lpstr>Therms_CY2025</vt:lpstr>
      <vt:lpstr>12ME Dec 2023 Therms by Block%</vt:lpstr>
      <vt:lpstr>12ME Dec 2023 Therms by Block</vt:lpstr>
      <vt:lpstr>12ME Dec 2023 Data</vt:lpstr>
      <vt:lpstr>'12ME Dec 2023 Therms by Block'!Print_Area</vt:lpstr>
      <vt:lpstr>'12ME Dec 2023 Therms by Block%'!Print_Area</vt:lpstr>
      <vt:lpstr>'Avg Per Therm_RY#1 '!Print_Area</vt:lpstr>
      <vt:lpstr>'Avg Per Therm_RY#2'!Print_Area</vt:lpstr>
      <vt:lpstr>'Avg Per Therm_RY#3'!Print_Area</vt:lpstr>
      <vt:lpstr>'Rate Impacts_RY#1'!Print_Area</vt:lpstr>
      <vt:lpstr>'Rate Impacts_RY#2'!Print_Area</vt:lpstr>
      <vt:lpstr>'Rate Impacts_RY#3'!Print_Area</vt:lpstr>
      <vt:lpstr>'Res Bill Summary'!Print_Area</vt:lpstr>
      <vt:lpstr>'Revenue by Sch_RY#1'!Print_Area</vt:lpstr>
      <vt:lpstr>'Revenue by Sch_RY#2'!Print_Area</vt:lpstr>
      <vt:lpstr>'Revenue by Sch_RY#3'!Print_Area</vt:lpstr>
      <vt:lpstr>'Sch. 101'!Print_Area</vt:lpstr>
      <vt:lpstr>'Sch. 129'!Print_Area</vt:lpstr>
      <vt:lpstr>'Sch. 140'!Print_Area</vt:lpstr>
      <vt:lpstr>'Sch. 141D_2024'!Print_Area</vt:lpstr>
      <vt:lpstr>'Sch. 141N_2024'!Print_Area</vt:lpstr>
      <vt:lpstr>'Sch. 141N_2025'!Print_Area</vt:lpstr>
      <vt:lpstr>'Sch. 141R_2024'!Print_Area</vt:lpstr>
      <vt:lpstr>'Sch. 141R_2025'!Print_Area</vt:lpstr>
      <vt:lpstr>'Sch. 141X'!Print_Area</vt:lpstr>
      <vt:lpstr>'Sch. 141Z'!Print_Area</vt:lpstr>
      <vt:lpstr>'Sch. 149'!Print_Area</vt:lpstr>
      <vt:lpstr>'Typical Res Bill_RY#1 '!Print_Area</vt:lpstr>
      <vt:lpstr>'Typical Res Bill_RY#2'!Print_Area</vt:lpstr>
      <vt:lpstr>'Typical Res Bill_RY#3'!Print_Area</vt:lpstr>
      <vt:lpstr>'12ME Dec 2023 Therms by Block'!Print_Titles</vt:lpstr>
      <vt:lpstr>'12ME Dec 2023 Therms by Block%'!Print_Titles</vt:lpstr>
      <vt:lpstr>'Sch. 142'!Print_Titles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KXu;Paul.Schmidt@pse.com</dc:creator>
  <cp:lastModifiedBy>Schmidt, Paul</cp:lastModifiedBy>
  <cp:lastPrinted>2022-12-24T07:06:49Z</cp:lastPrinted>
  <dcterms:created xsi:type="dcterms:W3CDTF">2015-03-25T23:20:22Z</dcterms:created>
  <dcterms:modified xsi:type="dcterms:W3CDTF">2023-04-27T23:34:41Z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0x0101006E56B4D1795A2E4DB2F0B01679ED314A00870A6C047F5E9E4CB30FC5B40F879497</vt:lpwstr>
  </property>
  <property fmtid="{D5CDD505-2E9C-101B-9397-08002B2CF9AE}" pid="3" name="_docset_NoMedatataSyncRequired">
    <vt:lpwstr>False</vt:lpwstr>
  </property>
</Properties>
</file>