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6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2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rinterSettings/printerSettings40.bin" ContentType="application/vnd.openxmlformats-officedocument.spreadsheetml.printerSettings"/>
  <Override PartName="/xl/printerSettings/printerSettings41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comments6.xml" ContentType="application/vnd.openxmlformats-officedocument.spreadsheetml.comments+xml"/>
  <Override PartName="/xl/printerSettings/printerSettings37.bin" ContentType="application/vnd.openxmlformats-officedocument.spreadsheetml.printerSettings"/>
  <Override PartName="/xl/comments5.xml" ContentType="application/vnd.openxmlformats-officedocument.spreadsheetml.comments+xml"/>
  <Override PartName="/xl/printerSettings/printerSettings38.bin" ContentType="application/vnd.openxmlformats-officedocument.spreadsheetml.printerSettings"/>
  <Override PartName="/xl/printerSettings/printerSettings39.bin" ContentType="application/vnd.openxmlformats-officedocument.spreadsheetml.printerSettings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8.bin" ContentType="application/vnd.openxmlformats-officedocument.spreadsheetml.printerSettings"/>
  <Override PartName="/xl/printerSettings/printerSettings17.bin" ContentType="application/vnd.openxmlformats-officedocument.spreadsheetml.printerSettings"/>
  <Override PartName="/xl/printerSettings/printerSettings16.bin" ContentType="application/vnd.openxmlformats-officedocument.spreadsheetml.printerSettings"/>
  <Override PartName="/xl/printerSettings/printerSettings19.bin" ContentType="application/vnd.openxmlformats-officedocument.spreadsheetml.printerSettings"/>
  <Override PartName="/xl/printerSettings/printerSettings23.bin" ContentType="application/vnd.openxmlformats-officedocument.spreadsheetml.printerSettings"/>
  <Override PartName="/xl/printerSettings/printerSettings22.bin" ContentType="application/vnd.openxmlformats-officedocument.spreadsheetml.printerSettings"/>
  <Override PartName="/xl/printerSettings/printerSettings21.bin" ContentType="application/vnd.openxmlformats-officedocument.spreadsheetml.printerSettings"/>
  <Override PartName="/xl/printerSettings/printerSettings20.bin" ContentType="application/vnd.openxmlformats-officedocument.spreadsheetml.printerSettings"/>
  <Override PartName="/xl/printerSettings/printerSettings15.bin" ContentType="application/vnd.openxmlformats-officedocument.spreadsheetml.printerSettings"/>
  <Override PartName="/xl/printerSettings/printerSettings14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24.bin" ContentType="application/vnd.openxmlformats-officedocument.spreadsheetml.printerSettings"/>
  <Override PartName="/xl/comments2.xml" ContentType="application/vnd.openxmlformats-officedocument.spreadsheetml.comments+xml"/>
  <Override PartName="/xl/printerSettings/printerSettings5.bin" ContentType="application/vnd.openxmlformats-officedocument.spreadsheetml.printerSettings"/>
  <Override PartName="/xl/printerSettings/printerSettings34.bin" ContentType="application/vnd.openxmlformats-officedocument.spreadsheetml.printerSettings"/>
  <Override PartName="/xl/printerSettings/printerSettings33.bin" ContentType="application/vnd.openxmlformats-officedocument.spreadsheetml.printerSettings"/>
  <Override PartName="/xl/printerSettings/printerSettings35.bin" ContentType="application/vnd.openxmlformats-officedocument.spreadsheetml.printerSettings"/>
  <Override PartName="/xl/printerSettings/printerSettings36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omments3.xml" ContentType="application/vnd.openxmlformats-officedocument.spreadsheetml.comments+xml"/>
  <Override PartName="/xl/printerSettings/printerSettings4.bin" ContentType="application/vnd.openxmlformats-officedocument.spreadsheetml.printerSettings"/>
  <Override PartName="/xl/printerSettings/printerSettings32.bin" ContentType="application/vnd.openxmlformats-officedocument.spreadsheetml.printerSettings"/>
  <Override PartName="/xl/printerSettings/printerSettings31.bin" ContentType="application/vnd.openxmlformats-officedocument.spreadsheetml.printerSettings"/>
  <Override PartName="/xl/printerSettings/printerSettings28.bin" ContentType="application/vnd.openxmlformats-officedocument.spreadsheetml.printerSettings"/>
  <Override PartName="/xl/printerSettings/printerSettings27.bin" ContentType="application/vnd.openxmlformats-officedocument.spreadsheetml.printerSettings"/>
  <Override PartName="/xl/printerSettings/printerSettings26.bin" ContentType="application/vnd.openxmlformats-officedocument.spreadsheetml.printerSettings"/>
  <Override PartName="/xl/printerSettings/printerSettings25.bin" ContentType="application/vnd.openxmlformats-officedocument.spreadsheetml.printerSettings"/>
  <Override PartName="/xl/printerSettings/printerSettings29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30.bin" ContentType="application/vnd.openxmlformats-officedocument.spreadsheetml.printerSettings"/>
  <Override PartName="/xl/printerSettings/printerSettings6.bin" ContentType="application/vnd.openxmlformats-officedocument.spreadsheetml.printerSettings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41N and 141R\Filed on 04-2023 (UE-XXXXXX)\"/>
    </mc:Choice>
  </mc:AlternateContent>
  <bookViews>
    <workbookView xWindow="696" yWindow="936" windowWidth="19956" windowHeight="8112" tabRatio="942" firstSheet="7" activeTab="13"/>
  </bookViews>
  <sheets>
    <sheet name="_com.sap.ip.bi.xl.hiddensheet" sheetId="105" state="veryHidden" r:id="rId1"/>
    <sheet name="Table of Contents" sheetId="191" r:id="rId2"/>
    <sheet name="BDJ-6 Base Revenue (Summary)" sheetId="180" r:id="rId3"/>
    <sheet name="BDJ-6 Lighting Parity Ratios" sheetId="181" r:id="rId4"/>
    <sheet name="BDJ-6 Rate Design Lighting" sheetId="182" r:id="rId5"/>
    <sheet name="BDJ-6 Unitized Lighting Costs" sheetId="183" r:id="rId6"/>
    <sheet name="BDJ-6 Classification of Costs" sheetId="128" r:id="rId7"/>
    <sheet name="BDJ-6 Combined Charges" sheetId="193" r:id="rId8"/>
    <sheet name="Tariffs --&gt;" sheetId="134" r:id="rId9"/>
    <sheet name="Base Lighting Tariff" sheetId="157" r:id="rId10"/>
    <sheet name="Base Lighting Tariff (Smart)" sheetId="164" r:id="rId11"/>
    <sheet name="Sch 141A Lighting Tariff" sheetId="192" r:id="rId12"/>
    <sheet name="Sch 141C Lighting Tariff" sheetId="158" r:id="rId13"/>
    <sheet name="Sch 141N Lighting Tariff" sheetId="140" r:id="rId14"/>
    <sheet name="Sch 141R Lighting Tariff" sheetId="141" r:id="rId15"/>
    <sheet name="Charges -&gt;" sheetId="102" r:id="rId16"/>
    <sheet name="Capital Charge" sheetId="67" r:id="rId17"/>
    <sheet name="O&amp;M Charge" sheetId="66" r:id="rId18"/>
    <sheet name="Customer Charge" sheetId="72" r:id="rId19"/>
    <sheet name="Demand Charge" sheetId="70" r:id="rId20"/>
    <sheet name="Energy Charge" sheetId="68" r:id="rId21"/>
    <sheet name="Rate Spread and Design--&gt;" sheetId="101" r:id="rId22"/>
    <sheet name="Rate Spread Lighting" sheetId="127" r:id="rId23"/>
    <sheet name="Schedule 50E" sheetId="142" r:id="rId24"/>
    <sheet name="Schedule 51E" sheetId="144" r:id="rId25"/>
    <sheet name="Schedule 52E" sheetId="145" r:id="rId26"/>
    <sheet name="Sch 51E &amp; 52E Facilities Charge" sheetId="146" r:id="rId27"/>
    <sheet name="Schedule 53E" sheetId="147" r:id="rId28"/>
    <sheet name="Schedule 54E" sheetId="148" r:id="rId29"/>
    <sheet name="Schedules 55E &amp; 56E" sheetId="151" r:id="rId30"/>
    <sheet name="Schedules 55E &amp; 58E Pole" sheetId="156" r:id="rId31"/>
    <sheet name="Schedule 57E" sheetId="153" r:id="rId32"/>
    <sheet name="Schedules 58E &amp; 59E" sheetId="155" r:id="rId33"/>
    <sheet name="Workpapers -&gt;" sheetId="109" r:id="rId34"/>
    <sheet name="WP12 Condensed Sch. Level Costs" sheetId="187" r:id="rId35"/>
    <sheet name="WP11 E373 Pole Cost Estimates" sheetId="188" r:id="rId36"/>
    <sheet name="WP10 O&amp;M Weighting Factor" sheetId="41" r:id="rId37"/>
    <sheet name="WP9 Sodium Vapor Cost Est." sheetId="110" r:id="rId38"/>
    <sheet name="WP8 Metal Halide Cost Est." sheetId="111" r:id="rId39"/>
    <sheet name="WP7 Condensed LED Cost Est." sheetId="112" r:id="rId40"/>
    <sheet name="WP6 Demand Allocation Analysis" sheetId="54" r:id="rId41"/>
    <sheet name="WP5 Facilities Charge (51 &amp; 52)" sheetId="189" r:id="rId42"/>
    <sheet name="WP4 Customer Counts" sheetId="43" r:id="rId43"/>
    <sheet name="WP3 Current Light Rates (Smart)" sheetId="160" r:id="rId44"/>
    <sheet name="WP2 Current Light Rates" sheetId="185" r:id="rId45"/>
    <sheet name="WP1 Light Inventory" sheetId="186" r:id="rId46"/>
  </sheets>
  <externalReferences>
    <externalReference r:id="rId47"/>
  </externalReferences>
  <definedNames>
    <definedName name="_xlnm._FilterDatabase" localSheetId="9" hidden="1">'Base Lighting Tariff'!$A$7:$P$194</definedName>
    <definedName name="_xlnm._FilterDatabase" localSheetId="34" hidden="1">'WP12 Condensed Sch. Level Costs'!$A$6:$AS$6</definedName>
    <definedName name="_Order1" localSheetId="22">0</definedName>
    <definedName name="_Order1">255</definedName>
    <definedName name="_Order2" localSheetId="22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 localSheetId="9">{"'Sheet1'!$A$1:$J$121"}</definedName>
    <definedName name="HTML_Control" localSheetId="10">{"'Sheet1'!$A$1:$J$121"}</definedName>
    <definedName name="HTML_Control" localSheetId="2">{"'Sheet1'!$A$1:$J$121"}</definedName>
    <definedName name="HTML_Control" localSheetId="6">{"'Sheet1'!$A$1:$J$121"}</definedName>
    <definedName name="HTML_Control" localSheetId="7">{"'Sheet1'!$A$1:$J$121"}</definedName>
    <definedName name="HTML_Control" localSheetId="3">{"'Sheet1'!$A$1:$J$121"}</definedName>
    <definedName name="HTML_Control" localSheetId="4">{"'Sheet1'!$A$1:$J$121"}</definedName>
    <definedName name="HTML_Control" localSheetId="5">{"'Sheet1'!$A$1:$J$121"}</definedName>
    <definedName name="HTML_Control" localSheetId="22">{"'Sheet1'!$A$1:$J$121"}</definedName>
    <definedName name="HTML_Control" localSheetId="11">{"'Sheet1'!$A$1:$J$121"}</definedName>
    <definedName name="HTML_Control" localSheetId="12">{"'Sheet1'!$A$1:$J$121"}</definedName>
    <definedName name="HTML_Control" localSheetId="13">{"'Sheet1'!$A$1:$J$121"}</definedName>
    <definedName name="HTML_Control" localSheetId="14">{"'Sheet1'!$A$1:$J$121"}</definedName>
    <definedName name="HTML_Control" localSheetId="26">{"'Sheet1'!$A$1:$J$121"}</definedName>
    <definedName name="HTML_Control" localSheetId="23">{"'Sheet1'!$A$1:$J$121"}</definedName>
    <definedName name="HTML_Control" localSheetId="24">{"'Sheet1'!$A$1:$J$121"}</definedName>
    <definedName name="HTML_Control" localSheetId="25">{"'Sheet1'!$A$1:$J$121"}</definedName>
    <definedName name="HTML_Control" localSheetId="27">{"'Sheet1'!$A$1:$J$121"}</definedName>
    <definedName name="HTML_Control" localSheetId="28">{"'Sheet1'!$A$1:$J$121"}</definedName>
    <definedName name="HTML_Control" localSheetId="31">{"'Sheet1'!$A$1:$J$121"}</definedName>
    <definedName name="HTML_Control" localSheetId="29">{"'Sheet1'!$A$1:$J$121"}</definedName>
    <definedName name="HTML_Control" localSheetId="30">{"'Sheet1'!$A$1:$J$121"}</definedName>
    <definedName name="HTML_Control" localSheetId="32">{"'Sheet1'!$A$1:$J$121"}</definedName>
    <definedName name="HTML_Control" localSheetId="1">{"'Sheet1'!$A$1:$J$121"}</definedName>
    <definedName name="HTML_Control" localSheetId="45">{"'Sheet1'!$A$1:$J$121"}</definedName>
    <definedName name="HTML_Control" localSheetId="35">{"'Sheet1'!$A$1:$J$121"}</definedName>
    <definedName name="HTML_Control" localSheetId="34">{"'Sheet1'!$A$1:$J$121"}</definedName>
    <definedName name="HTML_Control" localSheetId="44">{"'Sheet1'!$A$1:$J$121"}</definedName>
    <definedName name="HTML_Control" localSheetId="41">{"'Sheet1'!$A$1:$J$121"}</definedName>
    <definedName name="HTML_Control" localSheetId="39">{"'Sheet1'!$A$1:$J$121"}</definedName>
    <definedName name="HTML_Control" localSheetId="38">{"'Sheet1'!$A$1:$J$121"}</definedName>
    <definedName name="HTML_Control" localSheetId="3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_xlnm.Print_Titles" localSheetId="9">'Base Lighting Tariff'!$1:$8</definedName>
    <definedName name="_xlnm.Print_Titles" localSheetId="7">'BDJ-6 Combined Charges'!$1:$10</definedName>
    <definedName name="_xlnm.Print_Titles" localSheetId="4">'BDJ-6 Rate Design Lighting'!$1:$8</definedName>
    <definedName name="_xlnm.Print_Titles" localSheetId="5">'BDJ-6 Unitized Lighting Costs'!$1:$8</definedName>
    <definedName name="_xlnm.Print_Titles" localSheetId="11">'Sch 141A Lighting Tariff'!$1:$7</definedName>
    <definedName name="_xlnm.Print_Titles" localSheetId="12">'Sch 141C Lighting Tariff'!$1:$7</definedName>
    <definedName name="_xlnm.Print_Titles" localSheetId="13">'Sch 141N Lighting Tariff'!$1:$7</definedName>
    <definedName name="_xlnm.Print_Titles" localSheetId="14">'Sch 141R Lighting Tariff'!$1:$7</definedName>
    <definedName name="_xlnm.Print_Titles" localSheetId="45">'WP1 Light Inventory'!$1:$7</definedName>
    <definedName name="_xlnm.Print_Titles" localSheetId="34">'WP12 Condensed Sch. Level Costs'!$A:$F,'WP12 Condensed Sch. Level Costs'!$1:$6</definedName>
    <definedName name="_xlnm.Print_Titles" localSheetId="44">'WP2 Current Light Rates'!$1:$8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I39" i="127" l="1"/>
  <c r="I38" i="127"/>
  <c r="I37" i="127"/>
  <c r="I36" i="127"/>
  <c r="W39" i="127"/>
  <c r="V39" i="127"/>
  <c r="U39" i="127"/>
  <c r="S39" i="127"/>
  <c r="W37" i="127"/>
  <c r="V37" i="127"/>
  <c r="U37" i="127"/>
  <c r="S37" i="127"/>
  <c r="W36" i="127"/>
  <c r="V36" i="127"/>
  <c r="U36" i="127"/>
  <c r="S36" i="127"/>
  <c r="AA35" i="127"/>
  <c r="Z35" i="127"/>
  <c r="Y35" i="127"/>
  <c r="W35" i="127"/>
  <c r="V35" i="127"/>
  <c r="U35" i="127"/>
  <c r="S35" i="127"/>
  <c r="AA31" i="127"/>
  <c r="Z31" i="127"/>
  <c r="Y31" i="127"/>
  <c r="W31" i="127"/>
  <c r="V31" i="127"/>
  <c r="U31" i="127"/>
  <c r="T31" i="127"/>
  <c r="S31" i="127"/>
  <c r="J31" i="127"/>
  <c r="F33" i="127"/>
  <c r="E31" i="127"/>
  <c r="D31" i="127"/>
  <c r="AA27" i="127"/>
  <c r="Z27" i="127"/>
  <c r="Y27" i="127"/>
  <c r="W27" i="127"/>
  <c r="V27" i="127"/>
  <c r="U27" i="127"/>
  <c r="T27" i="127"/>
  <c r="S27" i="127"/>
  <c r="Q27" i="127"/>
  <c r="AA25" i="127"/>
  <c r="Z25" i="127"/>
  <c r="Y25" i="127"/>
  <c r="W25" i="127"/>
  <c r="V25" i="127"/>
  <c r="U25" i="127"/>
  <c r="T25" i="127"/>
  <c r="S25" i="127"/>
  <c r="AA23" i="127"/>
  <c r="Z23" i="127"/>
  <c r="Y23" i="127"/>
  <c r="W23" i="127"/>
  <c r="V23" i="127"/>
  <c r="U23" i="127"/>
  <c r="T23" i="127"/>
  <c r="S23" i="127"/>
  <c r="Q23" i="127"/>
  <c r="AA20" i="127"/>
  <c r="Z20" i="127"/>
  <c r="Y20" i="127"/>
  <c r="W20" i="127"/>
  <c r="V20" i="127"/>
  <c r="U20" i="127"/>
  <c r="T20" i="127"/>
  <c r="S20" i="127"/>
  <c r="Q20" i="127"/>
  <c r="AA19" i="127"/>
  <c r="Z19" i="127"/>
  <c r="Y19" i="127"/>
  <c r="W19" i="127"/>
  <c r="V19" i="127"/>
  <c r="U19" i="127"/>
  <c r="T19" i="127"/>
  <c r="S19" i="127"/>
  <c r="Q19" i="127"/>
  <c r="AA18" i="127"/>
  <c r="Z18" i="127"/>
  <c r="Y18" i="127"/>
  <c r="W18" i="127"/>
  <c r="V18" i="127"/>
  <c r="U18" i="127"/>
  <c r="T18" i="127"/>
  <c r="S18" i="127"/>
  <c r="Q18" i="127"/>
  <c r="H27" i="127"/>
  <c r="E27" i="127"/>
  <c r="D27" i="127"/>
  <c r="J25" i="127"/>
  <c r="E25" i="127"/>
  <c r="D25" i="127"/>
  <c r="H23" i="127"/>
  <c r="E23" i="127"/>
  <c r="D23" i="127"/>
  <c r="H20" i="127"/>
  <c r="E20" i="127"/>
  <c r="D20" i="127"/>
  <c r="H19" i="127"/>
  <c r="E19" i="127"/>
  <c r="D19" i="127"/>
  <c r="H18" i="127"/>
  <c r="E18" i="127"/>
  <c r="D18" i="127"/>
  <c r="H14" i="127"/>
  <c r="E14" i="127"/>
  <c r="D14" i="127"/>
  <c r="H13" i="127"/>
  <c r="E13" i="127"/>
  <c r="D13" i="127"/>
  <c r="H12" i="127"/>
  <c r="E12" i="127"/>
  <c r="D12" i="127"/>
  <c r="H9" i="127"/>
  <c r="E9" i="127"/>
  <c r="D9" i="127"/>
  <c r="AA14" i="127"/>
  <c r="Z14" i="127"/>
  <c r="Y14" i="127"/>
  <c r="W14" i="127"/>
  <c r="V14" i="127"/>
  <c r="U14" i="127"/>
  <c r="T14" i="127"/>
  <c r="S14" i="127"/>
  <c r="Q14" i="127"/>
  <c r="AA13" i="127"/>
  <c r="Z13" i="127"/>
  <c r="Y13" i="127"/>
  <c r="W13" i="127"/>
  <c r="V13" i="127"/>
  <c r="U13" i="127"/>
  <c r="T13" i="127"/>
  <c r="S13" i="127"/>
  <c r="Q13" i="127"/>
  <c r="AA12" i="127"/>
  <c r="Z12" i="127"/>
  <c r="Y12" i="127"/>
  <c r="W12" i="127"/>
  <c r="V12" i="127"/>
  <c r="U12" i="127"/>
  <c r="T12" i="127"/>
  <c r="S12" i="127"/>
  <c r="Q12" i="127"/>
  <c r="AA9" i="127"/>
  <c r="Z9" i="127"/>
  <c r="Y9" i="127"/>
  <c r="W9" i="127"/>
  <c r="V9" i="127"/>
  <c r="U9" i="127"/>
  <c r="T9" i="127"/>
  <c r="S9" i="127"/>
  <c r="Q9" i="127"/>
  <c r="AA6" i="127"/>
  <c r="Z6" i="127"/>
  <c r="Y6" i="127"/>
  <c r="W6" i="127"/>
  <c r="V6" i="127"/>
  <c r="U6" i="127"/>
  <c r="T6" i="127"/>
  <c r="S6" i="127"/>
  <c r="Q6" i="127"/>
  <c r="F6" i="127"/>
  <c r="W9" i="158"/>
  <c r="W8" i="158"/>
  <c r="X9" i="141"/>
  <c r="X8" i="141"/>
  <c r="X9" i="140"/>
  <c r="X8" i="140"/>
  <c r="X9" i="158"/>
  <c r="X8" i="158"/>
  <c r="X9" i="192"/>
  <c r="X8" i="192"/>
  <c r="W9" i="192"/>
  <c r="W8" i="192"/>
  <c r="N27" i="127"/>
  <c r="N20" i="182"/>
  <c r="AE8" i="140" l="1"/>
  <c r="AE9" i="140"/>
  <c r="AB8" i="180" l="1"/>
  <c r="O8" i="180"/>
  <c r="AA8" i="180" s="1"/>
  <c r="N8" i="180"/>
  <c r="Z8" i="180" s="1"/>
  <c r="R8" i="180"/>
  <c r="AD8" i="180" s="1"/>
  <c r="S8" i="180"/>
  <c r="AE8" i="180" s="1"/>
  <c r="T8" i="180"/>
  <c r="AF8" i="180" s="1"/>
  <c r="U8" i="180"/>
  <c r="AG8" i="180" s="1"/>
  <c r="V8" i="180"/>
  <c r="AH8" i="180" s="1"/>
  <c r="Q8" i="180"/>
  <c r="AC8" i="180" s="1"/>
  <c r="B11" i="193" l="1"/>
  <c r="A12" i="193"/>
  <c r="B12" i="193"/>
  <c r="D12" i="193"/>
  <c r="A13" i="193"/>
  <c r="A14" i="193" s="1"/>
  <c r="A15" i="193" s="1"/>
  <c r="A16" i="193" s="1"/>
  <c r="A17" i="193" s="1"/>
  <c r="A18" i="193" s="1"/>
  <c r="A19" i="193" s="1"/>
  <c r="A20" i="193" s="1"/>
  <c r="A21" i="193" s="1"/>
  <c r="B14" i="193"/>
  <c r="D14" i="193"/>
  <c r="B15" i="193"/>
  <c r="D15" i="193"/>
  <c r="B16" i="193"/>
  <c r="D16" i="193"/>
  <c r="B18" i="193"/>
  <c r="D18" i="193"/>
  <c r="E18" i="193"/>
  <c r="B19" i="193"/>
  <c r="D19" i="193"/>
  <c r="B20" i="193"/>
  <c r="D20" i="193"/>
  <c r="E20" i="193"/>
  <c r="B21" i="193"/>
  <c r="D21" i="193"/>
  <c r="E21" i="193"/>
  <c r="A22" i="193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36" i="193" s="1"/>
  <c r="A37" i="193" s="1"/>
  <c r="A38" i="193" s="1"/>
  <c r="A39" i="193" s="1"/>
  <c r="A40" i="193" s="1"/>
  <c r="A41" i="193" s="1"/>
  <c r="A42" i="193" s="1"/>
  <c r="A43" i="193" s="1"/>
  <c r="A44" i="193" s="1"/>
  <c r="A45" i="193" s="1"/>
  <c r="A46" i="193" s="1"/>
  <c r="A47" i="193" s="1"/>
  <c r="A48" i="193" s="1"/>
  <c r="A49" i="193" s="1"/>
  <c r="A50" i="193" s="1"/>
  <c r="A51" i="193" s="1"/>
  <c r="A52" i="193" s="1"/>
  <c r="A53" i="193" s="1"/>
  <c r="A54" i="193" s="1"/>
  <c r="A55" i="193" s="1"/>
  <c r="A56" i="193" s="1"/>
  <c r="A57" i="193" s="1"/>
  <c r="A58" i="193" s="1"/>
  <c r="A59" i="193" s="1"/>
  <c r="A60" i="193" s="1"/>
  <c r="A61" i="193" s="1"/>
  <c r="A62" i="193" s="1"/>
  <c r="A63" i="193" s="1"/>
  <c r="A64" i="193" s="1"/>
  <c r="A65" i="193" s="1"/>
  <c r="A66" i="193" s="1"/>
  <c r="A67" i="193" s="1"/>
  <c r="A68" i="193" s="1"/>
  <c r="A69" i="193" s="1"/>
  <c r="A70" i="193" s="1"/>
  <c r="A71" i="193" s="1"/>
  <c r="A72" i="193" s="1"/>
  <c r="A73" i="193" s="1"/>
  <c r="A74" i="193" s="1"/>
  <c r="A75" i="193" s="1"/>
  <c r="A76" i="193" s="1"/>
  <c r="A77" i="193" s="1"/>
  <c r="A78" i="193" s="1"/>
  <c r="A79" i="193" s="1"/>
  <c r="A80" i="193" s="1"/>
  <c r="A81" i="193" s="1"/>
  <c r="A82" i="193" s="1"/>
  <c r="A83" i="193" s="1"/>
  <c r="A84" i="193" s="1"/>
  <c r="A85" i="193" s="1"/>
  <c r="A86" i="193" s="1"/>
  <c r="A87" i="193" s="1"/>
  <c r="A88" i="193" s="1"/>
  <c r="A89" i="193" s="1"/>
  <c r="A90" i="193" s="1"/>
  <c r="A91" i="193" s="1"/>
  <c r="A92" i="193" s="1"/>
  <c r="A93" i="193" s="1"/>
  <c r="A94" i="193" s="1"/>
  <c r="A95" i="193" s="1"/>
  <c r="A96" i="193" s="1"/>
  <c r="A97" i="193" s="1"/>
  <c r="A98" i="193" s="1"/>
  <c r="A99" i="193" s="1"/>
  <c r="A100" i="193" s="1"/>
  <c r="A101" i="193" s="1"/>
  <c r="A102" i="193" s="1"/>
  <c r="A103" i="193" s="1"/>
  <c r="A104" i="193" s="1"/>
  <c r="A105" i="193" s="1"/>
  <c r="A106" i="193" s="1"/>
  <c r="A107" i="193" s="1"/>
  <c r="A108" i="193" s="1"/>
  <c r="A109" i="193" s="1"/>
  <c r="A110" i="193" s="1"/>
  <c r="A111" i="193" s="1"/>
  <c r="A112" i="193" s="1"/>
  <c r="A113" i="193" s="1"/>
  <c r="A114" i="193" s="1"/>
  <c r="A115" i="193" s="1"/>
  <c r="A116" i="193" s="1"/>
  <c r="A117" i="193" s="1"/>
  <c r="A118" i="193" s="1"/>
  <c r="A119" i="193" s="1"/>
  <c r="A120" i="193" s="1"/>
  <c r="A121" i="193" s="1"/>
  <c r="A122" i="193" s="1"/>
  <c r="A123" i="193" s="1"/>
  <c r="A124" i="193" s="1"/>
  <c r="A125" i="193" s="1"/>
  <c r="A126" i="193" s="1"/>
  <c r="A127" i="193" s="1"/>
  <c r="A128" i="193" s="1"/>
  <c r="A129" i="193" s="1"/>
  <c r="A130" i="193" s="1"/>
  <c r="A131" i="193" s="1"/>
  <c r="A132" i="193" s="1"/>
  <c r="A133" i="193" s="1"/>
  <c r="A134" i="193" s="1"/>
  <c r="A135" i="193" s="1"/>
  <c r="A136" i="193" s="1"/>
  <c r="A137" i="193" s="1"/>
  <c r="A138" i="193" s="1"/>
  <c r="A139" i="193" s="1"/>
  <c r="A140" i="193" s="1"/>
  <c r="A141" i="193" s="1"/>
  <c r="A142" i="193" s="1"/>
  <c r="A143" i="193" s="1"/>
  <c r="A144" i="193" s="1"/>
  <c r="A145" i="193" s="1"/>
  <c r="A146" i="193" s="1"/>
  <c r="A147" i="193" s="1"/>
  <c r="A148" i="193" s="1"/>
  <c r="A149" i="193" s="1"/>
  <c r="A150" i="193" s="1"/>
  <c r="A151" i="193" s="1"/>
  <c r="A152" i="193" s="1"/>
  <c r="A153" i="193" s="1"/>
  <c r="A154" i="193" s="1"/>
  <c r="A155" i="193" s="1"/>
  <c r="A156" i="193" s="1"/>
  <c r="A157" i="193" s="1"/>
  <c r="A158" i="193" s="1"/>
  <c r="A159" i="193" s="1"/>
  <c r="A160" i="193" s="1"/>
  <c r="A161" i="193" s="1"/>
  <c r="A162" i="193" s="1"/>
  <c r="A163" i="193" s="1"/>
  <c r="A164" i="193" s="1"/>
  <c r="A165" i="193" s="1"/>
  <c r="A166" i="193" s="1"/>
  <c r="A167" i="193" s="1"/>
  <c r="A168" i="193" s="1"/>
  <c r="A169" i="193" s="1"/>
  <c r="A170" i="193" s="1"/>
  <c r="A171" i="193" s="1"/>
  <c r="A172" i="193" s="1"/>
  <c r="A173" i="193" s="1"/>
  <c r="A174" i="193" s="1"/>
  <c r="A175" i="193" s="1"/>
  <c r="A176" i="193" s="1"/>
  <c r="A177" i="193" s="1"/>
  <c r="A178" i="193" s="1"/>
  <c r="A179" i="193" s="1"/>
  <c r="A180" i="193" s="1"/>
  <c r="A181" i="193" s="1"/>
  <c r="A182" i="193" s="1"/>
  <c r="A183" i="193" s="1"/>
  <c r="A184" i="193" s="1"/>
  <c r="A185" i="193" s="1"/>
  <c r="A186" i="193" s="1"/>
  <c r="A187" i="193" s="1"/>
  <c r="A188" i="193" s="1"/>
  <c r="A189" i="193" s="1"/>
  <c r="A190" i="193" s="1"/>
  <c r="A191" i="193" s="1"/>
  <c r="A192" i="193" s="1"/>
  <c r="A193" i="193" s="1"/>
  <c r="A194" i="193" s="1"/>
  <c r="A195" i="193" s="1"/>
  <c r="A196" i="193" s="1"/>
  <c r="A197" i="193" s="1"/>
  <c r="A198" i="193" s="1"/>
  <c r="A199" i="193" s="1"/>
  <c r="A200" i="193" s="1"/>
  <c r="A201" i="193" s="1"/>
  <c r="A202" i="193" s="1"/>
  <c r="A203" i="193" s="1"/>
  <c r="A204" i="193" s="1"/>
  <c r="A205" i="193" s="1"/>
  <c r="A206" i="193" s="1"/>
  <c r="A207" i="193" s="1"/>
  <c r="A208" i="193" s="1"/>
  <c r="A209" i="193" s="1"/>
  <c r="A210" i="193" s="1"/>
  <c r="A211" i="193" s="1"/>
  <c r="A212" i="193" s="1"/>
  <c r="A213" i="193" s="1"/>
  <c r="A214" i="193" s="1"/>
  <c r="A215" i="193" s="1"/>
  <c r="A216" i="193" s="1"/>
  <c r="A217" i="193" s="1"/>
  <c r="A218" i="193" s="1"/>
  <c r="A219" i="193" s="1"/>
  <c r="B23" i="193"/>
  <c r="B24" i="193"/>
  <c r="D24" i="193"/>
  <c r="E24" i="193"/>
  <c r="B25" i="193"/>
  <c r="D25" i="193"/>
  <c r="B26" i="193"/>
  <c r="D26" i="193"/>
  <c r="B27" i="193"/>
  <c r="D27" i="193"/>
  <c r="B28" i="193"/>
  <c r="D28" i="193"/>
  <c r="B29" i="193"/>
  <c r="D29" i="193"/>
  <c r="B30" i="193"/>
  <c r="D30" i="193"/>
  <c r="B31" i="193"/>
  <c r="D31" i="193"/>
  <c r="B32" i="193"/>
  <c r="D32" i="193"/>
  <c r="B33" i="193"/>
  <c r="D33" i="193"/>
  <c r="B35" i="193"/>
  <c r="D35" i="193"/>
  <c r="E35" i="193"/>
  <c r="B36" i="193"/>
  <c r="D36" i="193"/>
  <c r="B37" i="193"/>
  <c r="D37" i="193"/>
  <c r="B38" i="193"/>
  <c r="D38" i="193"/>
  <c r="B39" i="193"/>
  <c r="D39" i="193"/>
  <c r="B40" i="193"/>
  <c r="D40" i="193"/>
  <c r="B41" i="193"/>
  <c r="D41" i="193"/>
  <c r="B42" i="193"/>
  <c r="D42" i="193"/>
  <c r="B43" i="193"/>
  <c r="D43" i="193"/>
  <c r="B44" i="193"/>
  <c r="D44" i="193"/>
  <c r="B46" i="193"/>
  <c r="B47" i="193"/>
  <c r="D47" i="193"/>
  <c r="E47" i="193"/>
  <c r="B48" i="193"/>
  <c r="D48" i="193"/>
  <c r="B49" i="193"/>
  <c r="D49" i="193"/>
  <c r="B50" i="193"/>
  <c r="D50" i="193"/>
  <c r="B51" i="193"/>
  <c r="D51" i="193"/>
  <c r="B52" i="193"/>
  <c r="D52" i="193"/>
  <c r="B53" i="193"/>
  <c r="D53" i="193"/>
  <c r="B54" i="193"/>
  <c r="D54" i="193"/>
  <c r="B56" i="193"/>
  <c r="D56" i="193"/>
  <c r="B57" i="193"/>
  <c r="D57" i="193"/>
  <c r="B58" i="193"/>
  <c r="D58" i="193"/>
  <c r="B59" i="193"/>
  <c r="D59" i="193"/>
  <c r="B60" i="193"/>
  <c r="D60" i="193"/>
  <c r="B61" i="193"/>
  <c r="D61" i="193"/>
  <c r="B62" i="193"/>
  <c r="D62" i="193"/>
  <c r="B64" i="193"/>
  <c r="B65" i="193"/>
  <c r="D65" i="193"/>
  <c r="B66" i="193"/>
  <c r="D66" i="193"/>
  <c r="B67" i="193"/>
  <c r="D67" i="193"/>
  <c r="B68" i="193"/>
  <c r="D68" i="193"/>
  <c r="B69" i="193"/>
  <c r="D69" i="193"/>
  <c r="B70" i="193"/>
  <c r="D70" i="193"/>
  <c r="B71" i="193"/>
  <c r="D71" i="193"/>
  <c r="B72" i="193"/>
  <c r="D72" i="193"/>
  <c r="B73" i="193"/>
  <c r="D73" i="193"/>
  <c r="E73" i="193"/>
  <c r="B75" i="193"/>
  <c r="D75" i="193"/>
  <c r="E75" i="193"/>
  <c r="B76" i="193"/>
  <c r="D76" i="193"/>
  <c r="E76" i="193"/>
  <c r="B77" i="193"/>
  <c r="D77" i="193"/>
  <c r="E77" i="193"/>
  <c r="B78" i="193"/>
  <c r="D78" i="193"/>
  <c r="E78" i="193"/>
  <c r="B79" i="193"/>
  <c r="D79" i="193"/>
  <c r="E79" i="193"/>
  <c r="B81" i="193"/>
  <c r="D81" i="193"/>
  <c r="E81" i="193"/>
  <c r="B82" i="193"/>
  <c r="D82" i="193"/>
  <c r="B83" i="193"/>
  <c r="D83" i="193"/>
  <c r="B84" i="193"/>
  <c r="D84" i="193"/>
  <c r="B85" i="193"/>
  <c r="D85" i="193"/>
  <c r="B86" i="193"/>
  <c r="D86" i="193"/>
  <c r="B87" i="193"/>
  <c r="D87" i="193"/>
  <c r="B88" i="193"/>
  <c r="D88" i="193"/>
  <c r="B89" i="193"/>
  <c r="D89" i="193"/>
  <c r="B90" i="193"/>
  <c r="D90" i="193"/>
  <c r="B92" i="193"/>
  <c r="D92" i="193"/>
  <c r="E92" i="193"/>
  <c r="B93" i="193"/>
  <c r="D93" i="193"/>
  <c r="B94" i="193"/>
  <c r="D94" i="193"/>
  <c r="B95" i="193"/>
  <c r="D95" i="193"/>
  <c r="B96" i="193"/>
  <c r="D96" i="193"/>
  <c r="B97" i="193"/>
  <c r="D97" i="193"/>
  <c r="B98" i="193"/>
  <c r="D98" i="193"/>
  <c r="B99" i="193"/>
  <c r="D99" i="193"/>
  <c r="B100" i="193"/>
  <c r="D100" i="193"/>
  <c r="B101" i="193"/>
  <c r="D101" i="193"/>
  <c r="B103" i="193"/>
  <c r="D103" i="193"/>
  <c r="B104" i="193"/>
  <c r="D104" i="193"/>
  <c r="B105" i="193"/>
  <c r="D105" i="193"/>
  <c r="B106" i="193"/>
  <c r="D106" i="193"/>
  <c r="B107" i="193"/>
  <c r="D107" i="193"/>
  <c r="B108" i="193"/>
  <c r="D108" i="193"/>
  <c r="B109" i="193"/>
  <c r="D109" i="193"/>
  <c r="B110" i="193"/>
  <c r="D110" i="193"/>
  <c r="B111" i="193"/>
  <c r="D111" i="193"/>
  <c r="E111" i="193"/>
  <c r="B113" i="193"/>
  <c r="D113" i="193"/>
  <c r="E113" i="193"/>
  <c r="B114" i="193"/>
  <c r="D114" i="193"/>
  <c r="E114" i="193"/>
  <c r="B115" i="193"/>
  <c r="D115" i="193"/>
  <c r="E115" i="193"/>
  <c r="B116" i="193"/>
  <c r="D116" i="193"/>
  <c r="B117" i="193"/>
  <c r="D117" i="193"/>
  <c r="E117" i="193"/>
  <c r="B118" i="193"/>
  <c r="D118" i="193"/>
  <c r="E118" i="193"/>
  <c r="B120" i="193"/>
  <c r="D120" i="193"/>
  <c r="E120" i="193"/>
  <c r="B121" i="193"/>
  <c r="D121" i="193"/>
  <c r="B122" i="193"/>
  <c r="D122" i="193"/>
  <c r="B123" i="193"/>
  <c r="D123" i="193"/>
  <c r="B124" i="193"/>
  <c r="D124" i="193"/>
  <c r="B125" i="193"/>
  <c r="D125" i="193"/>
  <c r="B126" i="193"/>
  <c r="D126" i="193"/>
  <c r="B127" i="193"/>
  <c r="D127" i="193"/>
  <c r="E127" i="193"/>
  <c r="B128" i="193"/>
  <c r="D128" i="193"/>
  <c r="B129" i="193"/>
  <c r="D129" i="193"/>
  <c r="E129" i="193"/>
  <c r="B131" i="193"/>
  <c r="B132" i="193"/>
  <c r="D132" i="193"/>
  <c r="B133" i="193"/>
  <c r="D133" i="193"/>
  <c r="B134" i="193"/>
  <c r="D134" i="193"/>
  <c r="B135" i="193"/>
  <c r="D135" i="193"/>
  <c r="B136" i="193"/>
  <c r="D136" i="193"/>
  <c r="B137" i="193"/>
  <c r="D137" i="193"/>
  <c r="B138" i="193"/>
  <c r="D138" i="193"/>
  <c r="B139" i="193"/>
  <c r="D139" i="193"/>
  <c r="B140" i="193"/>
  <c r="D140" i="193"/>
  <c r="B142" i="193"/>
  <c r="D142" i="193"/>
  <c r="E142" i="193"/>
  <c r="B143" i="193"/>
  <c r="D143" i="193"/>
  <c r="B144" i="193"/>
  <c r="D144" i="193"/>
  <c r="B145" i="193"/>
  <c r="D145" i="193"/>
  <c r="B146" i="193"/>
  <c r="D146" i="193"/>
  <c r="B147" i="193"/>
  <c r="D147" i="193"/>
  <c r="B148" i="193"/>
  <c r="D148" i="193"/>
  <c r="B149" i="193"/>
  <c r="D149" i="193"/>
  <c r="B150" i="193"/>
  <c r="D150" i="193"/>
  <c r="B151" i="193"/>
  <c r="D151" i="193"/>
  <c r="E151" i="193"/>
  <c r="B153" i="193"/>
  <c r="B154" i="193"/>
  <c r="D154" i="193"/>
  <c r="B155" i="193"/>
  <c r="D155" i="193"/>
  <c r="B156" i="193"/>
  <c r="D156" i="193"/>
  <c r="B157" i="193"/>
  <c r="D157" i="193"/>
  <c r="B158" i="193"/>
  <c r="D158" i="193"/>
  <c r="B159" i="193"/>
  <c r="D159" i="193"/>
  <c r="B161" i="193"/>
  <c r="D161" i="193"/>
  <c r="B163" i="193"/>
  <c r="D163" i="193"/>
  <c r="E163" i="193"/>
  <c r="B164" i="193"/>
  <c r="D164" i="193"/>
  <c r="B165" i="193"/>
  <c r="D165" i="193"/>
  <c r="B166" i="193"/>
  <c r="D166" i="193"/>
  <c r="B167" i="193"/>
  <c r="D167" i="193"/>
  <c r="E167" i="193"/>
  <c r="B168" i="193"/>
  <c r="D168" i="193"/>
  <c r="E168" i="193"/>
  <c r="B169" i="193"/>
  <c r="D169" i="193"/>
  <c r="E169" i="193"/>
  <c r="B170" i="193"/>
  <c r="D170" i="193"/>
  <c r="E170" i="193"/>
  <c r="B171" i="193"/>
  <c r="D171" i="193"/>
  <c r="E171" i="193"/>
  <c r="B172" i="193"/>
  <c r="D172" i="193"/>
  <c r="E172" i="193"/>
  <c r="B174" i="193"/>
  <c r="B175" i="193"/>
  <c r="D175" i="193"/>
  <c r="B176" i="193"/>
  <c r="D176" i="193"/>
  <c r="B177" i="193"/>
  <c r="D177" i="193"/>
  <c r="B178" i="193"/>
  <c r="D178" i="193"/>
  <c r="B179" i="193"/>
  <c r="D179" i="193"/>
  <c r="B180" i="193"/>
  <c r="D180" i="193"/>
  <c r="B182" i="193"/>
  <c r="D182" i="193"/>
  <c r="B183" i="193"/>
  <c r="D183" i="193"/>
  <c r="B184" i="193"/>
  <c r="D184" i="193"/>
  <c r="B185" i="193"/>
  <c r="D185" i="193"/>
  <c r="B186" i="193"/>
  <c r="D186" i="193"/>
  <c r="B188" i="193"/>
  <c r="D188" i="193"/>
  <c r="B189" i="193"/>
  <c r="D189" i="193"/>
  <c r="B190" i="193"/>
  <c r="D190" i="193"/>
  <c r="B191" i="193"/>
  <c r="D191" i="193"/>
  <c r="B193" i="193"/>
  <c r="D193" i="193"/>
  <c r="B194" i="193"/>
  <c r="D194" i="193"/>
  <c r="B196" i="193"/>
  <c r="D196" i="193"/>
  <c r="E196" i="193"/>
  <c r="B197" i="193"/>
  <c r="D197" i="193"/>
  <c r="B198" i="193"/>
  <c r="D198" i="193"/>
  <c r="B199" i="193"/>
  <c r="D199" i="193"/>
  <c r="B200" i="193"/>
  <c r="D200" i="193"/>
  <c r="B201" i="193"/>
  <c r="D201" i="193"/>
  <c r="B202" i="193"/>
  <c r="D202" i="193"/>
  <c r="E202" i="193"/>
  <c r="B203" i="193"/>
  <c r="D203" i="193"/>
  <c r="B204" i="193"/>
  <c r="D204" i="193"/>
  <c r="B205" i="193"/>
  <c r="D205" i="193"/>
  <c r="E205" i="193"/>
  <c r="B206" i="193"/>
  <c r="D206" i="193"/>
  <c r="E206" i="193"/>
  <c r="B207" i="193"/>
  <c r="D207" i="193"/>
  <c r="E207" i="193"/>
  <c r="B208" i="193"/>
  <c r="D208" i="193"/>
  <c r="E208" i="193"/>
  <c r="B209" i="193"/>
  <c r="D209" i="193"/>
  <c r="E209" i="193"/>
  <c r="B210" i="193"/>
  <c r="D210" i="193"/>
  <c r="E210" i="193"/>
  <c r="B211" i="193"/>
  <c r="D211" i="193"/>
  <c r="E211" i="193"/>
  <c r="B213" i="193"/>
  <c r="B214" i="193"/>
  <c r="D214" i="193"/>
  <c r="B216" i="193"/>
  <c r="D216" i="193"/>
  <c r="E216" i="193"/>
  <c r="B217" i="193"/>
  <c r="D217" i="193"/>
  <c r="E217" i="193"/>
  <c r="B219" i="193"/>
  <c r="D219" i="193"/>
  <c r="E219" i="193"/>
  <c r="D212" i="192"/>
  <c r="B212" i="192"/>
  <c r="G209" i="192"/>
  <c r="F209" i="192"/>
  <c r="E209" i="192"/>
  <c r="D209" i="192"/>
  <c r="B209" i="192"/>
  <c r="G208" i="192"/>
  <c r="F208" i="192"/>
  <c r="E208" i="192"/>
  <c r="D208" i="192"/>
  <c r="B208" i="192"/>
  <c r="G207" i="192"/>
  <c r="F207" i="192"/>
  <c r="E207" i="192"/>
  <c r="D207" i="192"/>
  <c r="B207" i="192"/>
  <c r="G206" i="192"/>
  <c r="F206" i="192"/>
  <c r="E206" i="192"/>
  <c r="D206" i="192"/>
  <c r="B206" i="192"/>
  <c r="G205" i="192"/>
  <c r="F205" i="192"/>
  <c r="E205" i="192"/>
  <c r="D205" i="192"/>
  <c r="B205" i="192"/>
  <c r="G204" i="192"/>
  <c r="F204" i="192"/>
  <c r="E204" i="192"/>
  <c r="D204" i="192"/>
  <c r="B204" i="192"/>
  <c r="G203" i="192"/>
  <c r="F203" i="192"/>
  <c r="E203" i="192"/>
  <c r="D203" i="192"/>
  <c r="B203" i="192"/>
  <c r="G202" i="192"/>
  <c r="D202" i="192"/>
  <c r="B202" i="192"/>
  <c r="G201" i="192"/>
  <c r="D201" i="192"/>
  <c r="B201" i="192"/>
  <c r="G200" i="192"/>
  <c r="F200" i="192"/>
  <c r="E200" i="192"/>
  <c r="D200" i="192"/>
  <c r="B200" i="192"/>
  <c r="G199" i="192"/>
  <c r="D199" i="192"/>
  <c r="B199" i="192"/>
  <c r="G198" i="192"/>
  <c r="D198" i="192"/>
  <c r="B198" i="192"/>
  <c r="G197" i="192"/>
  <c r="D197" i="192"/>
  <c r="B197" i="192"/>
  <c r="G196" i="192"/>
  <c r="D196" i="192"/>
  <c r="B196" i="192"/>
  <c r="G195" i="192"/>
  <c r="D195" i="192"/>
  <c r="B195" i="192"/>
  <c r="G194" i="192"/>
  <c r="F194" i="192"/>
  <c r="E194" i="192"/>
  <c r="D194" i="192"/>
  <c r="B194" i="192"/>
  <c r="G192" i="192"/>
  <c r="D192" i="192"/>
  <c r="C192" i="192"/>
  <c r="B192" i="192"/>
  <c r="G191" i="192"/>
  <c r="D191" i="192"/>
  <c r="C191" i="192"/>
  <c r="B191" i="192"/>
  <c r="G189" i="192"/>
  <c r="D189" i="192"/>
  <c r="C189" i="192"/>
  <c r="B189" i="192"/>
  <c r="G188" i="192"/>
  <c r="D188" i="192"/>
  <c r="C188" i="192"/>
  <c r="B188" i="192"/>
  <c r="G187" i="192"/>
  <c r="D187" i="192"/>
  <c r="C187" i="192"/>
  <c r="B187" i="192"/>
  <c r="G186" i="192"/>
  <c r="D186" i="192"/>
  <c r="C186" i="192"/>
  <c r="B186" i="192"/>
  <c r="G184" i="192"/>
  <c r="D184" i="192"/>
  <c r="C184" i="192"/>
  <c r="B184" i="192"/>
  <c r="G183" i="192"/>
  <c r="D183" i="192"/>
  <c r="C183" i="192"/>
  <c r="B183" i="192"/>
  <c r="G182" i="192"/>
  <c r="D182" i="192"/>
  <c r="C182" i="192"/>
  <c r="B182" i="192"/>
  <c r="G181" i="192"/>
  <c r="D181" i="192"/>
  <c r="C181" i="192"/>
  <c r="B181" i="192"/>
  <c r="G180" i="192"/>
  <c r="D180" i="192"/>
  <c r="C180" i="192"/>
  <c r="B180" i="192"/>
  <c r="G178" i="192"/>
  <c r="D178" i="192"/>
  <c r="C178" i="192"/>
  <c r="B178" i="192"/>
  <c r="G177" i="192"/>
  <c r="D177" i="192"/>
  <c r="C177" i="192"/>
  <c r="B177" i="192"/>
  <c r="G176" i="192"/>
  <c r="D176" i="192"/>
  <c r="C176" i="192"/>
  <c r="B176" i="192"/>
  <c r="G175" i="192"/>
  <c r="D175" i="192"/>
  <c r="C175" i="192"/>
  <c r="B175" i="192"/>
  <c r="G174" i="192"/>
  <c r="D174" i="192"/>
  <c r="C174" i="192"/>
  <c r="B174" i="192"/>
  <c r="G173" i="192"/>
  <c r="D173" i="192"/>
  <c r="C173" i="192"/>
  <c r="B173" i="192"/>
  <c r="G170" i="192"/>
  <c r="F170" i="192"/>
  <c r="E170" i="192"/>
  <c r="D170" i="192"/>
  <c r="B170" i="192"/>
  <c r="G169" i="192"/>
  <c r="F169" i="192"/>
  <c r="E169" i="192"/>
  <c r="D169" i="192"/>
  <c r="B169" i="192"/>
  <c r="G168" i="192"/>
  <c r="F168" i="192"/>
  <c r="E168" i="192"/>
  <c r="D168" i="192"/>
  <c r="B168" i="192"/>
  <c r="G167" i="192"/>
  <c r="F167" i="192"/>
  <c r="E167" i="192"/>
  <c r="D167" i="192"/>
  <c r="B167" i="192"/>
  <c r="G166" i="192"/>
  <c r="F166" i="192"/>
  <c r="E166" i="192"/>
  <c r="D166" i="192"/>
  <c r="B166" i="192"/>
  <c r="G165" i="192"/>
  <c r="F165" i="192"/>
  <c r="E165" i="192"/>
  <c r="D165" i="192"/>
  <c r="B165" i="192"/>
  <c r="G164" i="192"/>
  <c r="D164" i="192"/>
  <c r="B164" i="192"/>
  <c r="G163" i="192"/>
  <c r="D163" i="192"/>
  <c r="B163" i="192"/>
  <c r="G162" i="192"/>
  <c r="D162" i="192"/>
  <c r="B162" i="192"/>
  <c r="G161" i="192"/>
  <c r="F161" i="192"/>
  <c r="E161" i="192"/>
  <c r="D161" i="192"/>
  <c r="B161" i="192"/>
  <c r="G159" i="192"/>
  <c r="D159" i="192"/>
  <c r="B159" i="192"/>
  <c r="G157" i="192"/>
  <c r="D157" i="192"/>
  <c r="B157" i="192"/>
  <c r="G156" i="192"/>
  <c r="D156" i="192"/>
  <c r="B156" i="192"/>
  <c r="G155" i="192"/>
  <c r="D155" i="192"/>
  <c r="B155" i="192"/>
  <c r="G154" i="192"/>
  <c r="D154" i="192"/>
  <c r="B154" i="192"/>
  <c r="G153" i="192"/>
  <c r="D153" i="192"/>
  <c r="B153" i="192"/>
  <c r="G152" i="192"/>
  <c r="D152" i="192"/>
  <c r="B152" i="192"/>
  <c r="G149" i="192"/>
  <c r="E149" i="192"/>
  <c r="D149" i="192"/>
  <c r="B149" i="192"/>
  <c r="G148" i="192"/>
  <c r="D148" i="192"/>
  <c r="B148" i="192"/>
  <c r="G147" i="192"/>
  <c r="D147" i="192"/>
  <c r="B147" i="192"/>
  <c r="G146" i="192"/>
  <c r="D146" i="192"/>
  <c r="B146" i="192"/>
  <c r="G145" i="192"/>
  <c r="D145" i="192"/>
  <c r="B145" i="192"/>
  <c r="G144" i="192"/>
  <c r="D144" i="192"/>
  <c r="B144" i="192"/>
  <c r="G143" i="192"/>
  <c r="D143" i="192"/>
  <c r="B143" i="192"/>
  <c r="G142" i="192"/>
  <c r="D142" i="192"/>
  <c r="B142" i="192"/>
  <c r="G141" i="192"/>
  <c r="D141" i="192"/>
  <c r="B141" i="192"/>
  <c r="G140" i="192"/>
  <c r="E140" i="192"/>
  <c r="D140" i="192"/>
  <c r="B140" i="192"/>
  <c r="G138" i="192"/>
  <c r="D138" i="192"/>
  <c r="B138" i="192"/>
  <c r="G137" i="192"/>
  <c r="D137" i="192"/>
  <c r="B137" i="192"/>
  <c r="G136" i="192"/>
  <c r="D136" i="192"/>
  <c r="B136" i="192"/>
  <c r="G135" i="192"/>
  <c r="D135" i="192"/>
  <c r="B135" i="192"/>
  <c r="G134" i="192"/>
  <c r="D134" i="192"/>
  <c r="B134" i="192"/>
  <c r="G133" i="192"/>
  <c r="D133" i="192"/>
  <c r="B133" i="192"/>
  <c r="G132" i="192"/>
  <c r="D132" i="192"/>
  <c r="B132" i="192"/>
  <c r="G131" i="192"/>
  <c r="D131" i="192"/>
  <c r="B131" i="192"/>
  <c r="G130" i="192"/>
  <c r="D130" i="192"/>
  <c r="B130" i="192"/>
  <c r="G127" i="192"/>
  <c r="E127" i="192"/>
  <c r="D127" i="192"/>
  <c r="C127" i="192"/>
  <c r="B127" i="192"/>
  <c r="G126" i="192"/>
  <c r="D126" i="192"/>
  <c r="C126" i="192"/>
  <c r="B126" i="192"/>
  <c r="G125" i="192"/>
  <c r="E125" i="192"/>
  <c r="D125" i="192"/>
  <c r="C125" i="192"/>
  <c r="B125" i="192"/>
  <c r="G124" i="192"/>
  <c r="D124" i="192"/>
  <c r="C124" i="192"/>
  <c r="B124" i="192"/>
  <c r="G123" i="192"/>
  <c r="D123" i="192"/>
  <c r="C123" i="192"/>
  <c r="B123" i="192"/>
  <c r="G122" i="192"/>
  <c r="D122" i="192"/>
  <c r="C122" i="192"/>
  <c r="B122" i="192"/>
  <c r="G121" i="192"/>
  <c r="D121" i="192"/>
  <c r="C121" i="192"/>
  <c r="B121" i="192"/>
  <c r="G120" i="192"/>
  <c r="D120" i="192"/>
  <c r="C120" i="192"/>
  <c r="B120" i="192"/>
  <c r="G119" i="192"/>
  <c r="D119" i="192"/>
  <c r="C119" i="192"/>
  <c r="B119" i="192"/>
  <c r="G118" i="192"/>
  <c r="E118" i="192"/>
  <c r="D118" i="192"/>
  <c r="C118" i="192"/>
  <c r="B118" i="192"/>
  <c r="G116" i="192"/>
  <c r="F116" i="192"/>
  <c r="E116" i="192"/>
  <c r="D116" i="192"/>
  <c r="C116" i="192"/>
  <c r="B116" i="192"/>
  <c r="G115" i="192"/>
  <c r="F115" i="192"/>
  <c r="E115" i="192"/>
  <c r="D115" i="192"/>
  <c r="C115" i="192"/>
  <c r="B115" i="192"/>
  <c r="G114" i="192"/>
  <c r="D114" i="192"/>
  <c r="C114" i="192"/>
  <c r="B114" i="192"/>
  <c r="G113" i="192"/>
  <c r="F113" i="192"/>
  <c r="E113" i="192"/>
  <c r="D113" i="192"/>
  <c r="C113" i="192"/>
  <c r="B113" i="192"/>
  <c r="G112" i="192"/>
  <c r="F112" i="192"/>
  <c r="E112" i="192"/>
  <c r="D112" i="192"/>
  <c r="C112" i="192"/>
  <c r="B112" i="192"/>
  <c r="G111" i="192"/>
  <c r="F111" i="192"/>
  <c r="E111" i="192"/>
  <c r="D111" i="192"/>
  <c r="C111" i="192"/>
  <c r="B111" i="192"/>
  <c r="G109" i="192"/>
  <c r="E109" i="192"/>
  <c r="D109" i="192"/>
  <c r="C109" i="192"/>
  <c r="B109" i="192"/>
  <c r="G108" i="192"/>
  <c r="D108" i="192"/>
  <c r="C108" i="192"/>
  <c r="B108" i="192"/>
  <c r="G107" i="192"/>
  <c r="D107" i="192"/>
  <c r="C107" i="192"/>
  <c r="B107" i="192"/>
  <c r="G106" i="192"/>
  <c r="D106" i="192"/>
  <c r="C106" i="192"/>
  <c r="B106" i="192"/>
  <c r="G105" i="192"/>
  <c r="D105" i="192"/>
  <c r="C105" i="192"/>
  <c r="B105" i="192"/>
  <c r="G104" i="192"/>
  <c r="D104" i="192"/>
  <c r="C104" i="192"/>
  <c r="B104" i="192"/>
  <c r="G103" i="192"/>
  <c r="D103" i="192"/>
  <c r="C103" i="192"/>
  <c r="B103" i="192"/>
  <c r="G102" i="192"/>
  <c r="D102" i="192"/>
  <c r="C102" i="192"/>
  <c r="B102" i="192"/>
  <c r="G101" i="192"/>
  <c r="D101" i="192"/>
  <c r="C101" i="192"/>
  <c r="B101" i="192"/>
  <c r="G99" i="192"/>
  <c r="F99" i="192"/>
  <c r="D99" i="192"/>
  <c r="C99" i="192"/>
  <c r="B99" i="192"/>
  <c r="G98" i="192"/>
  <c r="F98" i="192"/>
  <c r="D98" i="192"/>
  <c r="C98" i="192"/>
  <c r="B98" i="192"/>
  <c r="G97" i="192"/>
  <c r="F97" i="192"/>
  <c r="D97" i="192"/>
  <c r="C97" i="192"/>
  <c r="B97" i="192"/>
  <c r="G96" i="192"/>
  <c r="F96" i="192"/>
  <c r="D96" i="192"/>
  <c r="C96" i="192"/>
  <c r="B96" i="192"/>
  <c r="G95" i="192"/>
  <c r="F95" i="192"/>
  <c r="D95" i="192"/>
  <c r="C95" i="192"/>
  <c r="B95" i="192"/>
  <c r="G94" i="192"/>
  <c r="F94" i="192"/>
  <c r="D94" i="192"/>
  <c r="C94" i="192"/>
  <c r="B94" i="192"/>
  <c r="G93" i="192"/>
  <c r="F93" i="192"/>
  <c r="D93" i="192"/>
  <c r="C93" i="192"/>
  <c r="B93" i="192"/>
  <c r="G92" i="192"/>
  <c r="F92" i="192"/>
  <c r="D92" i="192"/>
  <c r="C92" i="192"/>
  <c r="B92" i="192"/>
  <c r="G91" i="192"/>
  <c r="F91" i="192"/>
  <c r="D91" i="192"/>
  <c r="C91" i="192"/>
  <c r="B91" i="192"/>
  <c r="G90" i="192"/>
  <c r="F90" i="192"/>
  <c r="E90" i="192"/>
  <c r="D90" i="192"/>
  <c r="C90" i="192"/>
  <c r="B90" i="192"/>
  <c r="G88" i="192"/>
  <c r="D88" i="192"/>
  <c r="C88" i="192"/>
  <c r="B88" i="192"/>
  <c r="G87" i="192"/>
  <c r="D87" i="192"/>
  <c r="C87" i="192"/>
  <c r="B87" i="192"/>
  <c r="G86" i="192"/>
  <c r="D86" i="192"/>
  <c r="C86" i="192"/>
  <c r="B86" i="192"/>
  <c r="G85" i="192"/>
  <c r="D85" i="192"/>
  <c r="C85" i="192"/>
  <c r="B85" i="192"/>
  <c r="G84" i="192"/>
  <c r="D84" i="192"/>
  <c r="C84" i="192"/>
  <c r="B84" i="192"/>
  <c r="G83" i="192"/>
  <c r="D83" i="192"/>
  <c r="C83" i="192"/>
  <c r="B83" i="192"/>
  <c r="G82" i="192"/>
  <c r="D82" i="192"/>
  <c r="C82" i="192"/>
  <c r="B82" i="192"/>
  <c r="G81" i="192"/>
  <c r="D81" i="192"/>
  <c r="C81" i="192"/>
  <c r="B81" i="192"/>
  <c r="G80" i="192"/>
  <c r="D80" i="192"/>
  <c r="C80" i="192"/>
  <c r="B80" i="192"/>
  <c r="G79" i="192"/>
  <c r="E79" i="192"/>
  <c r="D79" i="192"/>
  <c r="C79" i="192"/>
  <c r="B79" i="192"/>
  <c r="G77" i="192"/>
  <c r="F77" i="192"/>
  <c r="E77" i="192"/>
  <c r="D77" i="192"/>
  <c r="C77" i="192"/>
  <c r="B77" i="192"/>
  <c r="G76" i="192"/>
  <c r="F76" i="192"/>
  <c r="E76" i="192"/>
  <c r="D76" i="192"/>
  <c r="C76" i="192"/>
  <c r="B76" i="192"/>
  <c r="G75" i="192"/>
  <c r="F75" i="192"/>
  <c r="E75" i="192"/>
  <c r="D75" i="192"/>
  <c r="C75" i="192"/>
  <c r="B75" i="192"/>
  <c r="G74" i="192"/>
  <c r="F74" i="192"/>
  <c r="E74" i="192"/>
  <c r="D74" i="192"/>
  <c r="C74" i="192"/>
  <c r="B74" i="192"/>
  <c r="G73" i="192"/>
  <c r="F73" i="192"/>
  <c r="E73" i="192"/>
  <c r="D73" i="192"/>
  <c r="C73" i="192"/>
  <c r="B73" i="192"/>
  <c r="G71" i="192"/>
  <c r="E71" i="192"/>
  <c r="D71" i="192"/>
  <c r="C71" i="192"/>
  <c r="B71" i="192"/>
  <c r="G70" i="192"/>
  <c r="D70" i="192"/>
  <c r="C70" i="192"/>
  <c r="B70" i="192"/>
  <c r="G69" i="192"/>
  <c r="D69" i="192"/>
  <c r="C69" i="192"/>
  <c r="B69" i="192"/>
  <c r="G68" i="192"/>
  <c r="D68" i="192"/>
  <c r="C68" i="192"/>
  <c r="B68" i="192"/>
  <c r="G67" i="192"/>
  <c r="D67" i="192"/>
  <c r="C67" i="192"/>
  <c r="B67" i="192"/>
  <c r="G66" i="192"/>
  <c r="D66" i="192"/>
  <c r="C66" i="192"/>
  <c r="B66" i="192"/>
  <c r="G65" i="192"/>
  <c r="D65" i="192"/>
  <c r="C65" i="192"/>
  <c r="B65" i="192"/>
  <c r="G64" i="192"/>
  <c r="D64" i="192"/>
  <c r="C64" i="192"/>
  <c r="B64" i="192"/>
  <c r="G63" i="192"/>
  <c r="D63" i="192"/>
  <c r="C63" i="192"/>
  <c r="B63" i="192"/>
  <c r="G60" i="192"/>
  <c r="D60" i="192"/>
  <c r="B60" i="192"/>
  <c r="G59" i="192"/>
  <c r="D59" i="192"/>
  <c r="B59" i="192"/>
  <c r="G58" i="192"/>
  <c r="D58" i="192"/>
  <c r="B58" i="192"/>
  <c r="G57" i="192"/>
  <c r="D57" i="192"/>
  <c r="B57" i="192"/>
  <c r="G56" i="192"/>
  <c r="D56" i="192"/>
  <c r="B56" i="192"/>
  <c r="G55" i="192"/>
  <c r="D55" i="192"/>
  <c r="B55" i="192"/>
  <c r="G54" i="192"/>
  <c r="D54" i="192"/>
  <c r="B54" i="192"/>
  <c r="G52" i="192"/>
  <c r="D52" i="192"/>
  <c r="B52" i="192"/>
  <c r="G51" i="192"/>
  <c r="D51" i="192"/>
  <c r="B51" i="192"/>
  <c r="G50" i="192"/>
  <c r="D50" i="192"/>
  <c r="B50" i="192"/>
  <c r="G49" i="192"/>
  <c r="D49" i="192"/>
  <c r="B49" i="192"/>
  <c r="G48" i="192"/>
  <c r="D48" i="192"/>
  <c r="B48" i="192"/>
  <c r="G47" i="192"/>
  <c r="D47" i="192"/>
  <c r="B47" i="192"/>
  <c r="G46" i="192"/>
  <c r="D46" i="192"/>
  <c r="B46" i="192"/>
  <c r="G45" i="192"/>
  <c r="E45" i="192"/>
  <c r="D45" i="192"/>
  <c r="B45" i="192"/>
  <c r="G42" i="192"/>
  <c r="F42" i="192"/>
  <c r="D42" i="192"/>
  <c r="C42" i="192"/>
  <c r="B42" i="192"/>
  <c r="G41" i="192"/>
  <c r="F41" i="192"/>
  <c r="D41" i="192"/>
  <c r="C41" i="192"/>
  <c r="B41" i="192"/>
  <c r="G40" i="192"/>
  <c r="F40" i="192"/>
  <c r="D40" i="192"/>
  <c r="C40" i="192"/>
  <c r="B40" i="192"/>
  <c r="G39" i="192"/>
  <c r="F39" i="192"/>
  <c r="D39" i="192"/>
  <c r="C39" i="192"/>
  <c r="B39" i="192"/>
  <c r="G38" i="192"/>
  <c r="F38" i="192"/>
  <c r="D38" i="192"/>
  <c r="C38" i="192"/>
  <c r="B38" i="192"/>
  <c r="G37" i="192"/>
  <c r="F37" i="192"/>
  <c r="D37" i="192"/>
  <c r="C37" i="192"/>
  <c r="B37" i="192"/>
  <c r="G36" i="192"/>
  <c r="F36" i="192"/>
  <c r="D36" i="192"/>
  <c r="C36" i="192"/>
  <c r="B36" i="192"/>
  <c r="G35" i="192"/>
  <c r="F35" i="192"/>
  <c r="D35" i="192"/>
  <c r="C35" i="192"/>
  <c r="B35" i="192"/>
  <c r="G34" i="192"/>
  <c r="F34" i="192"/>
  <c r="D34" i="192"/>
  <c r="C34" i="192"/>
  <c r="B34" i="192"/>
  <c r="G33" i="192"/>
  <c r="F33" i="192"/>
  <c r="E33" i="192"/>
  <c r="D33" i="192"/>
  <c r="C33" i="192"/>
  <c r="B33" i="192"/>
  <c r="G31" i="192"/>
  <c r="D31" i="192"/>
  <c r="B31" i="192"/>
  <c r="G30" i="192"/>
  <c r="D30" i="192"/>
  <c r="B30" i="192"/>
  <c r="G29" i="192"/>
  <c r="D29" i="192"/>
  <c r="B29" i="192"/>
  <c r="G28" i="192"/>
  <c r="D28" i="192"/>
  <c r="B28" i="192"/>
  <c r="G27" i="192"/>
  <c r="D27" i="192"/>
  <c r="B27" i="192"/>
  <c r="G26" i="192"/>
  <c r="D26" i="192"/>
  <c r="B26" i="192"/>
  <c r="G25" i="192"/>
  <c r="D25" i="192"/>
  <c r="B25" i="192"/>
  <c r="G24" i="192"/>
  <c r="D24" i="192"/>
  <c r="B24" i="192"/>
  <c r="G23" i="192"/>
  <c r="D23" i="192"/>
  <c r="B23" i="192"/>
  <c r="G22" i="192"/>
  <c r="E22" i="192"/>
  <c r="D22" i="192"/>
  <c r="B22" i="192"/>
  <c r="G19" i="192"/>
  <c r="F19" i="192"/>
  <c r="E19" i="192"/>
  <c r="D19" i="192"/>
  <c r="C19" i="192"/>
  <c r="B19" i="192"/>
  <c r="G18" i="192"/>
  <c r="F18" i="192"/>
  <c r="E18" i="192"/>
  <c r="D18" i="192"/>
  <c r="C18" i="192"/>
  <c r="B18" i="192"/>
  <c r="G17" i="192"/>
  <c r="D17" i="192"/>
  <c r="C17" i="192"/>
  <c r="B17" i="192"/>
  <c r="G16" i="192"/>
  <c r="F16" i="192"/>
  <c r="E16" i="192"/>
  <c r="D16" i="192"/>
  <c r="C16" i="192"/>
  <c r="B16" i="192"/>
  <c r="G14" i="192"/>
  <c r="D14" i="192"/>
  <c r="B14" i="192"/>
  <c r="G13" i="192"/>
  <c r="D13" i="192"/>
  <c r="B13" i="192"/>
  <c r="G12" i="192"/>
  <c r="D12" i="192"/>
  <c r="B12" i="192"/>
  <c r="G10" i="192"/>
  <c r="D10" i="192"/>
  <c r="B10" i="192"/>
  <c r="A9" i="192"/>
  <c r="A10" i="192" s="1"/>
  <c r="A11" i="192" s="1"/>
  <c r="A12" i="192" s="1"/>
  <c r="A13" i="192" s="1"/>
  <c r="A14" i="192" s="1"/>
  <c r="A15" i="192" s="1"/>
  <c r="A16" i="192" s="1"/>
  <c r="A17" i="192" s="1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A57" i="192" s="1"/>
  <c r="A58" i="192" s="1"/>
  <c r="A59" i="192" s="1"/>
  <c r="A60" i="192" s="1"/>
  <c r="A61" i="192" s="1"/>
  <c r="A62" i="192" s="1"/>
  <c r="A63" i="192" s="1"/>
  <c r="A64" i="192" s="1"/>
  <c r="A65" i="192" s="1"/>
  <c r="A66" i="192" s="1"/>
  <c r="A67" i="192" s="1"/>
  <c r="A68" i="192" s="1"/>
  <c r="A69" i="192" s="1"/>
  <c r="A70" i="192" s="1"/>
  <c r="A71" i="192" s="1"/>
  <c r="A72" i="192" s="1"/>
  <c r="A73" i="192" s="1"/>
  <c r="A74" i="192" s="1"/>
  <c r="A75" i="192" s="1"/>
  <c r="A76" i="192" s="1"/>
  <c r="A77" i="192" s="1"/>
  <c r="A78" i="192" s="1"/>
  <c r="A79" i="192" s="1"/>
  <c r="A80" i="192" s="1"/>
  <c r="A81" i="192" s="1"/>
  <c r="A82" i="192" s="1"/>
  <c r="A83" i="192" s="1"/>
  <c r="A84" i="192" s="1"/>
  <c r="A85" i="192" s="1"/>
  <c r="A86" i="192" s="1"/>
  <c r="A87" i="192" s="1"/>
  <c r="A88" i="192" s="1"/>
  <c r="A89" i="192" s="1"/>
  <c r="A90" i="192" s="1"/>
  <c r="A91" i="192" s="1"/>
  <c r="A92" i="192" s="1"/>
  <c r="A93" i="192" s="1"/>
  <c r="A94" i="192" s="1"/>
  <c r="A95" i="192" s="1"/>
  <c r="A96" i="192" s="1"/>
  <c r="A97" i="192" s="1"/>
  <c r="A98" i="192" s="1"/>
  <c r="A99" i="192" s="1"/>
  <c r="A100" i="192" s="1"/>
  <c r="A101" i="192" s="1"/>
  <c r="A102" i="192" s="1"/>
  <c r="A103" i="192" s="1"/>
  <c r="A104" i="192" s="1"/>
  <c r="A105" i="192" s="1"/>
  <c r="A106" i="192" s="1"/>
  <c r="A107" i="192" s="1"/>
  <c r="A108" i="192" s="1"/>
  <c r="A109" i="192" s="1"/>
  <c r="A110" i="192" s="1"/>
  <c r="A111" i="192" s="1"/>
  <c r="A112" i="192" s="1"/>
  <c r="A113" i="192" s="1"/>
  <c r="A114" i="192" s="1"/>
  <c r="A115" i="192" s="1"/>
  <c r="A116" i="192" s="1"/>
  <c r="A117" i="192" s="1"/>
  <c r="A118" i="192" s="1"/>
  <c r="A119" i="192" s="1"/>
  <c r="A120" i="192" s="1"/>
  <c r="A121" i="192" s="1"/>
  <c r="A122" i="192" s="1"/>
  <c r="A123" i="192" s="1"/>
  <c r="A124" i="192" s="1"/>
  <c r="A125" i="192" s="1"/>
  <c r="A126" i="192" s="1"/>
  <c r="A127" i="192" s="1"/>
  <c r="A128" i="192" s="1"/>
  <c r="A129" i="192" s="1"/>
  <c r="A130" i="192" s="1"/>
  <c r="A131" i="192" s="1"/>
  <c r="A132" i="192" s="1"/>
  <c r="A133" i="192" s="1"/>
  <c r="A134" i="192" s="1"/>
  <c r="A135" i="192" s="1"/>
  <c r="A136" i="192" s="1"/>
  <c r="A137" i="192" s="1"/>
  <c r="A138" i="192" s="1"/>
  <c r="A139" i="192" s="1"/>
  <c r="A140" i="192" s="1"/>
  <c r="A141" i="192" s="1"/>
  <c r="A142" i="192" s="1"/>
  <c r="A143" i="192" s="1"/>
  <c r="A144" i="192" s="1"/>
  <c r="A145" i="192" s="1"/>
  <c r="A146" i="192" s="1"/>
  <c r="A147" i="192" s="1"/>
  <c r="A148" i="192" s="1"/>
  <c r="A149" i="192" s="1"/>
  <c r="A150" i="192" s="1"/>
  <c r="A151" i="192" s="1"/>
  <c r="A152" i="192" s="1"/>
  <c r="A153" i="192" s="1"/>
  <c r="A154" i="192" s="1"/>
  <c r="A155" i="192" s="1"/>
  <c r="A156" i="192" s="1"/>
  <c r="A157" i="192" s="1"/>
  <c r="A158" i="192" s="1"/>
  <c r="A159" i="192" s="1"/>
  <c r="A160" i="192" s="1"/>
  <c r="A161" i="192" s="1"/>
  <c r="A162" i="192" s="1"/>
  <c r="A163" i="192" s="1"/>
  <c r="A164" i="192" s="1"/>
  <c r="A165" i="192" s="1"/>
  <c r="A166" i="192" s="1"/>
  <c r="A167" i="192" s="1"/>
  <c r="A168" i="192" s="1"/>
  <c r="A169" i="192" s="1"/>
  <c r="A170" i="192" s="1"/>
  <c r="A171" i="192" s="1"/>
  <c r="A172" i="192" s="1"/>
  <c r="A173" i="192" s="1"/>
  <c r="A174" i="192" s="1"/>
  <c r="A175" i="192" s="1"/>
  <c r="A176" i="192" s="1"/>
  <c r="A177" i="192" s="1"/>
  <c r="A178" i="192" s="1"/>
  <c r="A179" i="192" s="1"/>
  <c r="A180" i="192" s="1"/>
  <c r="A181" i="192" s="1"/>
  <c r="A182" i="192" s="1"/>
  <c r="A183" i="192" s="1"/>
  <c r="A184" i="192" s="1"/>
  <c r="A185" i="192" s="1"/>
  <c r="A186" i="192" s="1"/>
  <c r="A187" i="192" s="1"/>
  <c r="A188" i="192" s="1"/>
  <c r="A189" i="192" s="1"/>
  <c r="A190" i="192" s="1"/>
  <c r="A191" i="192" s="1"/>
  <c r="A192" i="192" s="1"/>
  <c r="A193" i="192" s="1"/>
  <c r="A194" i="192" s="1"/>
  <c r="A195" i="192" s="1"/>
  <c r="A196" i="192" s="1"/>
  <c r="A197" i="192" s="1"/>
  <c r="A198" i="192" s="1"/>
  <c r="A199" i="192" s="1"/>
  <c r="A200" i="192" s="1"/>
  <c r="A201" i="192" s="1"/>
  <c r="A202" i="192" s="1"/>
  <c r="A203" i="192" s="1"/>
  <c r="A204" i="192" s="1"/>
  <c r="A205" i="192" s="1"/>
  <c r="A206" i="192" s="1"/>
  <c r="A207" i="192" s="1"/>
  <c r="A208" i="192" s="1"/>
  <c r="A209" i="192" s="1"/>
  <c r="A210" i="192" s="1"/>
  <c r="A211" i="192" s="1"/>
  <c r="A212" i="192" s="1"/>
  <c r="A4" i="192"/>
  <c r="A3" i="192"/>
  <c r="A1" i="192"/>
  <c r="G221" i="192" l="1"/>
  <c r="F212" i="192"/>
  <c r="G212" i="192" l="1"/>
  <c r="A1" i="191" l="1"/>
  <c r="A3" i="191"/>
  <c r="A4" i="191"/>
  <c r="E202" i="192" l="1"/>
  <c r="E201" i="192"/>
  <c r="E199" i="192"/>
  <c r="E198" i="192"/>
  <c r="E197" i="192"/>
  <c r="E196" i="192"/>
  <c r="E195" i="192"/>
  <c r="E192" i="192"/>
  <c r="E191" i="192"/>
  <c r="E189" i="192"/>
  <c r="E188" i="192"/>
  <c r="E187" i="192"/>
  <c r="E186" i="192"/>
  <c r="E184" i="192"/>
  <c r="E183" i="192"/>
  <c r="E182" i="192"/>
  <c r="E181" i="192"/>
  <c r="E180" i="192"/>
  <c r="E178" i="192"/>
  <c r="E177" i="192"/>
  <c r="E176" i="192"/>
  <c r="E175" i="192"/>
  <c r="E174" i="192"/>
  <c r="E173" i="192"/>
  <c r="E164" i="192"/>
  <c r="E163" i="192"/>
  <c r="E162" i="192"/>
  <c r="E159" i="192"/>
  <c r="E157" i="192"/>
  <c r="E156" i="192"/>
  <c r="E155" i="192"/>
  <c r="E154" i="192"/>
  <c r="E153" i="192"/>
  <c r="E152" i="192"/>
  <c r="E148" i="192"/>
  <c r="E147" i="192"/>
  <c r="E146" i="192"/>
  <c r="E145" i="192"/>
  <c r="E144" i="192"/>
  <c r="E143" i="192"/>
  <c r="E142" i="192"/>
  <c r="E141" i="192"/>
  <c r="E138" i="192"/>
  <c r="E137" i="192"/>
  <c r="E136" i="192"/>
  <c r="E135" i="192"/>
  <c r="E134" i="192"/>
  <c r="E133" i="192"/>
  <c r="E132" i="192"/>
  <c r="E131" i="192"/>
  <c r="E130" i="192"/>
  <c r="E126" i="192"/>
  <c r="E124" i="192"/>
  <c r="E123" i="192"/>
  <c r="E122" i="192"/>
  <c r="E121" i="192"/>
  <c r="E120" i="192"/>
  <c r="E119" i="192"/>
  <c r="E114" i="192"/>
  <c r="E108" i="192"/>
  <c r="E107" i="192"/>
  <c r="E106" i="192"/>
  <c r="E105" i="192"/>
  <c r="E104" i="192"/>
  <c r="E103" i="192"/>
  <c r="E102" i="192"/>
  <c r="E101" i="192"/>
  <c r="E88" i="192"/>
  <c r="E87" i="192"/>
  <c r="E86" i="192"/>
  <c r="E85" i="192"/>
  <c r="E84" i="192"/>
  <c r="E83" i="192"/>
  <c r="E82" i="192"/>
  <c r="E81" i="192"/>
  <c r="E80" i="192"/>
  <c r="E70" i="192"/>
  <c r="E69" i="192"/>
  <c r="E68" i="192"/>
  <c r="E67" i="192"/>
  <c r="E66" i="192"/>
  <c r="E65" i="192"/>
  <c r="E64" i="192"/>
  <c r="E63" i="192"/>
  <c r="E60" i="192"/>
  <c r="E59" i="192"/>
  <c r="E58" i="192"/>
  <c r="E57" i="192"/>
  <c r="E56" i="192"/>
  <c r="E55" i="192"/>
  <c r="E54" i="192"/>
  <c r="E52" i="192"/>
  <c r="E51" i="192"/>
  <c r="E50" i="192"/>
  <c r="E49" i="192"/>
  <c r="E48" i="192"/>
  <c r="E47" i="192"/>
  <c r="E46" i="192"/>
  <c r="E31" i="192"/>
  <c r="E30" i="192"/>
  <c r="E29" i="192"/>
  <c r="E28" i="192"/>
  <c r="E27" i="192"/>
  <c r="E26" i="192"/>
  <c r="E25" i="192"/>
  <c r="E24" i="192"/>
  <c r="E23" i="192"/>
  <c r="E17" i="192"/>
  <c r="E14" i="192"/>
  <c r="E13" i="192"/>
  <c r="E12" i="192"/>
  <c r="E10" i="192"/>
  <c r="D214" i="141" l="1"/>
  <c r="B214" i="141"/>
  <c r="F211" i="141"/>
  <c r="E211" i="141"/>
  <c r="D211" i="141"/>
  <c r="B211" i="141"/>
  <c r="F210" i="141"/>
  <c r="E210" i="141"/>
  <c r="D210" i="141"/>
  <c r="B210" i="141"/>
  <c r="F209" i="141"/>
  <c r="E209" i="141"/>
  <c r="D209" i="141"/>
  <c r="B209" i="141"/>
  <c r="F208" i="141"/>
  <c r="E208" i="141"/>
  <c r="D208" i="141"/>
  <c r="B208" i="141"/>
  <c r="F207" i="141"/>
  <c r="E207" i="141"/>
  <c r="D207" i="141"/>
  <c r="B207" i="141"/>
  <c r="F206" i="141"/>
  <c r="E206" i="141"/>
  <c r="D206" i="141"/>
  <c r="B206" i="141"/>
  <c r="F205" i="141"/>
  <c r="E205" i="141"/>
  <c r="D205" i="141"/>
  <c r="B205" i="141"/>
  <c r="D204" i="141"/>
  <c r="B204" i="141"/>
  <c r="D203" i="141"/>
  <c r="B203" i="141"/>
  <c r="F202" i="141"/>
  <c r="E202" i="141"/>
  <c r="D202" i="141"/>
  <c r="B202" i="141"/>
  <c r="D201" i="141"/>
  <c r="B201" i="141"/>
  <c r="D200" i="141"/>
  <c r="B200" i="141"/>
  <c r="D199" i="141"/>
  <c r="B199" i="141"/>
  <c r="D198" i="141"/>
  <c r="B198" i="141"/>
  <c r="D197" i="141"/>
  <c r="B197" i="141"/>
  <c r="F196" i="141"/>
  <c r="E196" i="141"/>
  <c r="D196" i="141"/>
  <c r="B196" i="141"/>
  <c r="D194" i="141"/>
  <c r="C194" i="141"/>
  <c r="B194" i="141"/>
  <c r="D193" i="141"/>
  <c r="C193" i="141"/>
  <c r="B193" i="141"/>
  <c r="D191" i="141"/>
  <c r="C191" i="141"/>
  <c r="B191" i="141"/>
  <c r="D190" i="141"/>
  <c r="C190" i="141"/>
  <c r="B190" i="141"/>
  <c r="D189" i="141"/>
  <c r="C189" i="141"/>
  <c r="B189" i="141"/>
  <c r="D188" i="141"/>
  <c r="C188" i="141"/>
  <c r="B188" i="141"/>
  <c r="D186" i="141"/>
  <c r="C186" i="141"/>
  <c r="B186" i="141"/>
  <c r="D185" i="141"/>
  <c r="C185" i="141"/>
  <c r="B185" i="141"/>
  <c r="D184" i="141"/>
  <c r="C184" i="141"/>
  <c r="B184" i="141"/>
  <c r="D183" i="141"/>
  <c r="C183" i="141"/>
  <c r="B183" i="141"/>
  <c r="D182" i="141"/>
  <c r="C182" i="141"/>
  <c r="B182" i="141"/>
  <c r="D180" i="141"/>
  <c r="C180" i="141"/>
  <c r="B180" i="141"/>
  <c r="D179" i="141"/>
  <c r="C179" i="141"/>
  <c r="B179" i="141"/>
  <c r="D178" i="141"/>
  <c r="C178" i="141"/>
  <c r="B178" i="141"/>
  <c r="D177" i="141"/>
  <c r="C177" i="141"/>
  <c r="B177" i="141"/>
  <c r="D176" i="141"/>
  <c r="C176" i="141"/>
  <c r="B176" i="141"/>
  <c r="D175" i="141"/>
  <c r="C175" i="141"/>
  <c r="B175" i="141"/>
  <c r="F172" i="141"/>
  <c r="E172" i="141"/>
  <c r="D172" i="141"/>
  <c r="B172" i="141"/>
  <c r="F171" i="141"/>
  <c r="E171" i="141"/>
  <c r="D171" i="141"/>
  <c r="B171" i="141"/>
  <c r="F170" i="141"/>
  <c r="E170" i="141"/>
  <c r="D170" i="141"/>
  <c r="B170" i="141"/>
  <c r="F169" i="141"/>
  <c r="E169" i="141"/>
  <c r="D169" i="141"/>
  <c r="B169" i="141"/>
  <c r="F168" i="141"/>
  <c r="E168" i="141"/>
  <c r="D168" i="141"/>
  <c r="B168" i="141"/>
  <c r="F167" i="141"/>
  <c r="E167" i="141"/>
  <c r="D167" i="141"/>
  <c r="B167" i="141"/>
  <c r="D166" i="141"/>
  <c r="B166" i="141"/>
  <c r="D165" i="141"/>
  <c r="B165" i="141"/>
  <c r="D164" i="141"/>
  <c r="B164" i="141"/>
  <c r="F163" i="141"/>
  <c r="E163" i="141"/>
  <c r="D163" i="141"/>
  <c r="B163" i="141"/>
  <c r="D161" i="141"/>
  <c r="B161" i="141"/>
  <c r="D159" i="141"/>
  <c r="B159" i="141"/>
  <c r="D158" i="141"/>
  <c r="B158" i="141"/>
  <c r="D157" i="141"/>
  <c r="B157" i="141"/>
  <c r="D156" i="141"/>
  <c r="B156" i="141"/>
  <c r="D155" i="141"/>
  <c r="B155" i="141"/>
  <c r="D154" i="141"/>
  <c r="B154" i="141"/>
  <c r="E151" i="141"/>
  <c r="D151" i="141"/>
  <c r="B151" i="141"/>
  <c r="D150" i="141"/>
  <c r="B150" i="141"/>
  <c r="D149" i="141"/>
  <c r="B149" i="141"/>
  <c r="D148" i="141"/>
  <c r="B148" i="141"/>
  <c r="D147" i="141"/>
  <c r="B147" i="141"/>
  <c r="D146" i="141"/>
  <c r="B146" i="141"/>
  <c r="D145" i="141"/>
  <c r="B145" i="141"/>
  <c r="D144" i="141"/>
  <c r="B144" i="141"/>
  <c r="D143" i="141"/>
  <c r="B143" i="141"/>
  <c r="E142" i="141"/>
  <c r="D142" i="141"/>
  <c r="B142" i="141"/>
  <c r="D140" i="141"/>
  <c r="B140" i="141"/>
  <c r="D139" i="141"/>
  <c r="B139" i="141"/>
  <c r="D138" i="141"/>
  <c r="B138" i="141"/>
  <c r="D137" i="141"/>
  <c r="B137" i="141"/>
  <c r="D136" i="141"/>
  <c r="B136" i="141"/>
  <c r="D135" i="141"/>
  <c r="B135" i="141"/>
  <c r="D134" i="141"/>
  <c r="B134" i="141"/>
  <c r="D133" i="141"/>
  <c r="B133" i="141"/>
  <c r="D132" i="141"/>
  <c r="B132" i="141"/>
  <c r="E129" i="141"/>
  <c r="D129" i="141"/>
  <c r="C129" i="141"/>
  <c r="B129" i="141"/>
  <c r="D128" i="141"/>
  <c r="C128" i="141"/>
  <c r="B128" i="141"/>
  <c r="E127" i="141"/>
  <c r="D127" i="141"/>
  <c r="C127" i="141"/>
  <c r="B127" i="141"/>
  <c r="D126" i="141"/>
  <c r="C126" i="141"/>
  <c r="B126" i="141"/>
  <c r="D125" i="141"/>
  <c r="C125" i="141"/>
  <c r="B125" i="141"/>
  <c r="D124" i="141"/>
  <c r="C124" i="141"/>
  <c r="B124" i="141"/>
  <c r="D123" i="141"/>
  <c r="C123" i="141"/>
  <c r="B123" i="141"/>
  <c r="D122" i="141"/>
  <c r="C122" i="141"/>
  <c r="B122" i="141"/>
  <c r="D121" i="141"/>
  <c r="C121" i="141"/>
  <c r="B121" i="141"/>
  <c r="E120" i="141"/>
  <c r="D120" i="141"/>
  <c r="C120" i="141"/>
  <c r="B120" i="141"/>
  <c r="F118" i="141"/>
  <c r="E118" i="141"/>
  <c r="D118" i="141"/>
  <c r="C118" i="141"/>
  <c r="B118" i="141"/>
  <c r="F117" i="141"/>
  <c r="E117" i="141"/>
  <c r="D117" i="141"/>
  <c r="C117" i="141"/>
  <c r="B117" i="141"/>
  <c r="D116" i="141"/>
  <c r="C116" i="141"/>
  <c r="B116" i="141"/>
  <c r="F115" i="141"/>
  <c r="E115" i="141"/>
  <c r="D115" i="141"/>
  <c r="C115" i="141"/>
  <c r="B115" i="141"/>
  <c r="F114" i="141"/>
  <c r="E114" i="141"/>
  <c r="D114" i="141"/>
  <c r="C114" i="141"/>
  <c r="B114" i="141"/>
  <c r="F113" i="141"/>
  <c r="E113" i="141"/>
  <c r="D113" i="141"/>
  <c r="C113" i="141"/>
  <c r="B113" i="141"/>
  <c r="E111" i="141"/>
  <c r="D111" i="141"/>
  <c r="C111" i="141"/>
  <c r="B111" i="141"/>
  <c r="D110" i="141"/>
  <c r="C110" i="141"/>
  <c r="B110" i="141"/>
  <c r="D109" i="141"/>
  <c r="C109" i="141"/>
  <c r="B109" i="141"/>
  <c r="D108" i="141"/>
  <c r="C108" i="141"/>
  <c r="B108" i="141"/>
  <c r="D107" i="141"/>
  <c r="C107" i="141"/>
  <c r="B107" i="141"/>
  <c r="D106" i="141"/>
  <c r="C106" i="141"/>
  <c r="B106" i="141"/>
  <c r="D105" i="141"/>
  <c r="C105" i="141"/>
  <c r="B105" i="141"/>
  <c r="D104" i="141"/>
  <c r="C104" i="141"/>
  <c r="B104" i="141"/>
  <c r="D103" i="141"/>
  <c r="C103" i="141"/>
  <c r="B103" i="141"/>
  <c r="F101" i="141"/>
  <c r="D101" i="141"/>
  <c r="C101" i="141"/>
  <c r="B101" i="141"/>
  <c r="F100" i="141"/>
  <c r="D100" i="141"/>
  <c r="C100" i="141"/>
  <c r="B100" i="141"/>
  <c r="F99" i="141"/>
  <c r="D99" i="141"/>
  <c r="C99" i="141"/>
  <c r="B99" i="141"/>
  <c r="F98" i="141"/>
  <c r="D98" i="141"/>
  <c r="C98" i="141"/>
  <c r="B98" i="141"/>
  <c r="F97" i="141"/>
  <c r="D97" i="141"/>
  <c r="C97" i="141"/>
  <c r="B97" i="141"/>
  <c r="F96" i="141"/>
  <c r="D96" i="141"/>
  <c r="C96" i="141"/>
  <c r="B96" i="141"/>
  <c r="F95" i="141"/>
  <c r="D95" i="141"/>
  <c r="C95" i="141"/>
  <c r="B95" i="141"/>
  <c r="F94" i="141"/>
  <c r="D94" i="141"/>
  <c r="C94" i="141"/>
  <c r="B94" i="141"/>
  <c r="F93" i="141"/>
  <c r="D93" i="141"/>
  <c r="C93" i="141"/>
  <c r="B93" i="141"/>
  <c r="F92" i="141"/>
  <c r="E92" i="141"/>
  <c r="D92" i="141"/>
  <c r="C92" i="141"/>
  <c r="B92" i="141"/>
  <c r="D90" i="141"/>
  <c r="C90" i="141"/>
  <c r="B90" i="141"/>
  <c r="D89" i="141"/>
  <c r="C89" i="141"/>
  <c r="B89" i="141"/>
  <c r="D88" i="141"/>
  <c r="C88" i="141"/>
  <c r="B88" i="141"/>
  <c r="D87" i="141"/>
  <c r="C87" i="141"/>
  <c r="B87" i="141"/>
  <c r="D86" i="141"/>
  <c r="C86" i="141"/>
  <c r="B86" i="141"/>
  <c r="D85" i="141"/>
  <c r="C85" i="141"/>
  <c r="B85" i="141"/>
  <c r="D84" i="141"/>
  <c r="C84" i="141"/>
  <c r="B84" i="141"/>
  <c r="D83" i="141"/>
  <c r="C83" i="141"/>
  <c r="B83" i="141"/>
  <c r="D82" i="141"/>
  <c r="C82" i="141"/>
  <c r="B82" i="141"/>
  <c r="E81" i="141"/>
  <c r="D81" i="141"/>
  <c r="C81" i="141"/>
  <c r="B81" i="141"/>
  <c r="F79" i="141"/>
  <c r="E79" i="141"/>
  <c r="D79" i="141"/>
  <c r="C79" i="141"/>
  <c r="B79" i="141"/>
  <c r="F78" i="141"/>
  <c r="E78" i="141"/>
  <c r="D78" i="141"/>
  <c r="C78" i="141"/>
  <c r="B78" i="141"/>
  <c r="F77" i="141"/>
  <c r="E77" i="141"/>
  <c r="D77" i="141"/>
  <c r="C77" i="141"/>
  <c r="B77" i="141"/>
  <c r="F76" i="141"/>
  <c r="E76" i="141"/>
  <c r="D76" i="141"/>
  <c r="C76" i="141"/>
  <c r="B76" i="141"/>
  <c r="F75" i="141"/>
  <c r="E75" i="141"/>
  <c r="D75" i="141"/>
  <c r="C75" i="141"/>
  <c r="B75" i="141"/>
  <c r="E73" i="141"/>
  <c r="D73" i="141"/>
  <c r="C73" i="141"/>
  <c r="B73" i="141"/>
  <c r="D72" i="141"/>
  <c r="C72" i="141"/>
  <c r="B72" i="141"/>
  <c r="D71" i="141"/>
  <c r="C71" i="141"/>
  <c r="B71" i="141"/>
  <c r="D70" i="141"/>
  <c r="C70" i="141"/>
  <c r="B70" i="141"/>
  <c r="D69" i="141"/>
  <c r="C69" i="141"/>
  <c r="B69" i="141"/>
  <c r="D68" i="141"/>
  <c r="C68" i="141"/>
  <c r="B68" i="141"/>
  <c r="D67" i="141"/>
  <c r="C67" i="141"/>
  <c r="B67" i="141"/>
  <c r="D66" i="141"/>
  <c r="C66" i="141"/>
  <c r="B66" i="141"/>
  <c r="D65" i="141"/>
  <c r="C65" i="141"/>
  <c r="B65" i="141"/>
  <c r="D62" i="141"/>
  <c r="B62" i="141"/>
  <c r="D61" i="141"/>
  <c r="B61" i="141"/>
  <c r="D60" i="141"/>
  <c r="B60" i="141"/>
  <c r="D59" i="141"/>
  <c r="B59" i="141"/>
  <c r="D58" i="141"/>
  <c r="B58" i="141"/>
  <c r="D57" i="141"/>
  <c r="B57" i="141"/>
  <c r="D56" i="141"/>
  <c r="B56" i="141"/>
  <c r="D54" i="141"/>
  <c r="B54" i="141"/>
  <c r="D53" i="141"/>
  <c r="B53" i="141"/>
  <c r="D52" i="141"/>
  <c r="B52" i="141"/>
  <c r="D51" i="141"/>
  <c r="B51" i="141"/>
  <c r="D50" i="141"/>
  <c r="B50" i="141"/>
  <c r="D49" i="141"/>
  <c r="B49" i="141"/>
  <c r="D48" i="141"/>
  <c r="B48" i="141"/>
  <c r="E47" i="141"/>
  <c r="D47" i="141"/>
  <c r="B47" i="141"/>
  <c r="F44" i="141"/>
  <c r="D44" i="141"/>
  <c r="C44" i="141"/>
  <c r="B44" i="141"/>
  <c r="F43" i="141"/>
  <c r="D43" i="141"/>
  <c r="C43" i="141"/>
  <c r="B43" i="141"/>
  <c r="F42" i="141"/>
  <c r="D42" i="141"/>
  <c r="C42" i="141"/>
  <c r="B42" i="141"/>
  <c r="F41" i="141"/>
  <c r="D41" i="141"/>
  <c r="C41" i="141"/>
  <c r="B41" i="141"/>
  <c r="F40" i="141"/>
  <c r="D40" i="141"/>
  <c r="C40" i="141"/>
  <c r="B40" i="141"/>
  <c r="F39" i="141"/>
  <c r="D39" i="141"/>
  <c r="C39" i="141"/>
  <c r="B39" i="141"/>
  <c r="F38" i="141"/>
  <c r="D38" i="141"/>
  <c r="C38" i="141"/>
  <c r="B38" i="141"/>
  <c r="F37" i="141"/>
  <c r="D37" i="141"/>
  <c r="C37" i="141"/>
  <c r="B37" i="141"/>
  <c r="F36" i="141"/>
  <c r="D36" i="141"/>
  <c r="C36" i="141"/>
  <c r="B36" i="141"/>
  <c r="F35" i="141"/>
  <c r="E35" i="141"/>
  <c r="D35" i="141"/>
  <c r="C35" i="141"/>
  <c r="B35" i="141"/>
  <c r="D33" i="141"/>
  <c r="B33" i="141"/>
  <c r="D32" i="141"/>
  <c r="B32" i="141"/>
  <c r="D31" i="141"/>
  <c r="B31" i="141"/>
  <c r="D30" i="141"/>
  <c r="B30" i="141"/>
  <c r="D29" i="141"/>
  <c r="B29" i="141"/>
  <c r="D28" i="141"/>
  <c r="B28" i="141"/>
  <c r="D27" i="141"/>
  <c r="B27" i="141"/>
  <c r="D26" i="141"/>
  <c r="B26" i="141"/>
  <c r="D25" i="141"/>
  <c r="B25" i="141"/>
  <c r="E24" i="141"/>
  <c r="D24" i="141"/>
  <c r="B24" i="141"/>
  <c r="F21" i="141"/>
  <c r="E21" i="141"/>
  <c r="D21" i="141"/>
  <c r="C21" i="141"/>
  <c r="B21" i="141"/>
  <c r="F20" i="141"/>
  <c r="E20" i="141"/>
  <c r="D20" i="141"/>
  <c r="C20" i="141"/>
  <c r="B20" i="141"/>
  <c r="D19" i="141"/>
  <c r="C19" i="141"/>
  <c r="B19" i="141"/>
  <c r="F18" i="141"/>
  <c r="E18" i="141"/>
  <c r="D18" i="141"/>
  <c r="C18" i="141"/>
  <c r="B18" i="141"/>
  <c r="D16" i="141"/>
  <c r="B16" i="141"/>
  <c r="D15" i="141"/>
  <c r="B15" i="141"/>
  <c r="D14" i="141"/>
  <c r="B14" i="141"/>
  <c r="D12" i="141"/>
  <c r="B12" i="141"/>
  <c r="D214" i="140"/>
  <c r="B214" i="140"/>
  <c r="F211" i="140"/>
  <c r="E211" i="140"/>
  <c r="D211" i="140"/>
  <c r="B211" i="140"/>
  <c r="F210" i="140"/>
  <c r="E210" i="140"/>
  <c r="D210" i="140"/>
  <c r="B210" i="140"/>
  <c r="F209" i="140"/>
  <c r="E209" i="140"/>
  <c r="D209" i="140"/>
  <c r="B209" i="140"/>
  <c r="F208" i="140"/>
  <c r="E208" i="140"/>
  <c r="D208" i="140"/>
  <c r="B208" i="140"/>
  <c r="F207" i="140"/>
  <c r="E207" i="140"/>
  <c r="D207" i="140"/>
  <c r="B207" i="140"/>
  <c r="F206" i="140"/>
  <c r="E206" i="140"/>
  <c r="D206" i="140"/>
  <c r="B206" i="140"/>
  <c r="F205" i="140"/>
  <c r="E205" i="140"/>
  <c r="D205" i="140"/>
  <c r="B205" i="140"/>
  <c r="D204" i="140"/>
  <c r="B204" i="140"/>
  <c r="D203" i="140"/>
  <c r="B203" i="140"/>
  <c r="F202" i="140"/>
  <c r="E202" i="140"/>
  <c r="D202" i="140"/>
  <c r="B202" i="140"/>
  <c r="D201" i="140"/>
  <c r="B201" i="140"/>
  <c r="D200" i="140"/>
  <c r="B200" i="140"/>
  <c r="D199" i="140"/>
  <c r="B199" i="140"/>
  <c r="D198" i="140"/>
  <c r="B198" i="140"/>
  <c r="D197" i="140"/>
  <c r="B197" i="140"/>
  <c r="F196" i="140"/>
  <c r="E196" i="140"/>
  <c r="D196" i="140"/>
  <c r="B196" i="140"/>
  <c r="D194" i="140"/>
  <c r="C194" i="140"/>
  <c r="B194" i="140"/>
  <c r="D193" i="140"/>
  <c r="C193" i="140"/>
  <c r="B193" i="140"/>
  <c r="D191" i="140"/>
  <c r="C191" i="140"/>
  <c r="B191" i="140"/>
  <c r="D190" i="140"/>
  <c r="C190" i="140"/>
  <c r="B190" i="140"/>
  <c r="D189" i="140"/>
  <c r="C189" i="140"/>
  <c r="B189" i="140"/>
  <c r="D188" i="140"/>
  <c r="C188" i="140"/>
  <c r="B188" i="140"/>
  <c r="D186" i="140"/>
  <c r="C186" i="140"/>
  <c r="B186" i="140"/>
  <c r="D185" i="140"/>
  <c r="C185" i="140"/>
  <c r="B185" i="140"/>
  <c r="D184" i="140"/>
  <c r="C184" i="140"/>
  <c r="B184" i="140"/>
  <c r="D183" i="140"/>
  <c r="C183" i="140"/>
  <c r="B183" i="140"/>
  <c r="D182" i="140"/>
  <c r="C182" i="140"/>
  <c r="B182" i="140"/>
  <c r="D180" i="140"/>
  <c r="C180" i="140"/>
  <c r="B180" i="140"/>
  <c r="D179" i="140"/>
  <c r="C179" i="140"/>
  <c r="B179" i="140"/>
  <c r="D178" i="140"/>
  <c r="C178" i="140"/>
  <c r="B178" i="140"/>
  <c r="D177" i="140"/>
  <c r="C177" i="140"/>
  <c r="B177" i="140"/>
  <c r="D176" i="140"/>
  <c r="C176" i="140"/>
  <c r="B176" i="140"/>
  <c r="D175" i="140"/>
  <c r="C175" i="140"/>
  <c r="B175" i="140"/>
  <c r="F172" i="140"/>
  <c r="E172" i="140"/>
  <c r="D172" i="140"/>
  <c r="B172" i="140"/>
  <c r="F171" i="140"/>
  <c r="E171" i="140"/>
  <c r="D171" i="140"/>
  <c r="B171" i="140"/>
  <c r="F170" i="140"/>
  <c r="E170" i="140"/>
  <c r="D170" i="140"/>
  <c r="B170" i="140"/>
  <c r="F169" i="140"/>
  <c r="E169" i="140"/>
  <c r="D169" i="140"/>
  <c r="B169" i="140"/>
  <c r="F168" i="140"/>
  <c r="E168" i="140"/>
  <c r="D168" i="140"/>
  <c r="B168" i="140"/>
  <c r="F167" i="140"/>
  <c r="E167" i="140"/>
  <c r="D167" i="140"/>
  <c r="B167" i="140"/>
  <c r="D166" i="140"/>
  <c r="B166" i="140"/>
  <c r="D165" i="140"/>
  <c r="B165" i="140"/>
  <c r="D164" i="140"/>
  <c r="B164" i="140"/>
  <c r="F163" i="140"/>
  <c r="E163" i="140"/>
  <c r="D163" i="140"/>
  <c r="B163" i="140"/>
  <c r="D161" i="140"/>
  <c r="B161" i="140"/>
  <c r="D159" i="140"/>
  <c r="B159" i="140"/>
  <c r="D158" i="140"/>
  <c r="B158" i="140"/>
  <c r="D157" i="140"/>
  <c r="B157" i="140"/>
  <c r="D156" i="140"/>
  <c r="B156" i="140"/>
  <c r="D155" i="140"/>
  <c r="B155" i="140"/>
  <c r="D154" i="140"/>
  <c r="B154" i="140"/>
  <c r="E151" i="140"/>
  <c r="D151" i="140"/>
  <c r="B151" i="140"/>
  <c r="D150" i="140"/>
  <c r="B150" i="140"/>
  <c r="D149" i="140"/>
  <c r="B149" i="140"/>
  <c r="D148" i="140"/>
  <c r="B148" i="140"/>
  <c r="D147" i="140"/>
  <c r="B147" i="140"/>
  <c r="D146" i="140"/>
  <c r="B146" i="140"/>
  <c r="D145" i="140"/>
  <c r="B145" i="140"/>
  <c r="D144" i="140"/>
  <c r="B144" i="140"/>
  <c r="D143" i="140"/>
  <c r="B143" i="140"/>
  <c r="E142" i="140"/>
  <c r="D142" i="140"/>
  <c r="B142" i="140"/>
  <c r="D140" i="140"/>
  <c r="B140" i="140"/>
  <c r="D139" i="140"/>
  <c r="B139" i="140"/>
  <c r="D138" i="140"/>
  <c r="B138" i="140"/>
  <c r="D137" i="140"/>
  <c r="B137" i="140"/>
  <c r="D136" i="140"/>
  <c r="B136" i="140"/>
  <c r="D135" i="140"/>
  <c r="B135" i="140"/>
  <c r="D134" i="140"/>
  <c r="B134" i="140"/>
  <c r="D133" i="140"/>
  <c r="B133" i="140"/>
  <c r="D132" i="140"/>
  <c r="B132" i="140"/>
  <c r="E129" i="140"/>
  <c r="D129" i="140"/>
  <c r="C129" i="140"/>
  <c r="B129" i="140"/>
  <c r="D128" i="140"/>
  <c r="C128" i="140"/>
  <c r="B128" i="140"/>
  <c r="E127" i="140"/>
  <c r="D127" i="140"/>
  <c r="C127" i="140"/>
  <c r="B127" i="140"/>
  <c r="D126" i="140"/>
  <c r="C126" i="140"/>
  <c r="B126" i="140"/>
  <c r="D125" i="140"/>
  <c r="C125" i="140"/>
  <c r="B125" i="140"/>
  <c r="D124" i="140"/>
  <c r="C124" i="140"/>
  <c r="B124" i="140"/>
  <c r="D123" i="140"/>
  <c r="C123" i="140"/>
  <c r="B123" i="140"/>
  <c r="D122" i="140"/>
  <c r="C122" i="140"/>
  <c r="B122" i="140"/>
  <c r="D121" i="140"/>
  <c r="C121" i="140"/>
  <c r="B121" i="140"/>
  <c r="E120" i="140"/>
  <c r="D120" i="140"/>
  <c r="C120" i="140"/>
  <c r="B120" i="140"/>
  <c r="F118" i="140"/>
  <c r="E118" i="140"/>
  <c r="D118" i="140"/>
  <c r="C118" i="140"/>
  <c r="B118" i="140"/>
  <c r="F117" i="140"/>
  <c r="E117" i="140"/>
  <c r="D117" i="140"/>
  <c r="C117" i="140"/>
  <c r="B117" i="140"/>
  <c r="D116" i="140"/>
  <c r="C116" i="140"/>
  <c r="B116" i="140"/>
  <c r="F115" i="140"/>
  <c r="E115" i="140"/>
  <c r="D115" i="140"/>
  <c r="C115" i="140"/>
  <c r="B115" i="140"/>
  <c r="F114" i="140"/>
  <c r="E114" i="140"/>
  <c r="D114" i="140"/>
  <c r="C114" i="140"/>
  <c r="B114" i="140"/>
  <c r="F113" i="140"/>
  <c r="E113" i="140"/>
  <c r="D113" i="140"/>
  <c r="C113" i="140"/>
  <c r="B113" i="140"/>
  <c r="E111" i="140"/>
  <c r="D111" i="140"/>
  <c r="C111" i="140"/>
  <c r="B111" i="140"/>
  <c r="D110" i="140"/>
  <c r="C110" i="140"/>
  <c r="B110" i="140"/>
  <c r="D109" i="140"/>
  <c r="C109" i="140"/>
  <c r="B109" i="140"/>
  <c r="D108" i="140"/>
  <c r="C108" i="140"/>
  <c r="B108" i="140"/>
  <c r="D107" i="140"/>
  <c r="C107" i="140"/>
  <c r="B107" i="140"/>
  <c r="D106" i="140"/>
  <c r="C106" i="140"/>
  <c r="B106" i="140"/>
  <c r="D105" i="140"/>
  <c r="C105" i="140"/>
  <c r="B105" i="140"/>
  <c r="D104" i="140"/>
  <c r="C104" i="140"/>
  <c r="B104" i="140"/>
  <c r="D103" i="140"/>
  <c r="C103" i="140"/>
  <c r="B103" i="140"/>
  <c r="F101" i="140"/>
  <c r="D101" i="140"/>
  <c r="C101" i="140"/>
  <c r="B101" i="140"/>
  <c r="F100" i="140"/>
  <c r="D100" i="140"/>
  <c r="C100" i="140"/>
  <c r="B100" i="140"/>
  <c r="F99" i="140"/>
  <c r="D99" i="140"/>
  <c r="C99" i="140"/>
  <c r="B99" i="140"/>
  <c r="F98" i="140"/>
  <c r="D98" i="140"/>
  <c r="C98" i="140"/>
  <c r="B98" i="140"/>
  <c r="F97" i="140"/>
  <c r="D97" i="140"/>
  <c r="C97" i="140"/>
  <c r="B97" i="140"/>
  <c r="F96" i="140"/>
  <c r="D96" i="140"/>
  <c r="C96" i="140"/>
  <c r="B96" i="140"/>
  <c r="F95" i="140"/>
  <c r="D95" i="140"/>
  <c r="C95" i="140"/>
  <c r="B95" i="140"/>
  <c r="F94" i="140"/>
  <c r="D94" i="140"/>
  <c r="C94" i="140"/>
  <c r="B94" i="140"/>
  <c r="F93" i="140"/>
  <c r="D93" i="140"/>
  <c r="C93" i="140"/>
  <c r="B93" i="140"/>
  <c r="F92" i="140"/>
  <c r="E92" i="140"/>
  <c r="D92" i="140"/>
  <c r="C92" i="140"/>
  <c r="B92" i="140"/>
  <c r="D90" i="140"/>
  <c r="C90" i="140"/>
  <c r="B90" i="140"/>
  <c r="D89" i="140"/>
  <c r="C89" i="140"/>
  <c r="B89" i="140"/>
  <c r="D88" i="140"/>
  <c r="C88" i="140"/>
  <c r="B88" i="140"/>
  <c r="D87" i="140"/>
  <c r="C87" i="140"/>
  <c r="B87" i="140"/>
  <c r="D86" i="140"/>
  <c r="C86" i="140"/>
  <c r="B86" i="140"/>
  <c r="D85" i="140"/>
  <c r="C85" i="140"/>
  <c r="B85" i="140"/>
  <c r="D84" i="140"/>
  <c r="C84" i="140"/>
  <c r="B84" i="140"/>
  <c r="D83" i="140"/>
  <c r="C83" i="140"/>
  <c r="B83" i="140"/>
  <c r="D82" i="140"/>
  <c r="C82" i="140"/>
  <c r="B82" i="140"/>
  <c r="E81" i="140"/>
  <c r="D81" i="140"/>
  <c r="C81" i="140"/>
  <c r="B81" i="140"/>
  <c r="F79" i="140"/>
  <c r="E79" i="140"/>
  <c r="D79" i="140"/>
  <c r="C79" i="140"/>
  <c r="B79" i="140"/>
  <c r="F78" i="140"/>
  <c r="E78" i="140"/>
  <c r="D78" i="140"/>
  <c r="C78" i="140"/>
  <c r="B78" i="140"/>
  <c r="F77" i="140"/>
  <c r="E77" i="140"/>
  <c r="D77" i="140"/>
  <c r="C77" i="140"/>
  <c r="B77" i="140"/>
  <c r="F76" i="140"/>
  <c r="E76" i="140"/>
  <c r="D76" i="140"/>
  <c r="C76" i="140"/>
  <c r="B76" i="140"/>
  <c r="F75" i="140"/>
  <c r="E75" i="140"/>
  <c r="D75" i="140"/>
  <c r="C75" i="140"/>
  <c r="B75" i="140"/>
  <c r="E73" i="140"/>
  <c r="D73" i="140"/>
  <c r="C73" i="140"/>
  <c r="B73" i="140"/>
  <c r="D72" i="140"/>
  <c r="C72" i="140"/>
  <c r="B72" i="140"/>
  <c r="D71" i="140"/>
  <c r="C71" i="140"/>
  <c r="B71" i="140"/>
  <c r="D70" i="140"/>
  <c r="C70" i="140"/>
  <c r="B70" i="140"/>
  <c r="D69" i="140"/>
  <c r="C69" i="140"/>
  <c r="B69" i="140"/>
  <c r="D68" i="140"/>
  <c r="C68" i="140"/>
  <c r="B68" i="140"/>
  <c r="D67" i="140"/>
  <c r="C67" i="140"/>
  <c r="B67" i="140"/>
  <c r="D66" i="140"/>
  <c r="C66" i="140"/>
  <c r="B66" i="140"/>
  <c r="D65" i="140"/>
  <c r="C65" i="140"/>
  <c r="B65" i="140"/>
  <c r="D62" i="140"/>
  <c r="B62" i="140"/>
  <c r="D61" i="140"/>
  <c r="B61" i="140"/>
  <c r="D60" i="140"/>
  <c r="B60" i="140"/>
  <c r="D59" i="140"/>
  <c r="B59" i="140"/>
  <c r="D58" i="140"/>
  <c r="B58" i="140"/>
  <c r="D57" i="140"/>
  <c r="B57" i="140"/>
  <c r="D56" i="140"/>
  <c r="B56" i="140"/>
  <c r="D54" i="140"/>
  <c r="B54" i="140"/>
  <c r="D53" i="140"/>
  <c r="B53" i="140"/>
  <c r="D52" i="140"/>
  <c r="B52" i="140"/>
  <c r="D51" i="140"/>
  <c r="B51" i="140"/>
  <c r="D50" i="140"/>
  <c r="B50" i="140"/>
  <c r="D49" i="140"/>
  <c r="B49" i="140"/>
  <c r="D48" i="140"/>
  <c r="B48" i="140"/>
  <c r="E47" i="140"/>
  <c r="D47" i="140"/>
  <c r="B47" i="140"/>
  <c r="F44" i="140"/>
  <c r="D44" i="140"/>
  <c r="C44" i="140"/>
  <c r="B44" i="140"/>
  <c r="F43" i="140"/>
  <c r="D43" i="140"/>
  <c r="C43" i="140"/>
  <c r="B43" i="140"/>
  <c r="F42" i="140"/>
  <c r="D42" i="140"/>
  <c r="C42" i="140"/>
  <c r="B42" i="140"/>
  <c r="F41" i="140"/>
  <c r="D41" i="140"/>
  <c r="C41" i="140"/>
  <c r="B41" i="140"/>
  <c r="F40" i="140"/>
  <c r="D40" i="140"/>
  <c r="C40" i="140"/>
  <c r="B40" i="140"/>
  <c r="F39" i="140"/>
  <c r="D39" i="140"/>
  <c r="C39" i="140"/>
  <c r="B39" i="140"/>
  <c r="F38" i="140"/>
  <c r="D38" i="140"/>
  <c r="C38" i="140"/>
  <c r="B38" i="140"/>
  <c r="F37" i="140"/>
  <c r="D37" i="140"/>
  <c r="C37" i="140"/>
  <c r="B37" i="140"/>
  <c r="F36" i="140"/>
  <c r="D36" i="140"/>
  <c r="C36" i="140"/>
  <c r="B36" i="140"/>
  <c r="F35" i="140"/>
  <c r="E35" i="140"/>
  <c r="D35" i="140"/>
  <c r="C35" i="140"/>
  <c r="B35" i="140"/>
  <c r="D33" i="140"/>
  <c r="B33" i="140"/>
  <c r="D32" i="140"/>
  <c r="B32" i="140"/>
  <c r="D31" i="140"/>
  <c r="B31" i="140"/>
  <c r="D30" i="140"/>
  <c r="B30" i="140"/>
  <c r="D29" i="140"/>
  <c r="B29" i="140"/>
  <c r="D28" i="140"/>
  <c r="B28" i="140"/>
  <c r="D27" i="140"/>
  <c r="B27" i="140"/>
  <c r="D26" i="140"/>
  <c r="B26" i="140"/>
  <c r="D25" i="140"/>
  <c r="B25" i="140"/>
  <c r="E24" i="140"/>
  <c r="D24" i="140"/>
  <c r="B24" i="140"/>
  <c r="F21" i="140"/>
  <c r="E21" i="140"/>
  <c r="D21" i="140"/>
  <c r="C21" i="140"/>
  <c r="B21" i="140"/>
  <c r="F20" i="140"/>
  <c r="E20" i="140"/>
  <c r="D20" i="140"/>
  <c r="C20" i="140"/>
  <c r="B20" i="140"/>
  <c r="D19" i="140"/>
  <c r="C19" i="140"/>
  <c r="B19" i="140"/>
  <c r="F18" i="140"/>
  <c r="E18" i="140"/>
  <c r="D18" i="140"/>
  <c r="C18" i="140"/>
  <c r="B18" i="140"/>
  <c r="D16" i="140"/>
  <c r="B16" i="140"/>
  <c r="D15" i="140"/>
  <c r="B15" i="140"/>
  <c r="D14" i="140"/>
  <c r="B14" i="140"/>
  <c r="D12" i="140"/>
  <c r="B12" i="140"/>
  <c r="D212" i="158"/>
  <c r="B212" i="158"/>
  <c r="F209" i="158"/>
  <c r="E209" i="158"/>
  <c r="D209" i="158"/>
  <c r="B209" i="158"/>
  <c r="F208" i="158"/>
  <c r="E208" i="158"/>
  <c r="D208" i="158"/>
  <c r="B208" i="158"/>
  <c r="F207" i="158"/>
  <c r="E207" i="158"/>
  <c r="D207" i="158"/>
  <c r="B207" i="158"/>
  <c r="F206" i="158"/>
  <c r="E206" i="158"/>
  <c r="D206" i="158"/>
  <c r="B206" i="158"/>
  <c r="F205" i="158"/>
  <c r="E205" i="158"/>
  <c r="D205" i="158"/>
  <c r="B205" i="158"/>
  <c r="F204" i="158"/>
  <c r="E204" i="158"/>
  <c r="D204" i="158"/>
  <c r="B204" i="158"/>
  <c r="F203" i="158"/>
  <c r="E203" i="158"/>
  <c r="D203" i="158"/>
  <c r="B203" i="158"/>
  <c r="D202" i="158"/>
  <c r="B202" i="158"/>
  <c r="D201" i="158"/>
  <c r="B201" i="158"/>
  <c r="F200" i="158"/>
  <c r="E200" i="158"/>
  <c r="D200" i="158"/>
  <c r="B200" i="158"/>
  <c r="D199" i="158"/>
  <c r="B199" i="158"/>
  <c r="D198" i="158"/>
  <c r="B198" i="158"/>
  <c r="D197" i="158"/>
  <c r="B197" i="158"/>
  <c r="D196" i="158"/>
  <c r="B196" i="158"/>
  <c r="D195" i="158"/>
  <c r="B195" i="158"/>
  <c r="F194" i="158"/>
  <c r="E194" i="158"/>
  <c r="D194" i="158"/>
  <c r="B194" i="158"/>
  <c r="D192" i="158"/>
  <c r="C192" i="158"/>
  <c r="B192" i="158"/>
  <c r="D191" i="158"/>
  <c r="C191" i="158"/>
  <c r="B191" i="158"/>
  <c r="D189" i="158"/>
  <c r="C189" i="158"/>
  <c r="B189" i="158"/>
  <c r="D188" i="158"/>
  <c r="C188" i="158"/>
  <c r="B188" i="158"/>
  <c r="D187" i="158"/>
  <c r="C187" i="158"/>
  <c r="B187" i="158"/>
  <c r="D186" i="158"/>
  <c r="C186" i="158"/>
  <c r="B186" i="158"/>
  <c r="D184" i="158"/>
  <c r="C184" i="158"/>
  <c r="B184" i="158"/>
  <c r="D183" i="158"/>
  <c r="C183" i="158"/>
  <c r="B183" i="158"/>
  <c r="D182" i="158"/>
  <c r="C182" i="158"/>
  <c r="B182" i="158"/>
  <c r="D181" i="158"/>
  <c r="C181" i="158"/>
  <c r="B181" i="158"/>
  <c r="D180" i="158"/>
  <c r="C180" i="158"/>
  <c r="B180" i="158"/>
  <c r="D178" i="158"/>
  <c r="C178" i="158"/>
  <c r="B178" i="158"/>
  <c r="D177" i="158"/>
  <c r="C177" i="158"/>
  <c r="B177" i="158"/>
  <c r="D176" i="158"/>
  <c r="C176" i="158"/>
  <c r="B176" i="158"/>
  <c r="D175" i="158"/>
  <c r="C175" i="158"/>
  <c r="B175" i="158"/>
  <c r="D174" i="158"/>
  <c r="C174" i="158"/>
  <c r="B174" i="158"/>
  <c r="D173" i="158"/>
  <c r="C173" i="158"/>
  <c r="B173" i="158"/>
  <c r="F170" i="158"/>
  <c r="E170" i="158"/>
  <c r="D170" i="158"/>
  <c r="B170" i="158"/>
  <c r="F169" i="158"/>
  <c r="E169" i="158"/>
  <c r="D169" i="158"/>
  <c r="B169" i="158"/>
  <c r="F168" i="158"/>
  <c r="E168" i="158"/>
  <c r="D168" i="158"/>
  <c r="B168" i="158"/>
  <c r="F167" i="158"/>
  <c r="E167" i="158"/>
  <c r="D167" i="158"/>
  <c r="B167" i="158"/>
  <c r="F166" i="158"/>
  <c r="E166" i="158"/>
  <c r="D166" i="158"/>
  <c r="B166" i="158"/>
  <c r="F165" i="158"/>
  <c r="E165" i="158"/>
  <c r="D165" i="158"/>
  <c r="B165" i="158"/>
  <c r="D164" i="158"/>
  <c r="B164" i="158"/>
  <c r="D163" i="158"/>
  <c r="B163" i="158"/>
  <c r="D162" i="158"/>
  <c r="B162" i="158"/>
  <c r="F161" i="158"/>
  <c r="E161" i="158"/>
  <c r="D161" i="158"/>
  <c r="B161" i="158"/>
  <c r="D159" i="158"/>
  <c r="B159" i="158"/>
  <c r="D157" i="158"/>
  <c r="B157" i="158"/>
  <c r="D156" i="158"/>
  <c r="B156" i="158"/>
  <c r="D155" i="158"/>
  <c r="B155" i="158"/>
  <c r="D154" i="158"/>
  <c r="B154" i="158"/>
  <c r="D153" i="158"/>
  <c r="B153" i="158"/>
  <c r="D152" i="158"/>
  <c r="B152" i="158"/>
  <c r="E149" i="158"/>
  <c r="D149" i="158"/>
  <c r="B149" i="158"/>
  <c r="D148" i="158"/>
  <c r="B148" i="158"/>
  <c r="D147" i="158"/>
  <c r="B147" i="158"/>
  <c r="D146" i="158"/>
  <c r="B146" i="158"/>
  <c r="D145" i="158"/>
  <c r="B145" i="158"/>
  <c r="D144" i="158"/>
  <c r="B144" i="158"/>
  <c r="D143" i="158"/>
  <c r="B143" i="158"/>
  <c r="D142" i="158"/>
  <c r="B142" i="158"/>
  <c r="D141" i="158"/>
  <c r="B141" i="158"/>
  <c r="E140" i="158"/>
  <c r="D140" i="158"/>
  <c r="B140" i="158"/>
  <c r="D138" i="158"/>
  <c r="B138" i="158"/>
  <c r="D137" i="158"/>
  <c r="B137" i="158"/>
  <c r="D136" i="158"/>
  <c r="B136" i="158"/>
  <c r="D135" i="158"/>
  <c r="B135" i="158"/>
  <c r="D134" i="158"/>
  <c r="B134" i="158"/>
  <c r="D133" i="158"/>
  <c r="B133" i="158"/>
  <c r="D132" i="158"/>
  <c r="B132" i="158"/>
  <c r="D131" i="158"/>
  <c r="B131" i="158"/>
  <c r="D130" i="158"/>
  <c r="B130" i="158"/>
  <c r="E127" i="158"/>
  <c r="D127" i="158"/>
  <c r="C127" i="158"/>
  <c r="B127" i="158"/>
  <c r="D126" i="158"/>
  <c r="C126" i="158"/>
  <c r="B126" i="158"/>
  <c r="E125" i="158"/>
  <c r="D125" i="158"/>
  <c r="C125" i="158"/>
  <c r="B125" i="158"/>
  <c r="D124" i="158"/>
  <c r="C124" i="158"/>
  <c r="B124" i="158"/>
  <c r="D123" i="158"/>
  <c r="C123" i="158"/>
  <c r="B123" i="158"/>
  <c r="D122" i="158"/>
  <c r="C122" i="158"/>
  <c r="B122" i="158"/>
  <c r="D121" i="158"/>
  <c r="C121" i="158"/>
  <c r="B121" i="158"/>
  <c r="D120" i="158"/>
  <c r="C120" i="158"/>
  <c r="B120" i="158"/>
  <c r="D119" i="158"/>
  <c r="C119" i="158"/>
  <c r="B119" i="158"/>
  <c r="E118" i="158"/>
  <c r="D118" i="158"/>
  <c r="C118" i="158"/>
  <c r="B118" i="158"/>
  <c r="F116" i="158"/>
  <c r="E116" i="158"/>
  <c r="D116" i="158"/>
  <c r="C116" i="158"/>
  <c r="B116" i="158"/>
  <c r="F115" i="158"/>
  <c r="E115" i="158"/>
  <c r="D115" i="158"/>
  <c r="C115" i="158"/>
  <c r="B115" i="158"/>
  <c r="D114" i="158"/>
  <c r="C114" i="158"/>
  <c r="B114" i="158"/>
  <c r="F113" i="158"/>
  <c r="E113" i="158"/>
  <c r="D113" i="158"/>
  <c r="C113" i="158"/>
  <c r="B113" i="158"/>
  <c r="F112" i="158"/>
  <c r="E112" i="158"/>
  <c r="D112" i="158"/>
  <c r="C112" i="158"/>
  <c r="B112" i="158"/>
  <c r="F111" i="158"/>
  <c r="E111" i="158"/>
  <c r="D111" i="158"/>
  <c r="C111" i="158"/>
  <c r="B111" i="158"/>
  <c r="E109" i="158"/>
  <c r="D109" i="158"/>
  <c r="C109" i="158"/>
  <c r="B109" i="158"/>
  <c r="D108" i="158"/>
  <c r="C108" i="158"/>
  <c r="B108" i="158"/>
  <c r="D107" i="158"/>
  <c r="C107" i="158"/>
  <c r="B107" i="158"/>
  <c r="D106" i="158"/>
  <c r="C106" i="158"/>
  <c r="B106" i="158"/>
  <c r="D105" i="158"/>
  <c r="C105" i="158"/>
  <c r="B105" i="158"/>
  <c r="D104" i="158"/>
  <c r="C104" i="158"/>
  <c r="B104" i="158"/>
  <c r="D103" i="158"/>
  <c r="C103" i="158"/>
  <c r="B103" i="158"/>
  <c r="D102" i="158"/>
  <c r="C102" i="158"/>
  <c r="B102" i="158"/>
  <c r="D101" i="158"/>
  <c r="C101" i="158"/>
  <c r="B101" i="158"/>
  <c r="F99" i="158"/>
  <c r="D99" i="158"/>
  <c r="C99" i="158"/>
  <c r="B99" i="158"/>
  <c r="F98" i="158"/>
  <c r="D98" i="158"/>
  <c r="C98" i="158"/>
  <c r="B98" i="158"/>
  <c r="F97" i="158"/>
  <c r="D97" i="158"/>
  <c r="C97" i="158"/>
  <c r="B97" i="158"/>
  <c r="F96" i="158"/>
  <c r="D96" i="158"/>
  <c r="C96" i="158"/>
  <c r="B96" i="158"/>
  <c r="F95" i="158"/>
  <c r="D95" i="158"/>
  <c r="C95" i="158"/>
  <c r="B95" i="158"/>
  <c r="F94" i="158"/>
  <c r="D94" i="158"/>
  <c r="C94" i="158"/>
  <c r="B94" i="158"/>
  <c r="F93" i="158"/>
  <c r="D93" i="158"/>
  <c r="C93" i="158"/>
  <c r="B93" i="158"/>
  <c r="F92" i="158"/>
  <c r="D92" i="158"/>
  <c r="C92" i="158"/>
  <c r="B92" i="158"/>
  <c r="F91" i="158"/>
  <c r="D91" i="158"/>
  <c r="C91" i="158"/>
  <c r="B91" i="158"/>
  <c r="F90" i="158"/>
  <c r="E90" i="158"/>
  <c r="D90" i="158"/>
  <c r="C90" i="158"/>
  <c r="B90" i="158"/>
  <c r="D88" i="158"/>
  <c r="C88" i="158"/>
  <c r="B88" i="158"/>
  <c r="D87" i="158"/>
  <c r="C87" i="158"/>
  <c r="B87" i="158"/>
  <c r="D86" i="158"/>
  <c r="C86" i="158"/>
  <c r="B86" i="158"/>
  <c r="D85" i="158"/>
  <c r="C85" i="158"/>
  <c r="B85" i="158"/>
  <c r="D84" i="158"/>
  <c r="C84" i="158"/>
  <c r="B84" i="158"/>
  <c r="D83" i="158"/>
  <c r="C83" i="158"/>
  <c r="B83" i="158"/>
  <c r="D82" i="158"/>
  <c r="C82" i="158"/>
  <c r="B82" i="158"/>
  <c r="D81" i="158"/>
  <c r="C81" i="158"/>
  <c r="B81" i="158"/>
  <c r="D80" i="158"/>
  <c r="C80" i="158"/>
  <c r="B80" i="158"/>
  <c r="E79" i="158"/>
  <c r="D79" i="158"/>
  <c r="C79" i="158"/>
  <c r="B79" i="158"/>
  <c r="F77" i="158"/>
  <c r="E77" i="158"/>
  <c r="D77" i="158"/>
  <c r="C77" i="158"/>
  <c r="B77" i="158"/>
  <c r="F76" i="158"/>
  <c r="E76" i="158"/>
  <c r="D76" i="158"/>
  <c r="C76" i="158"/>
  <c r="B76" i="158"/>
  <c r="F75" i="158"/>
  <c r="E75" i="158"/>
  <c r="D75" i="158"/>
  <c r="C75" i="158"/>
  <c r="B75" i="158"/>
  <c r="F74" i="158"/>
  <c r="E74" i="158"/>
  <c r="D74" i="158"/>
  <c r="C74" i="158"/>
  <c r="B74" i="158"/>
  <c r="F73" i="158"/>
  <c r="E73" i="158"/>
  <c r="D73" i="158"/>
  <c r="C73" i="158"/>
  <c r="B73" i="158"/>
  <c r="E71" i="158"/>
  <c r="D71" i="158"/>
  <c r="C71" i="158"/>
  <c r="B71" i="158"/>
  <c r="D70" i="158"/>
  <c r="C70" i="158"/>
  <c r="B70" i="158"/>
  <c r="D69" i="158"/>
  <c r="C69" i="158"/>
  <c r="B69" i="158"/>
  <c r="D68" i="158"/>
  <c r="C68" i="158"/>
  <c r="B68" i="158"/>
  <c r="D67" i="158"/>
  <c r="C67" i="158"/>
  <c r="B67" i="158"/>
  <c r="D66" i="158"/>
  <c r="C66" i="158"/>
  <c r="B66" i="158"/>
  <c r="D65" i="158"/>
  <c r="C65" i="158"/>
  <c r="B65" i="158"/>
  <c r="D64" i="158"/>
  <c r="C64" i="158"/>
  <c r="B64" i="158"/>
  <c r="D63" i="158"/>
  <c r="C63" i="158"/>
  <c r="B63" i="158"/>
  <c r="D60" i="158"/>
  <c r="B60" i="158"/>
  <c r="D59" i="158"/>
  <c r="B59" i="158"/>
  <c r="D58" i="158"/>
  <c r="B58" i="158"/>
  <c r="D57" i="158"/>
  <c r="B57" i="158"/>
  <c r="D56" i="158"/>
  <c r="B56" i="158"/>
  <c r="D55" i="158"/>
  <c r="B55" i="158"/>
  <c r="D54" i="158"/>
  <c r="B54" i="158"/>
  <c r="D52" i="158"/>
  <c r="B52" i="158"/>
  <c r="D51" i="158"/>
  <c r="B51" i="158"/>
  <c r="D50" i="158"/>
  <c r="B50" i="158"/>
  <c r="D49" i="158"/>
  <c r="B49" i="158"/>
  <c r="D48" i="158"/>
  <c r="B48" i="158"/>
  <c r="D47" i="158"/>
  <c r="B47" i="158"/>
  <c r="D46" i="158"/>
  <c r="B46" i="158"/>
  <c r="E45" i="158"/>
  <c r="D45" i="158"/>
  <c r="B45" i="158"/>
  <c r="F42" i="158"/>
  <c r="D42" i="158"/>
  <c r="C42" i="158"/>
  <c r="B42" i="158"/>
  <c r="F41" i="158"/>
  <c r="D41" i="158"/>
  <c r="C41" i="158"/>
  <c r="B41" i="158"/>
  <c r="F40" i="158"/>
  <c r="D40" i="158"/>
  <c r="C40" i="158"/>
  <c r="B40" i="158"/>
  <c r="F39" i="158"/>
  <c r="D39" i="158"/>
  <c r="C39" i="158"/>
  <c r="B39" i="158"/>
  <c r="F38" i="158"/>
  <c r="D38" i="158"/>
  <c r="C38" i="158"/>
  <c r="B38" i="158"/>
  <c r="F37" i="158"/>
  <c r="D37" i="158"/>
  <c r="C37" i="158"/>
  <c r="B37" i="158"/>
  <c r="F36" i="158"/>
  <c r="D36" i="158"/>
  <c r="C36" i="158"/>
  <c r="B36" i="158"/>
  <c r="F35" i="158"/>
  <c r="D35" i="158"/>
  <c r="C35" i="158"/>
  <c r="B35" i="158"/>
  <c r="F34" i="158"/>
  <c r="D34" i="158"/>
  <c r="C34" i="158"/>
  <c r="B34" i="158"/>
  <c r="F33" i="158"/>
  <c r="E33" i="158"/>
  <c r="D33" i="158"/>
  <c r="C33" i="158"/>
  <c r="B33" i="158"/>
  <c r="D31" i="158"/>
  <c r="B31" i="158"/>
  <c r="D30" i="158"/>
  <c r="B30" i="158"/>
  <c r="D29" i="158"/>
  <c r="B29" i="158"/>
  <c r="D28" i="158"/>
  <c r="B28" i="158"/>
  <c r="D27" i="158"/>
  <c r="B27" i="158"/>
  <c r="D26" i="158"/>
  <c r="B26" i="158"/>
  <c r="D25" i="158"/>
  <c r="B25" i="158"/>
  <c r="D24" i="158"/>
  <c r="B24" i="158"/>
  <c r="D23" i="158"/>
  <c r="B23" i="158"/>
  <c r="E22" i="158"/>
  <c r="D22" i="158"/>
  <c r="B22" i="158"/>
  <c r="F19" i="158"/>
  <c r="E19" i="158"/>
  <c r="D19" i="158"/>
  <c r="C19" i="158"/>
  <c r="B19" i="158"/>
  <c r="F18" i="158"/>
  <c r="E18" i="158"/>
  <c r="D18" i="158"/>
  <c r="C18" i="158"/>
  <c r="B18" i="158"/>
  <c r="D17" i="158"/>
  <c r="C17" i="158"/>
  <c r="B17" i="158"/>
  <c r="F16" i="158"/>
  <c r="E16" i="158"/>
  <c r="D16" i="158"/>
  <c r="C16" i="158"/>
  <c r="B16" i="158"/>
  <c r="D14" i="158"/>
  <c r="B14" i="158"/>
  <c r="D13" i="158"/>
  <c r="B13" i="158"/>
  <c r="D12" i="158"/>
  <c r="B12" i="158"/>
  <c r="D10" i="158"/>
  <c r="B10" i="158"/>
  <c r="A4" i="141"/>
  <c r="A4" i="140"/>
  <c r="A4" i="158"/>
  <c r="A3" i="158"/>
  <c r="A1" i="158"/>
  <c r="A3" i="140"/>
  <c r="A1" i="140"/>
  <c r="A3" i="141"/>
  <c r="A1" i="141"/>
  <c r="F214" i="141"/>
  <c r="A9" i="141"/>
  <c r="A10" i="141" s="1"/>
  <c r="A11" i="141" s="1"/>
  <c r="A12" i="141" s="1"/>
  <c r="A13" i="141" s="1"/>
  <c r="A14" i="141" s="1"/>
  <c r="A15" i="141" s="1"/>
  <c r="A16" i="141" s="1"/>
  <c r="A17" i="141" s="1"/>
  <c r="A18" i="141" s="1"/>
  <c r="A19" i="141" s="1"/>
  <c r="A20" i="141" s="1"/>
  <c r="A21" i="141" s="1"/>
  <c r="A22" i="141" s="1"/>
  <c r="A23" i="141" s="1"/>
  <c r="A24" i="141" s="1"/>
  <c r="A25" i="141" s="1"/>
  <c r="A26" i="141" s="1"/>
  <c r="A27" i="141" s="1"/>
  <c r="A28" i="141" s="1"/>
  <c r="A29" i="141" s="1"/>
  <c r="A30" i="141" s="1"/>
  <c r="A31" i="141" s="1"/>
  <c r="A32" i="141" s="1"/>
  <c r="A33" i="141" s="1"/>
  <c r="A34" i="141" s="1"/>
  <c r="A35" i="141" s="1"/>
  <c r="A36" i="141" s="1"/>
  <c r="A37" i="141" s="1"/>
  <c r="A38" i="141" s="1"/>
  <c r="A39" i="141" s="1"/>
  <c r="A40" i="141" s="1"/>
  <c r="A41" i="141" s="1"/>
  <c r="A42" i="141" s="1"/>
  <c r="A43" i="141" s="1"/>
  <c r="A44" i="141" s="1"/>
  <c r="A45" i="141" s="1"/>
  <c r="A46" i="141" s="1"/>
  <c r="A47" i="141" s="1"/>
  <c r="A48" i="141" s="1"/>
  <c r="A49" i="141" s="1"/>
  <c r="A50" i="141" s="1"/>
  <c r="A51" i="141" s="1"/>
  <c r="A52" i="141" s="1"/>
  <c r="A53" i="141" s="1"/>
  <c r="A54" i="141" s="1"/>
  <c r="A55" i="141" s="1"/>
  <c r="A56" i="141" s="1"/>
  <c r="A57" i="141" s="1"/>
  <c r="A58" i="141" s="1"/>
  <c r="A59" i="141" s="1"/>
  <c r="A60" i="141" s="1"/>
  <c r="A61" i="141" s="1"/>
  <c r="A62" i="141" s="1"/>
  <c r="A63" i="141" s="1"/>
  <c r="A64" i="141" s="1"/>
  <c r="A65" i="141" s="1"/>
  <c r="A66" i="141" s="1"/>
  <c r="A67" i="141" s="1"/>
  <c r="A68" i="141" s="1"/>
  <c r="A69" i="141" s="1"/>
  <c r="A70" i="141" s="1"/>
  <c r="A71" i="141" s="1"/>
  <c r="A72" i="141" s="1"/>
  <c r="A73" i="141" s="1"/>
  <c r="A74" i="141" s="1"/>
  <c r="A75" i="141" s="1"/>
  <c r="A76" i="141" s="1"/>
  <c r="A77" i="141" s="1"/>
  <c r="A78" i="141" s="1"/>
  <c r="A79" i="141" s="1"/>
  <c r="A80" i="141" s="1"/>
  <c r="A81" i="141" s="1"/>
  <c r="A82" i="141" s="1"/>
  <c r="A83" i="141" s="1"/>
  <c r="A84" i="141" s="1"/>
  <c r="A85" i="141" s="1"/>
  <c r="A86" i="141" s="1"/>
  <c r="A87" i="141" s="1"/>
  <c r="A88" i="141" s="1"/>
  <c r="A89" i="141" s="1"/>
  <c r="A90" i="141" s="1"/>
  <c r="A91" i="141" s="1"/>
  <c r="F214" i="140"/>
  <c r="A9" i="140"/>
  <c r="A10" i="140" s="1"/>
  <c r="A11" i="140" s="1"/>
  <c r="A12" i="140" s="1"/>
  <c r="A13" i="140" s="1"/>
  <c r="A14" i="140" s="1"/>
  <c r="A15" i="140" s="1"/>
  <c r="A16" i="140" s="1"/>
  <c r="A17" i="140" s="1"/>
  <c r="A18" i="140" s="1"/>
  <c r="A19" i="140" s="1"/>
  <c r="A20" i="140" s="1"/>
  <c r="A21" i="140" s="1"/>
  <c r="A22" i="140" s="1"/>
  <c r="A23" i="140" s="1"/>
  <c r="A24" i="140" s="1"/>
  <c r="A25" i="140" s="1"/>
  <c r="A26" i="140" s="1"/>
  <c r="A27" i="140" s="1"/>
  <c r="A28" i="140" s="1"/>
  <c r="A29" i="140" s="1"/>
  <c r="A30" i="140" s="1"/>
  <c r="A31" i="140" s="1"/>
  <c r="A32" i="140" s="1"/>
  <c r="A33" i="140" s="1"/>
  <c r="A34" i="140" s="1"/>
  <c r="A35" i="140" s="1"/>
  <c r="A36" i="140" s="1"/>
  <c r="A37" i="140" s="1"/>
  <c r="A38" i="140" s="1"/>
  <c r="A39" i="140" s="1"/>
  <c r="A40" i="140" s="1"/>
  <c r="A41" i="140" s="1"/>
  <c r="A42" i="140" s="1"/>
  <c r="A43" i="140" s="1"/>
  <c r="A44" i="140" s="1"/>
  <c r="A45" i="140" s="1"/>
  <c r="A46" i="140" s="1"/>
  <c r="A47" i="140" s="1"/>
  <c r="A48" i="140" s="1"/>
  <c r="A49" i="140" s="1"/>
  <c r="A50" i="140" s="1"/>
  <c r="A51" i="140" s="1"/>
  <c r="A52" i="140" s="1"/>
  <c r="A53" i="140" s="1"/>
  <c r="A54" i="140" s="1"/>
  <c r="A55" i="140" s="1"/>
  <c r="A56" i="140" s="1"/>
  <c r="A57" i="140" s="1"/>
  <c r="A58" i="140" s="1"/>
  <c r="A59" i="140" s="1"/>
  <c r="A60" i="140" s="1"/>
  <c r="A61" i="140" s="1"/>
  <c r="A62" i="140" s="1"/>
  <c r="A63" i="140" s="1"/>
  <c r="A64" i="140" s="1"/>
  <c r="A65" i="140" s="1"/>
  <c r="A66" i="140" s="1"/>
  <c r="A67" i="140" s="1"/>
  <c r="A68" i="140" s="1"/>
  <c r="A69" i="140" s="1"/>
  <c r="A70" i="140" s="1"/>
  <c r="A71" i="140" s="1"/>
  <c r="A72" i="140" s="1"/>
  <c r="A73" i="140" s="1"/>
  <c r="A74" i="140" s="1"/>
  <c r="A75" i="140" s="1"/>
  <c r="A76" i="140" s="1"/>
  <c r="A77" i="140" s="1"/>
  <c r="A78" i="140" s="1"/>
  <c r="A79" i="140" s="1"/>
  <c r="A80" i="140" s="1"/>
  <c r="A81" i="140" s="1"/>
  <c r="A82" i="140" s="1"/>
  <c r="A83" i="140" s="1"/>
  <c r="A84" i="140" s="1"/>
  <c r="A85" i="140" s="1"/>
  <c r="A86" i="140" s="1"/>
  <c r="A87" i="140" s="1"/>
  <c r="A88" i="140" s="1"/>
  <c r="A89" i="140" s="1"/>
  <c r="A90" i="140" s="1"/>
  <c r="A91" i="140" s="1"/>
  <c r="A92" i="140" s="1"/>
  <c r="A93" i="140" s="1"/>
  <c r="A94" i="140" s="1"/>
  <c r="A95" i="140" s="1"/>
  <c r="A96" i="140" s="1"/>
  <c r="A97" i="140" s="1"/>
  <c r="A98" i="140" s="1"/>
  <c r="A99" i="140" s="1"/>
  <c r="A100" i="140" s="1"/>
  <c r="A101" i="140" s="1"/>
  <c r="A102" i="140" s="1"/>
  <c r="A103" i="140" s="1"/>
  <c r="A104" i="140" s="1"/>
  <c r="A105" i="140" s="1"/>
  <c r="A106" i="140" s="1"/>
  <c r="A107" i="140" s="1"/>
  <c r="A108" i="140" s="1"/>
  <c r="A109" i="140" s="1"/>
  <c r="A110" i="140" s="1"/>
  <c r="A111" i="140" s="1"/>
  <c r="A112" i="140" s="1"/>
  <c r="A113" i="140" s="1"/>
  <c r="A114" i="140" s="1"/>
  <c r="A115" i="140" s="1"/>
  <c r="A116" i="140" s="1"/>
  <c r="A117" i="140" s="1"/>
  <c r="A118" i="140" s="1"/>
  <c r="A119" i="140" s="1"/>
  <c r="A120" i="140" s="1"/>
  <c r="A121" i="140" s="1"/>
  <c r="A122" i="140" s="1"/>
  <c r="A123" i="140" s="1"/>
  <c r="A124" i="140" s="1"/>
  <c r="A125" i="140" s="1"/>
  <c r="A126" i="140" s="1"/>
  <c r="A127" i="140" s="1"/>
  <c r="A128" i="140" s="1"/>
  <c r="A129" i="140" s="1"/>
  <c r="A130" i="140" s="1"/>
  <c r="A131" i="140" s="1"/>
  <c r="A132" i="140" s="1"/>
  <c r="A133" i="140" s="1"/>
  <c r="A134" i="140" s="1"/>
  <c r="A135" i="140" s="1"/>
  <c r="A136" i="140" s="1"/>
  <c r="A137" i="140" s="1"/>
  <c r="A138" i="140" s="1"/>
  <c r="A139" i="140" s="1"/>
  <c r="A140" i="140" s="1"/>
  <c r="A141" i="140" s="1"/>
  <c r="A142" i="140" s="1"/>
  <c r="A143" i="140" s="1"/>
  <c r="A144" i="140" s="1"/>
  <c r="A145" i="140" s="1"/>
  <c r="A146" i="140" s="1"/>
  <c r="A147" i="140" s="1"/>
  <c r="A148" i="140" s="1"/>
  <c r="A149" i="140" s="1"/>
  <c r="A150" i="140" s="1"/>
  <c r="A151" i="140" s="1"/>
  <c r="A152" i="140" s="1"/>
  <c r="A153" i="140" s="1"/>
  <c r="A154" i="140" s="1"/>
  <c r="A155" i="140" s="1"/>
  <c r="A156" i="140" s="1"/>
  <c r="A157" i="140" s="1"/>
  <c r="A158" i="140" s="1"/>
  <c r="A159" i="140" s="1"/>
  <c r="A160" i="140" s="1"/>
  <c r="A161" i="140" s="1"/>
  <c r="A162" i="140" s="1"/>
  <c r="A163" i="140" s="1"/>
  <c r="A164" i="140" s="1"/>
  <c r="A165" i="140" s="1"/>
  <c r="A166" i="140" s="1"/>
  <c r="A167" i="140" s="1"/>
  <c r="A168" i="140" s="1"/>
  <c r="A169" i="140" s="1"/>
  <c r="A170" i="140" s="1"/>
  <c r="A171" i="140" s="1"/>
  <c r="A172" i="140" s="1"/>
  <c r="A173" i="140" s="1"/>
  <c r="A174" i="140" s="1"/>
  <c r="A175" i="140" s="1"/>
  <c r="A176" i="140" s="1"/>
  <c r="A177" i="140" s="1"/>
  <c r="A178" i="140" s="1"/>
  <c r="A179" i="140" s="1"/>
  <c r="A180" i="140" s="1"/>
  <c r="A181" i="140" s="1"/>
  <c r="A182" i="140" s="1"/>
  <c r="A183" i="140" s="1"/>
  <c r="A184" i="140" s="1"/>
  <c r="A185" i="140" s="1"/>
  <c r="A186" i="140" s="1"/>
  <c r="A187" i="140" s="1"/>
  <c r="A188" i="140" s="1"/>
  <c r="A189" i="140" s="1"/>
  <c r="A190" i="140" s="1"/>
  <c r="A191" i="140" s="1"/>
  <c r="A192" i="140" s="1"/>
  <c r="A193" i="140" s="1"/>
  <c r="A194" i="140" s="1"/>
  <c r="F212" i="158"/>
  <c r="A10" i="158"/>
  <c r="A11" i="158" s="1"/>
  <c r="A12" i="158" s="1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A31" i="158" s="1"/>
  <c r="A32" i="158" s="1"/>
  <c r="A33" i="158" s="1"/>
  <c r="A34" i="158" s="1"/>
  <c r="A35" i="158" s="1"/>
  <c r="A36" i="158" s="1"/>
  <c r="A37" i="158" s="1"/>
  <c r="A38" i="158" s="1"/>
  <c r="A39" i="158" s="1"/>
  <c r="A40" i="158" s="1"/>
  <c r="A41" i="158" s="1"/>
  <c r="A42" i="158" s="1"/>
  <c r="A43" i="158" s="1"/>
  <c r="A44" i="158" s="1"/>
  <c r="A45" i="158" s="1"/>
  <c r="A46" i="158" s="1"/>
  <c r="A47" i="158" s="1"/>
  <c r="A48" i="158" s="1"/>
  <c r="A49" i="158" s="1"/>
  <c r="A50" i="158" s="1"/>
  <c r="A51" i="158" s="1"/>
  <c r="A52" i="158" s="1"/>
  <c r="A53" i="158" s="1"/>
  <c r="A54" i="158" s="1"/>
  <c r="A55" i="158" s="1"/>
  <c r="A56" i="158" s="1"/>
  <c r="A57" i="158" s="1"/>
  <c r="A58" i="158" s="1"/>
  <c r="A59" i="158" s="1"/>
  <c r="A60" i="158" s="1"/>
  <c r="A61" i="158" s="1"/>
  <c r="A62" i="158" s="1"/>
  <c r="A63" i="158" s="1"/>
  <c r="A64" i="158" s="1"/>
  <c r="A65" i="158" s="1"/>
  <c r="A66" i="158" s="1"/>
  <c r="A67" i="158" s="1"/>
  <c r="A68" i="158" s="1"/>
  <c r="A69" i="158" s="1"/>
  <c r="A70" i="158" s="1"/>
  <c r="A71" i="158" s="1"/>
  <c r="A72" i="158" s="1"/>
  <c r="A73" i="158" s="1"/>
  <c r="A74" i="158" s="1"/>
  <c r="A75" i="158" s="1"/>
  <c r="A76" i="158" s="1"/>
  <c r="A77" i="158" s="1"/>
  <c r="A78" i="158" s="1"/>
  <c r="A79" i="158" s="1"/>
  <c r="A80" i="158" s="1"/>
  <c r="A81" i="158" s="1"/>
  <c r="A82" i="158" s="1"/>
  <c r="A83" i="158" s="1"/>
  <c r="A84" i="158" s="1"/>
  <c r="A85" i="158" s="1"/>
  <c r="A86" i="158" s="1"/>
  <c r="A87" i="158" s="1"/>
  <c r="A88" i="158" s="1"/>
  <c r="A89" i="158" s="1"/>
  <c r="A90" i="158" s="1"/>
  <c r="A91" i="158" s="1"/>
  <c r="A92" i="158" s="1"/>
  <c r="A93" i="158" s="1"/>
  <c r="A94" i="158" s="1"/>
  <c r="A95" i="158" s="1"/>
  <c r="A96" i="158" s="1"/>
  <c r="A97" i="158" s="1"/>
  <c r="A98" i="158" s="1"/>
  <c r="A99" i="158" s="1"/>
  <c r="A100" i="158" s="1"/>
  <c r="A101" i="158" s="1"/>
  <c r="A102" i="158" s="1"/>
  <c r="A103" i="158" s="1"/>
  <c r="A104" i="158" s="1"/>
  <c r="A105" i="158" s="1"/>
  <c r="A106" i="158" s="1"/>
  <c r="A107" i="158" s="1"/>
  <c r="A108" i="158" s="1"/>
  <c r="A109" i="158" s="1"/>
  <c r="A110" i="158" s="1"/>
  <c r="A111" i="158" s="1"/>
  <c r="A112" i="158" s="1"/>
  <c r="A113" i="158" s="1"/>
  <c r="A114" i="158" s="1"/>
  <c r="A115" i="158" s="1"/>
  <c r="A116" i="158" s="1"/>
  <c r="A117" i="158" s="1"/>
  <c r="A118" i="158" s="1"/>
  <c r="A119" i="158" s="1"/>
  <c r="A120" i="158" s="1"/>
  <c r="A121" i="158" s="1"/>
  <c r="A122" i="158" s="1"/>
  <c r="A123" i="158" s="1"/>
  <c r="A124" i="158" s="1"/>
  <c r="A125" i="158" s="1"/>
  <c r="A126" i="158" s="1"/>
  <c r="A127" i="158" s="1"/>
  <c r="A128" i="158" s="1"/>
  <c r="A129" i="158" s="1"/>
  <c r="A130" i="158" s="1"/>
  <c r="A131" i="158" s="1"/>
  <c r="A132" i="158" s="1"/>
  <c r="A133" i="158" s="1"/>
  <c r="A134" i="158" s="1"/>
  <c r="A135" i="158" s="1"/>
  <c r="A136" i="158" s="1"/>
  <c r="A137" i="158" s="1"/>
  <c r="A138" i="158" s="1"/>
  <c r="A139" i="158" s="1"/>
  <c r="A140" i="158" s="1"/>
  <c r="A141" i="158" s="1"/>
  <c r="A142" i="158" s="1"/>
  <c r="A143" i="158" s="1"/>
  <c r="A144" i="158" s="1"/>
  <c r="A145" i="158" s="1"/>
  <c r="A146" i="158" s="1"/>
  <c r="A147" i="158" s="1"/>
  <c r="A148" i="158" s="1"/>
  <c r="A149" i="158" s="1"/>
  <c r="A150" i="158" s="1"/>
  <c r="A151" i="158" s="1"/>
  <c r="A152" i="158" s="1"/>
  <c r="A153" i="158" s="1"/>
  <c r="A154" i="158" s="1"/>
  <c r="A155" i="158" s="1"/>
  <c r="A156" i="158" s="1"/>
  <c r="A157" i="158" s="1"/>
  <c r="A158" i="158" s="1"/>
  <c r="A159" i="158" s="1"/>
  <c r="A160" i="158" s="1"/>
  <c r="A161" i="158" s="1"/>
  <c r="A162" i="158" s="1"/>
  <c r="A163" i="158" s="1"/>
  <c r="A164" i="158" s="1"/>
  <c r="A165" i="158" s="1"/>
  <c r="A166" i="158" s="1"/>
  <c r="A167" i="158" s="1"/>
  <c r="A168" i="158" s="1"/>
  <c r="A169" i="158" s="1"/>
  <c r="A170" i="158" s="1"/>
  <c r="A171" i="158" s="1"/>
  <c r="A172" i="158" s="1"/>
  <c r="A173" i="158" s="1"/>
  <c r="A174" i="158" s="1"/>
  <c r="A175" i="158" s="1"/>
  <c r="A176" i="158" s="1"/>
  <c r="A177" i="158" s="1"/>
  <c r="A178" i="158" s="1"/>
  <c r="A179" i="158" s="1"/>
  <c r="A180" i="158" s="1"/>
  <c r="A181" i="158" s="1"/>
  <c r="A182" i="158" s="1"/>
  <c r="A183" i="158" s="1"/>
  <c r="A184" i="158" s="1"/>
  <c r="A185" i="158" s="1"/>
  <c r="A186" i="158" s="1"/>
  <c r="A187" i="158" s="1"/>
  <c r="A188" i="158" s="1"/>
  <c r="A189" i="158" s="1"/>
  <c r="A190" i="158" s="1"/>
  <c r="A191" i="158" s="1"/>
  <c r="A192" i="158" s="1"/>
  <c r="A193" i="158" s="1"/>
  <c r="A194" i="158" s="1"/>
  <c r="A195" i="158" s="1"/>
  <c r="A196" i="158" s="1"/>
  <c r="A197" i="158" s="1"/>
  <c r="A198" i="158" s="1"/>
  <c r="A199" i="158" s="1"/>
  <c r="A200" i="158" s="1"/>
  <c r="A201" i="158" s="1"/>
  <c r="A202" i="158" s="1"/>
  <c r="A203" i="158" s="1"/>
  <c r="A204" i="158" s="1"/>
  <c r="A205" i="158" s="1"/>
  <c r="A206" i="158" s="1"/>
  <c r="A207" i="158" s="1"/>
  <c r="A208" i="158" s="1"/>
  <c r="A209" i="158" s="1"/>
  <c r="A210" i="158" s="1"/>
  <c r="A211" i="158" s="1"/>
  <c r="A212" i="158" s="1"/>
  <c r="A9" i="158"/>
  <c r="A103" i="141" l="1"/>
  <c r="A104" i="141" s="1"/>
  <c r="A105" i="141" s="1"/>
  <c r="A106" i="141" s="1"/>
  <c r="A107" i="141" s="1"/>
  <c r="A108" i="141" s="1"/>
  <c r="A109" i="141" s="1"/>
  <c r="A110" i="141" s="1"/>
  <c r="A111" i="141" s="1"/>
  <c r="A112" i="141" s="1"/>
  <c r="A113" i="141" s="1"/>
  <c r="A114" i="141" s="1"/>
  <c r="A115" i="141" s="1"/>
  <c r="A116" i="141" s="1"/>
  <c r="A117" i="141" s="1"/>
  <c r="A118" i="141" s="1"/>
  <c r="A119" i="141" s="1"/>
  <c r="A120" i="141" s="1"/>
  <c r="A121" i="141" s="1"/>
  <c r="A122" i="141" s="1"/>
  <c r="A123" i="141" s="1"/>
  <c r="A124" i="141" s="1"/>
  <c r="A125" i="141" s="1"/>
  <c r="A126" i="141" s="1"/>
  <c r="A127" i="141" s="1"/>
  <c r="A128" i="141" s="1"/>
  <c r="A129" i="141" s="1"/>
  <c r="A130" i="141" s="1"/>
  <c r="A131" i="141" s="1"/>
  <c r="A132" i="141" s="1"/>
  <c r="A133" i="141" s="1"/>
  <c r="A134" i="141" s="1"/>
  <c r="A135" i="141" s="1"/>
  <c r="A136" i="141" s="1"/>
  <c r="A137" i="141" s="1"/>
  <c r="A138" i="141" s="1"/>
  <c r="A139" i="141" s="1"/>
  <c r="A140" i="141" s="1"/>
  <c r="A141" i="141" s="1"/>
  <c r="A142" i="141" s="1"/>
  <c r="A143" i="141" s="1"/>
  <c r="A144" i="141" s="1"/>
  <c r="A145" i="141" s="1"/>
  <c r="A146" i="141" s="1"/>
  <c r="A147" i="141" s="1"/>
  <c r="A148" i="141" s="1"/>
  <c r="A149" i="141" s="1"/>
  <c r="A150" i="141" s="1"/>
  <c r="A151" i="141" s="1"/>
  <c r="A152" i="141" s="1"/>
  <c r="A153" i="141" s="1"/>
  <c r="A154" i="141" s="1"/>
  <c r="A155" i="141" s="1"/>
  <c r="A156" i="141" s="1"/>
  <c r="A157" i="141" s="1"/>
  <c r="A158" i="141" s="1"/>
  <c r="A159" i="141" s="1"/>
  <c r="A160" i="141" s="1"/>
  <c r="A161" i="141" s="1"/>
  <c r="A162" i="141" s="1"/>
  <c r="A163" i="141" s="1"/>
  <c r="A164" i="141" s="1"/>
  <c r="A165" i="141" s="1"/>
  <c r="A166" i="141" s="1"/>
  <c r="A167" i="141" s="1"/>
  <c r="A168" i="141" s="1"/>
  <c r="A169" i="141" s="1"/>
  <c r="A170" i="141" s="1"/>
  <c r="A171" i="141" s="1"/>
  <c r="A172" i="141" s="1"/>
  <c r="A173" i="141" s="1"/>
  <c r="A174" i="141" s="1"/>
  <c r="A175" i="141" s="1"/>
  <c r="A176" i="141" s="1"/>
  <c r="A177" i="141" s="1"/>
  <c r="A178" i="141" s="1"/>
  <c r="A179" i="141" s="1"/>
  <c r="A180" i="141" s="1"/>
  <c r="A181" i="141" s="1"/>
  <c r="A182" i="141" s="1"/>
  <c r="A183" i="141" s="1"/>
  <c r="A184" i="141" s="1"/>
  <c r="A185" i="141" s="1"/>
  <c r="A186" i="141" s="1"/>
  <c r="A187" i="141" s="1"/>
  <c r="A188" i="141" s="1"/>
  <c r="A189" i="141" s="1"/>
  <c r="A190" i="141" s="1"/>
  <c r="A191" i="141" s="1"/>
  <c r="A192" i="141" s="1"/>
  <c r="A193" i="141" s="1"/>
  <c r="A194" i="141" s="1"/>
  <c r="A92" i="141"/>
  <c r="A93" i="141" s="1"/>
  <c r="A94" i="141" s="1"/>
  <c r="A95" i="141" s="1"/>
  <c r="A96" i="141" s="1"/>
  <c r="A97" i="141" s="1"/>
  <c r="A98" i="141" s="1"/>
  <c r="A99" i="141" s="1"/>
  <c r="A100" i="141" s="1"/>
  <c r="A101" i="141" s="1"/>
  <c r="G223" i="141"/>
  <c r="G214" i="141" s="1"/>
  <c r="A196" i="140"/>
  <c r="A195" i="140"/>
  <c r="A197" i="140" s="1"/>
  <c r="A198" i="140" s="1"/>
  <c r="A199" i="140" s="1"/>
  <c r="A200" i="140" s="1"/>
  <c r="A201" i="140" s="1"/>
  <c r="A202" i="140" s="1"/>
  <c r="A203" i="140" s="1"/>
  <c r="A204" i="140" s="1"/>
  <c r="A205" i="140" s="1"/>
  <c r="A206" i="140" s="1"/>
  <c r="A207" i="140" s="1"/>
  <c r="A208" i="140" s="1"/>
  <c r="A209" i="140" s="1"/>
  <c r="A210" i="140" s="1"/>
  <c r="A211" i="140" s="1"/>
  <c r="A212" i="140" s="1"/>
  <c r="A213" i="140" s="1"/>
  <c r="A214" i="140" s="1"/>
  <c r="G223" i="140"/>
  <c r="G214" i="140" s="1"/>
  <c r="G221" i="158"/>
  <c r="G212" i="158" s="1"/>
  <c r="A196" i="141" l="1"/>
  <c r="A195" i="141"/>
  <c r="A197" i="141" s="1"/>
  <c r="A198" i="141" s="1"/>
  <c r="A199" i="141" s="1"/>
  <c r="A200" i="141" s="1"/>
  <c r="A201" i="141" s="1"/>
  <c r="A202" i="141" s="1"/>
  <c r="A203" i="141" s="1"/>
  <c r="A204" i="141" s="1"/>
  <c r="A205" i="141" s="1"/>
  <c r="A206" i="141" s="1"/>
  <c r="A207" i="141" s="1"/>
  <c r="A208" i="141" s="1"/>
  <c r="A209" i="141" s="1"/>
  <c r="A210" i="141" s="1"/>
  <c r="A211" i="141" s="1"/>
  <c r="A212" i="141" s="1"/>
  <c r="A213" i="141" s="1"/>
  <c r="A214" i="141" s="1"/>
  <c r="A1" i="189" l="1"/>
  <c r="A3" i="189"/>
  <c r="A4" i="189"/>
  <c r="A8" i="189"/>
  <c r="A9" i="189" s="1"/>
  <c r="A10" i="189" s="1"/>
  <c r="A11" i="189" s="1"/>
  <c r="A12" i="189" s="1"/>
  <c r="A13" i="189" s="1"/>
  <c r="A14" i="189" s="1"/>
  <c r="A15" i="189" s="1"/>
  <c r="A18" i="189" s="1"/>
  <c r="A19" i="189" s="1"/>
  <c r="A20" i="189" s="1"/>
  <c r="A21" i="189" s="1"/>
  <c r="A22" i="189" s="1"/>
  <c r="A23" i="189" s="1"/>
  <c r="A24" i="189" s="1"/>
  <c r="A25" i="189" s="1"/>
  <c r="A26" i="189" s="1"/>
  <c r="A27" i="189" s="1"/>
  <c r="A28" i="189" s="1"/>
  <c r="A29" i="189" s="1"/>
  <c r="A32" i="189" s="1"/>
  <c r="A33" i="189" s="1"/>
  <c r="A34" i="189" s="1"/>
  <c r="A35" i="189" s="1"/>
  <c r="A36" i="189" s="1"/>
  <c r="A37" i="189" s="1"/>
  <c r="A38" i="189" s="1"/>
  <c r="A39" i="189" s="1"/>
  <c r="A40" i="189" s="1"/>
  <c r="A41" i="189" s="1"/>
  <c r="A42" i="189" s="1"/>
  <c r="A43" i="189" s="1"/>
  <c r="A44" i="189" s="1"/>
  <c r="E8" i="189"/>
  <c r="D21" i="189"/>
  <c r="E9" i="189"/>
  <c r="E12" i="189"/>
  <c r="E13" i="189"/>
  <c r="A1" i="188"/>
  <c r="A3" i="188"/>
  <c r="A4" i="188"/>
  <c r="C24" i="188"/>
  <c r="C25" i="188"/>
  <c r="D18" i="188"/>
  <c r="E18" i="188"/>
  <c r="F18" i="188"/>
  <c r="A1" i="187"/>
  <c r="A2" i="187"/>
  <c r="A3" i="187"/>
  <c r="C8" i="187"/>
  <c r="J8" i="187" s="1"/>
  <c r="E8" i="187"/>
  <c r="F8" i="187"/>
  <c r="K8" i="187"/>
  <c r="O8" i="187"/>
  <c r="V8" i="187"/>
  <c r="C10" i="187"/>
  <c r="J10" i="187" s="1"/>
  <c r="E10" i="187"/>
  <c r="O10" i="187" s="1"/>
  <c r="F10" i="187"/>
  <c r="U10" i="187" s="1"/>
  <c r="A11" i="187"/>
  <c r="A12" i="187" s="1"/>
  <c r="C11" i="187"/>
  <c r="J11" i="187" s="1"/>
  <c r="E11" i="187"/>
  <c r="F11" i="187"/>
  <c r="L11" i="187" s="1"/>
  <c r="C12" i="187"/>
  <c r="J12" i="187" s="1"/>
  <c r="E12" i="187"/>
  <c r="O12" i="187" s="1"/>
  <c r="F12" i="187"/>
  <c r="C14" i="187"/>
  <c r="J14" i="187" s="1"/>
  <c r="D14" i="187"/>
  <c r="E14" i="187"/>
  <c r="O14" i="187" s="1"/>
  <c r="F14" i="187"/>
  <c r="U14" i="187" s="1"/>
  <c r="G14" i="187"/>
  <c r="K14" i="187"/>
  <c r="N14" i="187"/>
  <c r="V14" i="187"/>
  <c r="A15" i="187"/>
  <c r="C15" i="187"/>
  <c r="J15" i="187" s="1"/>
  <c r="E15" i="187"/>
  <c r="O15" i="187" s="1"/>
  <c r="F15" i="187"/>
  <c r="L15" i="187" s="1"/>
  <c r="K15" i="187"/>
  <c r="V15" i="187"/>
  <c r="A16" i="187"/>
  <c r="A17" i="187" s="1"/>
  <c r="C16" i="187"/>
  <c r="J16" i="187" s="1"/>
  <c r="D16" i="187"/>
  <c r="E16" i="187"/>
  <c r="F16" i="187"/>
  <c r="U16" i="187" s="1"/>
  <c r="G16" i="187"/>
  <c r="K16" i="187"/>
  <c r="N16" i="187"/>
  <c r="V16" i="187"/>
  <c r="C17" i="187"/>
  <c r="J17" i="187" s="1"/>
  <c r="D17" i="187"/>
  <c r="E17" i="187"/>
  <c r="O17" i="187" s="1"/>
  <c r="F17" i="187"/>
  <c r="L17" i="187" s="1"/>
  <c r="G17" i="187"/>
  <c r="K17" i="187"/>
  <c r="N17" i="187"/>
  <c r="V17" i="187"/>
  <c r="C19" i="187"/>
  <c r="J19" i="187" s="1"/>
  <c r="D19" i="187"/>
  <c r="E19" i="187"/>
  <c r="O19" i="187" s="1"/>
  <c r="F19" i="187"/>
  <c r="U19" i="187" s="1"/>
  <c r="K19" i="187"/>
  <c r="V19" i="187"/>
  <c r="C20" i="187"/>
  <c r="J20" i="187" s="1"/>
  <c r="E20" i="187"/>
  <c r="F20" i="187"/>
  <c r="U20" i="187" s="1"/>
  <c r="K20" i="187"/>
  <c r="O20" i="187"/>
  <c r="V20" i="187"/>
  <c r="C21" i="187"/>
  <c r="J21" i="187" s="1"/>
  <c r="E21" i="187"/>
  <c r="F21" i="187"/>
  <c r="U21" i="187" s="1"/>
  <c r="K21" i="187"/>
  <c r="V21" i="187"/>
  <c r="C22" i="187"/>
  <c r="J22" i="187" s="1"/>
  <c r="E22" i="187"/>
  <c r="O22" i="187" s="1"/>
  <c r="F22" i="187"/>
  <c r="K22" i="187"/>
  <c r="V22" i="187"/>
  <c r="C23" i="187"/>
  <c r="J23" i="187" s="1"/>
  <c r="E23" i="187"/>
  <c r="F23" i="187"/>
  <c r="U23" i="187" s="1"/>
  <c r="K23" i="187"/>
  <c r="V23" i="187"/>
  <c r="C24" i="187"/>
  <c r="J24" i="187" s="1"/>
  <c r="E24" i="187"/>
  <c r="O24" i="187" s="1"/>
  <c r="F24" i="187"/>
  <c r="U24" i="187" s="1"/>
  <c r="K24" i="187"/>
  <c r="V24" i="187"/>
  <c r="C25" i="187"/>
  <c r="J25" i="187" s="1"/>
  <c r="E25" i="187"/>
  <c r="F25" i="187"/>
  <c r="U25" i="187" s="1"/>
  <c r="K25" i="187"/>
  <c r="V25" i="187"/>
  <c r="C26" i="187"/>
  <c r="J26" i="187" s="1"/>
  <c r="E26" i="187"/>
  <c r="O26" i="187" s="1"/>
  <c r="F26" i="187"/>
  <c r="U26" i="187" s="1"/>
  <c r="K26" i="187"/>
  <c r="V26" i="187"/>
  <c r="C27" i="187"/>
  <c r="J27" i="187" s="1"/>
  <c r="E27" i="187"/>
  <c r="F27" i="187"/>
  <c r="U27" i="187" s="1"/>
  <c r="K27" i="187"/>
  <c r="V27" i="187"/>
  <c r="C28" i="187"/>
  <c r="J28" i="187" s="1"/>
  <c r="E28" i="187"/>
  <c r="F28" i="187"/>
  <c r="U28" i="187" s="1"/>
  <c r="K28" i="187"/>
  <c r="V28" i="187"/>
  <c r="B30" i="187"/>
  <c r="C30" i="187"/>
  <c r="J30" i="187" s="1"/>
  <c r="D30" i="187"/>
  <c r="E30" i="187"/>
  <c r="O30" i="187" s="1"/>
  <c r="F30" i="187"/>
  <c r="G30" i="187"/>
  <c r="K30" i="187"/>
  <c r="N30" i="187"/>
  <c r="V30" i="187"/>
  <c r="B31" i="187"/>
  <c r="C31" i="187"/>
  <c r="J31" i="187" s="1"/>
  <c r="E31" i="187"/>
  <c r="F31" i="187"/>
  <c r="U31" i="187" s="1"/>
  <c r="G31" i="187"/>
  <c r="K31" i="187"/>
  <c r="N31" i="187"/>
  <c r="V31" i="187"/>
  <c r="B32" i="187"/>
  <c r="C32" i="187"/>
  <c r="J32" i="187" s="1"/>
  <c r="E32" i="187"/>
  <c r="F32" i="187"/>
  <c r="L32" i="187" s="1"/>
  <c r="G32" i="187"/>
  <c r="K32" i="187"/>
  <c r="N32" i="187"/>
  <c r="V32" i="187"/>
  <c r="B33" i="187"/>
  <c r="C33" i="187"/>
  <c r="J33" i="187" s="1"/>
  <c r="E33" i="187"/>
  <c r="O33" i="187" s="1"/>
  <c r="F33" i="187"/>
  <c r="U33" i="187" s="1"/>
  <c r="G33" i="187"/>
  <c r="K33" i="187"/>
  <c r="N33" i="187"/>
  <c r="V33" i="187"/>
  <c r="B34" i="187"/>
  <c r="C34" i="187"/>
  <c r="J34" i="187" s="1"/>
  <c r="E34" i="187"/>
  <c r="O34" i="187" s="1"/>
  <c r="F34" i="187"/>
  <c r="U34" i="187" s="1"/>
  <c r="G34" i="187"/>
  <c r="K34" i="187"/>
  <c r="N34" i="187"/>
  <c r="V34" i="187"/>
  <c r="B35" i="187"/>
  <c r="C35" i="187"/>
  <c r="J35" i="187" s="1"/>
  <c r="E35" i="187"/>
  <c r="O35" i="187" s="1"/>
  <c r="F35" i="187"/>
  <c r="U35" i="187" s="1"/>
  <c r="G35" i="187"/>
  <c r="K35" i="187"/>
  <c r="N35" i="187"/>
  <c r="V35" i="187"/>
  <c r="B36" i="187"/>
  <c r="C36" i="187"/>
  <c r="J36" i="187" s="1"/>
  <c r="E36" i="187"/>
  <c r="O36" i="187" s="1"/>
  <c r="F36" i="187"/>
  <c r="U36" i="187" s="1"/>
  <c r="G36" i="187"/>
  <c r="K36" i="187"/>
  <c r="N36" i="187"/>
  <c r="V36" i="187"/>
  <c r="B37" i="187"/>
  <c r="C37" i="187"/>
  <c r="J37" i="187" s="1"/>
  <c r="E37" i="187"/>
  <c r="F37" i="187"/>
  <c r="U37" i="187" s="1"/>
  <c r="G37" i="187"/>
  <c r="K37" i="187"/>
  <c r="N37" i="187"/>
  <c r="V37" i="187"/>
  <c r="B38" i="187"/>
  <c r="C38" i="187"/>
  <c r="J38" i="187" s="1"/>
  <c r="E38" i="187"/>
  <c r="O38" i="187" s="1"/>
  <c r="F38" i="187"/>
  <c r="L38" i="187" s="1"/>
  <c r="G38" i="187"/>
  <c r="K38" i="187"/>
  <c r="N38" i="187"/>
  <c r="V38" i="187"/>
  <c r="B39" i="187"/>
  <c r="C39" i="187"/>
  <c r="J39" i="187" s="1"/>
  <c r="E39" i="187"/>
  <c r="F39" i="187"/>
  <c r="U39" i="187" s="1"/>
  <c r="G39" i="187"/>
  <c r="K39" i="187"/>
  <c r="N39" i="187"/>
  <c r="V39" i="187"/>
  <c r="C41" i="187"/>
  <c r="J41" i="187" s="1"/>
  <c r="D41" i="187"/>
  <c r="E41" i="187"/>
  <c r="O41" i="187" s="1"/>
  <c r="F41" i="187"/>
  <c r="K41" i="187"/>
  <c r="V41" i="187"/>
  <c r="C42" i="187"/>
  <c r="J42" i="187" s="1"/>
  <c r="E42" i="187"/>
  <c r="O42" i="187" s="1"/>
  <c r="F42" i="187"/>
  <c r="U42" i="187" s="1"/>
  <c r="K42" i="187"/>
  <c r="V42" i="187"/>
  <c r="A43" i="187"/>
  <c r="A44" i="187" s="1"/>
  <c r="A45" i="187" s="1"/>
  <c r="A46" i="187" s="1"/>
  <c r="C43" i="187"/>
  <c r="J43" i="187" s="1"/>
  <c r="E43" i="187"/>
  <c r="F43" i="187"/>
  <c r="U43" i="187" s="1"/>
  <c r="K43" i="187"/>
  <c r="V43" i="187"/>
  <c r="C44" i="187"/>
  <c r="J44" i="187" s="1"/>
  <c r="E44" i="187"/>
  <c r="O44" i="187" s="1"/>
  <c r="F44" i="187"/>
  <c r="L44" i="187" s="1"/>
  <c r="K44" i="187"/>
  <c r="V44" i="187"/>
  <c r="C45" i="187"/>
  <c r="J45" i="187" s="1"/>
  <c r="E45" i="187"/>
  <c r="O45" i="187" s="1"/>
  <c r="F45" i="187"/>
  <c r="U45" i="187" s="1"/>
  <c r="K45" i="187"/>
  <c r="V45" i="187"/>
  <c r="C46" i="187"/>
  <c r="J46" i="187" s="1"/>
  <c r="E46" i="187"/>
  <c r="F46" i="187"/>
  <c r="U46" i="187" s="1"/>
  <c r="K46" i="187"/>
  <c r="V46" i="187"/>
  <c r="C47" i="187"/>
  <c r="J47" i="187" s="1"/>
  <c r="E47" i="187"/>
  <c r="O47" i="187" s="1"/>
  <c r="F47" i="187"/>
  <c r="U47" i="187" s="1"/>
  <c r="K47" i="187"/>
  <c r="V47" i="187"/>
  <c r="C48" i="187"/>
  <c r="J48" i="187" s="1"/>
  <c r="E48" i="187"/>
  <c r="O48" i="187" s="1"/>
  <c r="F48" i="187"/>
  <c r="U48" i="187" s="1"/>
  <c r="K48" i="187"/>
  <c r="V48" i="187"/>
  <c r="C50" i="187"/>
  <c r="J50" i="187" s="1"/>
  <c r="E50" i="187"/>
  <c r="O50" i="187" s="1"/>
  <c r="F50" i="187"/>
  <c r="U50" i="187" s="1"/>
  <c r="K50" i="187"/>
  <c r="V50" i="187"/>
  <c r="C51" i="187"/>
  <c r="J51" i="187" s="1"/>
  <c r="E51" i="187"/>
  <c r="F51" i="187"/>
  <c r="U51" i="187" s="1"/>
  <c r="K51" i="187"/>
  <c r="O51" i="187"/>
  <c r="V51" i="187"/>
  <c r="C52" i="187"/>
  <c r="J52" i="187" s="1"/>
  <c r="E52" i="187"/>
  <c r="O52" i="187" s="1"/>
  <c r="F52" i="187"/>
  <c r="U52" i="187" s="1"/>
  <c r="K52" i="187"/>
  <c r="V52" i="187"/>
  <c r="C53" i="187"/>
  <c r="J53" i="187" s="1"/>
  <c r="E53" i="187"/>
  <c r="O53" i="187" s="1"/>
  <c r="F53" i="187"/>
  <c r="K53" i="187"/>
  <c r="V53" i="187"/>
  <c r="C54" i="187"/>
  <c r="J54" i="187" s="1"/>
  <c r="E54" i="187"/>
  <c r="O54" i="187" s="1"/>
  <c r="F54" i="187"/>
  <c r="U54" i="187" s="1"/>
  <c r="K54" i="187"/>
  <c r="V54" i="187"/>
  <c r="C55" i="187"/>
  <c r="J55" i="187" s="1"/>
  <c r="E55" i="187"/>
  <c r="O55" i="187" s="1"/>
  <c r="F55" i="187"/>
  <c r="U55" i="187" s="1"/>
  <c r="K55" i="187"/>
  <c r="V55" i="187"/>
  <c r="C56" i="187"/>
  <c r="J56" i="187" s="1"/>
  <c r="E56" i="187"/>
  <c r="O56" i="187" s="1"/>
  <c r="F56" i="187"/>
  <c r="U56" i="187" s="1"/>
  <c r="K56" i="187"/>
  <c r="V56" i="187"/>
  <c r="C58" i="187"/>
  <c r="J58" i="187" s="1"/>
  <c r="E58" i="187"/>
  <c r="O58" i="187" s="1"/>
  <c r="F58" i="187"/>
  <c r="H58" i="187"/>
  <c r="A59" i="187"/>
  <c r="A60" i="187" s="1"/>
  <c r="A61" i="187" s="1"/>
  <c r="A62" i="187" s="1"/>
  <c r="A63" i="187" s="1"/>
  <c r="A64" i="187" s="1"/>
  <c r="A65" i="187" s="1"/>
  <c r="C59" i="187"/>
  <c r="J59" i="187" s="1"/>
  <c r="E59" i="187"/>
  <c r="O59" i="187" s="1"/>
  <c r="F59" i="187"/>
  <c r="H59" i="187"/>
  <c r="C60" i="187"/>
  <c r="J60" i="187" s="1"/>
  <c r="E60" i="187"/>
  <c r="F60" i="187"/>
  <c r="H60" i="187"/>
  <c r="C61" i="187"/>
  <c r="J61" i="187" s="1"/>
  <c r="E61" i="187"/>
  <c r="F61" i="187"/>
  <c r="H61" i="187"/>
  <c r="C62" i="187"/>
  <c r="J62" i="187" s="1"/>
  <c r="E62" i="187"/>
  <c r="O62" i="187" s="1"/>
  <c r="F62" i="187"/>
  <c r="H62" i="187"/>
  <c r="C63" i="187"/>
  <c r="J63" i="187" s="1"/>
  <c r="E63" i="187"/>
  <c r="O63" i="187" s="1"/>
  <c r="F63" i="187"/>
  <c r="H63" i="187"/>
  <c r="C64" i="187"/>
  <c r="J64" i="187" s="1"/>
  <c r="E64" i="187"/>
  <c r="O64" i="187" s="1"/>
  <c r="F64" i="187"/>
  <c r="H64" i="187"/>
  <c r="C65" i="187"/>
  <c r="J65" i="187" s="1"/>
  <c r="E65" i="187"/>
  <c r="O65" i="187" s="1"/>
  <c r="F65" i="187"/>
  <c r="H65" i="187"/>
  <c r="C66" i="187"/>
  <c r="J66" i="187" s="1"/>
  <c r="D66" i="187"/>
  <c r="E66" i="187"/>
  <c r="F66" i="187"/>
  <c r="H66" i="187"/>
  <c r="C68" i="187"/>
  <c r="J68" i="187" s="1"/>
  <c r="D68" i="187"/>
  <c r="E68" i="187"/>
  <c r="O68" i="187" s="1"/>
  <c r="F68" i="187"/>
  <c r="G68" i="187"/>
  <c r="H68" i="187"/>
  <c r="N68" i="187"/>
  <c r="C69" i="187"/>
  <c r="J69" i="187" s="1"/>
  <c r="D69" i="187"/>
  <c r="E69" i="187"/>
  <c r="O69" i="187" s="1"/>
  <c r="F69" i="187"/>
  <c r="G69" i="187"/>
  <c r="H69" i="187"/>
  <c r="N69" i="187"/>
  <c r="C70" i="187"/>
  <c r="J70" i="187" s="1"/>
  <c r="D70" i="187"/>
  <c r="E70" i="187"/>
  <c r="O70" i="187" s="1"/>
  <c r="F70" i="187"/>
  <c r="G70" i="187"/>
  <c r="H70" i="187"/>
  <c r="N70" i="187"/>
  <c r="C71" i="187"/>
  <c r="J71" i="187" s="1"/>
  <c r="D71" i="187"/>
  <c r="E71" i="187"/>
  <c r="F71" i="187"/>
  <c r="G71" i="187"/>
  <c r="H71" i="187"/>
  <c r="N71" i="187"/>
  <c r="C72" i="187"/>
  <c r="J72" i="187" s="1"/>
  <c r="D72" i="187"/>
  <c r="E72" i="187"/>
  <c r="O72" i="187" s="1"/>
  <c r="F72" i="187"/>
  <c r="G72" i="187"/>
  <c r="K72" i="187" s="1"/>
  <c r="H72" i="187"/>
  <c r="N72" i="187"/>
  <c r="C74" i="187"/>
  <c r="J74" i="187" s="1"/>
  <c r="D74" i="187"/>
  <c r="E74" i="187"/>
  <c r="O74" i="187" s="1"/>
  <c r="F74" i="187"/>
  <c r="H74" i="187"/>
  <c r="C75" i="187"/>
  <c r="J75" i="187" s="1"/>
  <c r="E75" i="187"/>
  <c r="F75" i="187"/>
  <c r="H75" i="187"/>
  <c r="C76" i="187"/>
  <c r="J76" i="187" s="1"/>
  <c r="E76" i="187"/>
  <c r="O76" i="187" s="1"/>
  <c r="F76" i="187"/>
  <c r="H76" i="187"/>
  <c r="C77" i="187"/>
  <c r="J77" i="187" s="1"/>
  <c r="E77" i="187"/>
  <c r="O77" i="187" s="1"/>
  <c r="F77" i="187"/>
  <c r="H77" i="187"/>
  <c r="C78" i="187"/>
  <c r="E78" i="187"/>
  <c r="F78" i="187"/>
  <c r="H78" i="187"/>
  <c r="J78" i="187"/>
  <c r="C79" i="187"/>
  <c r="J79" i="187" s="1"/>
  <c r="E79" i="187"/>
  <c r="O79" i="187" s="1"/>
  <c r="F79" i="187"/>
  <c r="H79" i="187"/>
  <c r="C80" i="187"/>
  <c r="J80" i="187" s="1"/>
  <c r="E80" i="187"/>
  <c r="O80" i="187" s="1"/>
  <c r="F80" i="187"/>
  <c r="H80" i="187"/>
  <c r="C81" i="187"/>
  <c r="J81" i="187" s="1"/>
  <c r="E81" i="187"/>
  <c r="O81" i="187" s="1"/>
  <c r="F81" i="187"/>
  <c r="H81" i="187"/>
  <c r="C82" i="187"/>
  <c r="J82" i="187" s="1"/>
  <c r="E82" i="187"/>
  <c r="F82" i="187"/>
  <c r="H82" i="187"/>
  <c r="C83" i="187"/>
  <c r="J83" i="187" s="1"/>
  <c r="E83" i="187"/>
  <c r="O83" i="187" s="1"/>
  <c r="F83" i="187"/>
  <c r="H83" i="187"/>
  <c r="B85" i="187"/>
  <c r="C85" i="187"/>
  <c r="J85" i="187" s="1"/>
  <c r="D85" i="187"/>
  <c r="E85" i="187"/>
  <c r="O85" i="187" s="1"/>
  <c r="F85" i="187"/>
  <c r="G85" i="187"/>
  <c r="H85" i="187"/>
  <c r="N85" i="187"/>
  <c r="B86" i="187"/>
  <c r="C86" i="187"/>
  <c r="J86" i="187" s="1"/>
  <c r="E86" i="187"/>
  <c r="F86" i="187"/>
  <c r="G86" i="187"/>
  <c r="H86" i="187"/>
  <c r="N86" i="187"/>
  <c r="B87" i="187"/>
  <c r="C87" i="187"/>
  <c r="J87" i="187" s="1"/>
  <c r="E87" i="187"/>
  <c r="O87" i="187" s="1"/>
  <c r="F87" i="187"/>
  <c r="G87" i="187"/>
  <c r="H87" i="187"/>
  <c r="N87" i="187"/>
  <c r="B88" i="187"/>
  <c r="C88" i="187"/>
  <c r="J88" i="187" s="1"/>
  <c r="E88" i="187"/>
  <c r="F88" i="187"/>
  <c r="G88" i="187"/>
  <c r="H88" i="187"/>
  <c r="N88" i="187"/>
  <c r="B89" i="187"/>
  <c r="C89" i="187"/>
  <c r="J89" i="187" s="1"/>
  <c r="E89" i="187"/>
  <c r="O89" i="187" s="1"/>
  <c r="F89" i="187"/>
  <c r="G89" i="187"/>
  <c r="H89" i="187"/>
  <c r="N89" i="187"/>
  <c r="B90" i="187"/>
  <c r="C90" i="187"/>
  <c r="J90" i="187" s="1"/>
  <c r="E90" i="187"/>
  <c r="O90" i="187" s="1"/>
  <c r="F90" i="187"/>
  <c r="G90" i="187"/>
  <c r="H90" i="187"/>
  <c r="N90" i="187"/>
  <c r="B91" i="187"/>
  <c r="C91" i="187"/>
  <c r="J91" i="187" s="1"/>
  <c r="E91" i="187"/>
  <c r="O91" i="187" s="1"/>
  <c r="F91" i="187"/>
  <c r="G91" i="187"/>
  <c r="H91" i="187"/>
  <c r="N91" i="187"/>
  <c r="B92" i="187"/>
  <c r="C92" i="187"/>
  <c r="J92" i="187" s="1"/>
  <c r="E92" i="187"/>
  <c r="O92" i="187" s="1"/>
  <c r="F92" i="187"/>
  <c r="G92" i="187"/>
  <c r="H92" i="187"/>
  <c r="N92" i="187"/>
  <c r="B93" i="187"/>
  <c r="C93" i="187"/>
  <c r="J93" i="187" s="1"/>
  <c r="E93" i="187"/>
  <c r="O93" i="187" s="1"/>
  <c r="F93" i="187"/>
  <c r="G93" i="187"/>
  <c r="H93" i="187"/>
  <c r="N93" i="187"/>
  <c r="B94" i="187"/>
  <c r="C94" i="187"/>
  <c r="J94" i="187" s="1"/>
  <c r="E94" i="187"/>
  <c r="O94" i="187" s="1"/>
  <c r="F94" i="187"/>
  <c r="G94" i="187"/>
  <c r="H94" i="187"/>
  <c r="N94" i="187"/>
  <c r="C96" i="187"/>
  <c r="J96" i="187" s="1"/>
  <c r="E96" i="187"/>
  <c r="O96" i="187" s="1"/>
  <c r="F96" i="187"/>
  <c r="U96" i="187" s="1"/>
  <c r="A97" i="187"/>
  <c r="A98" i="187" s="1"/>
  <c r="A99" i="187" s="1"/>
  <c r="A100" i="187" s="1"/>
  <c r="A101" i="187" s="1"/>
  <c r="A102" i="187" s="1"/>
  <c r="A103" i="187" s="1"/>
  <c r="A104" i="187" s="1"/>
  <c r="A106" i="187" s="1"/>
  <c r="A107" i="187" s="1"/>
  <c r="A108" i="187" s="1"/>
  <c r="A109" i="187" s="1"/>
  <c r="A110" i="187" s="1"/>
  <c r="A111" i="187" s="1"/>
  <c r="A114" i="187" s="1"/>
  <c r="A115" i="187" s="1"/>
  <c r="A116" i="187" s="1"/>
  <c r="A117" i="187" s="1"/>
  <c r="A118" i="187" s="1"/>
  <c r="A119" i="187" s="1"/>
  <c r="A120" i="187" s="1"/>
  <c r="A121" i="187" s="1"/>
  <c r="A122" i="187" s="1"/>
  <c r="C97" i="187"/>
  <c r="J97" i="187" s="1"/>
  <c r="E97" i="187"/>
  <c r="F97" i="187"/>
  <c r="U97" i="187" s="1"/>
  <c r="O97" i="187"/>
  <c r="C98" i="187"/>
  <c r="J98" i="187" s="1"/>
  <c r="E98" i="187"/>
  <c r="O98" i="187" s="1"/>
  <c r="F98" i="187"/>
  <c r="U98" i="187" s="1"/>
  <c r="C99" i="187"/>
  <c r="J99" i="187" s="1"/>
  <c r="E99" i="187"/>
  <c r="O99" i="187" s="1"/>
  <c r="F99" i="187"/>
  <c r="C100" i="187"/>
  <c r="J100" i="187" s="1"/>
  <c r="E100" i="187"/>
  <c r="F100" i="187"/>
  <c r="U100" i="187" s="1"/>
  <c r="C101" i="187"/>
  <c r="J101" i="187" s="1"/>
  <c r="E101" i="187"/>
  <c r="O101" i="187" s="1"/>
  <c r="F101" i="187"/>
  <c r="L101" i="187" s="1"/>
  <c r="C102" i="187"/>
  <c r="E102" i="187"/>
  <c r="O102" i="187" s="1"/>
  <c r="F102" i="187"/>
  <c r="U102" i="187" s="1"/>
  <c r="J102" i="187"/>
  <c r="C103" i="187"/>
  <c r="J103" i="187" s="1"/>
  <c r="E103" i="187"/>
  <c r="O103" i="187" s="1"/>
  <c r="F103" i="187"/>
  <c r="C104" i="187"/>
  <c r="J104" i="187" s="1"/>
  <c r="D104" i="187"/>
  <c r="E104" i="187"/>
  <c r="F104" i="187"/>
  <c r="U104" i="187" s="1"/>
  <c r="C106" i="187"/>
  <c r="J106" i="187" s="1"/>
  <c r="D106" i="187"/>
  <c r="E106" i="187"/>
  <c r="O106" i="187" s="1"/>
  <c r="F106" i="187"/>
  <c r="L106" i="187" s="1"/>
  <c r="G106" i="187"/>
  <c r="N106" i="187"/>
  <c r="C107" i="187"/>
  <c r="J107" i="187" s="1"/>
  <c r="D107" i="187"/>
  <c r="E107" i="187"/>
  <c r="O107" i="187" s="1"/>
  <c r="F107" i="187"/>
  <c r="U107" i="187" s="1"/>
  <c r="G107" i="187"/>
  <c r="N107" i="187"/>
  <c r="C108" i="187"/>
  <c r="J108" i="187" s="1"/>
  <c r="D108" i="187"/>
  <c r="E108" i="187"/>
  <c r="O108" i="187" s="1"/>
  <c r="F108" i="187"/>
  <c r="G108" i="187"/>
  <c r="K108" i="187" s="1"/>
  <c r="N108" i="187"/>
  <c r="C109" i="187"/>
  <c r="J109" i="187" s="1"/>
  <c r="E109" i="187"/>
  <c r="F109" i="187"/>
  <c r="U109" i="187" s="1"/>
  <c r="L109" i="187"/>
  <c r="C110" i="187"/>
  <c r="J110" i="187" s="1"/>
  <c r="D110" i="187"/>
  <c r="E110" i="187"/>
  <c r="F110" i="187"/>
  <c r="L110" i="187" s="1"/>
  <c r="G110" i="187"/>
  <c r="K110" i="187" s="1"/>
  <c r="N110" i="187"/>
  <c r="O110" i="187"/>
  <c r="C111" i="187"/>
  <c r="J111" i="187" s="1"/>
  <c r="D111" i="187"/>
  <c r="E111" i="187"/>
  <c r="O111" i="187" s="1"/>
  <c r="F111" i="187"/>
  <c r="U111" i="187" s="1"/>
  <c r="G111" i="187"/>
  <c r="N111" i="187"/>
  <c r="C113" i="187"/>
  <c r="D113" i="187"/>
  <c r="E113" i="187"/>
  <c r="O113" i="187" s="1"/>
  <c r="F113" i="187"/>
  <c r="U113" i="187" s="1"/>
  <c r="J113" i="187"/>
  <c r="C114" i="187"/>
  <c r="J114" i="187" s="1"/>
  <c r="E114" i="187"/>
  <c r="O114" i="187" s="1"/>
  <c r="F114" i="187"/>
  <c r="C115" i="187"/>
  <c r="J115" i="187" s="1"/>
  <c r="E115" i="187"/>
  <c r="O115" i="187" s="1"/>
  <c r="F115" i="187"/>
  <c r="L115" i="187" s="1"/>
  <c r="C116" i="187"/>
  <c r="J116" i="187" s="1"/>
  <c r="E116" i="187"/>
  <c r="O116" i="187" s="1"/>
  <c r="F116" i="187"/>
  <c r="C117" i="187"/>
  <c r="J117" i="187" s="1"/>
  <c r="E117" i="187"/>
  <c r="O117" i="187" s="1"/>
  <c r="F117" i="187"/>
  <c r="U117" i="187" s="1"/>
  <c r="C118" i="187"/>
  <c r="J118" i="187" s="1"/>
  <c r="E118" i="187"/>
  <c r="O118" i="187" s="1"/>
  <c r="F118" i="187"/>
  <c r="C119" i="187"/>
  <c r="J119" i="187" s="1"/>
  <c r="E119" i="187"/>
  <c r="O119" i="187" s="1"/>
  <c r="F119" i="187"/>
  <c r="C120" i="187"/>
  <c r="J120" i="187" s="1"/>
  <c r="D120" i="187"/>
  <c r="E120" i="187"/>
  <c r="O120" i="187" s="1"/>
  <c r="F120" i="187"/>
  <c r="C121" i="187"/>
  <c r="J121" i="187" s="1"/>
  <c r="E121" i="187"/>
  <c r="O121" i="187" s="1"/>
  <c r="F121" i="187"/>
  <c r="C122" i="187"/>
  <c r="J122" i="187" s="1"/>
  <c r="D122" i="187"/>
  <c r="E122" i="187"/>
  <c r="O122" i="187" s="1"/>
  <c r="F122" i="187"/>
  <c r="C124" i="187"/>
  <c r="J124" i="187" s="1"/>
  <c r="E124" i="187"/>
  <c r="F124" i="187"/>
  <c r="U124" i="187" s="1"/>
  <c r="K124" i="187"/>
  <c r="V124" i="187"/>
  <c r="A125" i="187"/>
  <c r="A126" i="187" s="1"/>
  <c r="A127" i="187" s="1"/>
  <c r="A128" i="187" s="1"/>
  <c r="A129" i="187" s="1"/>
  <c r="A130" i="187" s="1"/>
  <c r="A131" i="187" s="1"/>
  <c r="A132" i="187" s="1"/>
  <c r="A135" i="187" s="1"/>
  <c r="A136" i="187" s="1"/>
  <c r="A137" i="187" s="1"/>
  <c r="A138" i="187" s="1"/>
  <c r="A139" i="187" s="1"/>
  <c r="A140" i="187" s="1"/>
  <c r="C125" i="187"/>
  <c r="J125" i="187" s="1"/>
  <c r="E125" i="187"/>
  <c r="O125" i="187" s="1"/>
  <c r="F125" i="187"/>
  <c r="K125" i="187"/>
  <c r="V125" i="187"/>
  <c r="C126" i="187"/>
  <c r="J126" i="187" s="1"/>
  <c r="E126" i="187"/>
  <c r="F126" i="187"/>
  <c r="U126" i="187" s="1"/>
  <c r="K126" i="187"/>
  <c r="V126" i="187"/>
  <c r="C127" i="187"/>
  <c r="J127" i="187" s="1"/>
  <c r="E127" i="187"/>
  <c r="O127" i="187" s="1"/>
  <c r="F127" i="187"/>
  <c r="U127" i="187" s="1"/>
  <c r="K127" i="187"/>
  <c r="V127" i="187"/>
  <c r="C128" i="187"/>
  <c r="J128" i="187" s="1"/>
  <c r="E128" i="187"/>
  <c r="F128" i="187"/>
  <c r="U128" i="187" s="1"/>
  <c r="K128" i="187"/>
  <c r="V128" i="187"/>
  <c r="C129" i="187"/>
  <c r="J129" i="187" s="1"/>
  <c r="E129" i="187"/>
  <c r="O129" i="187" s="1"/>
  <c r="F129" i="187"/>
  <c r="K129" i="187"/>
  <c r="V129" i="187"/>
  <c r="C130" i="187"/>
  <c r="J130" i="187" s="1"/>
  <c r="E130" i="187"/>
  <c r="O130" i="187" s="1"/>
  <c r="F130" i="187"/>
  <c r="L130" i="187" s="1"/>
  <c r="K130" i="187"/>
  <c r="V130" i="187"/>
  <c r="C131" i="187"/>
  <c r="J131" i="187" s="1"/>
  <c r="E131" i="187"/>
  <c r="O131" i="187" s="1"/>
  <c r="F131" i="187"/>
  <c r="K131" i="187"/>
  <c r="V131" i="187"/>
  <c r="C132" i="187"/>
  <c r="J132" i="187" s="1"/>
  <c r="E132" i="187"/>
  <c r="F132" i="187"/>
  <c r="L132" i="187" s="1"/>
  <c r="K132" i="187"/>
  <c r="O132" i="187"/>
  <c r="V132" i="187"/>
  <c r="C134" i="187"/>
  <c r="J134" i="187" s="1"/>
  <c r="D134" i="187"/>
  <c r="E134" i="187"/>
  <c r="O134" i="187" s="1"/>
  <c r="F134" i="187"/>
  <c r="L134" i="187" s="1"/>
  <c r="K134" i="187"/>
  <c r="V134" i="187"/>
  <c r="C135" i="187"/>
  <c r="J135" i="187" s="1"/>
  <c r="E135" i="187"/>
  <c r="O135" i="187" s="1"/>
  <c r="F135" i="187"/>
  <c r="U135" i="187" s="1"/>
  <c r="K135" i="187"/>
  <c r="V135" i="187"/>
  <c r="C136" i="187"/>
  <c r="J136" i="187" s="1"/>
  <c r="E136" i="187"/>
  <c r="O136" i="187" s="1"/>
  <c r="F136" i="187"/>
  <c r="L136" i="187" s="1"/>
  <c r="K136" i="187"/>
  <c r="V136" i="187"/>
  <c r="C137" i="187"/>
  <c r="J137" i="187" s="1"/>
  <c r="E137" i="187"/>
  <c r="F137" i="187"/>
  <c r="U137" i="187" s="1"/>
  <c r="K137" i="187"/>
  <c r="V137" i="187"/>
  <c r="C138" i="187"/>
  <c r="J138" i="187" s="1"/>
  <c r="E138" i="187"/>
  <c r="O138" i="187" s="1"/>
  <c r="F138" i="187"/>
  <c r="K138" i="187"/>
  <c r="V138" i="187"/>
  <c r="C139" i="187"/>
  <c r="J139" i="187" s="1"/>
  <c r="E139" i="187"/>
  <c r="F139" i="187"/>
  <c r="U139" i="187" s="1"/>
  <c r="K139" i="187"/>
  <c r="V139" i="187"/>
  <c r="C140" i="187"/>
  <c r="J140" i="187" s="1"/>
  <c r="E140" i="187"/>
  <c r="O140" i="187" s="1"/>
  <c r="F140" i="187"/>
  <c r="L140" i="187" s="1"/>
  <c r="K140" i="187"/>
  <c r="V140" i="187"/>
  <c r="C141" i="187"/>
  <c r="J141" i="187" s="1"/>
  <c r="E141" i="187"/>
  <c r="F141" i="187"/>
  <c r="U141" i="187" s="1"/>
  <c r="K141" i="187"/>
  <c r="V141" i="187"/>
  <c r="C142" i="187"/>
  <c r="J142" i="187" s="1"/>
  <c r="E142" i="187"/>
  <c r="O142" i="187" s="1"/>
  <c r="F142" i="187"/>
  <c r="L142" i="187" s="1"/>
  <c r="K142" i="187"/>
  <c r="V142" i="187"/>
  <c r="C143" i="187"/>
  <c r="J143" i="187" s="1"/>
  <c r="D143" i="187"/>
  <c r="E143" i="187"/>
  <c r="O143" i="187" s="1"/>
  <c r="F143" i="187"/>
  <c r="U143" i="187" s="1"/>
  <c r="K143" i="187"/>
  <c r="V143" i="187"/>
  <c r="C145" i="187"/>
  <c r="J145" i="187" s="1"/>
  <c r="E145" i="187"/>
  <c r="O145" i="187" s="1"/>
  <c r="F145" i="187"/>
  <c r="H145" i="187"/>
  <c r="A146" i="187"/>
  <c r="A147" i="187" s="1"/>
  <c r="A148" i="187" s="1"/>
  <c r="A149" i="187" s="1"/>
  <c r="A150" i="187" s="1"/>
  <c r="A152" i="187" s="1"/>
  <c r="A155" i="187" s="1"/>
  <c r="A156" i="187" s="1"/>
  <c r="A157" i="187" s="1"/>
  <c r="A158" i="187" s="1"/>
  <c r="A159" i="187" s="1"/>
  <c r="A160" i="187" s="1"/>
  <c r="C146" i="187"/>
  <c r="J146" i="187" s="1"/>
  <c r="E146" i="187"/>
  <c r="F146" i="187"/>
  <c r="H146" i="187"/>
  <c r="C147" i="187"/>
  <c r="J147" i="187" s="1"/>
  <c r="E147" i="187"/>
  <c r="O147" i="187" s="1"/>
  <c r="F147" i="187"/>
  <c r="H147" i="187"/>
  <c r="C148" i="187"/>
  <c r="J148" i="187" s="1"/>
  <c r="E148" i="187"/>
  <c r="O148" i="187" s="1"/>
  <c r="F148" i="187"/>
  <c r="H148" i="187"/>
  <c r="C149" i="187"/>
  <c r="J149" i="187" s="1"/>
  <c r="E149" i="187"/>
  <c r="O149" i="187" s="1"/>
  <c r="F149" i="187"/>
  <c r="H149" i="187"/>
  <c r="C150" i="187"/>
  <c r="J150" i="187" s="1"/>
  <c r="E150" i="187"/>
  <c r="F150" i="187"/>
  <c r="H150" i="187"/>
  <c r="C152" i="187"/>
  <c r="J152" i="187" s="1"/>
  <c r="E152" i="187"/>
  <c r="O152" i="187" s="1"/>
  <c r="F152" i="187"/>
  <c r="H152" i="187"/>
  <c r="C154" i="187"/>
  <c r="J154" i="187" s="1"/>
  <c r="D154" i="187"/>
  <c r="E154" i="187"/>
  <c r="O154" i="187" s="1"/>
  <c r="F154" i="187"/>
  <c r="G154" i="187"/>
  <c r="H154" i="187"/>
  <c r="N154" i="187"/>
  <c r="C155" i="187"/>
  <c r="J155" i="187" s="1"/>
  <c r="E155" i="187"/>
  <c r="F155" i="187"/>
  <c r="H155" i="187"/>
  <c r="C156" i="187"/>
  <c r="J156" i="187" s="1"/>
  <c r="E156" i="187"/>
  <c r="O156" i="187" s="1"/>
  <c r="F156" i="187"/>
  <c r="H156" i="187"/>
  <c r="C157" i="187"/>
  <c r="J157" i="187" s="1"/>
  <c r="E157" i="187"/>
  <c r="O157" i="187" s="1"/>
  <c r="F157" i="187"/>
  <c r="H157" i="187"/>
  <c r="C158" i="187"/>
  <c r="J158" i="187" s="1"/>
  <c r="D158" i="187"/>
  <c r="E158" i="187"/>
  <c r="F158" i="187"/>
  <c r="G158" i="187"/>
  <c r="H158" i="187"/>
  <c r="N158" i="187"/>
  <c r="C159" i="187"/>
  <c r="J159" i="187" s="1"/>
  <c r="D159" i="187"/>
  <c r="E159" i="187"/>
  <c r="F159" i="187"/>
  <c r="G159" i="187"/>
  <c r="H159" i="187"/>
  <c r="N159" i="187"/>
  <c r="C160" i="187"/>
  <c r="J160" i="187" s="1"/>
  <c r="D160" i="187"/>
  <c r="E160" i="187"/>
  <c r="O160" i="187" s="1"/>
  <c r="F160" i="187"/>
  <c r="G160" i="187"/>
  <c r="H160" i="187"/>
  <c r="N160" i="187"/>
  <c r="C161" i="187"/>
  <c r="J161" i="187" s="1"/>
  <c r="D161" i="187"/>
  <c r="E161" i="187"/>
  <c r="F161" i="187"/>
  <c r="G161" i="187"/>
  <c r="H161" i="187"/>
  <c r="N161" i="187"/>
  <c r="C162" i="187"/>
  <c r="J162" i="187" s="1"/>
  <c r="D162" i="187"/>
  <c r="E162" i="187"/>
  <c r="O162" i="187" s="1"/>
  <c r="F162" i="187"/>
  <c r="G162" i="187"/>
  <c r="H162" i="187"/>
  <c r="N162" i="187"/>
  <c r="C163" i="187"/>
  <c r="J163" i="187" s="1"/>
  <c r="D163" i="187"/>
  <c r="E163" i="187"/>
  <c r="F163" i="187"/>
  <c r="G163" i="187"/>
  <c r="K163" i="187" s="1"/>
  <c r="H163" i="187"/>
  <c r="N163" i="187"/>
  <c r="C165" i="187"/>
  <c r="J165" i="187" s="1"/>
  <c r="E165" i="187"/>
  <c r="O165" i="187" s="1"/>
  <c r="F165" i="187"/>
  <c r="H165" i="187"/>
  <c r="A166" i="187"/>
  <c r="A172" i="187" s="1"/>
  <c r="C166" i="187"/>
  <c r="J166" i="187" s="1"/>
  <c r="E166" i="187"/>
  <c r="O166" i="187" s="1"/>
  <c r="F166" i="187"/>
  <c r="H166" i="187"/>
  <c r="C167" i="187"/>
  <c r="J167" i="187" s="1"/>
  <c r="E167" i="187"/>
  <c r="F167" i="187"/>
  <c r="H167" i="187"/>
  <c r="C168" i="187"/>
  <c r="E168" i="187"/>
  <c r="O168" i="187" s="1"/>
  <c r="F168" i="187"/>
  <c r="H168" i="187"/>
  <c r="J168" i="187"/>
  <c r="C169" i="187"/>
  <c r="J169" i="187" s="1"/>
  <c r="E169" i="187"/>
  <c r="O169" i="187" s="1"/>
  <c r="F169" i="187"/>
  <c r="H169" i="187"/>
  <c r="C170" i="187"/>
  <c r="J170" i="187" s="1"/>
  <c r="E170" i="187"/>
  <c r="O170" i="187" s="1"/>
  <c r="F170" i="187"/>
  <c r="H170" i="187"/>
  <c r="C172" i="187"/>
  <c r="J172" i="187" s="1"/>
  <c r="E172" i="187"/>
  <c r="F172" i="187"/>
  <c r="H172" i="187"/>
  <c r="C173" i="187"/>
  <c r="J173" i="187" s="1"/>
  <c r="E173" i="187"/>
  <c r="O173" i="187" s="1"/>
  <c r="F173" i="187"/>
  <c r="H173" i="187"/>
  <c r="C174" i="187"/>
  <c r="J174" i="187" s="1"/>
  <c r="E174" i="187"/>
  <c r="O174" i="187" s="1"/>
  <c r="F174" i="187"/>
  <c r="H174" i="187"/>
  <c r="C175" i="187"/>
  <c r="J175" i="187" s="1"/>
  <c r="E175" i="187"/>
  <c r="O175" i="187" s="1"/>
  <c r="F175" i="187"/>
  <c r="H175" i="187"/>
  <c r="C176" i="187"/>
  <c r="J176" i="187" s="1"/>
  <c r="E176" i="187"/>
  <c r="F176" i="187"/>
  <c r="H176" i="187"/>
  <c r="C178" i="187"/>
  <c r="J178" i="187" s="1"/>
  <c r="E178" i="187"/>
  <c r="O178" i="187" s="1"/>
  <c r="F178" i="187"/>
  <c r="H178" i="187"/>
  <c r="C179" i="187"/>
  <c r="J179" i="187" s="1"/>
  <c r="E179" i="187"/>
  <c r="O179" i="187" s="1"/>
  <c r="F179" i="187"/>
  <c r="H179" i="187"/>
  <c r="C180" i="187"/>
  <c r="J180" i="187" s="1"/>
  <c r="E180" i="187"/>
  <c r="O180" i="187" s="1"/>
  <c r="F180" i="187"/>
  <c r="H180" i="187"/>
  <c r="C181" i="187"/>
  <c r="J181" i="187" s="1"/>
  <c r="E181" i="187"/>
  <c r="F181" i="187"/>
  <c r="H181" i="187"/>
  <c r="C183" i="187"/>
  <c r="J183" i="187" s="1"/>
  <c r="E183" i="187"/>
  <c r="O183" i="187" s="1"/>
  <c r="F183" i="187"/>
  <c r="H183" i="187"/>
  <c r="C184" i="187"/>
  <c r="J184" i="187" s="1"/>
  <c r="E184" i="187"/>
  <c r="F184" i="187"/>
  <c r="H184" i="187"/>
  <c r="C186" i="187"/>
  <c r="J186" i="187" s="1"/>
  <c r="D186" i="187"/>
  <c r="E186" i="187"/>
  <c r="F186" i="187"/>
  <c r="G186" i="187"/>
  <c r="H186" i="187"/>
  <c r="N186" i="187"/>
  <c r="C187" i="187"/>
  <c r="J187" i="187" s="1"/>
  <c r="E187" i="187"/>
  <c r="O187" i="187" s="1"/>
  <c r="F187" i="187"/>
  <c r="H187" i="187"/>
  <c r="C188" i="187"/>
  <c r="J188" i="187" s="1"/>
  <c r="E188" i="187"/>
  <c r="F188" i="187"/>
  <c r="H188" i="187"/>
  <c r="C189" i="187"/>
  <c r="J189" i="187" s="1"/>
  <c r="E189" i="187"/>
  <c r="F189" i="187"/>
  <c r="H189" i="187"/>
  <c r="C190" i="187"/>
  <c r="J190" i="187" s="1"/>
  <c r="E190" i="187"/>
  <c r="F190" i="187"/>
  <c r="H190" i="187"/>
  <c r="C191" i="187"/>
  <c r="J191" i="187" s="1"/>
  <c r="E191" i="187"/>
  <c r="F191" i="187"/>
  <c r="H191" i="187"/>
  <c r="C192" i="187"/>
  <c r="J192" i="187" s="1"/>
  <c r="D192" i="187"/>
  <c r="E192" i="187"/>
  <c r="F192" i="187"/>
  <c r="G192" i="187"/>
  <c r="H192" i="187"/>
  <c r="N192" i="187"/>
  <c r="C193" i="187"/>
  <c r="E193" i="187"/>
  <c r="F193" i="187"/>
  <c r="H193" i="187"/>
  <c r="J193" i="187"/>
  <c r="C194" i="187"/>
  <c r="J194" i="187" s="1"/>
  <c r="E194" i="187"/>
  <c r="O194" i="187" s="1"/>
  <c r="F194" i="187"/>
  <c r="H194" i="187"/>
  <c r="C195" i="187"/>
  <c r="D195" i="187"/>
  <c r="E195" i="187"/>
  <c r="M195" i="187" s="1"/>
  <c r="F195" i="187"/>
  <c r="G195" i="187"/>
  <c r="H195" i="187"/>
  <c r="J195" i="187"/>
  <c r="K195" i="187" s="1"/>
  <c r="N195" i="187"/>
  <c r="C196" i="187"/>
  <c r="J196" i="187" s="1"/>
  <c r="D196" i="187"/>
  <c r="E196" i="187"/>
  <c r="O196" i="187" s="1"/>
  <c r="F196" i="187"/>
  <c r="G196" i="187"/>
  <c r="H196" i="187"/>
  <c r="N196" i="187"/>
  <c r="C197" i="187"/>
  <c r="J197" i="187" s="1"/>
  <c r="D197" i="187"/>
  <c r="E197" i="187"/>
  <c r="F197" i="187"/>
  <c r="G197" i="187"/>
  <c r="H197" i="187"/>
  <c r="N197" i="187"/>
  <c r="O197" i="187"/>
  <c r="C198" i="187"/>
  <c r="J198" i="187" s="1"/>
  <c r="D198" i="187"/>
  <c r="E198" i="187"/>
  <c r="O198" i="187" s="1"/>
  <c r="F198" i="187"/>
  <c r="G198" i="187"/>
  <c r="H198" i="187"/>
  <c r="N198" i="187"/>
  <c r="C199" i="187"/>
  <c r="J199" i="187" s="1"/>
  <c r="D199" i="187"/>
  <c r="E199" i="187"/>
  <c r="O199" i="187" s="1"/>
  <c r="F199" i="187"/>
  <c r="G199" i="187"/>
  <c r="H199" i="187"/>
  <c r="N199" i="187"/>
  <c r="C200" i="187"/>
  <c r="J200" i="187" s="1"/>
  <c r="D200" i="187"/>
  <c r="E200" i="187"/>
  <c r="O200" i="187" s="1"/>
  <c r="F200" i="187"/>
  <c r="G200" i="187"/>
  <c r="H200" i="187"/>
  <c r="N200" i="187"/>
  <c r="C201" i="187"/>
  <c r="J201" i="187" s="1"/>
  <c r="D201" i="187"/>
  <c r="E201" i="187"/>
  <c r="O201" i="187" s="1"/>
  <c r="F201" i="187"/>
  <c r="G201" i="187"/>
  <c r="H201" i="187"/>
  <c r="N201" i="187"/>
  <c r="C203" i="187"/>
  <c r="J203" i="187" s="1"/>
  <c r="D203" i="187"/>
  <c r="F203" i="187"/>
  <c r="L203" i="187" s="1"/>
  <c r="G203" i="187"/>
  <c r="K203" i="187"/>
  <c r="V203" i="187"/>
  <c r="C205" i="187"/>
  <c r="D205" i="187"/>
  <c r="F205" i="187"/>
  <c r="O205" i="187"/>
  <c r="C206" i="187"/>
  <c r="D206" i="187"/>
  <c r="F206" i="187"/>
  <c r="H206" i="187"/>
  <c r="H205" i="187" s="1"/>
  <c r="O206" i="187"/>
  <c r="C208" i="187"/>
  <c r="D208" i="187"/>
  <c r="F208" i="187"/>
  <c r="O208" i="187"/>
  <c r="A1" i="186"/>
  <c r="A4" i="186"/>
  <c r="A5" i="186"/>
  <c r="J9" i="186"/>
  <c r="F10" i="192" s="1"/>
  <c r="J11" i="186"/>
  <c r="F12" i="192" s="1"/>
  <c r="A12" i="186"/>
  <c r="A13" i="186" s="1"/>
  <c r="D12" i="186"/>
  <c r="J12" i="186"/>
  <c r="F13" i="192" s="1"/>
  <c r="D13" i="186"/>
  <c r="J13" i="186"/>
  <c r="F14" i="192" s="1"/>
  <c r="D15" i="186"/>
  <c r="J15" i="186"/>
  <c r="L15" i="186"/>
  <c r="A16" i="186"/>
  <c r="A17" i="186" s="1"/>
  <c r="A18" i="186" s="1"/>
  <c r="D16" i="186"/>
  <c r="D17" i="186" s="1"/>
  <c r="D18" i="186" s="1"/>
  <c r="J16" i="186"/>
  <c r="F17" i="192" s="1"/>
  <c r="J17" i="186"/>
  <c r="L17" i="186"/>
  <c r="J18" i="186"/>
  <c r="L18" i="186"/>
  <c r="J20" i="186"/>
  <c r="F22" i="192" s="1"/>
  <c r="J21" i="186"/>
  <c r="F23" i="192" s="1"/>
  <c r="J22" i="186"/>
  <c r="F24" i="192" s="1"/>
  <c r="J23" i="186"/>
  <c r="F25" i="192" s="1"/>
  <c r="J24" i="186"/>
  <c r="F26" i="192" s="1"/>
  <c r="J25" i="186"/>
  <c r="F27" i="192" s="1"/>
  <c r="J26" i="186"/>
  <c r="F28" i="192" s="1"/>
  <c r="J27" i="186"/>
  <c r="F29" i="192" s="1"/>
  <c r="J28" i="186"/>
  <c r="F30" i="192" s="1"/>
  <c r="J29" i="186"/>
  <c r="F31" i="192" s="1"/>
  <c r="E31" i="186"/>
  <c r="F31" i="186"/>
  <c r="L31" i="186" s="1"/>
  <c r="G31" i="186"/>
  <c r="H31" i="186"/>
  <c r="J31" i="186"/>
  <c r="F32" i="186"/>
  <c r="G32" i="186"/>
  <c r="H32" i="186"/>
  <c r="J32" i="186"/>
  <c r="L32" i="186"/>
  <c r="F33" i="186"/>
  <c r="G33" i="186"/>
  <c r="H33" i="186"/>
  <c r="J33" i="186"/>
  <c r="L33" i="186"/>
  <c r="F34" i="186"/>
  <c r="G34" i="186"/>
  <c r="H34" i="186"/>
  <c r="J34" i="186"/>
  <c r="L34" i="186"/>
  <c r="F35" i="186"/>
  <c r="G35" i="186"/>
  <c r="H35" i="186"/>
  <c r="J35" i="186"/>
  <c r="L35" i="186"/>
  <c r="F36" i="186"/>
  <c r="G36" i="186"/>
  <c r="H36" i="186"/>
  <c r="J36" i="186"/>
  <c r="L36" i="186"/>
  <c r="F37" i="186"/>
  <c r="G37" i="186"/>
  <c r="H37" i="186"/>
  <c r="J37" i="186"/>
  <c r="L37" i="186" s="1"/>
  <c r="F38" i="186"/>
  <c r="G38" i="186"/>
  <c r="H38" i="186"/>
  <c r="J38" i="186"/>
  <c r="L38" i="186"/>
  <c r="F39" i="186"/>
  <c r="G39" i="186"/>
  <c r="H39" i="186"/>
  <c r="J39" i="186"/>
  <c r="L39" i="186" s="1"/>
  <c r="F40" i="186"/>
  <c r="G40" i="186"/>
  <c r="H40" i="186"/>
  <c r="J40" i="186"/>
  <c r="L40" i="186"/>
  <c r="J42" i="186"/>
  <c r="F45" i="192" s="1"/>
  <c r="J43" i="186"/>
  <c r="F46" i="192" s="1"/>
  <c r="A44" i="186"/>
  <c r="J44" i="186"/>
  <c r="F47" i="192" s="1"/>
  <c r="A45" i="186"/>
  <c r="J45" i="186"/>
  <c r="F48" i="192" s="1"/>
  <c r="A46" i="186"/>
  <c r="A47" i="186" s="1"/>
  <c r="A48" i="186" s="1"/>
  <c r="A49" i="186" s="1"/>
  <c r="A51" i="186" s="1"/>
  <c r="A52" i="186" s="1"/>
  <c r="A53" i="186" s="1"/>
  <c r="A54" i="186" s="1"/>
  <c r="A55" i="186" s="1"/>
  <c r="A56" i="186" s="1"/>
  <c r="A57" i="186" s="1"/>
  <c r="J46" i="186"/>
  <c r="F49" i="192" s="1"/>
  <c r="J47" i="186"/>
  <c r="F50" i="192" s="1"/>
  <c r="J48" i="186"/>
  <c r="F51" i="192" s="1"/>
  <c r="J49" i="186"/>
  <c r="F52" i="192" s="1"/>
  <c r="J51" i="186"/>
  <c r="F54" i="192" s="1"/>
  <c r="J52" i="186"/>
  <c r="F55" i="192" s="1"/>
  <c r="J53" i="186"/>
  <c r="F56" i="192" s="1"/>
  <c r="J54" i="186"/>
  <c r="F57" i="192" s="1"/>
  <c r="D55" i="186"/>
  <c r="D56" i="186" s="1"/>
  <c r="J55" i="186"/>
  <c r="F58" i="192" s="1"/>
  <c r="J56" i="186"/>
  <c r="F59" i="192" s="1"/>
  <c r="D57" i="186"/>
  <c r="J57" i="186"/>
  <c r="F60" i="192" s="1"/>
  <c r="J59" i="186"/>
  <c r="F63" i="192" s="1"/>
  <c r="A60" i="186"/>
  <c r="C60" i="186"/>
  <c r="J60" i="186"/>
  <c r="F64" i="192" s="1"/>
  <c r="A61" i="186"/>
  <c r="A62" i="186" s="1"/>
  <c r="A63" i="186" s="1"/>
  <c r="A64" i="186" s="1"/>
  <c r="A65" i="186" s="1"/>
  <c r="A66" i="186" s="1"/>
  <c r="A67" i="186" s="1"/>
  <c r="A69" i="186" s="1"/>
  <c r="A70" i="186" s="1"/>
  <c r="A71" i="186" s="1"/>
  <c r="A72" i="186" s="1"/>
  <c r="A73" i="186" s="1"/>
  <c r="A76" i="186" s="1"/>
  <c r="A77" i="186" s="1"/>
  <c r="A78" i="186" s="1"/>
  <c r="A79" i="186" s="1"/>
  <c r="A80" i="186" s="1"/>
  <c r="A81" i="186" s="1"/>
  <c r="A82" i="186" s="1"/>
  <c r="A83" i="186" s="1"/>
  <c r="A84" i="186" s="1"/>
  <c r="C61" i="186"/>
  <c r="C62" i="186" s="1"/>
  <c r="J61" i="186"/>
  <c r="F65" i="192" s="1"/>
  <c r="J62" i="186"/>
  <c r="F66" i="192" s="1"/>
  <c r="C63" i="186"/>
  <c r="C64" i="186" s="1"/>
  <c r="J63" i="186"/>
  <c r="F67" i="192" s="1"/>
  <c r="J64" i="186"/>
  <c r="F68" i="192" s="1"/>
  <c r="C65" i="186"/>
  <c r="C66" i="186" s="1"/>
  <c r="J65" i="186"/>
  <c r="F69" i="192" s="1"/>
  <c r="J66" i="186"/>
  <c r="F70" i="192" s="1"/>
  <c r="C67" i="186"/>
  <c r="J67" i="186"/>
  <c r="F71" i="192" s="1"/>
  <c r="C69" i="186"/>
  <c r="J69" i="186"/>
  <c r="L69" i="186"/>
  <c r="C70" i="186"/>
  <c r="J70" i="186"/>
  <c r="L70" i="186"/>
  <c r="C71" i="186"/>
  <c r="J71" i="186"/>
  <c r="L71" i="186"/>
  <c r="C72" i="186"/>
  <c r="J72" i="186"/>
  <c r="L72" i="186"/>
  <c r="C73" i="186"/>
  <c r="C76" i="186" s="1"/>
  <c r="J73" i="186"/>
  <c r="L73" i="186"/>
  <c r="J75" i="186"/>
  <c r="F79" i="192" s="1"/>
  <c r="J76" i="186"/>
  <c r="F80" i="192" s="1"/>
  <c r="C77" i="186"/>
  <c r="C78" i="186" s="1"/>
  <c r="J77" i="186"/>
  <c r="F81" i="192" s="1"/>
  <c r="J78" i="186"/>
  <c r="F82" i="192" s="1"/>
  <c r="C79" i="186"/>
  <c r="C80" i="186" s="1"/>
  <c r="J79" i="186"/>
  <c r="F83" i="192" s="1"/>
  <c r="J80" i="186"/>
  <c r="F84" i="192" s="1"/>
  <c r="C81" i="186"/>
  <c r="C82" i="186" s="1"/>
  <c r="E92" i="186"/>
  <c r="E96" i="192" s="1"/>
  <c r="J81" i="186"/>
  <c r="F85" i="192" s="1"/>
  <c r="J82" i="186"/>
  <c r="F86" i="192" s="1"/>
  <c r="C83" i="186"/>
  <c r="C84" i="186" s="1"/>
  <c r="J83" i="186"/>
  <c r="F87" i="192" s="1"/>
  <c r="J84" i="186"/>
  <c r="F88" i="192" s="1"/>
  <c r="E86" i="186"/>
  <c r="F86" i="186"/>
  <c r="G86" i="186"/>
  <c r="H86" i="186"/>
  <c r="J86" i="186"/>
  <c r="L86" i="186" s="1"/>
  <c r="F87" i="186"/>
  <c r="G87" i="186"/>
  <c r="H87" i="186"/>
  <c r="J87" i="186"/>
  <c r="L87" i="186"/>
  <c r="F88" i="186"/>
  <c r="G88" i="186"/>
  <c r="H88" i="186"/>
  <c r="J88" i="186"/>
  <c r="L88" i="186"/>
  <c r="F89" i="186"/>
  <c r="G89" i="186"/>
  <c r="H89" i="186"/>
  <c r="J89" i="186"/>
  <c r="L89" i="186" s="1"/>
  <c r="F90" i="186"/>
  <c r="G90" i="186"/>
  <c r="H90" i="186"/>
  <c r="J90" i="186"/>
  <c r="L90" i="186" s="1"/>
  <c r="F91" i="186"/>
  <c r="G91" i="186"/>
  <c r="H91" i="186"/>
  <c r="J91" i="186"/>
  <c r="L91" i="186"/>
  <c r="F92" i="186"/>
  <c r="G92" i="186"/>
  <c r="H92" i="186"/>
  <c r="J92" i="186"/>
  <c r="L92" i="186"/>
  <c r="F93" i="186"/>
  <c r="G93" i="186"/>
  <c r="H93" i="186"/>
  <c r="J93" i="186"/>
  <c r="L93" i="186" s="1"/>
  <c r="F94" i="186"/>
  <c r="G94" i="186"/>
  <c r="H94" i="186"/>
  <c r="J94" i="186"/>
  <c r="L94" i="186" s="1"/>
  <c r="F95" i="186"/>
  <c r="G95" i="186"/>
  <c r="H95" i="186"/>
  <c r="J95" i="186"/>
  <c r="L95" i="186"/>
  <c r="J97" i="186"/>
  <c r="F101" i="192" s="1"/>
  <c r="C98" i="186"/>
  <c r="J98" i="186"/>
  <c r="F102" i="192" s="1"/>
  <c r="C99" i="186"/>
  <c r="C100" i="186" s="1"/>
  <c r="C101" i="186" s="1"/>
  <c r="C102" i="186" s="1"/>
  <c r="C103" i="186" s="1"/>
  <c r="C104" i="186" s="1"/>
  <c r="C105" i="186" s="1"/>
  <c r="C107" i="186" s="1"/>
  <c r="C108" i="186" s="1"/>
  <c r="C109" i="186" s="1"/>
  <c r="C110" i="186" s="1"/>
  <c r="C111" i="186" s="1"/>
  <c r="J99" i="186"/>
  <c r="F103" i="192" s="1"/>
  <c r="J100" i="186"/>
  <c r="F104" i="192" s="1"/>
  <c r="J101" i="186"/>
  <c r="F105" i="192" s="1"/>
  <c r="J102" i="186"/>
  <c r="F106" i="192" s="1"/>
  <c r="J103" i="186"/>
  <c r="F107" i="192" s="1"/>
  <c r="J104" i="186"/>
  <c r="F108" i="192" s="1"/>
  <c r="J105" i="186"/>
  <c r="F109" i="192" s="1"/>
  <c r="J107" i="186"/>
  <c r="L107" i="186" s="1"/>
  <c r="J108" i="186"/>
  <c r="L108" i="186" s="1"/>
  <c r="J109" i="186"/>
  <c r="L109" i="186" s="1"/>
  <c r="J110" i="186"/>
  <c r="F114" i="192" s="1"/>
  <c r="J111" i="186"/>
  <c r="L111" i="186" s="1"/>
  <c r="J112" i="186"/>
  <c r="L112" i="186"/>
  <c r="J114" i="186"/>
  <c r="F118" i="192" s="1"/>
  <c r="J115" i="186"/>
  <c r="F119" i="192" s="1"/>
  <c r="J116" i="186"/>
  <c r="F120" i="192" s="1"/>
  <c r="J117" i="186"/>
  <c r="F121" i="192" s="1"/>
  <c r="J118" i="186"/>
  <c r="F122" i="192" s="1"/>
  <c r="J119" i="186"/>
  <c r="F123" i="192" s="1"/>
  <c r="J120" i="186"/>
  <c r="F124" i="192" s="1"/>
  <c r="J121" i="186"/>
  <c r="F125" i="192" s="1"/>
  <c r="J122" i="186"/>
  <c r="F126" i="192" s="1"/>
  <c r="J123" i="186"/>
  <c r="F127" i="192" s="1"/>
  <c r="J125" i="186"/>
  <c r="F130" i="192" s="1"/>
  <c r="A126" i="186"/>
  <c r="J126" i="186"/>
  <c r="F131" i="192" s="1"/>
  <c r="A127" i="186"/>
  <c r="A128" i="186" s="1"/>
  <c r="A129" i="186" s="1"/>
  <c r="A130" i="186" s="1"/>
  <c r="A131" i="186" s="1"/>
  <c r="A132" i="186" s="1"/>
  <c r="A133" i="186" s="1"/>
  <c r="A136" i="186" s="1"/>
  <c r="J127" i="186"/>
  <c r="F132" i="192" s="1"/>
  <c r="J128" i="186"/>
  <c r="F133" i="192" s="1"/>
  <c r="J129" i="186"/>
  <c r="F134" i="192" s="1"/>
  <c r="J130" i="186"/>
  <c r="F135" i="192" s="1"/>
  <c r="J131" i="186"/>
  <c r="F136" i="192" s="1"/>
  <c r="J132" i="186"/>
  <c r="F137" i="192" s="1"/>
  <c r="J133" i="186"/>
  <c r="F138" i="192" s="1"/>
  <c r="A135" i="186"/>
  <c r="J135" i="186"/>
  <c r="F140" i="192" s="1"/>
  <c r="J136" i="186"/>
  <c r="F141" i="192" s="1"/>
  <c r="A137" i="186"/>
  <c r="J137" i="186"/>
  <c r="F142" i="192" s="1"/>
  <c r="A138" i="186"/>
  <c r="A139" i="186" s="1"/>
  <c r="A140" i="186" s="1"/>
  <c r="A141" i="186" s="1"/>
  <c r="J138" i="186"/>
  <c r="F143" i="192" s="1"/>
  <c r="J139" i="186"/>
  <c r="F144" i="192" s="1"/>
  <c r="J140" i="186"/>
  <c r="F145" i="192" s="1"/>
  <c r="J141" i="186"/>
  <c r="F146" i="192" s="1"/>
  <c r="J142" i="186"/>
  <c r="F147" i="192" s="1"/>
  <c r="J143" i="186"/>
  <c r="F148" i="192" s="1"/>
  <c r="J144" i="186"/>
  <c r="J146" i="186"/>
  <c r="F152" i="192" s="1"/>
  <c r="A147" i="186"/>
  <c r="A148" i="186" s="1"/>
  <c r="J147" i="186"/>
  <c r="F153" i="192" s="1"/>
  <c r="J148" i="186"/>
  <c r="F154" i="192" s="1"/>
  <c r="A149" i="186"/>
  <c r="J149" i="186"/>
  <c r="F155" i="192" s="1"/>
  <c r="A150" i="186"/>
  <c r="A151" i="186" s="1"/>
  <c r="A153" i="186" s="1"/>
  <c r="J150" i="186"/>
  <c r="F156" i="192" s="1"/>
  <c r="J151" i="186"/>
  <c r="F157" i="192" s="1"/>
  <c r="J153" i="186"/>
  <c r="F159" i="192" s="1"/>
  <c r="J155" i="186"/>
  <c r="L155" i="186" s="1"/>
  <c r="J156" i="186"/>
  <c r="F162" i="192" s="1"/>
  <c r="J157" i="186"/>
  <c r="F163" i="192" s="1"/>
  <c r="J158" i="186"/>
  <c r="F164" i="192" s="1"/>
  <c r="J159" i="186"/>
  <c r="L159" i="186" s="1"/>
  <c r="J160" i="186"/>
  <c r="L160" i="186" s="1"/>
  <c r="J161" i="186"/>
  <c r="L161" i="186"/>
  <c r="J162" i="186"/>
  <c r="L162" i="186" s="1"/>
  <c r="J163" i="186"/>
  <c r="L163" i="186"/>
  <c r="J164" i="186"/>
  <c r="L164" i="186" s="1"/>
  <c r="J166" i="186"/>
  <c r="F173" i="192" s="1"/>
  <c r="A167" i="186"/>
  <c r="J167" i="186"/>
  <c r="F174" i="192" s="1"/>
  <c r="A168" i="186"/>
  <c r="J168" i="186"/>
  <c r="F175" i="192" s="1"/>
  <c r="A169" i="186"/>
  <c r="J169" i="186"/>
  <c r="F176" i="192" s="1"/>
  <c r="J170" i="186"/>
  <c r="F177" i="192" s="1"/>
  <c r="J171" i="186"/>
  <c r="F178" i="192" s="1"/>
  <c r="A173" i="186"/>
  <c r="J173" i="186"/>
  <c r="F180" i="192" s="1"/>
  <c r="A174" i="186"/>
  <c r="J174" i="186"/>
  <c r="F181" i="192" s="1"/>
  <c r="J175" i="186"/>
  <c r="F182" i="192" s="1"/>
  <c r="J176" i="186"/>
  <c r="F183" i="192" s="1"/>
  <c r="J177" i="186"/>
  <c r="F184" i="192" s="1"/>
  <c r="J179" i="186"/>
  <c r="F186" i="192" s="1"/>
  <c r="J180" i="186"/>
  <c r="F187" i="192" s="1"/>
  <c r="J181" i="186"/>
  <c r="F188" i="192" s="1"/>
  <c r="J182" i="186"/>
  <c r="F189" i="192" s="1"/>
  <c r="J184" i="186"/>
  <c r="F191" i="192" s="1"/>
  <c r="J185" i="186"/>
  <c r="F192" i="192" s="1"/>
  <c r="J187" i="186"/>
  <c r="L187" i="186"/>
  <c r="J188" i="186"/>
  <c r="F195" i="192" s="1"/>
  <c r="A189" i="186"/>
  <c r="J189" i="186"/>
  <c r="F196" i="192" s="1"/>
  <c r="A190" i="186"/>
  <c r="A191" i="186" s="1"/>
  <c r="J190" i="186"/>
  <c r="F197" i="192" s="1"/>
  <c r="J191" i="186"/>
  <c r="F198" i="192" s="1"/>
  <c r="A192" i="186"/>
  <c r="J192" i="186"/>
  <c r="F199" i="192" s="1"/>
  <c r="A193" i="186"/>
  <c r="J193" i="186"/>
  <c r="L193" i="186" s="1"/>
  <c r="A194" i="186"/>
  <c r="A195" i="186" s="1"/>
  <c r="A196" i="186" s="1"/>
  <c r="A197" i="186" s="1"/>
  <c r="A198" i="186" s="1"/>
  <c r="A199" i="186" s="1"/>
  <c r="A200" i="186" s="1"/>
  <c r="A201" i="186" s="1"/>
  <c r="A202" i="186" s="1"/>
  <c r="J194" i="186"/>
  <c r="F201" i="192" s="1"/>
  <c r="J195" i="186"/>
  <c r="F202" i="192" s="1"/>
  <c r="J196" i="186"/>
  <c r="L196" i="186"/>
  <c r="J197" i="186"/>
  <c r="L197" i="186" s="1"/>
  <c r="J198" i="186"/>
  <c r="F49" i="155" s="1"/>
  <c r="L198" i="186"/>
  <c r="J199" i="186"/>
  <c r="L199" i="186"/>
  <c r="J200" i="186"/>
  <c r="L200" i="186"/>
  <c r="J201" i="186"/>
  <c r="L201" i="186" s="1"/>
  <c r="J202" i="186"/>
  <c r="L202" i="186"/>
  <c r="E203" i="187"/>
  <c r="J204" i="186"/>
  <c r="J206" i="186"/>
  <c r="G205" i="187" s="1"/>
  <c r="M205" i="187" s="1"/>
  <c r="J207" i="186"/>
  <c r="L207" i="186" s="1"/>
  <c r="N206" i="187" s="1"/>
  <c r="L208" i="186"/>
  <c r="J209" i="186"/>
  <c r="L209" i="186" s="1"/>
  <c r="J210" i="186"/>
  <c r="L210" i="186" s="1"/>
  <c r="N208" i="187" s="1"/>
  <c r="A1" i="185"/>
  <c r="A3" i="185"/>
  <c r="A4" i="185"/>
  <c r="U10" i="185"/>
  <c r="A11" i="185"/>
  <c r="A12" i="185" s="1"/>
  <c r="A13" i="185" s="1"/>
  <c r="A14" i="185" s="1"/>
  <c r="A15" i="185" s="1"/>
  <c r="A16" i="185" s="1"/>
  <c r="A17" i="185" s="1"/>
  <c r="A18" i="185" s="1"/>
  <c r="A19" i="185" s="1"/>
  <c r="A20" i="185" s="1"/>
  <c r="A21" i="185" s="1"/>
  <c r="A22" i="185" s="1"/>
  <c r="A23" i="185" s="1"/>
  <c r="A24" i="185" s="1"/>
  <c r="A25" i="185" s="1"/>
  <c r="A26" i="185" s="1"/>
  <c r="A27" i="185" s="1"/>
  <c r="A28" i="185" s="1"/>
  <c r="A29" i="185" s="1"/>
  <c r="A30" i="185" s="1"/>
  <c r="A31" i="185" s="1"/>
  <c r="A32" i="185" s="1"/>
  <c r="A33" i="185" s="1"/>
  <c r="A34" i="185" s="1"/>
  <c r="A35" i="185" s="1"/>
  <c r="A36" i="185" s="1"/>
  <c r="A37" i="185" s="1"/>
  <c r="A38" i="185" s="1"/>
  <c r="A39" i="185" s="1"/>
  <c r="A40" i="185" s="1"/>
  <c r="A41" i="185" s="1"/>
  <c r="A42" i="185" s="1"/>
  <c r="A43" i="185" s="1"/>
  <c r="A44" i="185" s="1"/>
  <c r="A45" i="185" s="1"/>
  <c r="A46" i="185" s="1"/>
  <c r="A47" i="185" s="1"/>
  <c r="A48" i="185" s="1"/>
  <c r="A49" i="185" s="1"/>
  <c r="A50" i="185" s="1"/>
  <c r="A51" i="185" s="1"/>
  <c r="A52" i="185" s="1"/>
  <c r="A53" i="185" s="1"/>
  <c r="A54" i="185" s="1"/>
  <c r="U12" i="185"/>
  <c r="U13" i="185"/>
  <c r="U14" i="185"/>
  <c r="U16" i="185"/>
  <c r="U18" i="185"/>
  <c r="U21" i="185"/>
  <c r="U22" i="185"/>
  <c r="B24" i="185"/>
  <c r="F24" i="185"/>
  <c r="G24" i="185"/>
  <c r="J24" i="185"/>
  <c r="K24" i="185"/>
  <c r="M24" i="185"/>
  <c r="N24" i="185"/>
  <c r="O24" i="185"/>
  <c r="Q24" i="185"/>
  <c r="R24" i="185"/>
  <c r="S24" i="185"/>
  <c r="T24" i="185"/>
  <c r="E24" i="185"/>
  <c r="H24" i="185"/>
  <c r="I24" i="185"/>
  <c r="L24" i="185"/>
  <c r="P24" i="185"/>
  <c r="U26" i="185"/>
  <c r="U27" i="185"/>
  <c r="U28" i="185"/>
  <c r="U29" i="185"/>
  <c r="U30" i="185"/>
  <c r="U31" i="185"/>
  <c r="U32" i="185"/>
  <c r="U33" i="185"/>
  <c r="U35" i="185"/>
  <c r="U36" i="185"/>
  <c r="U38" i="185"/>
  <c r="U39" i="185"/>
  <c r="U40" i="185"/>
  <c r="U41" i="185"/>
  <c r="U42" i="185"/>
  <c r="U43" i="185"/>
  <c r="U44" i="185"/>
  <c r="U45" i="185"/>
  <c r="U47" i="185"/>
  <c r="U48" i="185"/>
  <c r="U49" i="185"/>
  <c r="A55" i="185"/>
  <c r="A56" i="185" s="1"/>
  <c r="A57" i="185" s="1"/>
  <c r="A58" i="185" s="1"/>
  <c r="A59" i="185" s="1"/>
  <c r="A60" i="185" s="1"/>
  <c r="A61" i="185" s="1"/>
  <c r="A62" i="185" s="1"/>
  <c r="A63" i="185" s="1"/>
  <c r="A64" i="185" s="1"/>
  <c r="A65" i="185" s="1"/>
  <c r="A66" i="185" s="1"/>
  <c r="A67" i="185" s="1"/>
  <c r="A68" i="185" s="1"/>
  <c r="A69" i="185" s="1"/>
  <c r="A70" i="185" s="1"/>
  <c r="A71" i="185" s="1"/>
  <c r="A72" i="185" s="1"/>
  <c r="A73" i="185" s="1"/>
  <c r="A74" i="185" s="1"/>
  <c r="A75" i="185" s="1"/>
  <c r="A76" i="185" s="1"/>
  <c r="A77" i="185" s="1"/>
  <c r="A78" i="185" s="1"/>
  <c r="A79" i="185" s="1"/>
  <c r="A80" i="185" s="1"/>
  <c r="A81" i="185" s="1"/>
  <c r="A82" i="185" s="1"/>
  <c r="A83" i="185" s="1"/>
  <c r="A84" i="185" s="1"/>
  <c r="A85" i="185" s="1"/>
  <c r="A86" i="185" s="1"/>
  <c r="A87" i="185" s="1"/>
  <c r="A88" i="185" s="1"/>
  <c r="A89" i="185" s="1"/>
  <c r="A90" i="185" s="1"/>
  <c r="A91" i="185" s="1"/>
  <c r="A92" i="185" s="1"/>
  <c r="A93" i="185" s="1"/>
  <c r="A94" i="185" s="1"/>
  <c r="A95" i="185" s="1"/>
  <c r="A96" i="185" s="1"/>
  <c r="A97" i="185" s="1"/>
  <c r="A98" i="185" s="1"/>
  <c r="A99" i="185" s="1"/>
  <c r="A100" i="185" s="1"/>
  <c r="A101" i="185" s="1"/>
  <c r="A102" i="185" s="1"/>
  <c r="A103" i="185" s="1"/>
  <c r="A104" i="185" s="1"/>
  <c r="A105" i="185" s="1"/>
  <c r="A106" i="185" s="1"/>
  <c r="A107" i="185" s="1"/>
  <c r="A108" i="185" s="1"/>
  <c r="A109" i="185" s="1"/>
  <c r="A110" i="185" s="1"/>
  <c r="A111" i="185" s="1"/>
  <c r="A112" i="185" s="1"/>
  <c r="A113" i="185" s="1"/>
  <c r="A114" i="185" s="1"/>
  <c r="A115" i="185" s="1"/>
  <c r="A116" i="185" s="1"/>
  <c r="A117" i="185" s="1"/>
  <c r="A118" i="185" s="1"/>
  <c r="A119" i="185" s="1"/>
  <c r="A120" i="185" s="1"/>
  <c r="A121" i="185" s="1"/>
  <c r="A122" i="185" s="1"/>
  <c r="A123" i="185" s="1"/>
  <c r="A124" i="185" s="1"/>
  <c r="A125" i="185" s="1"/>
  <c r="A126" i="185" s="1"/>
  <c r="A127" i="185" s="1"/>
  <c r="A128" i="185" s="1"/>
  <c r="A129" i="185" s="1"/>
  <c r="A130" i="185" s="1"/>
  <c r="A131" i="185" s="1"/>
  <c r="A132" i="185" s="1"/>
  <c r="A133" i="185" s="1"/>
  <c r="A134" i="185" s="1"/>
  <c r="A135" i="185" s="1"/>
  <c r="A136" i="185" s="1"/>
  <c r="A137" i="185" s="1"/>
  <c r="A138" i="185" s="1"/>
  <c r="A139" i="185" s="1"/>
  <c r="A140" i="185" s="1"/>
  <c r="A141" i="185" s="1"/>
  <c r="A142" i="185" s="1"/>
  <c r="A143" i="185" s="1"/>
  <c r="A144" i="185" s="1"/>
  <c r="A145" i="185" s="1"/>
  <c r="A146" i="185" s="1"/>
  <c r="A147" i="185" s="1"/>
  <c r="A148" i="185" s="1"/>
  <c r="A149" i="185" s="1"/>
  <c r="A150" i="185" s="1"/>
  <c r="A151" i="185" s="1"/>
  <c r="A152" i="185" s="1"/>
  <c r="A153" i="185" s="1"/>
  <c r="A154" i="185" s="1"/>
  <c r="A155" i="185" s="1"/>
  <c r="A156" i="185" s="1"/>
  <c r="A157" i="185" s="1"/>
  <c r="A158" i="185" s="1"/>
  <c r="A159" i="185" s="1"/>
  <c r="A160" i="185" s="1"/>
  <c r="A161" i="185" s="1"/>
  <c r="A162" i="185" s="1"/>
  <c r="A163" i="185" s="1"/>
  <c r="A164" i="185" s="1"/>
  <c r="A165" i="185" s="1"/>
  <c r="A166" i="185" s="1"/>
  <c r="A167" i="185" s="1"/>
  <c r="A168" i="185" s="1"/>
  <c r="A169" i="185" s="1"/>
  <c r="A170" i="185" s="1"/>
  <c r="A171" i="185" s="1"/>
  <c r="A172" i="185" s="1"/>
  <c r="A173" i="185" s="1"/>
  <c r="A174" i="185" s="1"/>
  <c r="A175" i="185" s="1"/>
  <c r="A176" i="185" s="1"/>
  <c r="A177" i="185" s="1"/>
  <c r="U65" i="185"/>
  <c r="U66" i="185"/>
  <c r="U67" i="185"/>
  <c r="U68" i="185"/>
  <c r="U69" i="185"/>
  <c r="B71" i="185"/>
  <c r="H71" i="185"/>
  <c r="I71" i="185"/>
  <c r="K71" i="185"/>
  <c r="M71" i="185"/>
  <c r="N71" i="185"/>
  <c r="O71" i="185"/>
  <c r="P71" i="185"/>
  <c r="Q71" i="185"/>
  <c r="S71" i="185"/>
  <c r="T71" i="185"/>
  <c r="U72" i="185"/>
  <c r="U71" i="185" s="1"/>
  <c r="F71" i="185"/>
  <c r="G71" i="185"/>
  <c r="J71" i="185"/>
  <c r="L71" i="185"/>
  <c r="R71" i="185"/>
  <c r="U73" i="185"/>
  <c r="U74" i="185"/>
  <c r="U75" i="185"/>
  <c r="U76" i="185"/>
  <c r="U77" i="185"/>
  <c r="U78" i="185"/>
  <c r="U79" i="185"/>
  <c r="U80" i="185"/>
  <c r="U83" i="185"/>
  <c r="U85" i="185"/>
  <c r="U87" i="185"/>
  <c r="U89" i="185"/>
  <c r="B99" i="185"/>
  <c r="F99" i="185"/>
  <c r="G99" i="185"/>
  <c r="J99" i="185"/>
  <c r="K99" i="185"/>
  <c r="N99" i="185"/>
  <c r="O99" i="185"/>
  <c r="Q99" i="185"/>
  <c r="R99" i="185"/>
  <c r="S99" i="185"/>
  <c r="T99" i="185"/>
  <c r="H99" i="185"/>
  <c r="I99" i="185"/>
  <c r="L99" i="185"/>
  <c r="M99" i="185"/>
  <c r="P99" i="185"/>
  <c r="U112" i="185"/>
  <c r="U113" i="185"/>
  <c r="U114" i="185"/>
  <c r="U115" i="185"/>
  <c r="U116" i="185"/>
  <c r="U117" i="185"/>
  <c r="U118" i="185"/>
  <c r="B120" i="185"/>
  <c r="F120" i="185"/>
  <c r="I120" i="185"/>
  <c r="J120" i="185"/>
  <c r="K120" i="185"/>
  <c r="M120" i="185"/>
  <c r="N120" i="185"/>
  <c r="O120" i="185"/>
  <c r="Q120" i="185"/>
  <c r="R120" i="185"/>
  <c r="S120" i="185"/>
  <c r="T120" i="185"/>
  <c r="F25" i="148"/>
  <c r="G120" i="185"/>
  <c r="L120" i="185"/>
  <c r="P120" i="185"/>
  <c r="F27" i="148"/>
  <c r="F29" i="148"/>
  <c r="F31" i="148"/>
  <c r="F33" i="148"/>
  <c r="U136" i="185"/>
  <c r="B140" i="185"/>
  <c r="H140" i="185"/>
  <c r="I140" i="185"/>
  <c r="K140" i="185"/>
  <c r="M140" i="185"/>
  <c r="N140" i="185"/>
  <c r="O140" i="185"/>
  <c r="Q140" i="185"/>
  <c r="S140" i="185"/>
  <c r="T140" i="185"/>
  <c r="E140" i="185"/>
  <c r="F140" i="185"/>
  <c r="G140" i="185"/>
  <c r="J140" i="185"/>
  <c r="L140" i="185"/>
  <c r="P140" i="185"/>
  <c r="R140" i="185"/>
  <c r="U144" i="185"/>
  <c r="U146" i="185"/>
  <c r="U147" i="185"/>
  <c r="U152" i="185"/>
  <c r="U157" i="185"/>
  <c r="U159" i="185"/>
  <c r="U164" i="185"/>
  <c r="U165" i="185"/>
  <c r="U167" i="185"/>
  <c r="U172" i="185"/>
  <c r="U173" i="185"/>
  <c r="B178" i="185"/>
  <c r="H178" i="185"/>
  <c r="I178" i="185"/>
  <c r="K178" i="185"/>
  <c r="L178" i="185"/>
  <c r="M178" i="185"/>
  <c r="N178" i="185"/>
  <c r="O178" i="185"/>
  <c r="P178" i="185"/>
  <c r="Q178" i="185"/>
  <c r="S178" i="185"/>
  <c r="E178" i="185"/>
  <c r="F178" i="185"/>
  <c r="G178" i="185"/>
  <c r="J178" i="185"/>
  <c r="R178" i="185"/>
  <c r="T178" i="185"/>
  <c r="G41" i="155"/>
  <c r="G42" i="155"/>
  <c r="G43" i="155"/>
  <c r="U185" i="185"/>
  <c r="U186" i="185"/>
  <c r="G47" i="155"/>
  <c r="G48" i="155"/>
  <c r="G49" i="155"/>
  <c r="U190" i="185"/>
  <c r="G53" i="155"/>
  <c r="U195" i="185"/>
  <c r="G45" i="155"/>
  <c r="G46" i="155"/>
  <c r="G50" i="155"/>
  <c r="G51" i="155"/>
  <c r="F44" i="155"/>
  <c r="F47" i="155"/>
  <c r="F48" i="155"/>
  <c r="F50" i="155"/>
  <c r="F51" i="155"/>
  <c r="F52" i="155"/>
  <c r="F53" i="155"/>
  <c r="J53" i="155" s="1"/>
  <c r="R9" i="153"/>
  <c r="AI9" i="153" s="1"/>
  <c r="F26" i="148"/>
  <c r="F28" i="148"/>
  <c r="F30" i="148"/>
  <c r="F32" i="148"/>
  <c r="F14" i="148"/>
  <c r="F15" i="148"/>
  <c r="F16" i="148"/>
  <c r="F18" i="148"/>
  <c r="F19" i="148"/>
  <c r="F20" i="148"/>
  <c r="F45" i="155" l="1"/>
  <c r="L144" i="186"/>
  <c r="N143" i="187" s="1"/>
  <c r="F149" i="192"/>
  <c r="O203" i="187"/>
  <c r="AC203" i="187" s="1"/>
  <c r="E214" i="193"/>
  <c r="L121" i="186"/>
  <c r="N120" i="187" s="1"/>
  <c r="F127" i="141"/>
  <c r="F125" i="158"/>
  <c r="F127" i="140"/>
  <c r="L135" i="186"/>
  <c r="N134" i="187" s="1"/>
  <c r="F142" i="140"/>
  <c r="F142" i="141"/>
  <c r="F140" i="158"/>
  <c r="G41" i="187"/>
  <c r="N41" i="187" s="1"/>
  <c r="F47" i="141"/>
  <c r="F45" i="158"/>
  <c r="F47" i="140"/>
  <c r="G143" i="187"/>
  <c r="F151" i="140"/>
  <c r="F151" i="141"/>
  <c r="F149" i="158"/>
  <c r="L123" i="186"/>
  <c r="N122" i="187" s="1"/>
  <c r="F129" i="141"/>
  <c r="F127" i="158"/>
  <c r="F129" i="140"/>
  <c r="L75" i="186"/>
  <c r="N74" i="187" s="1"/>
  <c r="F81" i="140"/>
  <c r="F81" i="141"/>
  <c r="F79" i="158"/>
  <c r="L67" i="186"/>
  <c r="N66" i="187" s="1"/>
  <c r="F73" i="141"/>
  <c r="F71" i="158"/>
  <c r="F73" i="140"/>
  <c r="L114" i="186"/>
  <c r="N113" i="187" s="1"/>
  <c r="F120" i="141"/>
  <c r="F118" i="158"/>
  <c r="F120" i="140"/>
  <c r="L105" i="186"/>
  <c r="N104" i="187" s="1"/>
  <c r="F111" i="141"/>
  <c r="F109" i="158"/>
  <c r="F111" i="140"/>
  <c r="L20" i="186"/>
  <c r="N19" i="187" s="1"/>
  <c r="F24" i="141"/>
  <c r="F22" i="158"/>
  <c r="F24" i="140"/>
  <c r="U17" i="187"/>
  <c r="AB17" i="187" s="1"/>
  <c r="U134" i="187"/>
  <c r="K68" i="187"/>
  <c r="AC36" i="187"/>
  <c r="U115" i="187"/>
  <c r="K86" i="187"/>
  <c r="L56" i="187"/>
  <c r="U15" i="187"/>
  <c r="AB15" i="187" s="1"/>
  <c r="L98" i="187"/>
  <c r="K87" i="187"/>
  <c r="G185" i="141"/>
  <c r="G185" i="140"/>
  <c r="G183" i="158"/>
  <c r="G97" i="141"/>
  <c r="G97" i="140"/>
  <c r="G95" i="158"/>
  <c r="G138" i="141"/>
  <c r="G136" i="158"/>
  <c r="G138" i="140"/>
  <c r="G77" i="141"/>
  <c r="G77" i="140"/>
  <c r="G75" i="158"/>
  <c r="G66" i="141"/>
  <c r="G66" i="140"/>
  <c r="G64" i="158"/>
  <c r="G50" i="140"/>
  <c r="G50" i="141"/>
  <c r="G48" i="158"/>
  <c r="G47" i="141"/>
  <c r="G47" i="140"/>
  <c r="G45" i="158"/>
  <c r="G40" i="141"/>
  <c r="G40" i="140"/>
  <c r="G38" i="158"/>
  <c r="G189" i="141"/>
  <c r="G189" i="140"/>
  <c r="G187" i="158"/>
  <c r="G184" i="141"/>
  <c r="G184" i="140"/>
  <c r="G182" i="158"/>
  <c r="G76" i="140"/>
  <c r="G76" i="141"/>
  <c r="G74" i="158"/>
  <c r="G14" i="141"/>
  <c r="G14" i="140"/>
  <c r="G12" i="158"/>
  <c r="G148" i="141"/>
  <c r="G148" i="140"/>
  <c r="G146" i="158"/>
  <c r="G125" i="141"/>
  <c r="G125" i="140"/>
  <c r="G123" i="158"/>
  <c r="G103" i="141"/>
  <c r="G103" i="140"/>
  <c r="G101" i="158"/>
  <c r="G72" i="141"/>
  <c r="G72" i="140"/>
  <c r="G70" i="158"/>
  <c r="G16" i="141"/>
  <c r="G16" i="140"/>
  <c r="G14" i="158"/>
  <c r="G127" i="141"/>
  <c r="G127" i="140"/>
  <c r="G125" i="158"/>
  <c r="G129" i="141"/>
  <c r="G127" i="158"/>
  <c r="G129" i="140"/>
  <c r="G96" i="141"/>
  <c r="G96" i="140"/>
  <c r="G94" i="158"/>
  <c r="G114" i="141"/>
  <c r="G114" i="140"/>
  <c r="G112" i="158"/>
  <c r="G211" i="140"/>
  <c r="G211" i="141"/>
  <c r="G209" i="158"/>
  <c r="G207" i="141"/>
  <c r="G207" i="140"/>
  <c r="G205" i="158"/>
  <c r="G206" i="140"/>
  <c r="G206" i="141"/>
  <c r="G204" i="158"/>
  <c r="G197" i="141"/>
  <c r="G197" i="140"/>
  <c r="G195" i="158"/>
  <c r="G190" i="141"/>
  <c r="G190" i="140"/>
  <c r="G188" i="158"/>
  <c r="G188" i="141"/>
  <c r="G188" i="140"/>
  <c r="G186" i="158"/>
  <c r="G163" i="140"/>
  <c r="G163" i="141"/>
  <c r="G161" i="158"/>
  <c r="G144" i="141"/>
  <c r="G144" i="140"/>
  <c r="G142" i="158"/>
  <c r="G142" i="140"/>
  <c r="G142" i="141"/>
  <c r="G140" i="158"/>
  <c r="G140" i="140"/>
  <c r="G140" i="141"/>
  <c r="G138" i="158"/>
  <c r="U106" i="187"/>
  <c r="AH106" i="187" s="1"/>
  <c r="AN106" i="187" s="1"/>
  <c r="G90" i="140"/>
  <c r="G90" i="141"/>
  <c r="G88" i="158"/>
  <c r="G87" i="141"/>
  <c r="G87" i="140"/>
  <c r="G85" i="158"/>
  <c r="G62" i="141"/>
  <c r="G62" i="140"/>
  <c r="G60" i="158"/>
  <c r="G57" i="141"/>
  <c r="G55" i="158"/>
  <c r="G57" i="140"/>
  <c r="G53" i="141"/>
  <c r="G53" i="140"/>
  <c r="G51" i="158"/>
  <c r="G48" i="141"/>
  <c r="G46" i="158"/>
  <c r="G48" i="140"/>
  <c r="G27" i="141"/>
  <c r="G27" i="140"/>
  <c r="G25" i="158"/>
  <c r="G161" i="141"/>
  <c r="G161" i="140"/>
  <c r="G159" i="158"/>
  <c r="G157" i="141"/>
  <c r="G157" i="140"/>
  <c r="G155" i="158"/>
  <c r="G113" i="141"/>
  <c r="G113" i="140"/>
  <c r="G111" i="158"/>
  <c r="G108" i="141"/>
  <c r="G108" i="140"/>
  <c r="G106" i="158"/>
  <c r="G104" i="141"/>
  <c r="G104" i="140"/>
  <c r="G102" i="158"/>
  <c r="G79" i="141"/>
  <c r="G79" i="140"/>
  <c r="G77" i="158"/>
  <c r="G65" i="141"/>
  <c r="G65" i="140"/>
  <c r="G63" i="158"/>
  <c r="AC42" i="187"/>
  <c r="G39" i="141"/>
  <c r="G39" i="140"/>
  <c r="G37" i="158"/>
  <c r="G25" i="141"/>
  <c r="G25" i="140"/>
  <c r="G23" i="158"/>
  <c r="G179" i="141"/>
  <c r="G179" i="140"/>
  <c r="G177" i="158"/>
  <c r="G166" i="141"/>
  <c r="G164" i="158"/>
  <c r="G166" i="140"/>
  <c r="G146" i="141"/>
  <c r="G146" i="140"/>
  <c r="G144" i="158"/>
  <c r="G109" i="141"/>
  <c r="G109" i="140"/>
  <c r="G107" i="158"/>
  <c r="G101" i="141"/>
  <c r="G101" i="140"/>
  <c r="G99" i="158"/>
  <c r="G100" i="141"/>
  <c r="G98" i="158"/>
  <c r="G100" i="140"/>
  <c r="M89" i="187"/>
  <c r="G94" i="140"/>
  <c r="G94" i="141"/>
  <c r="G92" i="158"/>
  <c r="G84" i="141"/>
  <c r="G84" i="140"/>
  <c r="G82" i="158"/>
  <c r="G83" i="141"/>
  <c r="G81" i="158"/>
  <c r="G83" i="140"/>
  <c r="G81" i="141"/>
  <c r="G79" i="158"/>
  <c r="G81" i="140"/>
  <c r="G60" i="140"/>
  <c r="G58" i="158"/>
  <c r="G60" i="141"/>
  <c r="L52" i="187"/>
  <c r="L50" i="187"/>
  <c r="G56" i="141"/>
  <c r="G56" i="140"/>
  <c r="G54" i="158"/>
  <c r="G49" i="158"/>
  <c r="G51" i="141"/>
  <c r="G51" i="140"/>
  <c r="G43" i="141"/>
  <c r="G43" i="140"/>
  <c r="G41" i="158"/>
  <c r="L28" i="187"/>
  <c r="G29" i="141"/>
  <c r="G29" i="140"/>
  <c r="G27" i="158"/>
  <c r="L20" i="187"/>
  <c r="G175" i="141"/>
  <c r="G175" i="140"/>
  <c r="G173" i="158"/>
  <c r="G139" i="140"/>
  <c r="G137" i="158"/>
  <c r="G139" i="141"/>
  <c r="G128" i="141"/>
  <c r="G128" i="140"/>
  <c r="G126" i="158"/>
  <c r="G126" i="141"/>
  <c r="G126" i="140"/>
  <c r="G124" i="158"/>
  <c r="G98" i="140"/>
  <c r="G98" i="141"/>
  <c r="G96" i="158"/>
  <c r="G88" i="140"/>
  <c r="G88" i="141"/>
  <c r="G86" i="158"/>
  <c r="G71" i="141"/>
  <c r="G71" i="140"/>
  <c r="G69" i="158"/>
  <c r="G21" i="141"/>
  <c r="G19" i="158"/>
  <c r="G21" i="140"/>
  <c r="G19" i="140"/>
  <c r="G17" i="158"/>
  <c r="G19" i="141"/>
  <c r="G16" i="158"/>
  <c r="G18" i="141"/>
  <c r="G18" i="140"/>
  <c r="G12" i="140"/>
  <c r="G10" i="158"/>
  <c r="G12" i="141"/>
  <c r="G208" i="141"/>
  <c r="G208" i="140"/>
  <c r="G206" i="158"/>
  <c r="G204" i="141"/>
  <c r="G202" i="158"/>
  <c r="G204" i="140"/>
  <c r="G171" i="141"/>
  <c r="G169" i="158"/>
  <c r="G171" i="140"/>
  <c r="K160" i="187"/>
  <c r="G158" i="140"/>
  <c r="G158" i="141"/>
  <c r="G156" i="158"/>
  <c r="G156" i="141"/>
  <c r="G156" i="140"/>
  <c r="G154" i="158"/>
  <c r="G150" i="140"/>
  <c r="G148" i="158"/>
  <c r="G150" i="141"/>
  <c r="L126" i="187"/>
  <c r="G123" i="141"/>
  <c r="G123" i="140"/>
  <c r="G121" i="158"/>
  <c r="G121" i="141"/>
  <c r="G121" i="140"/>
  <c r="G119" i="158"/>
  <c r="G117" i="141"/>
  <c r="G117" i="140"/>
  <c r="G115" i="158"/>
  <c r="G99" i="140"/>
  <c r="G99" i="141"/>
  <c r="G97" i="158"/>
  <c r="K88" i="187"/>
  <c r="G92" i="141"/>
  <c r="G90" i="158"/>
  <c r="G92" i="140"/>
  <c r="G86" i="141"/>
  <c r="G86" i="140"/>
  <c r="G84" i="158"/>
  <c r="G61" i="141"/>
  <c r="G61" i="140"/>
  <c r="G59" i="158"/>
  <c r="G58" i="141"/>
  <c r="G58" i="140"/>
  <c r="G56" i="158"/>
  <c r="L35" i="187"/>
  <c r="G38" i="141"/>
  <c r="G38" i="140"/>
  <c r="G36" i="158"/>
  <c r="G35" i="141"/>
  <c r="G35" i="140"/>
  <c r="G33" i="158"/>
  <c r="AC22" i="187"/>
  <c r="U203" i="187"/>
  <c r="AH203" i="187" s="1"/>
  <c r="AN203" i="187" s="1"/>
  <c r="G209" i="141"/>
  <c r="G209" i="140"/>
  <c r="G207" i="158"/>
  <c r="G193" i="141"/>
  <c r="G193" i="140"/>
  <c r="G191" i="158"/>
  <c r="G183" i="141"/>
  <c r="G183" i="140"/>
  <c r="G181" i="158"/>
  <c r="G180" i="141"/>
  <c r="G180" i="140"/>
  <c r="G178" i="158"/>
  <c r="G165" i="141"/>
  <c r="G165" i="140"/>
  <c r="G163" i="158"/>
  <c r="G154" i="141"/>
  <c r="G154" i="140"/>
  <c r="G152" i="158"/>
  <c r="G143" i="140"/>
  <c r="G143" i="141"/>
  <c r="G141" i="158"/>
  <c r="G135" i="141"/>
  <c r="G135" i="140"/>
  <c r="G133" i="158"/>
  <c r="G133" i="141"/>
  <c r="G133" i="140"/>
  <c r="G131" i="158"/>
  <c r="G118" i="141"/>
  <c r="G118" i="140"/>
  <c r="G116" i="158"/>
  <c r="G110" i="141"/>
  <c r="G110" i="140"/>
  <c r="G108" i="158"/>
  <c r="G210" i="140"/>
  <c r="G208" i="158"/>
  <c r="G210" i="141"/>
  <c r="G178" i="141"/>
  <c r="G178" i="140"/>
  <c r="G176" i="158"/>
  <c r="G176" i="141"/>
  <c r="G176" i="140"/>
  <c r="G174" i="158"/>
  <c r="G169" i="140"/>
  <c r="G169" i="141"/>
  <c r="G167" i="158"/>
  <c r="G151" i="141"/>
  <c r="G149" i="158"/>
  <c r="G151" i="140"/>
  <c r="L135" i="187"/>
  <c r="G137" i="141"/>
  <c r="G137" i="140"/>
  <c r="G135" i="158"/>
  <c r="AC127" i="187"/>
  <c r="G124" i="141"/>
  <c r="G124" i="140"/>
  <c r="G122" i="158"/>
  <c r="G122" i="141"/>
  <c r="G122" i="140"/>
  <c r="G120" i="158"/>
  <c r="G120" i="141"/>
  <c r="G120" i="140"/>
  <c r="G118" i="158"/>
  <c r="L111" i="187"/>
  <c r="G115" i="141"/>
  <c r="G115" i="140"/>
  <c r="G113" i="158"/>
  <c r="K107" i="187"/>
  <c r="G106" i="141"/>
  <c r="G106" i="140"/>
  <c r="G104" i="158"/>
  <c r="G105" i="141"/>
  <c r="G105" i="140"/>
  <c r="G103" i="158"/>
  <c r="L91" i="187"/>
  <c r="G75" i="141"/>
  <c r="G75" i="140"/>
  <c r="G73" i="158"/>
  <c r="G70" i="141"/>
  <c r="G70" i="140"/>
  <c r="G68" i="158"/>
  <c r="G69" i="141"/>
  <c r="G69" i="140"/>
  <c r="G67" i="158"/>
  <c r="G59" i="140"/>
  <c r="G57" i="158"/>
  <c r="G59" i="141"/>
  <c r="G54" i="141"/>
  <c r="G54" i="140"/>
  <c r="G52" i="158"/>
  <c r="L43" i="187"/>
  <c r="L37" i="187"/>
  <c r="G41" i="141"/>
  <c r="G39" i="158"/>
  <c r="G41" i="140"/>
  <c r="M30" i="187"/>
  <c r="G31" i="141"/>
  <c r="G31" i="140"/>
  <c r="G29" i="158"/>
  <c r="L24" i="187"/>
  <c r="L21" i="187"/>
  <c r="G24" i="140"/>
  <c r="G24" i="141"/>
  <c r="G22" i="158"/>
  <c r="AI16" i="187"/>
  <c r="AO16" i="187" s="1"/>
  <c r="D91" i="187"/>
  <c r="E98" i="193" s="1"/>
  <c r="E98" i="141"/>
  <c r="E98" i="140"/>
  <c r="E96" i="158"/>
  <c r="F124" i="141"/>
  <c r="F124" i="140"/>
  <c r="F122" i="158"/>
  <c r="F175" i="140"/>
  <c r="F175" i="141"/>
  <c r="F173" i="158"/>
  <c r="G54" i="187"/>
  <c r="AH54" i="187" s="1"/>
  <c r="F60" i="141"/>
  <c r="F60" i="140"/>
  <c r="F58" i="158"/>
  <c r="D194" i="187"/>
  <c r="E204" i="193" s="1"/>
  <c r="E204" i="140"/>
  <c r="E204" i="141"/>
  <c r="E202" i="158"/>
  <c r="D189" i="187"/>
  <c r="E199" i="193" s="1"/>
  <c r="E199" i="141"/>
  <c r="E199" i="140"/>
  <c r="E197" i="158"/>
  <c r="D183" i="187"/>
  <c r="E193" i="193" s="1"/>
  <c r="E193" i="140"/>
  <c r="E193" i="141"/>
  <c r="E191" i="158"/>
  <c r="D180" i="187"/>
  <c r="E190" i="193" s="1"/>
  <c r="E190" i="140"/>
  <c r="E190" i="141"/>
  <c r="E188" i="158"/>
  <c r="D178" i="187"/>
  <c r="E188" i="193" s="1"/>
  <c r="E188" i="140"/>
  <c r="E188" i="141"/>
  <c r="E186" i="158"/>
  <c r="D175" i="187"/>
  <c r="E185" i="193" s="1"/>
  <c r="E185" i="140"/>
  <c r="E185" i="141"/>
  <c r="E183" i="158"/>
  <c r="D173" i="187"/>
  <c r="E183" i="193" s="1"/>
  <c r="E183" i="140"/>
  <c r="E183" i="141"/>
  <c r="E181" i="158"/>
  <c r="D169" i="187"/>
  <c r="E179" i="193" s="1"/>
  <c r="E179" i="141"/>
  <c r="E179" i="140"/>
  <c r="E177" i="158"/>
  <c r="F177" i="140"/>
  <c r="F177" i="141"/>
  <c r="F175" i="158"/>
  <c r="D166" i="187"/>
  <c r="E176" i="193" s="1"/>
  <c r="E176" i="140"/>
  <c r="E176" i="141"/>
  <c r="E174" i="158"/>
  <c r="D165" i="187"/>
  <c r="E175" i="193" s="1"/>
  <c r="E175" i="141"/>
  <c r="E175" i="140"/>
  <c r="E173" i="158"/>
  <c r="D156" i="187"/>
  <c r="E165" i="193" s="1"/>
  <c r="E165" i="141"/>
  <c r="E165" i="140"/>
  <c r="E163" i="158"/>
  <c r="F159" i="141"/>
  <c r="F159" i="140"/>
  <c r="F157" i="158"/>
  <c r="F156" i="140"/>
  <c r="F156" i="141"/>
  <c r="F154" i="158"/>
  <c r="D141" i="187"/>
  <c r="E149" i="193" s="1"/>
  <c r="E149" i="141"/>
  <c r="E149" i="140"/>
  <c r="E147" i="158"/>
  <c r="D139" i="187"/>
  <c r="E147" i="193" s="1"/>
  <c r="E147" i="140"/>
  <c r="E147" i="141"/>
  <c r="E145" i="158"/>
  <c r="F145" i="141"/>
  <c r="F145" i="140"/>
  <c r="F143" i="158"/>
  <c r="D136" i="187"/>
  <c r="E144" i="193" s="1"/>
  <c r="E144" i="140"/>
  <c r="E144" i="141"/>
  <c r="E142" i="158"/>
  <c r="F139" i="141"/>
  <c r="F139" i="140"/>
  <c r="F137" i="158"/>
  <c r="G129" i="187"/>
  <c r="M129" i="187" s="1"/>
  <c r="F137" i="141"/>
  <c r="F137" i="140"/>
  <c r="F135" i="158"/>
  <c r="F135" i="141"/>
  <c r="F133" i="158"/>
  <c r="F135" i="140"/>
  <c r="F132" i="141"/>
  <c r="F130" i="158"/>
  <c r="F132" i="140"/>
  <c r="D121" i="187"/>
  <c r="E128" i="193" s="1"/>
  <c r="E128" i="141"/>
  <c r="E126" i="158"/>
  <c r="E128" i="140"/>
  <c r="F125" i="141"/>
  <c r="F123" i="158"/>
  <c r="F125" i="140"/>
  <c r="D117" i="187"/>
  <c r="E124" i="193" s="1"/>
  <c r="E124" i="141"/>
  <c r="E122" i="158"/>
  <c r="E124" i="140"/>
  <c r="D115" i="187"/>
  <c r="E122" i="193" s="1"/>
  <c r="E122" i="141"/>
  <c r="E120" i="158"/>
  <c r="E122" i="140"/>
  <c r="D109" i="187"/>
  <c r="E116" i="193" s="1"/>
  <c r="E116" i="141"/>
  <c r="E116" i="140"/>
  <c r="E114" i="158"/>
  <c r="D102" i="187"/>
  <c r="E109" i="193" s="1"/>
  <c r="E109" i="141"/>
  <c r="E109" i="140"/>
  <c r="E107" i="158"/>
  <c r="D100" i="187"/>
  <c r="E107" i="193" s="1"/>
  <c r="E107" i="141"/>
  <c r="E107" i="140"/>
  <c r="E105" i="158"/>
  <c r="D98" i="187"/>
  <c r="E105" i="193" s="1"/>
  <c r="E105" i="141"/>
  <c r="E105" i="140"/>
  <c r="E103" i="158"/>
  <c r="L83" i="186"/>
  <c r="N82" i="187" s="1"/>
  <c r="F89" i="141"/>
  <c r="F87" i="158"/>
  <c r="F89" i="140"/>
  <c r="D81" i="187"/>
  <c r="E88" i="193" s="1"/>
  <c r="E88" i="141"/>
  <c r="E86" i="158"/>
  <c r="E88" i="140"/>
  <c r="D78" i="187"/>
  <c r="E85" i="193" s="1"/>
  <c r="E85" i="141"/>
  <c r="E85" i="140"/>
  <c r="E83" i="158"/>
  <c r="G76" i="187"/>
  <c r="L76" i="187" s="1"/>
  <c r="F83" i="141"/>
  <c r="F81" i="158"/>
  <c r="F83" i="140"/>
  <c r="E82" i="141"/>
  <c r="E80" i="158"/>
  <c r="E82" i="140"/>
  <c r="D65" i="187"/>
  <c r="E72" i="193" s="1"/>
  <c r="E72" i="141"/>
  <c r="E70" i="158"/>
  <c r="E72" i="140"/>
  <c r="F70" i="141"/>
  <c r="F70" i="140"/>
  <c r="F68" i="158"/>
  <c r="D60" i="187"/>
  <c r="E67" i="193" s="1"/>
  <c r="E67" i="141"/>
  <c r="E67" i="140"/>
  <c r="E65" i="158"/>
  <c r="D59" i="187"/>
  <c r="E66" i="193" s="1"/>
  <c r="E66" i="141"/>
  <c r="E64" i="158"/>
  <c r="E66" i="140"/>
  <c r="D58" i="187"/>
  <c r="E65" i="193" s="1"/>
  <c r="E65" i="141"/>
  <c r="E65" i="140"/>
  <c r="E63" i="158"/>
  <c r="L56" i="186"/>
  <c r="N55" i="187" s="1"/>
  <c r="F61" i="141"/>
  <c r="F61" i="140"/>
  <c r="F59" i="158"/>
  <c r="D54" i="187"/>
  <c r="E60" i="193" s="1"/>
  <c r="E60" i="141"/>
  <c r="E60" i="140"/>
  <c r="E58" i="158"/>
  <c r="F58" i="141"/>
  <c r="F58" i="140"/>
  <c r="F56" i="158"/>
  <c r="D51" i="187"/>
  <c r="E57" i="193" s="1"/>
  <c r="E57" i="141"/>
  <c r="E57" i="140"/>
  <c r="E55" i="158"/>
  <c r="D48" i="187"/>
  <c r="E54" i="193" s="1"/>
  <c r="E54" i="141"/>
  <c r="E54" i="140"/>
  <c r="E52" i="158"/>
  <c r="D46" i="187"/>
  <c r="E52" i="193" s="1"/>
  <c r="E52" i="141"/>
  <c r="E52" i="140"/>
  <c r="E50" i="158"/>
  <c r="F50" i="141"/>
  <c r="F50" i="140"/>
  <c r="F48" i="158"/>
  <c r="D43" i="187"/>
  <c r="E49" i="193" s="1"/>
  <c r="E49" i="141"/>
  <c r="E49" i="140"/>
  <c r="E47" i="158"/>
  <c r="E32" i="141"/>
  <c r="E32" i="140"/>
  <c r="E30" i="158"/>
  <c r="E30" i="141"/>
  <c r="E30" i="140"/>
  <c r="E28" i="158"/>
  <c r="E28" i="141"/>
  <c r="E28" i="140"/>
  <c r="E26" i="158"/>
  <c r="E26" i="141"/>
  <c r="E26" i="140"/>
  <c r="E24" i="158"/>
  <c r="F19" i="141"/>
  <c r="F19" i="140"/>
  <c r="F17" i="158"/>
  <c r="D12" i="187"/>
  <c r="E16" i="193" s="1"/>
  <c r="E16" i="141"/>
  <c r="E16" i="140"/>
  <c r="E14" i="158"/>
  <c r="F12" i="141"/>
  <c r="F12" i="140"/>
  <c r="F10" i="158"/>
  <c r="G193" i="187"/>
  <c r="M193" i="187" s="1"/>
  <c r="F203" i="140"/>
  <c r="F203" i="141"/>
  <c r="F201" i="158"/>
  <c r="G190" i="187"/>
  <c r="M190" i="187" s="1"/>
  <c r="F200" i="140"/>
  <c r="F200" i="141"/>
  <c r="F198" i="158"/>
  <c r="G187" i="187"/>
  <c r="L187" i="187" s="1"/>
  <c r="F197" i="141"/>
  <c r="F197" i="140"/>
  <c r="F195" i="158"/>
  <c r="G184" i="187"/>
  <c r="K184" i="187" s="1"/>
  <c r="F194" i="140"/>
  <c r="F194" i="141"/>
  <c r="F192" i="158"/>
  <c r="L182" i="186"/>
  <c r="N181" i="187" s="1"/>
  <c r="F191" i="140"/>
  <c r="F191" i="141"/>
  <c r="F189" i="158"/>
  <c r="L180" i="186"/>
  <c r="N179" i="187" s="1"/>
  <c r="F189" i="140"/>
  <c r="F189" i="141"/>
  <c r="F187" i="158"/>
  <c r="F186" i="140"/>
  <c r="F186" i="141"/>
  <c r="F184" i="158"/>
  <c r="F184" i="140"/>
  <c r="F184" i="141"/>
  <c r="F182" i="158"/>
  <c r="F180" i="141"/>
  <c r="F180" i="140"/>
  <c r="F178" i="158"/>
  <c r="F178" i="141"/>
  <c r="F178" i="140"/>
  <c r="F176" i="158"/>
  <c r="D167" i="187"/>
  <c r="E177" i="193" s="1"/>
  <c r="E177" i="141"/>
  <c r="E177" i="140"/>
  <c r="E175" i="158"/>
  <c r="F166" i="140"/>
  <c r="F166" i="141"/>
  <c r="F164" i="158"/>
  <c r="L156" i="186"/>
  <c r="N155" i="187" s="1"/>
  <c r="F164" i="141"/>
  <c r="F164" i="140"/>
  <c r="F162" i="158"/>
  <c r="F161" i="140"/>
  <c r="F161" i="141"/>
  <c r="F159" i="158"/>
  <c r="D150" i="187"/>
  <c r="E159" i="193" s="1"/>
  <c r="E159" i="141"/>
  <c r="E159" i="140"/>
  <c r="E157" i="158"/>
  <c r="F157" i="140"/>
  <c r="F157" i="141"/>
  <c r="F155" i="158"/>
  <c r="D147" i="187"/>
  <c r="E156" i="193" s="1"/>
  <c r="E156" i="141"/>
  <c r="E156" i="140"/>
  <c r="E154" i="158"/>
  <c r="F154" i="141"/>
  <c r="F154" i="140"/>
  <c r="F152" i="158"/>
  <c r="F150" i="140"/>
  <c r="F150" i="141"/>
  <c r="F148" i="158"/>
  <c r="G140" i="187"/>
  <c r="AI140" i="187" s="1"/>
  <c r="AO140" i="187" s="1"/>
  <c r="F148" i="141"/>
  <c r="F148" i="140"/>
  <c r="F146" i="158"/>
  <c r="F146" i="140"/>
  <c r="F146" i="141"/>
  <c r="F144" i="158"/>
  <c r="D137" i="187"/>
  <c r="E145" i="193" s="1"/>
  <c r="E145" i="141"/>
  <c r="E145" i="140"/>
  <c r="E143" i="158"/>
  <c r="D131" i="187"/>
  <c r="E139" i="193" s="1"/>
  <c r="E139" i="140"/>
  <c r="E139" i="141"/>
  <c r="E137" i="158"/>
  <c r="D129" i="187"/>
  <c r="E137" i="193" s="1"/>
  <c r="E137" i="141"/>
  <c r="E137" i="140"/>
  <c r="E135" i="158"/>
  <c r="D127" i="187"/>
  <c r="E135" i="193" s="1"/>
  <c r="E135" i="141"/>
  <c r="E135" i="140"/>
  <c r="E133" i="158"/>
  <c r="G125" i="187"/>
  <c r="M125" i="187" s="1"/>
  <c r="F133" i="141"/>
  <c r="F133" i="140"/>
  <c r="F131" i="158"/>
  <c r="D124" i="187"/>
  <c r="E132" i="193" s="1"/>
  <c r="E132" i="141"/>
  <c r="E130" i="158"/>
  <c r="E132" i="140"/>
  <c r="D118" i="187"/>
  <c r="E125" i="193" s="1"/>
  <c r="E125" i="141"/>
  <c r="E125" i="140"/>
  <c r="E123" i="158"/>
  <c r="F123" i="141"/>
  <c r="F121" i="158"/>
  <c r="F123" i="140"/>
  <c r="F121" i="141"/>
  <c r="F119" i="158"/>
  <c r="F121" i="140"/>
  <c r="F110" i="141"/>
  <c r="F110" i="140"/>
  <c r="F108" i="158"/>
  <c r="F108" i="141"/>
  <c r="F108" i="140"/>
  <c r="F106" i="158"/>
  <c r="F106" i="141"/>
  <c r="F106" i="140"/>
  <c r="F104" i="158"/>
  <c r="F103" i="141"/>
  <c r="F101" i="158"/>
  <c r="F103" i="140"/>
  <c r="E89" i="141"/>
  <c r="E89" i="140"/>
  <c r="E87" i="158"/>
  <c r="F87" i="141"/>
  <c r="F85" i="158"/>
  <c r="F87" i="140"/>
  <c r="F86" i="141"/>
  <c r="F86" i="140"/>
  <c r="F84" i="158"/>
  <c r="E83" i="141"/>
  <c r="E83" i="140"/>
  <c r="E81" i="158"/>
  <c r="F71" i="141"/>
  <c r="F69" i="158"/>
  <c r="F71" i="140"/>
  <c r="D63" i="187"/>
  <c r="E70" i="193" s="1"/>
  <c r="E70" i="141"/>
  <c r="E68" i="158"/>
  <c r="E70" i="140"/>
  <c r="L62" i="186"/>
  <c r="N61" i="187" s="1"/>
  <c r="F68" i="141"/>
  <c r="F68" i="140"/>
  <c r="F66" i="158"/>
  <c r="F62" i="141"/>
  <c r="F62" i="140"/>
  <c r="F60" i="158"/>
  <c r="D55" i="187"/>
  <c r="E61" i="193" s="1"/>
  <c r="E61" i="141"/>
  <c r="E61" i="140"/>
  <c r="E59" i="158"/>
  <c r="F56" i="141"/>
  <c r="F56" i="140"/>
  <c r="F54" i="158"/>
  <c r="F53" i="141"/>
  <c r="F53" i="140"/>
  <c r="F51" i="158"/>
  <c r="F51" i="141"/>
  <c r="F51" i="140"/>
  <c r="F49" i="158"/>
  <c r="D44" i="187"/>
  <c r="E50" i="193" s="1"/>
  <c r="E50" i="141"/>
  <c r="E50" i="140"/>
  <c r="E48" i="158"/>
  <c r="F33" i="141"/>
  <c r="F33" i="140"/>
  <c r="F31" i="158"/>
  <c r="F31" i="141"/>
  <c r="F31" i="140"/>
  <c r="F29" i="158"/>
  <c r="F29" i="141"/>
  <c r="F29" i="140"/>
  <c r="F27" i="158"/>
  <c r="F27" i="141"/>
  <c r="F27" i="140"/>
  <c r="F25" i="158"/>
  <c r="F25" i="141"/>
  <c r="F25" i="140"/>
  <c r="F23" i="158"/>
  <c r="D15" i="187"/>
  <c r="E19" i="193" s="1"/>
  <c r="E19" i="141"/>
  <c r="E19" i="140"/>
  <c r="E17" i="158"/>
  <c r="D8" i="187"/>
  <c r="E12" i="193" s="1"/>
  <c r="E12" i="141"/>
  <c r="E12" i="140"/>
  <c r="E10" i="158"/>
  <c r="D193" i="187"/>
  <c r="E203" i="193" s="1"/>
  <c r="E203" i="141"/>
  <c r="E203" i="140"/>
  <c r="E201" i="158"/>
  <c r="F201" i="141"/>
  <c r="F201" i="140"/>
  <c r="F199" i="158"/>
  <c r="D190" i="187"/>
  <c r="E200" i="193" s="1"/>
  <c r="E200" i="140"/>
  <c r="E200" i="141"/>
  <c r="E198" i="158"/>
  <c r="F198" i="141"/>
  <c r="F198" i="140"/>
  <c r="F196" i="158"/>
  <c r="D187" i="187"/>
  <c r="E197" i="193" s="1"/>
  <c r="E197" i="140"/>
  <c r="E197" i="141"/>
  <c r="E195" i="158"/>
  <c r="D184" i="187"/>
  <c r="E194" i="193" s="1"/>
  <c r="E194" i="141"/>
  <c r="E194" i="140"/>
  <c r="E192" i="158"/>
  <c r="D181" i="187"/>
  <c r="E191" i="193" s="1"/>
  <c r="E191" i="141"/>
  <c r="E191" i="140"/>
  <c r="E189" i="158"/>
  <c r="D179" i="187"/>
  <c r="E189" i="193" s="1"/>
  <c r="E189" i="141"/>
  <c r="E189" i="140"/>
  <c r="E187" i="158"/>
  <c r="D176" i="187"/>
  <c r="E186" i="193" s="1"/>
  <c r="E186" i="141"/>
  <c r="E186" i="140"/>
  <c r="E184" i="158"/>
  <c r="D174" i="187"/>
  <c r="E184" i="193" s="1"/>
  <c r="E184" i="141"/>
  <c r="E184" i="140"/>
  <c r="E182" i="158"/>
  <c r="F182" i="140"/>
  <c r="F182" i="141"/>
  <c r="F180" i="158"/>
  <c r="D170" i="187"/>
  <c r="E180" i="193" s="1"/>
  <c r="E180" i="140"/>
  <c r="E180" i="141"/>
  <c r="E178" i="158"/>
  <c r="D168" i="187"/>
  <c r="E178" i="193" s="1"/>
  <c r="E178" i="140"/>
  <c r="E178" i="141"/>
  <c r="E176" i="158"/>
  <c r="D157" i="187"/>
  <c r="E166" i="193" s="1"/>
  <c r="E166" i="141"/>
  <c r="E166" i="140"/>
  <c r="E164" i="158"/>
  <c r="L150" i="186"/>
  <c r="N149" i="187" s="1"/>
  <c r="F158" i="141"/>
  <c r="F158" i="140"/>
  <c r="F156" i="158"/>
  <c r="D148" i="187"/>
  <c r="E157" i="193" s="1"/>
  <c r="E157" i="140"/>
  <c r="E157" i="141"/>
  <c r="E155" i="158"/>
  <c r="F155" i="141"/>
  <c r="F155" i="140"/>
  <c r="F153" i="158"/>
  <c r="D145" i="187"/>
  <c r="E154" i="193" s="1"/>
  <c r="E154" i="140"/>
  <c r="E154" i="141"/>
  <c r="E152" i="158"/>
  <c r="D142" i="187"/>
  <c r="E150" i="193" s="1"/>
  <c r="E150" i="141"/>
  <c r="E150" i="140"/>
  <c r="E148" i="158"/>
  <c r="D140" i="187"/>
  <c r="E148" i="193" s="1"/>
  <c r="E148" i="140"/>
  <c r="E148" i="141"/>
  <c r="E146" i="158"/>
  <c r="F143" i="140"/>
  <c r="F143" i="141"/>
  <c r="F141" i="158"/>
  <c r="F140" i="141"/>
  <c r="F140" i="140"/>
  <c r="F138" i="158"/>
  <c r="F138" i="141"/>
  <c r="F138" i="140"/>
  <c r="F136" i="158"/>
  <c r="L129" i="186"/>
  <c r="N128" i="187" s="1"/>
  <c r="F136" i="141"/>
  <c r="F134" i="158"/>
  <c r="F136" i="140"/>
  <c r="F134" i="141"/>
  <c r="F134" i="140"/>
  <c r="F132" i="158"/>
  <c r="D125" i="187"/>
  <c r="E133" i="193" s="1"/>
  <c r="E133" i="141"/>
  <c r="E131" i="158"/>
  <c r="E133" i="140"/>
  <c r="F126" i="141"/>
  <c r="F126" i="140"/>
  <c r="F124" i="158"/>
  <c r="D116" i="187"/>
  <c r="E123" i="193" s="1"/>
  <c r="E123" i="141"/>
  <c r="E123" i="140"/>
  <c r="E121" i="158"/>
  <c r="D114" i="187"/>
  <c r="E121" i="193" s="1"/>
  <c r="E121" i="141"/>
  <c r="E121" i="140"/>
  <c r="E119" i="158"/>
  <c r="D103" i="187"/>
  <c r="E110" i="193" s="1"/>
  <c r="E110" i="141"/>
  <c r="E108" i="158"/>
  <c r="E110" i="140"/>
  <c r="D101" i="187"/>
  <c r="E108" i="193" s="1"/>
  <c r="E108" i="141"/>
  <c r="E106" i="158"/>
  <c r="E108" i="140"/>
  <c r="D99" i="187"/>
  <c r="E106" i="193" s="1"/>
  <c r="E106" i="141"/>
  <c r="E104" i="158"/>
  <c r="E106" i="140"/>
  <c r="F104" i="141"/>
  <c r="F104" i="140"/>
  <c r="F102" i="158"/>
  <c r="D96" i="187"/>
  <c r="E103" i="193" s="1"/>
  <c r="E103" i="141"/>
  <c r="E103" i="140"/>
  <c r="E101" i="158"/>
  <c r="F90" i="141"/>
  <c r="F90" i="140"/>
  <c r="F88" i="158"/>
  <c r="E86" i="141"/>
  <c r="E84" i="158"/>
  <c r="E86" i="140"/>
  <c r="F84" i="141"/>
  <c r="F84" i="140"/>
  <c r="F82" i="158"/>
  <c r="D64" i="187"/>
  <c r="E71" i="193" s="1"/>
  <c r="E71" i="141"/>
  <c r="E71" i="140"/>
  <c r="E69" i="158"/>
  <c r="F69" i="141"/>
  <c r="F67" i="158"/>
  <c r="F69" i="140"/>
  <c r="D61" i="187"/>
  <c r="E68" i="193" s="1"/>
  <c r="E68" i="141"/>
  <c r="E66" i="158"/>
  <c r="E68" i="140"/>
  <c r="D56" i="187"/>
  <c r="E62" i="193" s="1"/>
  <c r="E62" i="141"/>
  <c r="E62" i="140"/>
  <c r="E60" i="158"/>
  <c r="L54" i="186"/>
  <c r="N53" i="187" s="1"/>
  <c r="F59" i="141"/>
  <c r="F59" i="140"/>
  <c r="F57" i="158"/>
  <c r="D52" i="187"/>
  <c r="E58" i="193" s="1"/>
  <c r="E58" i="141"/>
  <c r="E58" i="140"/>
  <c r="E56" i="158"/>
  <c r="D50" i="187"/>
  <c r="E56" i="193" s="1"/>
  <c r="E56" i="141"/>
  <c r="E56" i="140"/>
  <c r="E54" i="158"/>
  <c r="D47" i="187"/>
  <c r="E53" i="193" s="1"/>
  <c r="E53" i="141"/>
  <c r="E53" i="140"/>
  <c r="E51" i="158"/>
  <c r="D45" i="187"/>
  <c r="E51" i="193" s="1"/>
  <c r="E51" i="141"/>
  <c r="E51" i="140"/>
  <c r="E49" i="158"/>
  <c r="F48" i="141"/>
  <c r="F48" i="140"/>
  <c r="F46" i="158"/>
  <c r="E40" i="186"/>
  <c r="E42" i="192" s="1"/>
  <c r="E33" i="141"/>
  <c r="E33" i="140"/>
  <c r="E31" i="158"/>
  <c r="E38" i="186"/>
  <c r="E40" i="192" s="1"/>
  <c r="E31" i="141"/>
  <c r="E31" i="140"/>
  <c r="E29" i="158"/>
  <c r="E29" i="141"/>
  <c r="E29" i="140"/>
  <c r="E27" i="158"/>
  <c r="E27" i="141"/>
  <c r="E27" i="140"/>
  <c r="E25" i="158"/>
  <c r="E25" i="141"/>
  <c r="E25" i="140"/>
  <c r="E23" i="158"/>
  <c r="G11" i="187"/>
  <c r="M11" i="187" s="1"/>
  <c r="F15" i="141"/>
  <c r="F15" i="140"/>
  <c r="F13" i="158"/>
  <c r="F14" i="141"/>
  <c r="F14" i="140"/>
  <c r="F12" i="158"/>
  <c r="F204" i="140"/>
  <c r="F204" i="141"/>
  <c r="F202" i="158"/>
  <c r="D191" i="187"/>
  <c r="E201" i="193" s="1"/>
  <c r="E201" i="140"/>
  <c r="E201" i="141"/>
  <c r="E199" i="158"/>
  <c r="G189" i="187"/>
  <c r="L189" i="187" s="1"/>
  <c r="F199" i="140"/>
  <c r="F199" i="141"/>
  <c r="F197" i="158"/>
  <c r="D188" i="187"/>
  <c r="E198" i="193" s="1"/>
  <c r="E198" i="141"/>
  <c r="E198" i="140"/>
  <c r="E196" i="158"/>
  <c r="F193" i="141"/>
  <c r="F193" i="140"/>
  <c r="F191" i="158"/>
  <c r="L181" i="186"/>
  <c r="N180" i="187" s="1"/>
  <c r="F190" i="141"/>
  <c r="F190" i="140"/>
  <c r="F188" i="158"/>
  <c r="F188" i="141"/>
  <c r="F188" i="140"/>
  <c r="F186" i="158"/>
  <c r="F185" i="141"/>
  <c r="F185" i="140"/>
  <c r="F183" i="158"/>
  <c r="F183" i="141"/>
  <c r="F183" i="140"/>
  <c r="F181" i="158"/>
  <c r="D172" i="187"/>
  <c r="E182" i="193" s="1"/>
  <c r="E182" i="141"/>
  <c r="E182" i="140"/>
  <c r="E180" i="158"/>
  <c r="F179" i="140"/>
  <c r="F179" i="141"/>
  <c r="F177" i="158"/>
  <c r="F176" i="141"/>
  <c r="F176" i="140"/>
  <c r="F174" i="158"/>
  <c r="F165" i="141"/>
  <c r="F165" i="140"/>
  <c r="F163" i="158"/>
  <c r="D155" i="187"/>
  <c r="E164" i="193" s="1"/>
  <c r="E164" i="140"/>
  <c r="E164" i="141"/>
  <c r="E162" i="158"/>
  <c r="D152" i="187"/>
  <c r="E161" i="193" s="1"/>
  <c r="E161" i="141"/>
  <c r="E161" i="140"/>
  <c r="E159" i="158"/>
  <c r="D149" i="187"/>
  <c r="E158" i="193" s="1"/>
  <c r="E158" i="140"/>
  <c r="E158" i="141"/>
  <c r="E156" i="158"/>
  <c r="D146" i="187"/>
  <c r="E155" i="193" s="1"/>
  <c r="E155" i="141"/>
  <c r="E155" i="140"/>
  <c r="E153" i="158"/>
  <c r="F149" i="141"/>
  <c r="F149" i="140"/>
  <c r="F147" i="158"/>
  <c r="F147" i="140"/>
  <c r="F147" i="141"/>
  <c r="F145" i="158"/>
  <c r="D138" i="187"/>
  <c r="E146" i="193" s="1"/>
  <c r="E146" i="141"/>
  <c r="E146" i="140"/>
  <c r="E144" i="158"/>
  <c r="G136" i="187"/>
  <c r="AI136" i="187" s="1"/>
  <c r="AO136" i="187" s="1"/>
  <c r="F144" i="141"/>
  <c r="F144" i="140"/>
  <c r="F142" i="158"/>
  <c r="D135" i="187"/>
  <c r="E143" i="193" s="1"/>
  <c r="E143" i="140"/>
  <c r="E143" i="141"/>
  <c r="E141" i="158"/>
  <c r="D132" i="187"/>
  <c r="E140" i="193" s="1"/>
  <c r="E140" i="141"/>
  <c r="E140" i="140"/>
  <c r="E138" i="158"/>
  <c r="D130" i="187"/>
  <c r="E138" i="193" s="1"/>
  <c r="E138" i="140"/>
  <c r="E138" i="141"/>
  <c r="E136" i="158"/>
  <c r="D128" i="187"/>
  <c r="E136" i="193" s="1"/>
  <c r="E136" i="141"/>
  <c r="E134" i="158"/>
  <c r="E136" i="140"/>
  <c r="D126" i="187"/>
  <c r="E134" i="193" s="1"/>
  <c r="E134" i="141"/>
  <c r="E134" i="140"/>
  <c r="E132" i="158"/>
  <c r="L122" i="186"/>
  <c r="N121" i="187" s="1"/>
  <c r="F128" i="141"/>
  <c r="F128" i="140"/>
  <c r="F126" i="158"/>
  <c r="D119" i="187"/>
  <c r="E126" i="193" s="1"/>
  <c r="E126" i="141"/>
  <c r="E124" i="158"/>
  <c r="E126" i="140"/>
  <c r="F122" i="141"/>
  <c r="F122" i="140"/>
  <c r="F120" i="158"/>
  <c r="F116" i="141"/>
  <c r="F114" i="158"/>
  <c r="F116" i="140"/>
  <c r="G102" i="187"/>
  <c r="K102" i="187" s="1"/>
  <c r="F109" i="141"/>
  <c r="F107" i="158"/>
  <c r="F109" i="140"/>
  <c r="F107" i="141"/>
  <c r="F105" i="158"/>
  <c r="F107" i="140"/>
  <c r="F105" i="141"/>
  <c r="F103" i="158"/>
  <c r="F105" i="140"/>
  <c r="D97" i="187"/>
  <c r="E104" i="193" s="1"/>
  <c r="E104" i="141"/>
  <c r="E102" i="158"/>
  <c r="E104" i="140"/>
  <c r="E95" i="186"/>
  <c r="E99" i="192" s="1"/>
  <c r="E90" i="141"/>
  <c r="E88" i="158"/>
  <c r="E90" i="140"/>
  <c r="F88" i="141"/>
  <c r="F88" i="140"/>
  <c r="F86" i="158"/>
  <c r="D80" i="187"/>
  <c r="E87" i="193" s="1"/>
  <c r="E87" i="141"/>
  <c r="E87" i="140"/>
  <c r="E85" i="158"/>
  <c r="F85" i="141"/>
  <c r="F83" i="158"/>
  <c r="F85" i="140"/>
  <c r="E84" i="141"/>
  <c r="E82" i="158"/>
  <c r="E84" i="140"/>
  <c r="L76" i="186"/>
  <c r="N75" i="187" s="1"/>
  <c r="F82" i="141"/>
  <c r="F82" i="140"/>
  <c r="F80" i="158"/>
  <c r="F72" i="141"/>
  <c r="F72" i="140"/>
  <c r="F70" i="158"/>
  <c r="D62" i="187"/>
  <c r="E69" i="193" s="1"/>
  <c r="E69" i="141"/>
  <c r="E69" i="140"/>
  <c r="E67" i="158"/>
  <c r="F67" i="141"/>
  <c r="F65" i="158"/>
  <c r="F67" i="140"/>
  <c r="F66" i="141"/>
  <c r="F66" i="140"/>
  <c r="F64" i="158"/>
  <c r="F65" i="141"/>
  <c r="F65" i="140"/>
  <c r="F63" i="158"/>
  <c r="D53" i="187"/>
  <c r="E59" i="193" s="1"/>
  <c r="E59" i="141"/>
  <c r="E59" i="140"/>
  <c r="E57" i="158"/>
  <c r="F57" i="141"/>
  <c r="F57" i="140"/>
  <c r="F55" i="158"/>
  <c r="L49" i="186"/>
  <c r="N48" i="187" s="1"/>
  <c r="F54" i="141"/>
  <c r="F54" i="140"/>
  <c r="F52" i="158"/>
  <c r="F52" i="141"/>
  <c r="F52" i="140"/>
  <c r="F50" i="158"/>
  <c r="F49" i="141"/>
  <c r="F49" i="140"/>
  <c r="F47" i="158"/>
  <c r="D42" i="187"/>
  <c r="E48" i="193" s="1"/>
  <c r="E48" i="141"/>
  <c r="E48" i="140"/>
  <c r="E46" i="158"/>
  <c r="F32" i="141"/>
  <c r="F32" i="140"/>
  <c r="F30" i="158"/>
  <c r="F30" i="141"/>
  <c r="F30" i="140"/>
  <c r="F28" i="158"/>
  <c r="F28" i="141"/>
  <c r="F28" i="140"/>
  <c r="F26" i="158"/>
  <c r="F26" i="141"/>
  <c r="F26" i="140"/>
  <c r="F24" i="158"/>
  <c r="F16" i="141"/>
  <c r="F16" i="140"/>
  <c r="F14" i="158"/>
  <c r="D11" i="187"/>
  <c r="E15" i="193" s="1"/>
  <c r="E15" i="141"/>
  <c r="E15" i="140"/>
  <c r="E13" i="158"/>
  <c r="D10" i="187"/>
  <c r="E14" i="193" s="1"/>
  <c r="E14" i="141"/>
  <c r="E14" i="140"/>
  <c r="E12" i="158"/>
  <c r="L204" i="186"/>
  <c r="N203" i="187" s="1"/>
  <c r="L194" i="186"/>
  <c r="N193" i="187" s="1"/>
  <c r="G96" i="187"/>
  <c r="K96" i="187" s="1"/>
  <c r="L97" i="186"/>
  <c r="N96" i="187" s="1"/>
  <c r="G8" i="187"/>
  <c r="AI8" i="187" s="1"/>
  <c r="L9" i="186"/>
  <c r="N8" i="187" s="1"/>
  <c r="G168" i="187"/>
  <c r="L168" i="187" s="1"/>
  <c r="L169" i="186"/>
  <c r="N168" i="187" s="1"/>
  <c r="L128" i="186"/>
  <c r="N127" i="187" s="1"/>
  <c r="G127" i="187"/>
  <c r="M127" i="187" s="1"/>
  <c r="G98" i="187"/>
  <c r="AH98" i="187" s="1"/>
  <c r="L99" i="186"/>
  <c r="N98" i="187" s="1"/>
  <c r="G62" i="187"/>
  <c r="M62" i="187" s="1"/>
  <c r="L63" i="186"/>
  <c r="N62" i="187" s="1"/>
  <c r="G10" i="187"/>
  <c r="K10" i="187" s="1"/>
  <c r="L11" i="186"/>
  <c r="N10" i="187" s="1"/>
  <c r="G60" i="187"/>
  <c r="L60" i="187" s="1"/>
  <c r="L61" i="186"/>
  <c r="N60" i="187" s="1"/>
  <c r="G134" i="187"/>
  <c r="AI134" i="187" s="1"/>
  <c r="AO134" i="187" s="1"/>
  <c r="G113" i="187"/>
  <c r="M113" i="187" s="1"/>
  <c r="G55" i="187"/>
  <c r="AH55" i="187" s="1"/>
  <c r="D26" i="187"/>
  <c r="E31" i="193" s="1"/>
  <c r="G19" i="187"/>
  <c r="AI19" i="187" s="1"/>
  <c r="AO19" i="187" s="1"/>
  <c r="C43" i="188"/>
  <c r="L206" i="186"/>
  <c r="N205" i="187" s="1"/>
  <c r="L185" i="186"/>
  <c r="N184" i="187" s="1"/>
  <c r="L130" i="186"/>
  <c r="N129" i="187" s="1"/>
  <c r="L126" i="186"/>
  <c r="N125" i="187" s="1"/>
  <c r="E93" i="186"/>
  <c r="E97" i="192" s="1"/>
  <c r="L55" i="186"/>
  <c r="N54" i="187" s="1"/>
  <c r="L42" i="186"/>
  <c r="G180" i="187"/>
  <c r="L180" i="187" s="1"/>
  <c r="G120" i="187"/>
  <c r="M120" i="187" s="1"/>
  <c r="G104" i="187"/>
  <c r="AH104" i="187" s="1"/>
  <c r="G74" i="187"/>
  <c r="K74" i="187" s="1"/>
  <c r="G66" i="187"/>
  <c r="L66" i="187" s="1"/>
  <c r="G61" i="187"/>
  <c r="K61" i="187" s="1"/>
  <c r="D28" i="187"/>
  <c r="E33" i="193" s="1"/>
  <c r="L141" i="186"/>
  <c r="N140" i="187" s="1"/>
  <c r="L137" i="186"/>
  <c r="N136" i="187" s="1"/>
  <c r="L103" i="186"/>
  <c r="N102" i="187" s="1"/>
  <c r="L77" i="186"/>
  <c r="N76" i="187" s="1"/>
  <c r="G206" i="187"/>
  <c r="M206" i="187" s="1"/>
  <c r="G181" i="187"/>
  <c r="K181" i="187" s="1"/>
  <c r="G179" i="187"/>
  <c r="L179" i="187" s="1"/>
  <c r="G122" i="187"/>
  <c r="K122" i="187" s="1"/>
  <c r="G75" i="187"/>
  <c r="M75" i="187" s="1"/>
  <c r="G53" i="187"/>
  <c r="M53" i="187" s="1"/>
  <c r="C15" i="189"/>
  <c r="F46" i="155"/>
  <c r="J46" i="155" s="1"/>
  <c r="L195" i="186"/>
  <c r="N194" i="187" s="1"/>
  <c r="L192" i="186"/>
  <c r="N191" i="187" s="1"/>
  <c r="G191" i="187"/>
  <c r="M191" i="187" s="1"/>
  <c r="F43" i="155"/>
  <c r="J43" i="155" s="1"/>
  <c r="L189" i="186"/>
  <c r="N188" i="187" s="1"/>
  <c r="F40" i="155"/>
  <c r="G172" i="187"/>
  <c r="M172" i="187" s="1"/>
  <c r="L173" i="186"/>
  <c r="N172" i="187" s="1"/>
  <c r="L157" i="186"/>
  <c r="N156" i="187" s="1"/>
  <c r="G156" i="187"/>
  <c r="K156" i="187" s="1"/>
  <c r="G145" i="187"/>
  <c r="K145" i="187" s="1"/>
  <c r="L146" i="186"/>
  <c r="N145" i="187" s="1"/>
  <c r="L143" i="186"/>
  <c r="N142" i="187" s="1"/>
  <c r="G142" i="187"/>
  <c r="M142" i="187" s="1"/>
  <c r="L140" i="186"/>
  <c r="N139" i="187" s="1"/>
  <c r="G139" i="187"/>
  <c r="AI139" i="187" s="1"/>
  <c r="AO139" i="187" s="1"/>
  <c r="L127" i="186"/>
  <c r="N126" i="187" s="1"/>
  <c r="G126" i="187"/>
  <c r="M126" i="187" s="1"/>
  <c r="L125" i="186"/>
  <c r="N124" i="187" s="1"/>
  <c r="G124" i="187"/>
  <c r="M124" i="187" s="1"/>
  <c r="G50" i="187"/>
  <c r="AI50" i="187" s="1"/>
  <c r="AO50" i="187" s="1"/>
  <c r="L51" i="186"/>
  <c r="N50" i="187" s="1"/>
  <c r="L48" i="186"/>
  <c r="N47" i="187" s="1"/>
  <c r="G47" i="187"/>
  <c r="AH47" i="187" s="1"/>
  <c r="AN47" i="187" s="1"/>
  <c r="G194" i="187"/>
  <c r="K194" i="187" s="1"/>
  <c r="L174" i="186"/>
  <c r="N173" i="187" s="1"/>
  <c r="G173" i="187"/>
  <c r="K173" i="187" s="1"/>
  <c r="G109" i="187"/>
  <c r="K109" i="187" s="1"/>
  <c r="L110" i="186"/>
  <c r="N109" i="187" s="1"/>
  <c r="L102" i="186"/>
  <c r="N101" i="187" s="1"/>
  <c r="G101" i="187"/>
  <c r="K101" i="187" s="1"/>
  <c r="G78" i="187"/>
  <c r="L78" i="187" s="1"/>
  <c r="L79" i="186"/>
  <c r="N78" i="187" s="1"/>
  <c r="E88" i="186"/>
  <c r="E92" i="192" s="1"/>
  <c r="D76" i="187"/>
  <c r="E83" i="193" s="1"/>
  <c r="G58" i="187"/>
  <c r="N58" i="187" s="1"/>
  <c r="L59" i="186"/>
  <c r="E37" i="186"/>
  <c r="E39" i="192" s="1"/>
  <c r="D25" i="187"/>
  <c r="E30" i="193" s="1"/>
  <c r="E35" i="186"/>
  <c r="E37" i="192" s="1"/>
  <c r="D23" i="187"/>
  <c r="E28" i="193" s="1"/>
  <c r="E33" i="186"/>
  <c r="E35" i="192" s="1"/>
  <c r="D21" i="187"/>
  <c r="E26" i="193" s="1"/>
  <c r="G12" i="187"/>
  <c r="K12" i="187" s="1"/>
  <c r="L13" i="186"/>
  <c r="N12" i="187" s="1"/>
  <c r="G176" i="187"/>
  <c r="L176" i="187" s="1"/>
  <c r="L177" i="186"/>
  <c r="N176" i="187" s="1"/>
  <c r="L175" i="186"/>
  <c r="N174" i="187" s="1"/>
  <c r="G174" i="187"/>
  <c r="K174" i="187" s="1"/>
  <c r="L158" i="186"/>
  <c r="N157" i="187" s="1"/>
  <c r="G157" i="187"/>
  <c r="L157" i="187" s="1"/>
  <c r="L148" i="186"/>
  <c r="N147" i="187" s="1"/>
  <c r="G147" i="187"/>
  <c r="K147" i="187" s="1"/>
  <c r="L52" i="186"/>
  <c r="N51" i="187" s="1"/>
  <c r="G51" i="187"/>
  <c r="M51" i="187" s="1"/>
  <c r="G42" i="187"/>
  <c r="AH42" i="187" s="1"/>
  <c r="L43" i="186"/>
  <c r="N42" i="187" s="1"/>
  <c r="G15" i="187"/>
  <c r="L16" i="186"/>
  <c r="N15" i="187" s="1"/>
  <c r="G188" i="187"/>
  <c r="K188" i="187" s="1"/>
  <c r="G149" i="187"/>
  <c r="L149" i="187" s="1"/>
  <c r="L188" i="186"/>
  <c r="N187" i="187" s="1"/>
  <c r="F39" i="155"/>
  <c r="J39" i="155" s="1"/>
  <c r="L151" i="186"/>
  <c r="N150" i="187" s="1"/>
  <c r="G150" i="187"/>
  <c r="K150" i="187" s="1"/>
  <c r="D77" i="187"/>
  <c r="E84" i="193" s="1"/>
  <c r="E89" i="186"/>
  <c r="E93" i="192" s="1"/>
  <c r="L66" i="186"/>
  <c r="N65" i="187" s="1"/>
  <c r="G65" i="187"/>
  <c r="K65" i="187" s="1"/>
  <c r="L46" i="186"/>
  <c r="N45" i="187" s="1"/>
  <c r="G45" i="187"/>
  <c r="AH45" i="187" s="1"/>
  <c r="AN45" i="187" s="1"/>
  <c r="D27" i="187"/>
  <c r="E32" i="193" s="1"/>
  <c r="E39" i="186"/>
  <c r="E41" i="192" s="1"/>
  <c r="L184" i="186"/>
  <c r="N183" i="187" s="1"/>
  <c r="G183" i="187"/>
  <c r="K183" i="187" s="1"/>
  <c r="L179" i="186"/>
  <c r="N178" i="187" s="1"/>
  <c r="G178" i="187"/>
  <c r="L178" i="187" s="1"/>
  <c r="L171" i="186"/>
  <c r="N170" i="187" s="1"/>
  <c r="G170" i="187"/>
  <c r="L170" i="187" s="1"/>
  <c r="L166" i="186"/>
  <c r="N165" i="187" s="1"/>
  <c r="G165" i="187"/>
  <c r="L165" i="187" s="1"/>
  <c r="G148" i="187"/>
  <c r="K148" i="187" s="1"/>
  <c r="L149" i="186"/>
  <c r="N148" i="187" s="1"/>
  <c r="L120" i="186"/>
  <c r="N119" i="187" s="1"/>
  <c r="G119" i="187"/>
  <c r="L118" i="186"/>
  <c r="N117" i="187" s="1"/>
  <c r="G117" i="187"/>
  <c r="AH117" i="187" s="1"/>
  <c r="AN117" i="187" s="1"/>
  <c r="L115" i="186"/>
  <c r="N114" i="187" s="1"/>
  <c r="G114" i="187"/>
  <c r="K114" i="187" s="1"/>
  <c r="G100" i="187"/>
  <c r="AH100" i="187" s="1"/>
  <c r="L101" i="186"/>
  <c r="N100" i="187" s="1"/>
  <c r="L84" i="186"/>
  <c r="N83" i="187" s="1"/>
  <c r="G83" i="187"/>
  <c r="L83" i="187" s="1"/>
  <c r="D82" i="187"/>
  <c r="E89" i="193" s="1"/>
  <c r="E94" i="186"/>
  <c r="E98" i="192" s="1"/>
  <c r="L81" i="186"/>
  <c r="N80" i="187" s="1"/>
  <c r="G80" i="187"/>
  <c r="K80" i="187" s="1"/>
  <c r="L80" i="186"/>
  <c r="N79" i="187" s="1"/>
  <c r="G79" i="187"/>
  <c r="K79" i="187" s="1"/>
  <c r="G64" i="187"/>
  <c r="M64" i="187" s="1"/>
  <c r="L65" i="186"/>
  <c r="N64" i="187" s="1"/>
  <c r="G56" i="187"/>
  <c r="AI56" i="187" s="1"/>
  <c r="AO56" i="187" s="1"/>
  <c r="L57" i="186"/>
  <c r="N56" i="187" s="1"/>
  <c r="L53" i="186"/>
  <c r="N52" i="187" s="1"/>
  <c r="G52" i="187"/>
  <c r="AI52" i="187" s="1"/>
  <c r="AO52" i="187" s="1"/>
  <c r="L47" i="186"/>
  <c r="N46" i="187" s="1"/>
  <c r="G46" i="187"/>
  <c r="AI46" i="187" s="1"/>
  <c r="AO46" i="187" s="1"/>
  <c r="L44" i="186"/>
  <c r="N43" i="187" s="1"/>
  <c r="G43" i="187"/>
  <c r="AI43" i="187" s="1"/>
  <c r="L153" i="186"/>
  <c r="N152" i="187" s="1"/>
  <c r="G152" i="187"/>
  <c r="K152" i="187" s="1"/>
  <c r="L138" i="186"/>
  <c r="N137" i="187" s="1"/>
  <c r="G137" i="187"/>
  <c r="AH137" i="187" s="1"/>
  <c r="L133" i="186"/>
  <c r="N132" i="187" s="1"/>
  <c r="G132" i="187"/>
  <c r="M132" i="187" s="1"/>
  <c r="L98" i="186"/>
  <c r="N97" i="187" s="1"/>
  <c r="G97" i="187"/>
  <c r="K97" i="187" s="1"/>
  <c r="L27" i="186"/>
  <c r="N26" i="187" s="1"/>
  <c r="G26" i="187"/>
  <c r="AI26" i="187" s="1"/>
  <c r="AO26" i="187" s="1"/>
  <c r="L23" i="186"/>
  <c r="N22" i="187" s="1"/>
  <c r="G22" i="187"/>
  <c r="M22" i="187" s="1"/>
  <c r="G208" i="187"/>
  <c r="M208" i="187" s="1"/>
  <c r="L176" i="186"/>
  <c r="N175" i="187" s="1"/>
  <c r="G175" i="187"/>
  <c r="M175" i="187" s="1"/>
  <c r="L170" i="186"/>
  <c r="N169" i="187" s="1"/>
  <c r="G169" i="187"/>
  <c r="L169" i="187" s="1"/>
  <c r="L168" i="186"/>
  <c r="N167" i="187" s="1"/>
  <c r="G167" i="187"/>
  <c r="L167" i="187" s="1"/>
  <c r="L147" i="186"/>
  <c r="N146" i="187" s="1"/>
  <c r="G146" i="187"/>
  <c r="K146" i="187" s="1"/>
  <c r="L142" i="186"/>
  <c r="N141" i="187" s="1"/>
  <c r="G141" i="187"/>
  <c r="M141" i="187" s="1"/>
  <c r="L139" i="186"/>
  <c r="N138" i="187" s="1"/>
  <c r="G138" i="187"/>
  <c r="M138" i="187" s="1"/>
  <c r="L119" i="186"/>
  <c r="N118" i="187" s="1"/>
  <c r="G118" i="187"/>
  <c r="M118" i="187" s="1"/>
  <c r="L104" i="186"/>
  <c r="N103" i="187" s="1"/>
  <c r="G103" i="187"/>
  <c r="M103" i="187" s="1"/>
  <c r="L100" i="186"/>
  <c r="N99" i="187" s="1"/>
  <c r="G99" i="187"/>
  <c r="K99" i="187" s="1"/>
  <c r="E90" i="186"/>
  <c r="E94" i="192" s="1"/>
  <c r="L82" i="186"/>
  <c r="N81" i="187" s="1"/>
  <c r="G81" i="187"/>
  <c r="L81" i="187" s="1"/>
  <c r="L60" i="186"/>
  <c r="N59" i="187" s="1"/>
  <c r="G59" i="187"/>
  <c r="K59" i="187" s="1"/>
  <c r="E36" i="186"/>
  <c r="E38" i="192" s="1"/>
  <c r="D24" i="187"/>
  <c r="E29" i="193" s="1"/>
  <c r="E34" i="186"/>
  <c r="E36" i="192" s="1"/>
  <c r="D22" i="187"/>
  <c r="E27" i="193" s="1"/>
  <c r="E32" i="186"/>
  <c r="E34" i="192" s="1"/>
  <c r="D20" i="187"/>
  <c r="E25" i="193" s="1"/>
  <c r="G155" i="187"/>
  <c r="M155" i="187" s="1"/>
  <c r="G128" i="187"/>
  <c r="AI128" i="187" s="1"/>
  <c r="AO128" i="187" s="1"/>
  <c r="G121" i="187"/>
  <c r="K121" i="187" s="1"/>
  <c r="G82" i="187"/>
  <c r="M82" i="187" s="1"/>
  <c r="G48" i="187"/>
  <c r="AI48" i="187" s="1"/>
  <c r="AO48" i="187" s="1"/>
  <c r="L167" i="186"/>
  <c r="N166" i="187" s="1"/>
  <c r="G166" i="187"/>
  <c r="M166" i="187" s="1"/>
  <c r="L136" i="186"/>
  <c r="N135" i="187" s="1"/>
  <c r="G135" i="187"/>
  <c r="AI135" i="187" s="1"/>
  <c r="AO135" i="187" s="1"/>
  <c r="L131" i="186"/>
  <c r="N130" i="187" s="1"/>
  <c r="G130" i="187"/>
  <c r="M130" i="187" s="1"/>
  <c r="L116" i="186"/>
  <c r="N115" i="187" s="1"/>
  <c r="G115" i="187"/>
  <c r="M115" i="187" s="1"/>
  <c r="E91" i="186"/>
  <c r="E95" i="192" s="1"/>
  <c r="D79" i="187"/>
  <c r="E86" i="193" s="1"/>
  <c r="L29" i="186"/>
  <c r="N28" i="187" s="1"/>
  <c r="G28" i="187"/>
  <c r="AH28" i="187" s="1"/>
  <c r="AN28" i="187" s="1"/>
  <c r="L25" i="186"/>
  <c r="N24" i="187" s="1"/>
  <c r="G24" i="187"/>
  <c r="AI24" i="187" s="1"/>
  <c r="AO24" i="187" s="1"/>
  <c r="L21" i="186"/>
  <c r="N20" i="187" s="1"/>
  <c r="G20" i="187"/>
  <c r="M20" i="187" s="1"/>
  <c r="L132" i="186"/>
  <c r="N131" i="187" s="1"/>
  <c r="G131" i="187"/>
  <c r="AI131" i="187" s="1"/>
  <c r="AO131" i="187" s="1"/>
  <c r="L117" i="186"/>
  <c r="N116" i="187" s="1"/>
  <c r="G116" i="187"/>
  <c r="M116" i="187" s="1"/>
  <c r="L78" i="186"/>
  <c r="N77" i="187" s="1"/>
  <c r="G77" i="187"/>
  <c r="E87" i="186"/>
  <c r="E91" i="192" s="1"/>
  <c r="D75" i="187"/>
  <c r="E82" i="193" s="1"/>
  <c r="L64" i="186"/>
  <c r="N63" i="187" s="1"/>
  <c r="G63" i="187"/>
  <c r="L63" i="187" s="1"/>
  <c r="L45" i="186"/>
  <c r="N44" i="187" s="1"/>
  <c r="G44" i="187"/>
  <c r="AI44" i="187" s="1"/>
  <c r="L28" i="186"/>
  <c r="N27" i="187" s="1"/>
  <c r="G27" i="187"/>
  <c r="AI27" i="187" s="1"/>
  <c r="AO27" i="187" s="1"/>
  <c r="L26" i="186"/>
  <c r="N25" i="187" s="1"/>
  <c r="G25" i="187"/>
  <c r="AI25" i="187" s="1"/>
  <c r="AO25" i="187" s="1"/>
  <c r="L24" i="186"/>
  <c r="N23" i="187" s="1"/>
  <c r="G23" i="187"/>
  <c r="M23" i="187" s="1"/>
  <c r="L22" i="186"/>
  <c r="N21" i="187" s="1"/>
  <c r="G21" i="187"/>
  <c r="M21" i="187" s="1"/>
  <c r="D83" i="187"/>
  <c r="E90" i="193" s="1"/>
  <c r="C21" i="189"/>
  <c r="E21" i="189" s="1"/>
  <c r="L128" i="187"/>
  <c r="A167" i="187"/>
  <c r="A173" i="187" s="1"/>
  <c r="L102" i="187"/>
  <c r="L47" i="187"/>
  <c r="U44" i="187"/>
  <c r="AB44" i="187" s="1"/>
  <c r="U32" i="187"/>
  <c r="AH32" i="187" s="1"/>
  <c r="AN32" i="187" s="1"/>
  <c r="L31" i="187"/>
  <c r="AC26" i="187"/>
  <c r="L16" i="187"/>
  <c r="M203" i="187"/>
  <c r="L201" i="187"/>
  <c r="AC48" i="187"/>
  <c r="AC38" i="187"/>
  <c r="U11" i="187"/>
  <c r="L54" i="187"/>
  <c r="AI39" i="187"/>
  <c r="AO39" i="187" s="1"/>
  <c r="L200" i="187"/>
  <c r="L162" i="187"/>
  <c r="AC140" i="187"/>
  <c r="U132" i="187"/>
  <c r="AB132" i="187" s="1"/>
  <c r="AC51" i="187"/>
  <c r="AI33" i="187"/>
  <c r="AO33" i="187" s="1"/>
  <c r="M32" i="187"/>
  <c r="L25" i="187"/>
  <c r="L23" i="187"/>
  <c r="AH14" i="187"/>
  <c r="AN14" i="187" s="1"/>
  <c r="K111" i="187"/>
  <c r="AB45" i="187"/>
  <c r="K199" i="187"/>
  <c r="L93" i="187"/>
  <c r="L55" i="187"/>
  <c r="L45" i="187"/>
  <c r="AH36" i="187"/>
  <c r="AN36" i="187" s="1"/>
  <c r="O21" i="187"/>
  <c r="K154" i="187"/>
  <c r="L27" i="187"/>
  <c r="K201" i="187"/>
  <c r="L197" i="187"/>
  <c r="K161" i="187"/>
  <c r="L186" i="187"/>
  <c r="L161" i="187"/>
  <c r="AI143" i="187"/>
  <c r="AO143" i="187" s="1"/>
  <c r="L141" i="187"/>
  <c r="AC138" i="187"/>
  <c r="AC136" i="187"/>
  <c r="L124" i="187"/>
  <c r="L100" i="187"/>
  <c r="L97" i="187"/>
  <c r="AI37" i="187"/>
  <c r="AO37" i="187" s="1"/>
  <c r="AC34" i="187"/>
  <c r="AH34" i="187"/>
  <c r="AN34" i="187" s="1"/>
  <c r="L192" i="187"/>
  <c r="U142" i="187"/>
  <c r="AB142" i="187" s="1"/>
  <c r="L137" i="187"/>
  <c r="U136" i="187"/>
  <c r="AC134" i="187"/>
  <c r="L107" i="187"/>
  <c r="L104" i="187"/>
  <c r="L96" i="187"/>
  <c r="L87" i="187"/>
  <c r="L46" i="187"/>
  <c r="AI31" i="187"/>
  <c r="AO31" i="187" s="1"/>
  <c r="AB21" i="187"/>
  <c r="J51" i="155"/>
  <c r="AC44" i="187"/>
  <c r="E120" i="185"/>
  <c r="E71" i="185"/>
  <c r="F21" i="148"/>
  <c r="G39" i="155"/>
  <c r="F17" i="148"/>
  <c r="U182" i="185"/>
  <c r="U134" i="185"/>
  <c r="U19" i="185"/>
  <c r="U17" i="185"/>
  <c r="AC30" i="187"/>
  <c r="E15" i="189"/>
  <c r="AC53" i="187"/>
  <c r="D25" i="188"/>
  <c r="D24" i="188"/>
  <c r="D26" i="188"/>
  <c r="AB50" i="187"/>
  <c r="AI32" i="187"/>
  <c r="AO32" i="187" s="1"/>
  <c r="AC17" i="187"/>
  <c r="AB35" i="187"/>
  <c r="AB47" i="187"/>
  <c r="AB135" i="187"/>
  <c r="AB111" i="187"/>
  <c r="AB98" i="187"/>
  <c r="AC55" i="187"/>
  <c r="AB102" i="187"/>
  <c r="AC129" i="187"/>
  <c r="AI35" i="187"/>
  <c r="AO35" i="187" s="1"/>
  <c r="AC19" i="187"/>
  <c r="AC8" i="187"/>
  <c r="AC142" i="187"/>
  <c r="AB107" i="187"/>
  <c r="AB117" i="187"/>
  <c r="AB113" i="187"/>
  <c r="A168" i="187"/>
  <c r="A169" i="187" s="1"/>
  <c r="U101" i="187"/>
  <c r="M88" i="187"/>
  <c r="O88" i="187"/>
  <c r="K70" i="187"/>
  <c r="M70" i="187"/>
  <c r="L39" i="187"/>
  <c r="O23" i="187"/>
  <c r="O195" i="187"/>
  <c r="O128" i="187"/>
  <c r="O126" i="187"/>
  <c r="L69" i="187"/>
  <c r="U41" i="187"/>
  <c r="L41" i="187"/>
  <c r="L33" i="187"/>
  <c r="U8" i="187"/>
  <c r="L8" i="187"/>
  <c r="M199" i="187"/>
  <c r="O189" i="187"/>
  <c r="L154" i="187"/>
  <c r="L143" i="187"/>
  <c r="U140" i="187"/>
  <c r="L139" i="187"/>
  <c r="U130" i="187"/>
  <c r="L127" i="187"/>
  <c r="L117" i="187"/>
  <c r="L113" i="187"/>
  <c r="M86" i="187"/>
  <c r="O86" i="187"/>
  <c r="AI41" i="187"/>
  <c r="AO41" i="187" s="1"/>
  <c r="M41" i="187"/>
  <c r="AI38" i="187"/>
  <c r="AO38" i="187" s="1"/>
  <c r="M38" i="187"/>
  <c r="L36" i="187"/>
  <c r="L34" i="187"/>
  <c r="AI30" i="187"/>
  <c r="AO30" i="187" s="1"/>
  <c r="L26" i="187"/>
  <c r="AB24" i="187"/>
  <c r="K197" i="187"/>
  <c r="L138" i="187"/>
  <c r="U138" i="187"/>
  <c r="AB138" i="187" s="1"/>
  <c r="U110" i="187"/>
  <c r="AH110" i="187" s="1"/>
  <c r="AN110" i="187" s="1"/>
  <c r="M90" i="187"/>
  <c r="K90" i="187"/>
  <c r="K162" i="187"/>
  <c r="K158" i="187"/>
  <c r="AC130" i="187"/>
  <c r="AB127" i="187"/>
  <c r="AB115" i="187"/>
  <c r="M108" i="187"/>
  <c r="K106" i="187"/>
  <c r="K104" i="187"/>
  <c r="L103" i="187"/>
  <c r="U103" i="187"/>
  <c r="AB103" i="187" s="1"/>
  <c r="AB96" i="187"/>
  <c r="K85" i="187"/>
  <c r="O43" i="187"/>
  <c r="O25" i="187"/>
  <c r="AB25" i="187" s="1"/>
  <c r="L22" i="187"/>
  <c r="U22" i="187"/>
  <c r="AB22" i="187" s="1"/>
  <c r="L14" i="187"/>
  <c r="AI203" i="187"/>
  <c r="AO203" i="187" s="1"/>
  <c r="L198" i="187"/>
  <c r="L196" i="187"/>
  <c r="O184" i="187"/>
  <c r="L163" i="187"/>
  <c r="M162" i="187"/>
  <c r="M161" i="187"/>
  <c r="O161" i="187"/>
  <c r="L158" i="187"/>
  <c r="O158" i="187"/>
  <c r="M158" i="187"/>
  <c r="M154" i="187"/>
  <c r="AC131" i="187"/>
  <c r="U129" i="187"/>
  <c r="L129" i="187"/>
  <c r="L121" i="187"/>
  <c r="U121" i="187"/>
  <c r="L119" i="187"/>
  <c r="U119" i="187"/>
  <c r="L108" i="187"/>
  <c r="U108" i="187"/>
  <c r="AB108" i="187" s="1"/>
  <c r="L99" i="187"/>
  <c r="U99" i="187"/>
  <c r="O61" i="187"/>
  <c r="AC54" i="187"/>
  <c r="AB52" i="187"/>
  <c r="O46" i="187"/>
  <c r="L42" i="187"/>
  <c r="O32" i="187"/>
  <c r="L30" i="187"/>
  <c r="U30" i="187"/>
  <c r="AB30" i="187" s="1"/>
  <c r="U12" i="187"/>
  <c r="L12" i="187"/>
  <c r="O11" i="187"/>
  <c r="L71" i="187"/>
  <c r="AC50" i="187"/>
  <c r="AC47" i="187"/>
  <c r="AC41" i="187"/>
  <c r="M160" i="187"/>
  <c r="L88" i="187"/>
  <c r="L86" i="187"/>
  <c r="K71" i="187"/>
  <c r="L70" i="187"/>
  <c r="AC56" i="187"/>
  <c r="AC52" i="187"/>
  <c r="U38" i="187"/>
  <c r="AB38" i="187" s="1"/>
  <c r="AI34" i="187"/>
  <c r="AO34" i="187" s="1"/>
  <c r="AC21" i="187"/>
  <c r="AC15" i="187"/>
  <c r="AI14" i="187"/>
  <c r="AO14" i="187" s="1"/>
  <c r="M198" i="187"/>
  <c r="O191" i="187"/>
  <c r="O186" i="187"/>
  <c r="M186" i="187"/>
  <c r="O167" i="187"/>
  <c r="L89" i="187"/>
  <c r="H208" i="187"/>
  <c r="O176" i="187"/>
  <c r="K159" i="187"/>
  <c r="O159" i="187"/>
  <c r="M159" i="187"/>
  <c r="A162" i="187"/>
  <c r="A161" i="187"/>
  <c r="A163" i="187" s="1"/>
  <c r="AC132" i="187"/>
  <c r="U120" i="187"/>
  <c r="L120" i="187"/>
  <c r="U116" i="187"/>
  <c r="L116" i="187"/>
  <c r="L205" i="187"/>
  <c r="O190" i="187"/>
  <c r="O188" i="187"/>
  <c r="K205" i="187"/>
  <c r="M200" i="187"/>
  <c r="K200" i="187"/>
  <c r="M196" i="187"/>
  <c r="K196" i="187"/>
  <c r="K192" i="187"/>
  <c r="K186" i="187"/>
  <c r="O181" i="187"/>
  <c r="AB143" i="187"/>
  <c r="U131" i="187"/>
  <c r="L131" i="187"/>
  <c r="A141" i="187"/>
  <c r="A143" i="187" s="1"/>
  <c r="A142" i="187"/>
  <c r="AB128" i="187"/>
  <c r="M104" i="187"/>
  <c r="O104" i="187"/>
  <c r="AB104" i="187" s="1"/>
  <c r="K198" i="187"/>
  <c r="O193" i="187"/>
  <c r="O192" i="187"/>
  <c r="M192" i="187"/>
  <c r="O172" i="187"/>
  <c r="O137" i="187"/>
  <c r="AC137" i="187" s="1"/>
  <c r="M201" i="187"/>
  <c r="L199" i="187"/>
  <c r="M197" i="187"/>
  <c r="L195" i="187"/>
  <c r="A176" i="187"/>
  <c r="O163" i="187"/>
  <c r="M163" i="187"/>
  <c r="O155" i="187"/>
  <c r="AC125" i="187"/>
  <c r="O150" i="187"/>
  <c r="L160" i="187"/>
  <c r="AC143" i="187"/>
  <c r="AH143" i="187"/>
  <c r="O139" i="187"/>
  <c r="AC135" i="187"/>
  <c r="AC128" i="187"/>
  <c r="AB126" i="187"/>
  <c r="U122" i="187"/>
  <c r="L122" i="187"/>
  <c r="U118" i="187"/>
  <c r="L118" i="187"/>
  <c r="U114" i="187"/>
  <c r="L114" i="187"/>
  <c r="O109" i="187"/>
  <c r="O100" i="187"/>
  <c r="L159" i="187"/>
  <c r="O146" i="187"/>
  <c r="M143" i="187"/>
  <c r="O141" i="187"/>
  <c r="L125" i="187"/>
  <c r="U125" i="187"/>
  <c r="AB97" i="187"/>
  <c r="AH111" i="187"/>
  <c r="AH107" i="187"/>
  <c r="M94" i="187"/>
  <c r="K94" i="187"/>
  <c r="M92" i="187"/>
  <c r="K92" i="187"/>
  <c r="O124" i="187"/>
  <c r="M111" i="187"/>
  <c r="M107" i="187"/>
  <c r="M110" i="187"/>
  <c r="M106" i="187"/>
  <c r="L94" i="187"/>
  <c r="M93" i="187"/>
  <c r="K93" i="187"/>
  <c r="L92" i="187"/>
  <c r="M91" i="187"/>
  <c r="K91" i="187"/>
  <c r="K89" i="187"/>
  <c r="M87" i="187"/>
  <c r="L85" i="187"/>
  <c r="M85" i="187"/>
  <c r="L90" i="187"/>
  <c r="O78" i="187"/>
  <c r="U53" i="187"/>
  <c r="L53" i="187"/>
  <c r="O82" i="187"/>
  <c r="A66" i="187"/>
  <c r="A68" i="187"/>
  <c r="A69" i="187" s="1"/>
  <c r="A70" i="187" s="1"/>
  <c r="A71" i="187" s="1"/>
  <c r="A72" i="187" s="1"/>
  <c r="A75" i="187" s="1"/>
  <c r="A76" i="187" s="1"/>
  <c r="A77" i="187" s="1"/>
  <c r="A78" i="187" s="1"/>
  <c r="A79" i="187" s="1"/>
  <c r="A80" i="187" s="1"/>
  <c r="A81" i="187" s="1"/>
  <c r="A82" i="187" s="1"/>
  <c r="A83" i="187" s="1"/>
  <c r="A86" i="187" s="1"/>
  <c r="A87" i="187" s="1"/>
  <c r="A88" i="187" s="1"/>
  <c r="A89" i="187" s="1"/>
  <c r="A90" i="187" s="1"/>
  <c r="A91" i="187" s="1"/>
  <c r="A92" i="187" s="1"/>
  <c r="A93" i="187" s="1"/>
  <c r="A94" i="187" s="1"/>
  <c r="O60" i="187"/>
  <c r="O75" i="187"/>
  <c r="L68" i="187"/>
  <c r="AC45" i="187"/>
  <c r="A47" i="187"/>
  <c r="A50" i="187"/>
  <c r="AB33" i="187"/>
  <c r="L72" i="187"/>
  <c r="O66" i="187"/>
  <c r="O71" i="187"/>
  <c r="M71" i="187"/>
  <c r="M69" i="187"/>
  <c r="K69" i="187"/>
  <c r="AB54" i="187"/>
  <c r="AB51" i="187"/>
  <c r="AB42" i="187"/>
  <c r="AH37" i="187"/>
  <c r="M72" i="187"/>
  <c r="M68" i="187"/>
  <c r="L51" i="187"/>
  <c r="AB48" i="187"/>
  <c r="AB43" i="187"/>
  <c r="M39" i="187"/>
  <c r="O39" i="187"/>
  <c r="AI36" i="187"/>
  <c r="AO36" i="187" s="1"/>
  <c r="M36" i="187"/>
  <c r="M31" i="187"/>
  <c r="O31" i="187"/>
  <c r="AC31" i="187" s="1"/>
  <c r="AB56" i="187"/>
  <c r="AB55" i="187"/>
  <c r="L48" i="187"/>
  <c r="AB46" i="187"/>
  <c r="M37" i="187"/>
  <c r="AB36" i="187"/>
  <c r="AC35" i="187"/>
  <c r="AH35" i="187"/>
  <c r="AB23" i="187"/>
  <c r="O37" i="187"/>
  <c r="M35" i="187"/>
  <c r="AB34" i="187"/>
  <c r="M34" i="187"/>
  <c r="AC33" i="187"/>
  <c r="AH33" i="187"/>
  <c r="AH39" i="187"/>
  <c r="M33" i="187"/>
  <c r="AH31" i="187"/>
  <c r="AB26" i="187"/>
  <c r="AC20" i="187"/>
  <c r="O27" i="187"/>
  <c r="AC14" i="187"/>
  <c r="AB14" i="187"/>
  <c r="O28" i="187"/>
  <c r="AC24" i="187"/>
  <c r="AI17" i="187"/>
  <c r="AO17" i="187" s="1"/>
  <c r="M17" i="187"/>
  <c r="AB19" i="187"/>
  <c r="AH16" i="187"/>
  <c r="AB10" i="187"/>
  <c r="L19" i="187"/>
  <c r="M16" i="187"/>
  <c r="M14" i="187"/>
  <c r="AB20" i="187"/>
  <c r="O16" i="187"/>
  <c r="L10" i="187"/>
  <c r="L12" i="186"/>
  <c r="N11" i="187" s="1"/>
  <c r="J211" i="186"/>
  <c r="L191" i="186"/>
  <c r="N190" i="187" s="1"/>
  <c r="F42" i="155"/>
  <c r="J42" i="155" s="1"/>
  <c r="C112" i="186"/>
  <c r="C115" i="186" s="1"/>
  <c r="C116" i="186" s="1"/>
  <c r="C117" i="186" s="1"/>
  <c r="C118" i="186" s="1"/>
  <c r="C119" i="186" s="1"/>
  <c r="C120" i="186" s="1"/>
  <c r="C121" i="186" s="1"/>
  <c r="C122" i="186" s="1"/>
  <c r="C123" i="186" s="1"/>
  <c r="C114" i="186"/>
  <c r="A175" i="186"/>
  <c r="A177" i="186"/>
  <c r="A170" i="186"/>
  <c r="F41" i="155"/>
  <c r="J41" i="155" s="1"/>
  <c r="L190" i="186"/>
  <c r="N189" i="187" s="1"/>
  <c r="A143" i="186"/>
  <c r="A142" i="186"/>
  <c r="A144" i="186" s="1"/>
  <c r="J47" i="155"/>
  <c r="I211" i="186"/>
  <c r="J49" i="155"/>
  <c r="J50" i="155"/>
  <c r="J48" i="155"/>
  <c r="J45" i="155"/>
  <c r="A87" i="186"/>
  <c r="A88" i="186" s="1"/>
  <c r="A89" i="186" s="1"/>
  <c r="A90" i="186" s="1"/>
  <c r="A91" i="186" s="1"/>
  <c r="A92" i="186" s="1"/>
  <c r="A93" i="186" s="1"/>
  <c r="A94" i="186" s="1"/>
  <c r="A95" i="186" s="1"/>
  <c r="A97" i="186"/>
  <c r="A98" i="186" s="1"/>
  <c r="A99" i="186" s="1"/>
  <c r="A100" i="186" s="1"/>
  <c r="A101" i="186" s="1"/>
  <c r="A102" i="186" s="1"/>
  <c r="A103" i="186" s="1"/>
  <c r="A104" i="186" s="1"/>
  <c r="A105" i="186" s="1"/>
  <c r="A107" i="186" s="1"/>
  <c r="A108" i="186" s="1"/>
  <c r="A109" i="186" s="1"/>
  <c r="A110" i="186" s="1"/>
  <c r="A111" i="186" s="1"/>
  <c r="A178" i="185"/>
  <c r="A179" i="185"/>
  <c r="A180" i="185" s="1"/>
  <c r="A181" i="185" s="1"/>
  <c r="A182" i="185" s="1"/>
  <c r="A183" i="185" s="1"/>
  <c r="A184" i="185" s="1"/>
  <c r="A185" i="185" s="1"/>
  <c r="A186" i="185" s="1"/>
  <c r="A187" i="185" s="1"/>
  <c r="A188" i="185" s="1"/>
  <c r="A189" i="185" s="1"/>
  <c r="A190" i="185" s="1"/>
  <c r="A191" i="185" s="1"/>
  <c r="A192" i="185" s="1"/>
  <c r="A193" i="185" s="1"/>
  <c r="A194" i="185" s="1"/>
  <c r="A195" i="185" s="1"/>
  <c r="A196" i="185" s="1"/>
  <c r="U148" i="185"/>
  <c r="U128" i="185"/>
  <c r="U62" i="185"/>
  <c r="U124" i="185"/>
  <c r="U196" i="185"/>
  <c r="U191" i="185"/>
  <c r="U187" i="185"/>
  <c r="U183" i="185"/>
  <c r="U175" i="185"/>
  <c r="U170" i="185"/>
  <c r="U162" i="185"/>
  <c r="U142" i="185"/>
  <c r="U138" i="185"/>
  <c r="U129" i="185"/>
  <c r="U125" i="185"/>
  <c r="H120" i="185"/>
  <c r="U121" i="185"/>
  <c r="U120" i="185" s="1"/>
  <c r="U108" i="185"/>
  <c r="U106" i="185"/>
  <c r="U104" i="185"/>
  <c r="U102" i="185"/>
  <c r="E99" i="185"/>
  <c r="U100" i="185"/>
  <c r="U99" i="185" s="1"/>
  <c r="U96" i="185"/>
  <c r="U94" i="185"/>
  <c r="U92" i="185"/>
  <c r="U63" i="185"/>
  <c r="U55" i="185"/>
  <c r="U52" i="185"/>
  <c r="U50" i="185"/>
  <c r="U192" i="185"/>
  <c r="G52" i="155"/>
  <c r="J52" i="155" s="1"/>
  <c r="U188" i="185"/>
  <c r="G44" i="155"/>
  <c r="J44" i="155" s="1"/>
  <c r="U184" i="185"/>
  <c r="U180" i="185"/>
  <c r="G40" i="155"/>
  <c r="U176" i="185"/>
  <c r="U171" i="185"/>
  <c r="U145" i="185"/>
  <c r="U143" i="185"/>
  <c r="U132" i="185"/>
  <c r="U126" i="185"/>
  <c r="U122" i="185"/>
  <c r="U58" i="185"/>
  <c r="U193" i="185"/>
  <c r="U189" i="185"/>
  <c r="U181" i="185"/>
  <c r="U169" i="185"/>
  <c r="U161" i="185"/>
  <c r="U160" i="185"/>
  <c r="U154" i="185"/>
  <c r="U151" i="185"/>
  <c r="U135" i="185"/>
  <c r="U133" i="185"/>
  <c r="U127" i="185"/>
  <c r="U123" i="185"/>
  <c r="U59" i="185"/>
  <c r="U149" i="185"/>
  <c r="U141" i="185"/>
  <c r="U140" i="185" s="1"/>
  <c r="U110" i="185"/>
  <c r="U107" i="185"/>
  <c r="U105" i="185"/>
  <c r="U103" i="185"/>
  <c r="U101" i="185"/>
  <c r="U97" i="185"/>
  <c r="U95" i="185"/>
  <c r="U93" i="185"/>
  <c r="U90" i="185"/>
  <c r="U88" i="185"/>
  <c r="U86" i="185"/>
  <c r="U84" i="185"/>
  <c r="U82" i="185"/>
  <c r="U60" i="185"/>
  <c r="U56" i="185"/>
  <c r="U179" i="185"/>
  <c r="U178" i="185" s="1"/>
  <c r="U166" i="185"/>
  <c r="U158" i="185"/>
  <c r="U131" i="185"/>
  <c r="U111" i="185"/>
  <c r="U61" i="185"/>
  <c r="U57" i="185"/>
  <c r="U53" i="185"/>
  <c r="U51" i="185"/>
  <c r="U25" i="185"/>
  <c r="U24" i="185" s="1"/>
  <c r="M76" i="187" l="1"/>
  <c r="M66" i="187"/>
  <c r="L146" i="187"/>
  <c r="M134" i="187"/>
  <c r="AH17" i="187"/>
  <c r="AN17" i="187" s="1"/>
  <c r="AH134" i="187"/>
  <c r="AN134" i="187" s="1"/>
  <c r="K168" i="187"/>
  <c r="L61" i="187"/>
  <c r="M179" i="187"/>
  <c r="AB134" i="187"/>
  <c r="M8" i="187"/>
  <c r="AH19" i="187"/>
  <c r="AN19" i="187" s="1"/>
  <c r="M188" i="187"/>
  <c r="M58" i="187"/>
  <c r="AH10" i="187"/>
  <c r="AN10" i="187" s="1"/>
  <c r="K187" i="187"/>
  <c r="AH11" i="187"/>
  <c r="AN11" i="187" s="1"/>
  <c r="M19" i="187"/>
  <c r="M10" i="187"/>
  <c r="K190" i="187"/>
  <c r="L190" i="187"/>
  <c r="M45" i="187"/>
  <c r="L152" i="187"/>
  <c r="M145" i="187"/>
  <c r="AI51" i="187"/>
  <c r="AO51" i="187" s="1"/>
  <c r="M184" i="187"/>
  <c r="K98" i="187"/>
  <c r="M101" i="187"/>
  <c r="L147" i="187"/>
  <c r="AI20" i="187"/>
  <c r="AO20" i="187" s="1"/>
  <c r="M96" i="187"/>
  <c r="K193" i="187"/>
  <c r="L188" i="187"/>
  <c r="M187" i="187"/>
  <c r="K11" i="187"/>
  <c r="K82" i="187"/>
  <c r="M98" i="187"/>
  <c r="AH96" i="187"/>
  <c r="AN96" i="187" s="1"/>
  <c r="M183" i="187"/>
  <c r="M167" i="187"/>
  <c r="L82" i="187"/>
  <c r="L193" i="187"/>
  <c r="K167" i="187"/>
  <c r="M78" i="187"/>
  <c r="M168" i="187"/>
  <c r="M12" i="187"/>
  <c r="L184" i="187"/>
  <c r="L174" i="187"/>
  <c r="M194" i="187"/>
  <c r="AI55" i="187"/>
  <c r="AO55" i="187" s="1"/>
  <c r="M60" i="187"/>
  <c r="AI54" i="187"/>
  <c r="AO54" i="187" s="1"/>
  <c r="L62" i="187"/>
  <c r="K116" i="187"/>
  <c r="M147" i="187"/>
  <c r="M136" i="187"/>
  <c r="L155" i="187"/>
  <c r="L194" i="187"/>
  <c r="AH136" i="187"/>
  <c r="AN136" i="187" s="1"/>
  <c r="M24" i="187"/>
  <c r="M44" i="187"/>
  <c r="K118" i="187"/>
  <c r="AH135" i="187"/>
  <c r="AN135" i="187" s="1"/>
  <c r="K155" i="187"/>
  <c r="K179" i="187"/>
  <c r="K157" i="187"/>
  <c r="M61" i="187"/>
  <c r="AH50" i="187"/>
  <c r="AN50" i="187" s="1"/>
  <c r="M47" i="187"/>
  <c r="L74" i="187"/>
  <c r="M109" i="187"/>
  <c r="AH124" i="187"/>
  <c r="AN124" i="187" s="1"/>
  <c r="AI132" i="187"/>
  <c r="AO132" i="187" s="1"/>
  <c r="L183" i="187"/>
  <c r="AI42" i="187"/>
  <c r="AO42" i="187" s="1"/>
  <c r="M122" i="187"/>
  <c r="M81" i="187"/>
  <c r="AH129" i="187"/>
  <c r="AN129" i="187" s="1"/>
  <c r="AI124" i="187"/>
  <c r="AO124" i="187" s="1"/>
  <c r="AH113" i="187"/>
  <c r="AN113" i="187" s="1"/>
  <c r="AI129" i="187"/>
  <c r="AO129" i="187" s="1"/>
  <c r="M46" i="187"/>
  <c r="M170" i="187"/>
  <c r="M42" i="187"/>
  <c r="M74" i="187"/>
  <c r="AB106" i="187"/>
  <c r="M152" i="187"/>
  <c r="M139" i="187"/>
  <c r="A174" i="187"/>
  <c r="AI47" i="187"/>
  <c r="AO47" i="187" s="1"/>
  <c r="K113" i="187"/>
  <c r="AH12" i="187"/>
  <c r="AN12" i="187" s="1"/>
  <c r="K81" i="187"/>
  <c r="M180" i="187"/>
  <c r="M117" i="187"/>
  <c r="AH15" i="187"/>
  <c r="AN15" i="187" s="1"/>
  <c r="K66" i="187"/>
  <c r="K58" i="187"/>
  <c r="M26" i="187"/>
  <c r="AH26" i="187"/>
  <c r="AN26" i="187" s="1"/>
  <c r="AH46" i="187"/>
  <c r="AN46" i="187" s="1"/>
  <c r="L58" i="187"/>
  <c r="M79" i="187"/>
  <c r="AI45" i="187"/>
  <c r="AO45" i="187" s="1"/>
  <c r="L79" i="187"/>
  <c r="AH109" i="187"/>
  <c r="AN109" i="187" s="1"/>
  <c r="AH139" i="187"/>
  <c r="AN139" i="187" s="1"/>
  <c r="K170" i="187"/>
  <c r="K117" i="187"/>
  <c r="K78" i="187"/>
  <c r="G67" i="141"/>
  <c r="G67" i="140"/>
  <c r="G65" i="158"/>
  <c r="G85" i="141"/>
  <c r="G85" i="140"/>
  <c r="G83" i="158"/>
  <c r="G155" i="140"/>
  <c r="G155" i="141"/>
  <c r="G153" i="158"/>
  <c r="G159" i="140"/>
  <c r="G159" i="141"/>
  <c r="G157" i="158"/>
  <c r="G182" i="141"/>
  <c r="G182" i="140"/>
  <c r="G180" i="158"/>
  <c r="G198" i="141"/>
  <c r="G196" i="158"/>
  <c r="G198" i="140"/>
  <c r="G196" i="140"/>
  <c r="G194" i="158"/>
  <c r="G196" i="141"/>
  <c r="G167" i="141"/>
  <c r="G167" i="140"/>
  <c r="G165" i="158"/>
  <c r="G93" i="141"/>
  <c r="G93" i="140"/>
  <c r="G91" i="158"/>
  <c r="G134" i="141"/>
  <c r="G134" i="140"/>
  <c r="G132" i="158"/>
  <c r="AC37" i="187"/>
  <c r="G42" i="140"/>
  <c r="G40" i="158"/>
  <c r="G42" i="141"/>
  <c r="G168" i="141"/>
  <c r="G168" i="140"/>
  <c r="G166" i="158"/>
  <c r="M50" i="187"/>
  <c r="G36" i="141"/>
  <c r="G34" i="158"/>
  <c r="G36" i="140"/>
  <c r="AC39" i="187"/>
  <c r="G44" i="141"/>
  <c r="G44" i="140"/>
  <c r="G42" i="158"/>
  <c r="K62" i="187"/>
  <c r="K60" i="187"/>
  <c r="G89" i="140"/>
  <c r="G89" i="141"/>
  <c r="G87" i="158"/>
  <c r="K76" i="187"/>
  <c r="K120" i="187"/>
  <c r="AB141" i="187"/>
  <c r="G149" i="141"/>
  <c r="G147" i="158"/>
  <c r="G149" i="140"/>
  <c r="AC139" i="187"/>
  <c r="G147" i="140"/>
  <c r="G147" i="141"/>
  <c r="G145" i="158"/>
  <c r="AI125" i="187"/>
  <c r="AO125" i="187" s="1"/>
  <c r="G202" i="140"/>
  <c r="G202" i="141"/>
  <c r="G200" i="158"/>
  <c r="G200" i="140"/>
  <c r="G200" i="141"/>
  <c r="G198" i="158"/>
  <c r="M55" i="187"/>
  <c r="G170" i="140"/>
  <c r="G168" i="158"/>
  <c r="G170" i="141"/>
  <c r="G194" i="141"/>
  <c r="G194" i="140"/>
  <c r="G192" i="158"/>
  <c r="AC43" i="187"/>
  <c r="G49" i="141"/>
  <c r="G49" i="140"/>
  <c r="G47" i="158"/>
  <c r="AC126" i="187"/>
  <c r="G199" i="141"/>
  <c r="G199" i="140"/>
  <c r="G197" i="158"/>
  <c r="AH8" i="187"/>
  <c r="AN8" i="187" s="1"/>
  <c r="G205" i="141"/>
  <c r="G205" i="140"/>
  <c r="G203" i="158"/>
  <c r="G26" i="141"/>
  <c r="G26" i="140"/>
  <c r="G24" i="158"/>
  <c r="AI141" i="187"/>
  <c r="AO141" i="187" s="1"/>
  <c r="AC16" i="187"/>
  <c r="G20" i="141"/>
  <c r="G20" i="140"/>
  <c r="G18" i="158"/>
  <c r="AC28" i="187"/>
  <c r="G31" i="158"/>
  <c r="G33" i="141"/>
  <c r="G33" i="140"/>
  <c r="AB27" i="187"/>
  <c r="G32" i="140"/>
  <c r="G32" i="141"/>
  <c r="G30" i="158"/>
  <c r="G132" i="140"/>
  <c r="G132" i="141"/>
  <c r="G130" i="158"/>
  <c r="G116" i="141"/>
  <c r="G116" i="140"/>
  <c r="G114" i="158"/>
  <c r="G164" i="141"/>
  <c r="G164" i="140"/>
  <c r="G162" i="158"/>
  <c r="G73" i="141"/>
  <c r="G71" i="158"/>
  <c r="G73" i="140"/>
  <c r="G177" i="141"/>
  <c r="G177" i="140"/>
  <c r="G175" i="158"/>
  <c r="G201" i="141"/>
  <c r="G201" i="140"/>
  <c r="G199" i="158"/>
  <c r="G15" i="141"/>
  <c r="G13" i="158"/>
  <c r="G15" i="140"/>
  <c r="AC32" i="187"/>
  <c r="G37" i="141"/>
  <c r="G37" i="140"/>
  <c r="G35" i="158"/>
  <c r="AC25" i="187"/>
  <c r="G30" i="141"/>
  <c r="G30" i="140"/>
  <c r="G28" i="158"/>
  <c r="G136" i="140"/>
  <c r="G136" i="141"/>
  <c r="G134" i="158"/>
  <c r="AB203" i="187"/>
  <c r="M54" i="187"/>
  <c r="G78" i="141"/>
  <c r="G78" i="140"/>
  <c r="G76" i="158"/>
  <c r="K64" i="187"/>
  <c r="G82" i="141"/>
  <c r="G82" i="140"/>
  <c r="G80" i="158"/>
  <c r="G107" i="141"/>
  <c r="G107" i="140"/>
  <c r="G105" i="158"/>
  <c r="AH141" i="187"/>
  <c r="AN141" i="187" s="1"/>
  <c r="G172" i="141"/>
  <c r="G172" i="140"/>
  <c r="G170" i="158"/>
  <c r="G145" i="141"/>
  <c r="G145" i="140"/>
  <c r="G143" i="158"/>
  <c r="G203" i="141"/>
  <c r="G203" i="140"/>
  <c r="G201" i="158"/>
  <c r="G111" i="141"/>
  <c r="G111" i="140"/>
  <c r="G109" i="158"/>
  <c r="G191" i="141"/>
  <c r="G191" i="140"/>
  <c r="G189" i="158"/>
  <c r="G186" i="141"/>
  <c r="G186" i="140"/>
  <c r="G184" i="158"/>
  <c r="AC46" i="187"/>
  <c r="G52" i="141"/>
  <c r="G52" i="140"/>
  <c r="G50" i="158"/>
  <c r="G68" i="141"/>
  <c r="G68" i="140"/>
  <c r="G66" i="158"/>
  <c r="L64" i="187"/>
  <c r="AC23" i="187"/>
  <c r="G28" i="141"/>
  <c r="G28" i="140"/>
  <c r="G26" i="158"/>
  <c r="G95" i="141"/>
  <c r="G93" i="158"/>
  <c r="G95" i="140"/>
  <c r="AH21" i="187"/>
  <c r="AN21" i="187" s="1"/>
  <c r="K115" i="187"/>
  <c r="AH20" i="187"/>
  <c r="AN20" i="187" s="1"/>
  <c r="AI28" i="187"/>
  <c r="AO28" i="187" s="1"/>
  <c r="AH115" i="187"/>
  <c r="AN115" i="187" s="1"/>
  <c r="M65" i="187"/>
  <c r="M102" i="187"/>
  <c r="M25" i="187"/>
  <c r="L175" i="187"/>
  <c r="L75" i="187"/>
  <c r="AH102" i="187"/>
  <c r="AN102" i="187" s="1"/>
  <c r="AH97" i="187"/>
  <c r="AN97" i="187" s="1"/>
  <c r="AH99" i="187"/>
  <c r="AN99" i="187" s="1"/>
  <c r="M99" i="187"/>
  <c r="M48" i="187"/>
  <c r="M28" i="187"/>
  <c r="AH48" i="187"/>
  <c r="AN48" i="187" s="1"/>
  <c r="K75" i="187"/>
  <c r="M135" i="187"/>
  <c r="M174" i="187"/>
  <c r="K175" i="187"/>
  <c r="M189" i="187"/>
  <c r="K189" i="187"/>
  <c r="M97" i="187"/>
  <c r="M137" i="187"/>
  <c r="M140" i="187"/>
  <c r="AI53" i="187"/>
  <c r="AO53" i="187" s="1"/>
  <c r="AH127" i="187"/>
  <c r="AN127" i="187" s="1"/>
  <c r="M149" i="187"/>
  <c r="L150" i="187"/>
  <c r="AH126" i="187"/>
  <c r="AN126" i="187" s="1"/>
  <c r="M181" i="187"/>
  <c r="L181" i="187"/>
  <c r="AH140" i="187"/>
  <c r="AN140" i="187" s="1"/>
  <c r="AH128" i="187"/>
  <c r="AN128" i="187" s="1"/>
  <c r="M114" i="187"/>
  <c r="AI137" i="187"/>
  <c r="AO137" i="187" s="1"/>
  <c r="AI127" i="187"/>
  <c r="AO127" i="187" s="1"/>
  <c r="AI22" i="187"/>
  <c r="AO22" i="187" s="1"/>
  <c r="AI142" i="187"/>
  <c r="AO142" i="187" s="1"/>
  <c r="K178" i="187"/>
  <c r="K149" i="187"/>
  <c r="D90" i="187"/>
  <c r="E97" i="193" s="1"/>
  <c r="E97" i="141"/>
  <c r="E95" i="158"/>
  <c r="E97" i="140"/>
  <c r="D89" i="187"/>
  <c r="E96" i="193" s="1"/>
  <c r="E96" i="141"/>
  <c r="E96" i="140"/>
  <c r="E94" i="158"/>
  <c r="D38" i="187"/>
  <c r="E43" i="193" s="1"/>
  <c r="E43" i="141"/>
  <c r="E43" i="140"/>
  <c r="E41" i="158"/>
  <c r="D32" i="187"/>
  <c r="E37" i="193" s="1"/>
  <c r="E37" i="141"/>
  <c r="E37" i="140"/>
  <c r="E35" i="158"/>
  <c r="D36" i="187"/>
  <c r="E41" i="193" s="1"/>
  <c r="E41" i="141"/>
  <c r="E41" i="140"/>
  <c r="E39" i="158"/>
  <c r="D87" i="187"/>
  <c r="E94" i="193" s="1"/>
  <c r="E94" i="141"/>
  <c r="E94" i="140"/>
  <c r="E92" i="158"/>
  <c r="D37" i="187"/>
  <c r="E42" i="193" s="1"/>
  <c r="E42" i="141"/>
  <c r="E42" i="140"/>
  <c r="E40" i="158"/>
  <c r="D39" i="187"/>
  <c r="E44" i="193" s="1"/>
  <c r="E44" i="141"/>
  <c r="E44" i="140"/>
  <c r="E42" i="158"/>
  <c r="D33" i="187"/>
  <c r="E38" i="193" s="1"/>
  <c r="E38" i="141"/>
  <c r="E38" i="140"/>
  <c r="E36" i="158"/>
  <c r="D92" i="187"/>
  <c r="E99" i="193" s="1"/>
  <c r="E99" i="141"/>
  <c r="E97" i="158"/>
  <c r="E99" i="140"/>
  <c r="AH25" i="187"/>
  <c r="AN25" i="187" s="1"/>
  <c r="D86" i="187"/>
  <c r="E93" i="193" s="1"/>
  <c r="E93" i="141"/>
  <c r="E91" i="158"/>
  <c r="E93" i="140"/>
  <c r="D93" i="187"/>
  <c r="E100" i="193" s="1"/>
  <c r="E100" i="141"/>
  <c r="E100" i="140"/>
  <c r="E98" i="158"/>
  <c r="D88" i="187"/>
  <c r="E95" i="193" s="1"/>
  <c r="E95" i="141"/>
  <c r="E93" i="158"/>
  <c r="E95" i="140"/>
  <c r="D34" i="187"/>
  <c r="E39" i="193" s="1"/>
  <c r="E39" i="141"/>
  <c r="E39" i="140"/>
  <c r="E37" i="158"/>
  <c r="D94" i="187"/>
  <c r="E101" i="193" s="1"/>
  <c r="E101" i="141"/>
  <c r="E99" i="158"/>
  <c r="E101" i="140"/>
  <c r="D31" i="187"/>
  <c r="E36" i="193" s="1"/>
  <c r="E36" i="141"/>
  <c r="E36" i="140"/>
  <c r="E34" i="158"/>
  <c r="D35" i="187"/>
  <c r="E40" i="193" s="1"/>
  <c r="E40" i="141"/>
  <c r="E40" i="140"/>
  <c r="E38" i="158"/>
  <c r="L59" i="187"/>
  <c r="M83" i="187"/>
  <c r="M178" i="187"/>
  <c r="M176" i="187"/>
  <c r="L206" i="187"/>
  <c r="M165" i="187"/>
  <c r="K165" i="187"/>
  <c r="K83" i="187"/>
  <c r="K180" i="187"/>
  <c r="AH24" i="187"/>
  <c r="AN24" i="187" s="1"/>
  <c r="J40" i="155"/>
  <c r="L156" i="187"/>
  <c r="K206" i="187"/>
  <c r="M148" i="187"/>
  <c r="AH101" i="187"/>
  <c r="AN101" i="187" s="1"/>
  <c r="AI138" i="187"/>
  <c r="AO138" i="187" s="1"/>
  <c r="K169" i="187"/>
  <c r="AH52" i="187"/>
  <c r="AN52" i="187" s="1"/>
  <c r="AH108" i="187"/>
  <c r="AN108" i="187" s="1"/>
  <c r="AI21" i="187"/>
  <c r="AO21" i="187" s="1"/>
  <c r="G209" i="187"/>
  <c r="K77" i="187"/>
  <c r="M77" i="187"/>
  <c r="AH23" i="187"/>
  <c r="L77" i="187"/>
  <c r="M169" i="187"/>
  <c r="M157" i="187"/>
  <c r="AI130" i="187"/>
  <c r="AO130" i="187" s="1"/>
  <c r="AI23" i="187"/>
  <c r="AO23" i="187" s="1"/>
  <c r="L191" i="187"/>
  <c r="M27" i="187"/>
  <c r="K63" i="187"/>
  <c r="K119" i="187"/>
  <c r="M119" i="187"/>
  <c r="M15" i="187"/>
  <c r="AH27" i="187"/>
  <c r="AN27" i="187" s="1"/>
  <c r="M52" i="187"/>
  <c r="M63" i="187"/>
  <c r="AH51" i="187"/>
  <c r="AN51" i="187" s="1"/>
  <c r="N209" i="187"/>
  <c r="L65" i="187"/>
  <c r="M80" i="187"/>
  <c r="AI126" i="187"/>
  <c r="AO126" i="187" s="1"/>
  <c r="M156" i="187"/>
  <c r="K176" i="187"/>
  <c r="K166" i="187"/>
  <c r="L148" i="187"/>
  <c r="K172" i="187"/>
  <c r="K191" i="187"/>
  <c r="AH43" i="187"/>
  <c r="AN43" i="187" s="1"/>
  <c r="M56" i="187"/>
  <c r="L145" i="187"/>
  <c r="L172" i="187"/>
  <c r="M131" i="187"/>
  <c r="K100" i="187"/>
  <c r="AH44" i="187"/>
  <c r="AN44" i="187" s="1"/>
  <c r="M43" i="187"/>
  <c r="M121" i="187"/>
  <c r="M128" i="187"/>
  <c r="AB32" i="187"/>
  <c r="AH56" i="187"/>
  <c r="AN56" i="187" s="1"/>
  <c r="M100" i="187"/>
  <c r="L208" i="187"/>
  <c r="K103" i="187"/>
  <c r="K208" i="187"/>
  <c r="AI15" i="187"/>
  <c r="AO15" i="187" s="1"/>
  <c r="L80" i="187"/>
  <c r="M146" i="187"/>
  <c r="M173" i="187"/>
  <c r="M150" i="187"/>
  <c r="L173" i="187"/>
  <c r="L166" i="187"/>
  <c r="AH142" i="187"/>
  <c r="AN142" i="187" s="1"/>
  <c r="M59" i="187"/>
  <c r="AB11" i="187"/>
  <c r="AH132" i="187"/>
  <c r="AN132" i="187" s="1"/>
  <c r="AB136" i="187"/>
  <c r="AB8" i="187"/>
  <c r="AB140" i="187"/>
  <c r="AB12" i="187"/>
  <c r="D29" i="188"/>
  <c r="D28" i="188"/>
  <c r="AH22" i="187"/>
  <c r="AN22" i="187" s="1"/>
  <c r="AB101" i="187"/>
  <c r="AH38" i="187"/>
  <c r="AN38" i="187" s="1"/>
  <c r="AB99" i="187"/>
  <c r="AH30" i="187"/>
  <c r="AN30" i="187" s="1"/>
  <c r="AH103" i="187"/>
  <c r="AN103" i="187" s="1"/>
  <c r="AB121" i="187"/>
  <c r="AH121" i="187"/>
  <c r="AN121" i="187" s="1"/>
  <c r="AB129" i="187"/>
  <c r="AH138" i="187"/>
  <c r="AN138" i="187" s="1"/>
  <c r="AB130" i="187"/>
  <c r="AH130" i="187"/>
  <c r="AN130" i="187" s="1"/>
  <c r="AB41" i="187"/>
  <c r="AH41" i="187"/>
  <c r="AN41" i="187" s="1"/>
  <c r="AB16" i="187"/>
  <c r="AB110" i="187"/>
  <c r="AB119" i="187"/>
  <c r="AH119" i="187"/>
  <c r="AN119" i="187" s="1"/>
  <c r="AN16" i="187"/>
  <c r="AN39" i="187"/>
  <c r="AN33" i="187"/>
  <c r="AN23" i="187"/>
  <c r="AN35" i="187"/>
  <c r="AN54" i="187"/>
  <c r="AN55" i="187"/>
  <c r="AN37" i="187"/>
  <c r="AN42" i="187"/>
  <c r="AO44" i="187"/>
  <c r="A48" i="187"/>
  <c r="A52" i="187" s="1"/>
  <c r="A53" i="187" s="1"/>
  <c r="A54" i="187" s="1"/>
  <c r="A55" i="187" s="1"/>
  <c r="A56" i="187" s="1"/>
  <c r="A51" i="187"/>
  <c r="AC27" i="187"/>
  <c r="AO43" i="187"/>
  <c r="AB31" i="187"/>
  <c r="AB39" i="187"/>
  <c r="AB28" i="187"/>
  <c r="AN31" i="187"/>
  <c r="AB37" i="187"/>
  <c r="AN111" i="187"/>
  <c r="AC124" i="187"/>
  <c r="AH118" i="187"/>
  <c r="AB118" i="187"/>
  <c r="AB124" i="187"/>
  <c r="A170" i="187"/>
  <c r="A175" i="187"/>
  <c r="A178" i="187"/>
  <c r="AH116" i="187"/>
  <c r="AB116" i="187"/>
  <c r="AN98" i="187"/>
  <c r="AB125" i="187"/>
  <c r="AH125" i="187"/>
  <c r="AH114" i="187"/>
  <c r="AB114" i="187"/>
  <c r="AB109" i="187"/>
  <c r="AC141" i="187"/>
  <c r="AH131" i="187"/>
  <c r="AB131" i="187"/>
  <c r="AN104" i="187"/>
  <c r="AN137" i="187"/>
  <c r="AN143" i="187"/>
  <c r="AB100" i="187"/>
  <c r="AO8" i="187"/>
  <c r="AB139" i="187"/>
  <c r="AH120" i="187"/>
  <c r="AB120" i="187"/>
  <c r="AH53" i="187"/>
  <c r="AB53" i="187"/>
  <c r="AN100" i="187"/>
  <c r="AN107" i="187"/>
  <c r="AH122" i="187"/>
  <c r="AB122" i="187"/>
  <c r="AB137" i="187"/>
  <c r="A112" i="186"/>
  <c r="A115" i="186" s="1"/>
  <c r="A116" i="186" s="1"/>
  <c r="A117" i="186" s="1"/>
  <c r="A118" i="186" s="1"/>
  <c r="A119" i="186" s="1"/>
  <c r="A120" i="186" s="1"/>
  <c r="A121" i="186" s="1"/>
  <c r="A122" i="186" s="1"/>
  <c r="A123" i="186" s="1"/>
  <c r="A114" i="186"/>
  <c r="A171" i="186"/>
  <c r="A176" i="186"/>
  <c r="A179" i="186"/>
  <c r="L209" i="187" l="1"/>
  <c r="D32" i="188"/>
  <c r="D36" i="188" s="1"/>
  <c r="C32" i="188"/>
  <c r="C36" i="188" s="1"/>
  <c r="D33" i="188"/>
  <c r="D37" i="188" s="1"/>
  <c r="D40" i="188" s="1"/>
  <c r="C33" i="188"/>
  <c r="C37" i="188" s="1"/>
  <c r="C42" i="188" s="1"/>
  <c r="C44" i="188" s="1"/>
  <c r="AN53" i="187"/>
  <c r="AN120" i="187"/>
  <c r="AN122" i="187"/>
  <c r="AN125" i="187"/>
  <c r="A180" i="187"/>
  <c r="A184" i="187" s="1"/>
  <c r="A181" i="187" s="1"/>
  <c r="A179" i="187"/>
  <c r="A183" i="187" s="1"/>
  <c r="AN118" i="187"/>
  <c r="AN116" i="187"/>
  <c r="AN131" i="187"/>
  <c r="AN114" i="187"/>
  <c r="A181" i="186"/>
  <c r="A185" i="186" s="1"/>
  <c r="A182" i="186" s="1"/>
  <c r="A180" i="186"/>
  <c r="A184" i="186" s="1"/>
  <c r="D39" i="188" l="1"/>
  <c r="A10" i="183" l="1"/>
  <c r="A11" i="183" s="1"/>
  <c r="A12" i="183" s="1"/>
  <c r="A13" i="183" s="1"/>
  <c r="A14" i="183" s="1"/>
  <c r="A15" i="183" s="1"/>
  <c r="A16" i="183" s="1"/>
  <c r="A17" i="183" s="1"/>
  <c r="A18" i="183" s="1"/>
  <c r="A19" i="183" s="1"/>
  <c r="A20" i="183" s="1"/>
  <c r="A21" i="183" s="1"/>
  <c r="A22" i="183" s="1"/>
  <c r="A23" i="183" s="1"/>
  <c r="A24" i="183" s="1"/>
  <c r="A25" i="183" s="1"/>
  <c r="A26" i="183" s="1"/>
  <c r="A27" i="183" s="1"/>
  <c r="A28" i="183" s="1"/>
  <c r="A29" i="183" s="1"/>
  <c r="A30" i="183" s="1"/>
  <c r="A31" i="183" s="1"/>
  <c r="A32" i="183" s="1"/>
  <c r="A33" i="183" s="1"/>
  <c r="A34" i="183" s="1"/>
  <c r="A35" i="183" s="1"/>
  <c r="A36" i="183" s="1"/>
  <c r="A37" i="183" s="1"/>
  <c r="A38" i="183" s="1"/>
  <c r="A39" i="183" s="1"/>
  <c r="A40" i="183" s="1"/>
  <c r="A41" i="183" s="1"/>
  <c r="A42" i="183" s="1"/>
  <c r="A43" i="183" s="1"/>
  <c r="A44" i="183" s="1"/>
  <c r="A45" i="183" s="1"/>
  <c r="A46" i="183" s="1"/>
  <c r="A47" i="183" s="1"/>
  <c r="A48" i="183" s="1"/>
  <c r="A49" i="183" s="1"/>
  <c r="A50" i="183" s="1"/>
  <c r="A51" i="183" s="1"/>
  <c r="A52" i="183" s="1"/>
  <c r="A53" i="183" s="1"/>
  <c r="A54" i="183" s="1"/>
  <c r="A55" i="183" s="1"/>
  <c r="A56" i="183" s="1"/>
  <c r="A57" i="183" s="1"/>
  <c r="A58" i="183" s="1"/>
  <c r="A59" i="183" s="1"/>
  <c r="A60" i="183" s="1"/>
  <c r="A61" i="183" s="1"/>
  <c r="A62" i="183" s="1"/>
  <c r="A63" i="183" s="1"/>
  <c r="A64" i="183" s="1"/>
  <c r="A65" i="183" s="1"/>
  <c r="A66" i="183" s="1"/>
  <c r="A67" i="183" s="1"/>
  <c r="A68" i="183" s="1"/>
  <c r="A69" i="183" s="1"/>
  <c r="A70" i="183" s="1"/>
  <c r="A71" i="183" s="1"/>
  <c r="A72" i="183" s="1"/>
  <c r="A73" i="183" s="1"/>
  <c r="A74" i="183" s="1"/>
  <c r="A75" i="183" s="1"/>
  <c r="A76" i="183" s="1"/>
  <c r="A77" i="183" s="1"/>
  <c r="A78" i="183" s="1"/>
  <c r="A79" i="183" s="1"/>
  <c r="A80" i="183" s="1"/>
  <c r="A81" i="183" s="1"/>
  <c r="A82" i="183" s="1"/>
  <c r="A83" i="183" s="1"/>
  <c r="A84" i="183" s="1"/>
  <c r="A85" i="183" s="1"/>
  <c r="A86" i="183" s="1"/>
  <c r="A87" i="183" s="1"/>
  <c r="A88" i="183" s="1"/>
  <c r="A89" i="183" s="1"/>
  <c r="A90" i="183" s="1"/>
  <c r="A91" i="183" s="1"/>
  <c r="A92" i="183" s="1"/>
  <c r="A93" i="183" s="1"/>
  <c r="A94" i="183" s="1"/>
  <c r="A95" i="183" s="1"/>
  <c r="A96" i="183" s="1"/>
  <c r="A97" i="183" s="1"/>
  <c r="A98" i="183" s="1"/>
  <c r="A99" i="183" s="1"/>
  <c r="A100" i="183" s="1"/>
  <c r="A101" i="183" s="1"/>
  <c r="A102" i="183" s="1"/>
  <c r="A103" i="183" s="1"/>
  <c r="A104" i="183" s="1"/>
  <c r="A105" i="183" s="1"/>
  <c r="A106" i="183" s="1"/>
  <c r="A107" i="183" s="1"/>
  <c r="A108" i="183" s="1"/>
  <c r="A109" i="183" s="1"/>
  <c r="A110" i="183" s="1"/>
  <c r="A111" i="183" s="1"/>
  <c r="A112" i="183" s="1"/>
  <c r="A113" i="183" s="1"/>
  <c r="A114" i="183" s="1"/>
  <c r="A115" i="183" s="1"/>
  <c r="A116" i="183" s="1"/>
  <c r="A117" i="183" s="1"/>
  <c r="A118" i="183" s="1"/>
  <c r="A11" i="182" l="1"/>
  <c r="A12" i="182"/>
  <c r="A13" i="182"/>
  <c r="A14" i="182"/>
  <c r="A15" i="182"/>
  <c r="A16" i="182"/>
  <c r="A17" i="182"/>
  <c r="A18" i="182"/>
  <c r="D19" i="182"/>
  <c r="H19" i="182"/>
  <c r="E26" i="182"/>
  <c r="B37" i="182"/>
  <c r="B39" i="182"/>
  <c r="B40" i="182"/>
  <c r="I11" i="182"/>
  <c r="B49" i="182"/>
  <c r="I12" i="182"/>
  <c r="J12" i="182"/>
  <c r="B71" i="182"/>
  <c r="J13" i="182"/>
  <c r="B107" i="182"/>
  <c r="B109" i="182"/>
  <c r="B110" i="182"/>
  <c r="B111" i="182"/>
  <c r="B112" i="182"/>
  <c r="B113" i="182"/>
  <c r="B115" i="182"/>
  <c r="B134" i="182"/>
  <c r="B136" i="182"/>
  <c r="B137" i="182"/>
  <c r="B138" i="182"/>
  <c r="B140" i="182"/>
  <c r="B141" i="182"/>
  <c r="B143" i="182"/>
  <c r="B150" i="182"/>
  <c r="B152" i="182"/>
  <c r="J14" i="182"/>
  <c r="B172" i="182"/>
  <c r="B181" i="182"/>
  <c r="I15" i="182"/>
  <c r="J15" i="182"/>
  <c r="B200" i="182"/>
  <c r="B204" i="182"/>
  <c r="B205" i="182"/>
  <c r="B206" i="182"/>
  <c r="B207" i="182"/>
  <c r="B208" i="182"/>
  <c r="B209" i="182"/>
  <c r="I16" i="182"/>
  <c r="J16" i="182"/>
  <c r="B223" i="182"/>
  <c r="I17" i="182"/>
  <c r="J17" i="182"/>
  <c r="B253" i="182"/>
  <c r="B259" i="182"/>
  <c r="B262" i="182"/>
  <c r="B263" i="182"/>
  <c r="B264" i="182"/>
  <c r="B265" i="182"/>
  <c r="B266" i="182"/>
  <c r="B267" i="182"/>
  <c r="B268" i="182"/>
  <c r="I18" i="182"/>
  <c r="J18" i="182"/>
  <c r="B157" i="182" l="1"/>
  <c r="H18" i="182"/>
  <c r="H12" i="182"/>
  <c r="I14" i="182"/>
  <c r="H16" i="182"/>
  <c r="B275" i="182"/>
  <c r="H15" i="182"/>
  <c r="B217" i="182"/>
  <c r="B186" i="182"/>
  <c r="I13" i="182"/>
  <c r="B95" i="182"/>
  <c r="J11" i="182"/>
  <c r="H17" i="182"/>
  <c r="B227" i="182"/>
  <c r="B67" i="182"/>
  <c r="B45" i="182"/>
  <c r="H14" i="182" l="1"/>
  <c r="H13" i="182"/>
  <c r="I20" i="182"/>
  <c r="J20" i="182"/>
  <c r="H11" i="182"/>
  <c r="H20" i="182" l="1"/>
  <c r="L1" i="180"/>
  <c r="X1" i="180" s="1"/>
  <c r="L2" i="180"/>
  <c r="X2" i="180"/>
  <c r="L3" i="180"/>
  <c r="X3" i="180" s="1"/>
  <c r="L4" i="180"/>
  <c r="X4" i="180" s="1"/>
  <c r="L5" i="180"/>
  <c r="X5" i="180" s="1"/>
  <c r="A13" i="180"/>
  <c r="A14" i="180" s="1"/>
  <c r="A15" i="180" s="1"/>
  <c r="A16" i="180" s="1"/>
  <c r="A17" i="180" s="1"/>
  <c r="A18" i="180" s="1"/>
  <c r="A19" i="180" s="1"/>
  <c r="A20" i="180" s="1"/>
  <c r="A21" i="180" s="1"/>
  <c r="A22" i="180" s="1"/>
  <c r="A23" i="180" s="1"/>
  <c r="A24" i="180" s="1"/>
  <c r="A25" i="180" s="1"/>
  <c r="A26" i="180" s="1"/>
  <c r="A27" i="180" s="1"/>
  <c r="A28" i="180" s="1"/>
  <c r="A29" i="180" s="1"/>
  <c r="L13" i="180"/>
  <c r="L14" i="180" s="1"/>
  <c r="L15" i="180" s="1"/>
  <c r="L16" i="180" s="1"/>
  <c r="L17" i="180" s="1"/>
  <c r="L18" i="180" s="1"/>
  <c r="L19" i="180" s="1"/>
  <c r="L20" i="180" s="1"/>
  <c r="L21" i="180" s="1"/>
  <c r="L22" i="180" s="1"/>
  <c r="L23" i="180" s="1"/>
  <c r="L24" i="180" s="1"/>
  <c r="L25" i="180" s="1"/>
  <c r="L26" i="180" s="1"/>
  <c r="L27" i="180" s="1"/>
  <c r="L28" i="180" s="1"/>
  <c r="L29" i="180" s="1"/>
  <c r="X13" i="180"/>
  <c r="X14" i="180" s="1"/>
  <c r="X15" i="180" s="1"/>
  <c r="X16" i="180" s="1"/>
  <c r="X17" i="180" s="1"/>
  <c r="X18" i="180" s="1"/>
  <c r="X19" i="180" s="1"/>
  <c r="X20" i="180" s="1"/>
  <c r="X21" i="180" s="1"/>
  <c r="X22" i="180" s="1"/>
  <c r="X23" i="180" s="1"/>
  <c r="X24" i="180" s="1"/>
  <c r="X25" i="180" s="1"/>
  <c r="X26" i="180" s="1"/>
  <c r="X27" i="180" s="1"/>
  <c r="X28" i="180" s="1"/>
  <c r="X29" i="180" s="1"/>
  <c r="I16" i="180"/>
  <c r="J16" i="180"/>
  <c r="U16" i="180"/>
  <c r="V16" i="180"/>
  <c r="N17" i="180"/>
  <c r="N18" i="180"/>
  <c r="I21" i="180"/>
  <c r="J21" i="180"/>
  <c r="U21" i="180"/>
  <c r="V21" i="180"/>
  <c r="N24" i="180"/>
  <c r="B31" i="182" l="1"/>
  <c r="B33" i="182"/>
  <c r="B34" i="182"/>
  <c r="B35" i="182"/>
  <c r="B38" i="182"/>
  <c r="B50" i="182"/>
  <c r="B51" i="182"/>
  <c r="B52" i="182"/>
  <c r="B53" i="182"/>
  <c r="B54" i="182"/>
  <c r="B55" i="182"/>
  <c r="B56" i="182"/>
  <c r="B57" i="182"/>
  <c r="B58" i="182"/>
  <c r="B72" i="182"/>
  <c r="B73" i="182"/>
  <c r="B74" i="182"/>
  <c r="B75" i="182"/>
  <c r="B76" i="182"/>
  <c r="B77" i="182"/>
  <c r="B78" i="182"/>
  <c r="B80" i="182"/>
  <c r="B81" i="182"/>
  <c r="B82" i="182"/>
  <c r="B83" i="182"/>
  <c r="B84" i="182"/>
  <c r="B85" i="182"/>
  <c r="B86" i="182"/>
  <c r="B99" i="182"/>
  <c r="B100" i="182"/>
  <c r="B101" i="182"/>
  <c r="B102" i="182"/>
  <c r="B103" i="182"/>
  <c r="B104" i="182"/>
  <c r="B105" i="182"/>
  <c r="B106" i="182"/>
  <c r="B116" i="182"/>
  <c r="B117" i="182"/>
  <c r="B118" i="182"/>
  <c r="B119" i="182"/>
  <c r="B120" i="182"/>
  <c r="B121" i="182"/>
  <c r="B122" i="182"/>
  <c r="B123" i="182"/>
  <c r="B124" i="182"/>
  <c r="B126" i="182"/>
  <c r="B127" i="182"/>
  <c r="B128" i="182"/>
  <c r="B129" i="182"/>
  <c r="B130" i="182"/>
  <c r="B131" i="182"/>
  <c r="B132" i="182"/>
  <c r="B133" i="182"/>
  <c r="B139" i="182"/>
  <c r="B144" i="182"/>
  <c r="B145" i="182"/>
  <c r="B146" i="182"/>
  <c r="B147" i="182"/>
  <c r="B148" i="182"/>
  <c r="B149" i="182"/>
  <c r="B151" i="182"/>
  <c r="B162" i="182"/>
  <c r="B163" i="182"/>
  <c r="B164" i="182"/>
  <c r="B165" i="182"/>
  <c r="B166" i="182"/>
  <c r="B167" i="182"/>
  <c r="B168" i="182"/>
  <c r="B169" i="182"/>
  <c r="B170" i="182"/>
  <c r="B173" i="182"/>
  <c r="B174" i="182"/>
  <c r="B175" i="182"/>
  <c r="B176" i="182"/>
  <c r="B177" i="182"/>
  <c r="B178" i="182"/>
  <c r="B179" i="182"/>
  <c r="B180" i="182"/>
  <c r="B192" i="182"/>
  <c r="B193" i="182"/>
  <c r="B194" i="182"/>
  <c r="B195" i="182"/>
  <c r="B196" i="182"/>
  <c r="B198" i="182"/>
  <c r="B201" i="182"/>
  <c r="B202" i="182"/>
  <c r="B203" i="182"/>
  <c r="B233" i="182"/>
  <c r="B234" i="182"/>
  <c r="B235" i="182"/>
  <c r="B236" i="182"/>
  <c r="B237" i="182"/>
  <c r="B244" i="182"/>
  <c r="B245" i="182"/>
  <c r="B246" i="182"/>
  <c r="B247" i="182"/>
  <c r="B248" i="182"/>
  <c r="B239" i="182"/>
  <c r="B240" i="182"/>
  <c r="B241" i="182"/>
  <c r="B242" i="182"/>
  <c r="B250" i="182"/>
  <c r="B251" i="182"/>
  <c r="B254" i="182"/>
  <c r="B255" i="182"/>
  <c r="B256" i="182"/>
  <c r="B257" i="182"/>
  <c r="B258" i="182"/>
  <c r="B260" i="182"/>
  <c r="B261" i="182"/>
  <c r="B211" i="182"/>
  <c r="B212" i="182"/>
  <c r="B270" i="182"/>
  <c r="B91" i="182" l="1"/>
  <c r="B232" i="182"/>
  <c r="B271" i="182" s="1"/>
  <c r="D78" i="183"/>
  <c r="B191" i="182"/>
  <c r="B182" i="182"/>
  <c r="B153" i="182"/>
  <c r="B63" i="182"/>
  <c r="B41" i="182"/>
  <c r="C26" i="180"/>
  <c r="N26" i="180" s="1"/>
  <c r="C22" i="180"/>
  <c r="N22" i="180" s="1"/>
  <c r="C19" i="180"/>
  <c r="N19" i="180" s="1"/>
  <c r="C15" i="180"/>
  <c r="N15" i="180" s="1"/>
  <c r="C14" i="180"/>
  <c r="N14" i="180" s="1"/>
  <c r="C12" i="180"/>
  <c r="C20" i="180"/>
  <c r="N20" i="180" s="1"/>
  <c r="C25" i="180"/>
  <c r="N25" i="180" s="1"/>
  <c r="C23" i="180"/>
  <c r="N23" i="180" s="1"/>
  <c r="C27" i="180"/>
  <c r="N27" i="180" s="1"/>
  <c r="C13" i="180"/>
  <c r="N13" i="180" s="1"/>
  <c r="B213" i="182" l="1"/>
  <c r="N12" i="180"/>
  <c r="C29" i="180"/>
  <c r="C32" i="180" s="1"/>
  <c r="N29" i="180" l="1"/>
  <c r="N32" i="180" s="1"/>
  <c r="L154" i="157"/>
  <c r="I10" i="66"/>
  <c r="G12" i="193" s="1"/>
  <c r="I16" i="66"/>
  <c r="G18" i="193" s="1"/>
  <c r="I17" i="66"/>
  <c r="G19" i="193" s="1"/>
  <c r="I19" i="66"/>
  <c r="G21" i="193" s="1"/>
  <c r="I25" i="66"/>
  <c r="G27" i="193" s="1"/>
  <c r="I27" i="66"/>
  <c r="G29" i="193" s="1"/>
  <c r="I29" i="66"/>
  <c r="G31" i="193" s="1"/>
  <c r="I31" i="66"/>
  <c r="G33" i="193" s="1"/>
  <c r="I45" i="66"/>
  <c r="G47" i="193" s="1"/>
  <c r="I46" i="66"/>
  <c r="G48" i="193" s="1"/>
  <c r="I48" i="66"/>
  <c r="G50" i="193" s="1"/>
  <c r="I52" i="66"/>
  <c r="G54" i="193" s="1"/>
  <c r="I55" i="66"/>
  <c r="G57" i="193" s="1"/>
  <c r="I56" i="66"/>
  <c r="G58" i="193" s="1"/>
  <c r="I57" i="66"/>
  <c r="G59" i="193" s="1"/>
  <c r="I59" i="66"/>
  <c r="G61" i="193" s="1"/>
  <c r="I60" i="66"/>
  <c r="G62" i="193" s="1"/>
  <c r="I130" i="66"/>
  <c r="G132" i="193" s="1"/>
  <c r="I136" i="66"/>
  <c r="G138" i="193" s="1"/>
  <c r="I137" i="66"/>
  <c r="G139" i="193" s="1"/>
  <c r="I138" i="66"/>
  <c r="G140" i="193" s="1"/>
  <c r="I141" i="66"/>
  <c r="G143" i="193" s="1"/>
  <c r="I142" i="66"/>
  <c r="G144" i="193" s="1"/>
  <c r="I143" i="66"/>
  <c r="G145" i="193" s="1"/>
  <c r="I144" i="66"/>
  <c r="G146" i="193" s="1"/>
  <c r="I146" i="66"/>
  <c r="G148" i="193" s="1"/>
  <c r="B32" i="157"/>
  <c r="I127" i="67" l="1"/>
  <c r="F129" i="193" s="1"/>
  <c r="I116" i="67"/>
  <c r="F118" i="193" s="1"/>
  <c r="I28" i="67"/>
  <c r="F30" i="193" s="1"/>
  <c r="I137" i="67"/>
  <c r="F139" i="193" s="1"/>
  <c r="I125" i="67"/>
  <c r="F127" i="193" s="1"/>
  <c r="I120" i="67"/>
  <c r="F122" i="193" s="1"/>
  <c r="I57" i="67"/>
  <c r="F59" i="193" s="1"/>
  <c r="I26" i="67"/>
  <c r="F28" i="193" s="1"/>
  <c r="I19" i="67"/>
  <c r="F21" i="193" s="1"/>
  <c r="I135" i="67"/>
  <c r="F137" i="193" s="1"/>
  <c r="I60" i="67"/>
  <c r="F62" i="193" s="1"/>
  <c r="E20" i="181"/>
  <c r="F20" i="181"/>
  <c r="I102" i="67"/>
  <c r="F104" i="193" s="1"/>
  <c r="I101" i="67"/>
  <c r="F103" i="193" s="1"/>
  <c r="I59" i="67"/>
  <c r="F61" i="193" s="1"/>
  <c r="I17" i="67"/>
  <c r="F19" i="193" s="1"/>
  <c r="E16" i="67"/>
  <c r="I13" i="67"/>
  <c r="F15" i="193" s="1"/>
  <c r="E200" i="67"/>
  <c r="E140" i="67"/>
  <c r="E113" i="67"/>
  <c r="E90" i="67"/>
  <c r="E77" i="67"/>
  <c r="E45" i="67"/>
  <c r="E207" i="67"/>
  <c r="E169" i="67"/>
  <c r="E127" i="67"/>
  <c r="E109" i="67"/>
  <c r="E71" i="67"/>
  <c r="E168" i="67"/>
  <c r="E204" i="67"/>
  <c r="E161" i="67"/>
  <c r="E116" i="67"/>
  <c r="E75" i="67"/>
  <c r="E73" i="67"/>
  <c r="E205" i="67"/>
  <c r="E167" i="67"/>
  <c r="E118" i="67"/>
  <c r="E79" i="67"/>
  <c r="E33" i="67"/>
  <c r="E166" i="67"/>
  <c r="E125" i="67"/>
  <c r="E208" i="67"/>
  <c r="E206" i="67"/>
  <c r="E170" i="67"/>
  <c r="E111" i="67"/>
  <c r="E22" i="67"/>
  <c r="E203" i="67"/>
  <c r="E165" i="67"/>
  <c r="E115" i="67"/>
  <c r="E76" i="67"/>
  <c r="E19" i="67"/>
  <c r="E209" i="67"/>
  <c r="E194" i="67"/>
  <c r="E149" i="67"/>
  <c r="E112" i="67"/>
  <c r="E74" i="67"/>
  <c r="E18" i="67"/>
  <c r="I54" i="66"/>
  <c r="G56" i="193" s="1"/>
  <c r="I212" i="66"/>
  <c r="G214" i="193" s="1"/>
  <c r="I135" i="66"/>
  <c r="G137" i="193" s="1"/>
  <c r="I24" i="66"/>
  <c r="G26" i="193" s="1"/>
  <c r="I50" i="66"/>
  <c r="G52" i="193" s="1"/>
  <c r="I148" i="66"/>
  <c r="G150" i="193" s="1"/>
  <c r="I22" i="66"/>
  <c r="G24" i="193" s="1"/>
  <c r="I145" i="66"/>
  <c r="G147" i="193" s="1"/>
  <c r="I51" i="66"/>
  <c r="G53" i="193" s="1"/>
  <c r="I47" i="66"/>
  <c r="G49" i="193" s="1"/>
  <c r="I18" i="66"/>
  <c r="G20" i="193" s="1"/>
  <c r="I28" i="66"/>
  <c r="G30" i="193" s="1"/>
  <c r="I49" i="66"/>
  <c r="G51" i="193" s="1"/>
  <c r="I58" i="66"/>
  <c r="G60" i="193" s="1"/>
  <c r="I134" i="66"/>
  <c r="G136" i="193" s="1"/>
  <c r="I133" i="66"/>
  <c r="G135" i="193" s="1"/>
  <c r="I131" i="66"/>
  <c r="G133" i="193" s="1"/>
  <c r="I140" i="66"/>
  <c r="G142" i="193" s="1"/>
  <c r="I149" i="66"/>
  <c r="G151" i="193" s="1"/>
  <c r="I132" i="66"/>
  <c r="G134" i="193" s="1"/>
  <c r="I147" i="66"/>
  <c r="G149" i="193" s="1"/>
  <c r="I26" i="66"/>
  <c r="G28" i="193" s="1"/>
  <c r="I30" i="66"/>
  <c r="G32" i="193" s="1"/>
  <c r="I23" i="66"/>
  <c r="G25" i="193" s="1"/>
  <c r="I45" i="67"/>
  <c r="F47" i="193" s="1"/>
  <c r="I146" i="67"/>
  <c r="F148" i="193" s="1"/>
  <c r="I105" i="67"/>
  <c r="F107" i="193" s="1"/>
  <c r="I212" i="67"/>
  <c r="F214" i="193" s="1"/>
  <c r="I49" i="67"/>
  <c r="F51" i="193" s="1"/>
  <c r="I109" i="67"/>
  <c r="F111" i="193" s="1"/>
  <c r="I18" i="67"/>
  <c r="F20" i="193" s="1"/>
  <c r="I147" i="67"/>
  <c r="F149" i="193" s="1"/>
  <c r="I132" i="67"/>
  <c r="F134" i="193" s="1"/>
  <c r="I141" i="67"/>
  <c r="F143" i="193" s="1"/>
  <c r="I103" i="67"/>
  <c r="F105" i="193" s="1"/>
  <c r="I54" i="67"/>
  <c r="F56" i="193" s="1"/>
  <c r="I130" i="67"/>
  <c r="F132" i="193" s="1"/>
  <c r="I123" i="67"/>
  <c r="F125" i="193" s="1"/>
  <c r="I107" i="67"/>
  <c r="F109" i="193" s="1"/>
  <c r="I10" i="67"/>
  <c r="F12" i="193" s="1"/>
  <c r="I134" i="67"/>
  <c r="F136" i="193" s="1"/>
  <c r="I142" i="67"/>
  <c r="F144" i="193" s="1"/>
  <c r="I51" i="67"/>
  <c r="F53" i="193" s="1"/>
  <c r="I145" i="67"/>
  <c r="F147" i="193" s="1"/>
  <c r="I119" i="67"/>
  <c r="F121" i="193" s="1"/>
  <c r="I138" i="67" l="1"/>
  <c r="F140" i="193" s="1"/>
  <c r="I24" i="67"/>
  <c r="F26" i="193" s="1"/>
  <c r="I47" i="67"/>
  <c r="F49" i="193" s="1"/>
  <c r="I144" i="67"/>
  <c r="F146" i="193" s="1"/>
  <c r="I108" i="67"/>
  <c r="F110" i="193" s="1"/>
  <c r="I30" i="67"/>
  <c r="F32" i="193" s="1"/>
  <c r="I46" i="67"/>
  <c r="F48" i="193" s="1"/>
  <c r="I29" i="67"/>
  <c r="F31" i="193" s="1"/>
  <c r="I25" i="67"/>
  <c r="F27" i="193" s="1"/>
  <c r="I111" i="67"/>
  <c r="F113" i="193" s="1"/>
  <c r="I56" i="67"/>
  <c r="F58" i="193" s="1"/>
  <c r="I113" i="67"/>
  <c r="F115" i="193" s="1"/>
  <c r="I131" i="67"/>
  <c r="F133" i="193" s="1"/>
  <c r="I133" i="67"/>
  <c r="F135" i="193" s="1"/>
  <c r="I114" i="67"/>
  <c r="F116" i="193" s="1"/>
  <c r="I50" i="67"/>
  <c r="F52" i="193" s="1"/>
  <c r="I48" i="67"/>
  <c r="F50" i="193" s="1"/>
  <c r="I55" i="67"/>
  <c r="F57" i="193" s="1"/>
  <c r="I118" i="67"/>
  <c r="F120" i="193" s="1"/>
  <c r="I121" i="67"/>
  <c r="F123" i="193" s="1"/>
  <c r="I12" i="67"/>
  <c r="F14" i="193" s="1"/>
  <c r="I14" i="67"/>
  <c r="F16" i="193" s="1"/>
  <c r="I22" i="67"/>
  <c r="F24" i="193" s="1"/>
  <c r="I58" i="67"/>
  <c r="F60" i="193" s="1"/>
  <c r="I112" i="67"/>
  <c r="F114" i="193" s="1"/>
  <c r="I143" i="67"/>
  <c r="F145" i="193" s="1"/>
  <c r="I104" i="67"/>
  <c r="F106" i="193" s="1"/>
  <c r="I136" i="67"/>
  <c r="F138" i="193" s="1"/>
  <c r="I149" i="67"/>
  <c r="F151" i="193" s="1"/>
  <c r="I23" i="67"/>
  <c r="F25" i="193" s="1"/>
  <c r="I16" i="67"/>
  <c r="F18" i="193" s="1"/>
  <c r="I31" i="67"/>
  <c r="F33" i="193" s="1"/>
  <c r="I140" i="67"/>
  <c r="F142" i="193" s="1"/>
  <c r="I106" i="67"/>
  <c r="F108" i="193" s="1"/>
  <c r="I124" i="67"/>
  <c r="F126" i="193" s="1"/>
  <c r="I27" i="67"/>
  <c r="F29" i="193" s="1"/>
  <c r="I148" i="67"/>
  <c r="F150" i="193" s="1"/>
  <c r="I126" i="67"/>
  <c r="F128" i="193" s="1"/>
  <c r="I52" i="67"/>
  <c r="F54" i="193" s="1"/>
  <c r="I115" i="67"/>
  <c r="F117" i="193" s="1"/>
  <c r="I122" i="67"/>
  <c r="F124" i="193" s="1"/>
  <c r="G91" i="72"/>
  <c r="G95" i="72"/>
  <c r="G99" i="72"/>
  <c r="G90" i="72"/>
  <c r="G98" i="72"/>
  <c r="G92" i="72"/>
  <c r="G96" i="72"/>
  <c r="G94" i="72"/>
  <c r="G93" i="72"/>
  <c r="G97" i="72"/>
  <c r="E30" i="67" l="1"/>
  <c r="E51" i="67"/>
  <c r="E56" i="67"/>
  <c r="E66" i="67"/>
  <c r="E85" i="67"/>
  <c r="E108" i="67"/>
  <c r="E120" i="67"/>
  <c r="E132" i="67"/>
  <c r="E142" i="67"/>
  <c r="E153" i="67"/>
  <c r="E164" i="67"/>
  <c r="E178" i="67"/>
  <c r="E183" i="67"/>
  <c r="E195" i="67"/>
  <c r="E23" i="67"/>
  <c r="E31" i="67"/>
  <c r="E52" i="67"/>
  <c r="E67" i="67"/>
  <c r="E82" i="67"/>
  <c r="E101" i="67"/>
  <c r="E114" i="67"/>
  <c r="E126" i="67"/>
  <c r="E137" i="67"/>
  <c r="E147" i="67"/>
  <c r="E159" i="67"/>
  <c r="E175" i="67"/>
  <c r="E189" i="67"/>
  <c r="E201" i="67"/>
  <c r="E14" i="67"/>
  <c r="E24" i="67"/>
  <c r="E28" i="67"/>
  <c r="E49" i="67"/>
  <c r="E54" i="67"/>
  <c r="E58" i="67"/>
  <c r="E64" i="67"/>
  <c r="E68" i="67"/>
  <c r="E83" i="67"/>
  <c r="E87" i="67"/>
  <c r="E102" i="67"/>
  <c r="E106" i="67"/>
  <c r="E122" i="67"/>
  <c r="E130" i="67"/>
  <c r="E134" i="67"/>
  <c r="E138" i="67"/>
  <c r="E144" i="67"/>
  <c r="E148" i="67"/>
  <c r="E155" i="67"/>
  <c r="E162" i="67"/>
  <c r="E176" i="67"/>
  <c r="E181" i="67"/>
  <c r="E186" i="67"/>
  <c r="E191" i="67"/>
  <c r="E197" i="67"/>
  <c r="E202" i="67"/>
  <c r="E12" i="67"/>
  <c r="E26" i="67"/>
  <c r="E47" i="67"/>
  <c r="E60" i="67"/>
  <c r="E70" i="67"/>
  <c r="E81" i="67"/>
  <c r="E104" i="67"/>
  <c r="E124" i="67"/>
  <c r="E136" i="67"/>
  <c r="E146" i="67"/>
  <c r="E157" i="67"/>
  <c r="E174" i="67"/>
  <c r="E188" i="67"/>
  <c r="E199" i="67"/>
  <c r="E13" i="67"/>
  <c r="E27" i="67"/>
  <c r="E48" i="67"/>
  <c r="E57" i="67"/>
  <c r="E63" i="67"/>
  <c r="E86" i="67"/>
  <c r="E105" i="67"/>
  <c r="E121" i="67"/>
  <c r="E133" i="67"/>
  <c r="E143" i="67"/>
  <c r="E154" i="67"/>
  <c r="E180" i="67"/>
  <c r="E184" i="67"/>
  <c r="E196" i="67"/>
  <c r="E10" i="67"/>
  <c r="E17" i="67"/>
  <c r="E25" i="67"/>
  <c r="E29" i="67"/>
  <c r="E46" i="67"/>
  <c r="E50" i="67"/>
  <c r="E55" i="67"/>
  <c r="E59" i="67"/>
  <c r="E65" i="67"/>
  <c r="E69" i="67"/>
  <c r="E80" i="67"/>
  <c r="E84" i="67"/>
  <c r="E88" i="67"/>
  <c r="E103" i="67"/>
  <c r="E107" i="67"/>
  <c r="E119" i="67"/>
  <c r="E123" i="67"/>
  <c r="E131" i="67"/>
  <c r="E135" i="67"/>
  <c r="E141" i="67"/>
  <c r="E145" i="67"/>
  <c r="E152" i="67"/>
  <c r="E156" i="67"/>
  <c r="E163" i="67"/>
  <c r="E173" i="67"/>
  <c r="E177" i="67"/>
  <c r="E182" i="67"/>
  <c r="E187" i="67"/>
  <c r="E192" i="67"/>
  <c r="E198" i="67"/>
  <c r="D88" i="183"/>
  <c r="AT9" i="155"/>
  <c r="AU9" i="155"/>
  <c r="AV9" i="155"/>
  <c r="AW9" i="155"/>
  <c r="AX9" i="155"/>
  <c r="AY9" i="155"/>
  <c r="AZ9" i="155"/>
  <c r="BA9" i="155"/>
  <c r="BB9" i="155"/>
  <c r="AS9" i="155"/>
  <c r="AN9" i="153"/>
  <c r="AO9" i="153"/>
  <c r="AP9" i="153"/>
  <c r="AQ9" i="153"/>
  <c r="AR9" i="153"/>
  <c r="AS9" i="153"/>
  <c r="AT9" i="153"/>
  <c r="AU9" i="153"/>
  <c r="AV9" i="153"/>
  <c r="AM9" i="153"/>
  <c r="AS9" i="156"/>
  <c r="AR9" i="156"/>
  <c r="AQ9" i="156"/>
  <c r="AP9" i="156"/>
  <c r="AO9" i="156"/>
  <c r="AN9" i="156"/>
  <c r="AM9" i="156"/>
  <c r="AL9" i="156"/>
  <c r="AK9" i="156"/>
  <c r="AJ9" i="156"/>
  <c r="AY9" i="151"/>
  <c r="AX9" i="151"/>
  <c r="AW9" i="151"/>
  <c r="AV9" i="151"/>
  <c r="AU9" i="151"/>
  <c r="AT9" i="151"/>
  <c r="AS9" i="151"/>
  <c r="AR9" i="151"/>
  <c r="AQ9" i="151"/>
  <c r="AP9" i="151"/>
  <c r="AO9" i="151"/>
  <c r="AN9" i="151"/>
  <c r="AM9" i="151"/>
  <c r="V9" i="151"/>
  <c r="W9" i="151"/>
  <c r="X9" i="151"/>
  <c r="Y9" i="151"/>
  <c r="Z9" i="151"/>
  <c r="AA9" i="151"/>
  <c r="AB9" i="151"/>
  <c r="AC9" i="151"/>
  <c r="AD9" i="151"/>
  <c r="AE9" i="151"/>
  <c r="AF9" i="151"/>
  <c r="AG9" i="151"/>
  <c r="U9" i="151"/>
  <c r="AY9" i="148"/>
  <c r="AX9" i="148"/>
  <c r="AW9" i="148"/>
  <c r="AV9" i="148"/>
  <c r="AU9" i="148"/>
  <c r="AT9" i="148"/>
  <c r="AS9" i="148"/>
  <c r="AR9" i="148"/>
  <c r="AQ9" i="148"/>
  <c r="AP9" i="148"/>
  <c r="AO9" i="148"/>
  <c r="AN9" i="148"/>
  <c r="AM9" i="148"/>
  <c r="AB9" i="148"/>
  <c r="AC9" i="148"/>
  <c r="AD9" i="148"/>
  <c r="AE9" i="148"/>
  <c r="AF9" i="148"/>
  <c r="AG9" i="148"/>
  <c r="V9" i="148"/>
  <c r="W9" i="148"/>
  <c r="X9" i="148"/>
  <c r="Y9" i="148"/>
  <c r="Z9" i="148"/>
  <c r="AA9" i="148"/>
  <c r="U9" i="148"/>
  <c r="AW9" i="147"/>
  <c r="AX9" i="147"/>
  <c r="AY9" i="147"/>
  <c r="AT9" i="147"/>
  <c r="AU9" i="147"/>
  <c r="AV9" i="147"/>
  <c r="AN9" i="147"/>
  <c r="AO9" i="147"/>
  <c r="AP9" i="147"/>
  <c r="AQ9" i="147"/>
  <c r="AR9" i="147"/>
  <c r="AS9" i="147"/>
  <c r="AM9" i="147"/>
  <c r="AB9" i="147"/>
  <c r="AC9" i="147"/>
  <c r="AD9" i="147"/>
  <c r="AE9" i="147"/>
  <c r="AF9" i="147"/>
  <c r="AG9" i="147"/>
  <c r="Z9" i="147"/>
  <c r="AA9" i="147"/>
  <c r="Y9" i="147"/>
  <c r="X9" i="147"/>
  <c r="V9" i="147"/>
  <c r="W9" i="147"/>
  <c r="U9" i="147"/>
  <c r="AK9" i="146"/>
  <c r="AL9" i="146"/>
  <c r="AM9" i="146"/>
  <c r="AN9" i="146"/>
  <c r="AO9" i="146"/>
  <c r="AP9" i="146"/>
  <c r="AQ9" i="146"/>
  <c r="AR9" i="146"/>
  <c r="AS9" i="146"/>
  <c r="AJ9" i="146"/>
  <c r="AN9" i="145"/>
  <c r="AO9" i="145"/>
  <c r="AP9" i="145"/>
  <c r="AQ9" i="145"/>
  <c r="AR9" i="145"/>
  <c r="AS9" i="145"/>
  <c r="AT9" i="145"/>
  <c r="AU9" i="145"/>
  <c r="AV9" i="145"/>
  <c r="AW9" i="145"/>
  <c r="AX9" i="145"/>
  <c r="AY9" i="145"/>
  <c r="AM9" i="145"/>
  <c r="AC9" i="145"/>
  <c r="AD9" i="145"/>
  <c r="AE9" i="145"/>
  <c r="AF9" i="145"/>
  <c r="AG9" i="145"/>
  <c r="AB9" i="145"/>
  <c r="AA9" i="145"/>
  <c r="Z9" i="145"/>
  <c r="V9" i="145"/>
  <c r="W9" i="145"/>
  <c r="X9" i="145"/>
  <c r="Y9" i="145"/>
  <c r="U9" i="145"/>
  <c r="AX9" i="144"/>
  <c r="AY9" i="144"/>
  <c r="AV9" i="144"/>
  <c r="AW9" i="144"/>
  <c r="AT9" i="144"/>
  <c r="AU9" i="144"/>
  <c r="AS9" i="144"/>
  <c r="AR9" i="144"/>
  <c r="AQ9" i="144"/>
  <c r="AP9" i="144"/>
  <c r="AN9" i="144"/>
  <c r="AO9" i="144"/>
  <c r="AM9" i="144"/>
  <c r="AG9" i="144"/>
  <c r="AF9" i="144"/>
  <c r="AE9" i="144"/>
  <c r="AD9" i="144"/>
  <c r="AC9" i="144"/>
  <c r="AB9" i="144"/>
  <c r="AA9" i="144"/>
  <c r="Z9" i="144"/>
  <c r="Y9" i="144"/>
  <c r="X9" i="144"/>
  <c r="V9" i="144"/>
  <c r="W9" i="144"/>
  <c r="U9" i="144"/>
  <c r="D29" i="110" l="1"/>
  <c r="D24" i="110"/>
  <c r="D21" i="110"/>
  <c r="D19" i="110"/>
  <c r="C33" i="112" l="1"/>
  <c r="C10" i="112" l="1"/>
  <c r="C59" i="112"/>
  <c r="C58" i="112"/>
  <c r="C57" i="112"/>
  <c r="C56" i="112"/>
  <c r="C55" i="112"/>
  <c r="C54" i="112"/>
  <c r="C53" i="112"/>
  <c r="C52" i="112"/>
  <c r="C51" i="112"/>
  <c r="C50" i="112"/>
  <c r="C49" i="112"/>
  <c r="C48" i="112"/>
  <c r="C45" i="112"/>
  <c r="C44" i="112"/>
  <c r="C38" i="112"/>
  <c r="C37" i="112"/>
  <c r="C36" i="112"/>
  <c r="C35" i="112"/>
  <c r="C34" i="112"/>
  <c r="C29" i="112"/>
  <c r="E44" i="112" l="1"/>
  <c r="E29" i="112" l="1"/>
  <c r="E10" i="112"/>
  <c r="B31" i="164" l="1"/>
  <c r="B42" i="164" s="1"/>
  <c r="C31" i="164"/>
  <c r="C42" i="164" s="1"/>
  <c r="D31" i="164"/>
  <c r="D42" i="164" s="1"/>
  <c r="L31" i="164"/>
  <c r="M31" i="164" s="1"/>
  <c r="B32" i="164"/>
  <c r="B43" i="164" s="1"/>
  <c r="C32" i="164"/>
  <c r="C43" i="164" s="1"/>
  <c r="D32" i="164"/>
  <c r="D43" i="164" s="1"/>
  <c r="L32" i="164"/>
  <c r="D70" i="157"/>
  <c r="C70" i="157"/>
  <c r="B70" i="157"/>
  <c r="L40" i="164"/>
  <c r="L39" i="164"/>
  <c r="L38" i="164"/>
  <c r="L37" i="164"/>
  <c r="L36" i="164"/>
  <c r="L35" i="164"/>
  <c r="L34" i="164"/>
  <c r="L33" i="164"/>
  <c r="L10" i="164"/>
  <c r="L11" i="164"/>
  <c r="L12" i="164"/>
  <c r="L13" i="164"/>
  <c r="L14" i="164"/>
  <c r="L15" i="164"/>
  <c r="L16" i="164"/>
  <c r="L17" i="164"/>
  <c r="L18" i="164"/>
  <c r="L9" i="164"/>
  <c r="A10" i="164"/>
  <c r="D40" i="164"/>
  <c r="D51" i="164" s="1"/>
  <c r="C40" i="164"/>
  <c r="C51" i="164" s="1"/>
  <c r="B40" i="164"/>
  <c r="B51" i="164" s="1"/>
  <c r="D39" i="164"/>
  <c r="D50" i="164" s="1"/>
  <c r="C39" i="164"/>
  <c r="C50" i="164" s="1"/>
  <c r="B39" i="164"/>
  <c r="B50" i="164" s="1"/>
  <c r="D38" i="164"/>
  <c r="D49" i="164" s="1"/>
  <c r="C38" i="164"/>
  <c r="C49" i="164" s="1"/>
  <c r="B38" i="164"/>
  <c r="B49" i="164" s="1"/>
  <c r="D37" i="164"/>
  <c r="D48" i="164" s="1"/>
  <c r="C37" i="164"/>
  <c r="C48" i="164" s="1"/>
  <c r="B37" i="164"/>
  <c r="B48" i="164" s="1"/>
  <c r="D36" i="164"/>
  <c r="D47" i="164" s="1"/>
  <c r="C36" i="164"/>
  <c r="C47" i="164" s="1"/>
  <c r="B36" i="164"/>
  <c r="B47" i="164" s="1"/>
  <c r="D35" i="164"/>
  <c r="D46" i="164" s="1"/>
  <c r="C35" i="164"/>
  <c r="C46" i="164" s="1"/>
  <c r="B35" i="164"/>
  <c r="B46" i="164" s="1"/>
  <c r="D34" i="164"/>
  <c r="D45" i="164" s="1"/>
  <c r="C34" i="164"/>
  <c r="C45" i="164" s="1"/>
  <c r="B34" i="164"/>
  <c r="B45" i="164" s="1"/>
  <c r="D33" i="164"/>
  <c r="D44" i="164" s="1"/>
  <c r="C33" i="164"/>
  <c r="C44" i="164" s="1"/>
  <c r="B33" i="164"/>
  <c r="B44" i="164" s="1"/>
  <c r="D18" i="164"/>
  <c r="D29" i="164" s="1"/>
  <c r="C18" i="164"/>
  <c r="C29" i="164" s="1"/>
  <c r="B18" i="164"/>
  <c r="B29" i="164" s="1"/>
  <c r="D17" i="164"/>
  <c r="D28" i="164" s="1"/>
  <c r="C17" i="164"/>
  <c r="C28" i="164" s="1"/>
  <c r="B17" i="164"/>
  <c r="B28" i="164" s="1"/>
  <c r="D16" i="164"/>
  <c r="D27" i="164" s="1"/>
  <c r="C16" i="164"/>
  <c r="C27" i="164" s="1"/>
  <c r="B16" i="164"/>
  <c r="B27" i="164" s="1"/>
  <c r="D15" i="164"/>
  <c r="D26" i="164" s="1"/>
  <c r="C15" i="164"/>
  <c r="C26" i="164" s="1"/>
  <c r="B15" i="164"/>
  <c r="B26" i="164" s="1"/>
  <c r="D14" i="164"/>
  <c r="D25" i="164" s="1"/>
  <c r="C14" i="164"/>
  <c r="C25" i="164" s="1"/>
  <c r="B14" i="164"/>
  <c r="B25" i="164" s="1"/>
  <c r="D13" i="164"/>
  <c r="D24" i="164" s="1"/>
  <c r="C13" i="164"/>
  <c r="C24" i="164" s="1"/>
  <c r="B13" i="164"/>
  <c r="B24" i="164" s="1"/>
  <c r="D12" i="164"/>
  <c r="D23" i="164" s="1"/>
  <c r="C12" i="164"/>
  <c r="C23" i="164" s="1"/>
  <c r="B12" i="164"/>
  <c r="B23" i="164" s="1"/>
  <c r="D11" i="164"/>
  <c r="D22" i="164" s="1"/>
  <c r="C11" i="164"/>
  <c r="C22" i="164" s="1"/>
  <c r="B11" i="164"/>
  <c r="B22" i="164" s="1"/>
  <c r="D10" i="164"/>
  <c r="D21" i="164" s="1"/>
  <c r="C10" i="164"/>
  <c r="C21" i="164" s="1"/>
  <c r="B10" i="164"/>
  <c r="B21" i="164" s="1"/>
  <c r="D9" i="164"/>
  <c r="D20" i="164" s="1"/>
  <c r="C9" i="164"/>
  <c r="C20" i="164" s="1"/>
  <c r="B9" i="164"/>
  <c r="B20" i="164" s="1"/>
  <c r="A4" i="164"/>
  <c r="A3" i="164"/>
  <c r="A1" i="164"/>
  <c r="C90" i="67"/>
  <c r="C91" i="67"/>
  <c r="C92" i="67"/>
  <c r="C93" i="67"/>
  <c r="C94" i="67"/>
  <c r="C95" i="67"/>
  <c r="C96" i="67"/>
  <c r="C97" i="67"/>
  <c r="C98" i="67"/>
  <c r="C99" i="67"/>
  <c r="F99" i="67"/>
  <c r="D99" i="67"/>
  <c r="F98" i="67"/>
  <c r="D98" i="67"/>
  <c r="F97" i="67"/>
  <c r="D97" i="67"/>
  <c r="F96" i="67"/>
  <c r="D96" i="67"/>
  <c r="F95" i="67"/>
  <c r="D95" i="67"/>
  <c r="F94" i="67"/>
  <c r="D94" i="67"/>
  <c r="F93" i="67"/>
  <c r="D93" i="67"/>
  <c r="F92" i="67"/>
  <c r="D92" i="67"/>
  <c r="F91" i="67"/>
  <c r="D91" i="67"/>
  <c r="F90" i="67"/>
  <c r="D90" i="67"/>
  <c r="B90" i="67"/>
  <c r="C33" i="67"/>
  <c r="C34" i="67"/>
  <c r="C35" i="67"/>
  <c r="C36" i="67"/>
  <c r="C37" i="67"/>
  <c r="C38" i="67"/>
  <c r="C39" i="67"/>
  <c r="C40" i="67"/>
  <c r="C41" i="67"/>
  <c r="C42" i="67"/>
  <c r="G42" i="67"/>
  <c r="F42" i="67"/>
  <c r="D42" i="67"/>
  <c r="B42" i="67"/>
  <c r="G41" i="67"/>
  <c r="F41" i="67"/>
  <c r="D41" i="67"/>
  <c r="B41" i="67"/>
  <c r="G40" i="67"/>
  <c r="F40" i="67"/>
  <c r="D40" i="67"/>
  <c r="B40" i="67"/>
  <c r="G39" i="67"/>
  <c r="F39" i="67"/>
  <c r="D39" i="67"/>
  <c r="B39" i="67"/>
  <c r="G38" i="67"/>
  <c r="F38" i="67"/>
  <c r="D38" i="67"/>
  <c r="B38" i="67"/>
  <c r="G37" i="67"/>
  <c r="F37" i="67"/>
  <c r="D37" i="67"/>
  <c r="B37" i="67"/>
  <c r="G36" i="67"/>
  <c r="F36" i="67"/>
  <c r="D36" i="67"/>
  <c r="B36" i="67"/>
  <c r="G35" i="67"/>
  <c r="F35" i="67"/>
  <c r="D35" i="67"/>
  <c r="B35" i="67"/>
  <c r="G34" i="67"/>
  <c r="F34" i="67"/>
  <c r="D34" i="67"/>
  <c r="B34" i="67"/>
  <c r="G33" i="67"/>
  <c r="F33" i="67"/>
  <c r="D33" i="67"/>
  <c r="B33" i="67"/>
  <c r="A98" i="66"/>
  <c r="A99" i="66" s="1"/>
  <c r="A100" i="66" s="1"/>
  <c r="A101" i="66" s="1"/>
  <c r="A102" i="66" s="1"/>
  <c r="C91" i="66"/>
  <c r="F99" i="66"/>
  <c r="F98" i="66"/>
  <c r="F97" i="66"/>
  <c r="F96" i="66"/>
  <c r="F95" i="66"/>
  <c r="F94" i="66"/>
  <c r="F93" i="66"/>
  <c r="F92" i="66"/>
  <c r="F91" i="66"/>
  <c r="F90" i="66"/>
  <c r="B90" i="66"/>
  <c r="C36" i="66"/>
  <c r="F42" i="66"/>
  <c r="B42" i="66"/>
  <c r="F41" i="66"/>
  <c r="B41" i="66"/>
  <c r="F40" i="66"/>
  <c r="B40" i="66"/>
  <c r="F39" i="66"/>
  <c r="B39" i="66"/>
  <c r="F38" i="66"/>
  <c r="B38" i="66"/>
  <c r="F37" i="66"/>
  <c r="B37" i="66"/>
  <c r="F36" i="66"/>
  <c r="B36" i="66"/>
  <c r="F35" i="66"/>
  <c r="B35" i="66"/>
  <c r="F34" i="66"/>
  <c r="B34" i="66"/>
  <c r="F33" i="66"/>
  <c r="B33" i="66"/>
  <c r="C90" i="72"/>
  <c r="C93" i="72"/>
  <c r="C98" i="72"/>
  <c r="F99" i="72"/>
  <c r="F98" i="72"/>
  <c r="F97" i="72"/>
  <c r="F96" i="72"/>
  <c r="F95" i="72"/>
  <c r="F94" i="72"/>
  <c r="F93" i="72"/>
  <c r="F92" i="72"/>
  <c r="F91" i="72"/>
  <c r="F90" i="72"/>
  <c r="B90" i="72"/>
  <c r="C40" i="72"/>
  <c r="F42" i="72"/>
  <c r="B42" i="72"/>
  <c r="F41" i="72"/>
  <c r="B41" i="72"/>
  <c r="G40" i="72"/>
  <c r="F40" i="72"/>
  <c r="B40" i="72"/>
  <c r="F39" i="72"/>
  <c r="B39" i="72"/>
  <c r="F38" i="72"/>
  <c r="B38" i="72"/>
  <c r="F37" i="72"/>
  <c r="B37" i="72"/>
  <c r="F36" i="72"/>
  <c r="B36" i="72"/>
  <c r="F35" i="72"/>
  <c r="D35" i="72"/>
  <c r="B35" i="72"/>
  <c r="F34" i="72"/>
  <c r="B34" i="72"/>
  <c r="F33" i="72"/>
  <c r="B33" i="72"/>
  <c r="C40" i="70"/>
  <c r="E90" i="70"/>
  <c r="B90" i="70"/>
  <c r="B42" i="70"/>
  <c r="B41" i="70"/>
  <c r="B40" i="70"/>
  <c r="D39" i="70"/>
  <c r="B39" i="70"/>
  <c r="B38" i="70"/>
  <c r="B37" i="70"/>
  <c r="B36" i="70"/>
  <c r="B35" i="70"/>
  <c r="B34" i="70"/>
  <c r="B33" i="70"/>
  <c r="F99" i="68"/>
  <c r="F98" i="68"/>
  <c r="G97" i="68"/>
  <c r="F97" i="68"/>
  <c r="G96" i="68"/>
  <c r="F96" i="68"/>
  <c r="F95" i="68"/>
  <c r="D95" i="68"/>
  <c r="F94" i="68"/>
  <c r="G93" i="68"/>
  <c r="F93" i="68"/>
  <c r="F92" i="68"/>
  <c r="F91" i="68"/>
  <c r="F90" i="68"/>
  <c r="E90" i="68"/>
  <c r="B90" i="68"/>
  <c r="B34" i="68"/>
  <c r="F34" i="68"/>
  <c r="B35" i="68"/>
  <c r="F35" i="68"/>
  <c r="B36" i="68"/>
  <c r="F36" i="68"/>
  <c r="B37" i="68"/>
  <c r="F37" i="68"/>
  <c r="B38" i="68"/>
  <c r="F38" i="68"/>
  <c r="B39" i="68"/>
  <c r="F39" i="68"/>
  <c r="B40" i="68"/>
  <c r="F40" i="68"/>
  <c r="B41" i="68"/>
  <c r="F41" i="68"/>
  <c r="B42" i="68"/>
  <c r="F42" i="68"/>
  <c r="F33" i="68"/>
  <c r="B33" i="68"/>
  <c r="C97" i="72"/>
  <c r="E90" i="72"/>
  <c r="D90" i="70"/>
  <c r="G94" i="66"/>
  <c r="C36" i="68"/>
  <c r="C40" i="68"/>
  <c r="C41" i="68"/>
  <c r="G36" i="72"/>
  <c r="M32" i="164" l="1"/>
  <c r="M18" i="164"/>
  <c r="M35" i="164"/>
  <c r="M9" i="164"/>
  <c r="M34" i="164"/>
  <c r="M11" i="164"/>
  <c r="M10" i="164"/>
  <c r="M15" i="164"/>
  <c r="M39" i="164"/>
  <c r="M12" i="164"/>
  <c r="M13" i="164"/>
  <c r="M14" i="164"/>
  <c r="M17" i="164"/>
  <c r="M38" i="164"/>
  <c r="A11" i="164"/>
  <c r="A12" i="164" s="1"/>
  <c r="A13" i="164" s="1"/>
  <c r="A14" i="164" s="1"/>
  <c r="A15" i="164" s="1"/>
  <c r="A16" i="164" s="1"/>
  <c r="A17" i="164" s="1"/>
  <c r="M16" i="164"/>
  <c r="M33" i="164"/>
  <c r="M36" i="164"/>
  <c r="M37" i="164"/>
  <c r="M40" i="164"/>
  <c r="C33" i="68"/>
  <c r="C33" i="72"/>
  <c r="C33" i="66"/>
  <c r="G99" i="66"/>
  <c r="D99" i="72"/>
  <c r="D99" i="70"/>
  <c r="D99" i="66"/>
  <c r="G98" i="66"/>
  <c r="D98" i="72"/>
  <c r="D98" i="68"/>
  <c r="D98" i="66"/>
  <c r="G97" i="66"/>
  <c r="D97" i="66"/>
  <c r="D97" i="70"/>
  <c r="D97" i="68"/>
  <c r="D97" i="72"/>
  <c r="D96" i="66"/>
  <c r="D96" i="70"/>
  <c r="D96" i="72"/>
  <c r="D96" i="68"/>
  <c r="D95" i="72"/>
  <c r="D95" i="70"/>
  <c r="D95" i="66"/>
  <c r="D94" i="72"/>
  <c r="D94" i="68"/>
  <c r="D94" i="70"/>
  <c r="D94" i="66"/>
  <c r="G93" i="66"/>
  <c r="D93" i="66"/>
  <c r="D93" i="70"/>
  <c r="D93" i="68"/>
  <c r="D93" i="72"/>
  <c r="D92" i="66"/>
  <c r="D92" i="70"/>
  <c r="D92" i="72"/>
  <c r="D92" i="68"/>
  <c r="D91" i="72"/>
  <c r="D91" i="70"/>
  <c r="G91" i="66"/>
  <c r="D91" i="66"/>
  <c r="C96" i="72"/>
  <c r="C96" i="66"/>
  <c r="C92" i="72"/>
  <c r="C92" i="66"/>
  <c r="C92" i="70"/>
  <c r="D98" i="70"/>
  <c r="E33" i="68"/>
  <c r="E33" i="66"/>
  <c r="E33" i="72"/>
  <c r="E33" i="70"/>
  <c r="C37" i="68"/>
  <c r="C37" i="70"/>
  <c r="C37" i="72"/>
  <c r="C37" i="66"/>
  <c r="G90" i="66"/>
  <c r="D90" i="72"/>
  <c r="D90" i="68"/>
  <c r="D90" i="66"/>
  <c r="C99" i="72"/>
  <c r="C99" i="70"/>
  <c r="C95" i="72"/>
  <c r="C95" i="66"/>
  <c r="C95" i="70"/>
  <c r="C91" i="72"/>
  <c r="C91" i="70"/>
  <c r="D91" i="68"/>
  <c r="D99" i="68"/>
  <c r="C33" i="70"/>
  <c r="C41" i="72"/>
  <c r="C41" i="66"/>
  <c r="C41" i="70"/>
  <c r="G33" i="66"/>
  <c r="D33" i="66"/>
  <c r="D33" i="72"/>
  <c r="D33" i="70"/>
  <c r="G34" i="66"/>
  <c r="D34" i="66"/>
  <c r="D34" i="72"/>
  <c r="D34" i="70"/>
  <c r="G35" i="66"/>
  <c r="D35" i="66"/>
  <c r="G36" i="66"/>
  <c r="D36" i="70"/>
  <c r="D36" i="66"/>
  <c r="G37" i="66"/>
  <c r="D37" i="66"/>
  <c r="D37" i="72"/>
  <c r="D37" i="70"/>
  <c r="G38" i="66"/>
  <c r="D38" i="66"/>
  <c r="D38" i="72"/>
  <c r="D38" i="70"/>
  <c r="G39" i="66"/>
  <c r="D39" i="72"/>
  <c r="D39" i="66"/>
  <c r="G40" i="66"/>
  <c r="D40" i="70"/>
  <c r="D40" i="72"/>
  <c r="D40" i="66"/>
  <c r="G41" i="66"/>
  <c r="D41" i="66"/>
  <c r="D41" i="72"/>
  <c r="D41" i="70"/>
  <c r="G42" i="66"/>
  <c r="D42" i="66"/>
  <c r="D42" i="72"/>
  <c r="D42" i="70"/>
  <c r="C42" i="68"/>
  <c r="C42" i="66"/>
  <c r="C42" i="72"/>
  <c r="C42" i="70"/>
  <c r="C38" i="68"/>
  <c r="C38" i="66"/>
  <c r="C38" i="72"/>
  <c r="C38" i="70"/>
  <c r="C34" i="68"/>
  <c r="C34" i="66"/>
  <c r="C34" i="72"/>
  <c r="C34" i="70"/>
  <c r="G92" i="68"/>
  <c r="D35" i="70"/>
  <c r="C96" i="70"/>
  <c r="D36" i="72"/>
  <c r="C99" i="66"/>
  <c r="G38" i="68"/>
  <c r="G38" i="72"/>
  <c r="C98" i="66"/>
  <c r="C98" i="70"/>
  <c r="C94" i="66"/>
  <c r="C94" i="70"/>
  <c r="C90" i="66"/>
  <c r="C90" i="70"/>
  <c r="C36" i="72"/>
  <c r="E90" i="66"/>
  <c r="C39" i="68"/>
  <c r="C39" i="66"/>
  <c r="C39" i="72"/>
  <c r="C39" i="70"/>
  <c r="C35" i="68"/>
  <c r="C35" i="66"/>
  <c r="C35" i="72"/>
  <c r="C35" i="70"/>
  <c r="C97" i="66"/>
  <c r="C97" i="70"/>
  <c r="C93" i="66"/>
  <c r="C93" i="70"/>
  <c r="C36" i="70"/>
  <c r="C94" i="72"/>
  <c r="C40" i="66"/>
  <c r="D42" i="68"/>
  <c r="D35" i="68"/>
  <c r="D33" i="68"/>
  <c r="D40" i="68"/>
  <c r="D37" i="68"/>
  <c r="G36" i="68"/>
  <c r="D38" i="68"/>
  <c r="D39" i="68"/>
  <c r="D36" i="68"/>
  <c r="D41" i="68"/>
  <c r="G40" i="68"/>
  <c r="D34" i="68"/>
  <c r="G37" i="72"/>
  <c r="G41" i="72"/>
  <c r="G33" i="72"/>
  <c r="G34" i="72"/>
  <c r="G42" i="72"/>
  <c r="G35" i="72"/>
  <c r="G39" i="72"/>
  <c r="A18" i="164" l="1"/>
  <c r="G91" i="68"/>
  <c r="G98" i="68"/>
  <c r="G99" i="68"/>
  <c r="G90" i="68"/>
  <c r="G92" i="66"/>
  <c r="G94" i="68"/>
  <c r="G95" i="66"/>
  <c r="G95" i="68"/>
  <c r="G96" i="66"/>
  <c r="G39" i="68"/>
  <c r="G34" i="68"/>
  <c r="G35" i="68"/>
  <c r="G42" i="68"/>
  <c r="G37" i="68"/>
  <c r="G33" i="68"/>
  <c r="G41" i="68"/>
  <c r="A19" i="164" l="1"/>
  <c r="A20" i="164" s="1"/>
  <c r="A21" i="164" s="1"/>
  <c r="A22" i="164" s="1"/>
  <c r="A23" i="164" s="1"/>
  <c r="A24" i="164" s="1"/>
  <c r="A25" i="164" s="1"/>
  <c r="A26" i="164" s="1"/>
  <c r="A27" i="164" s="1"/>
  <c r="A28" i="164" s="1"/>
  <c r="A29" i="164" s="1"/>
  <c r="A30" i="164" s="1"/>
  <c r="A31" i="164" l="1"/>
  <c r="A32" i="164" s="1"/>
  <c r="A33" i="164" s="1"/>
  <c r="A34" i="164" s="1"/>
  <c r="A35" i="164" s="1"/>
  <c r="A36" i="164" s="1"/>
  <c r="A37" i="164" s="1"/>
  <c r="A38" i="164" s="1"/>
  <c r="A39" i="164" s="1"/>
  <c r="A40" i="164" s="1"/>
  <c r="A41" i="164" s="1"/>
  <c r="A42" i="164" s="1"/>
  <c r="A43" i="164" s="1"/>
  <c r="A44" i="164" s="1"/>
  <c r="A45" i="164" s="1"/>
  <c r="A46" i="164" s="1"/>
  <c r="A47" i="164" s="1"/>
  <c r="A48" i="164" s="1"/>
  <c r="A49" i="164" s="1"/>
  <c r="A50" i="164" s="1"/>
  <c r="A51" i="164" s="1"/>
  <c r="B91" i="67" l="1"/>
  <c r="G51" i="164"/>
  <c r="G50" i="164"/>
  <c r="G49" i="164"/>
  <c r="G48" i="164"/>
  <c r="G47" i="164"/>
  <c r="G46" i="164"/>
  <c r="G45" i="164"/>
  <c r="G44" i="164"/>
  <c r="G43" i="164"/>
  <c r="G29" i="164"/>
  <c r="B92" i="67" l="1"/>
  <c r="G34" i="164"/>
  <c r="J34" i="164" s="1"/>
  <c r="V29" i="160"/>
  <c r="G39" i="164"/>
  <c r="J39" i="164" s="1"/>
  <c r="V34" i="160"/>
  <c r="G36" i="164"/>
  <c r="J36" i="164" s="1"/>
  <c r="V31" i="160"/>
  <c r="G38" i="164"/>
  <c r="J38" i="164" s="1"/>
  <c r="V33" i="160"/>
  <c r="G35" i="164"/>
  <c r="J35" i="164" s="1"/>
  <c r="V30" i="160"/>
  <c r="G32" i="164"/>
  <c r="J32" i="164" s="1"/>
  <c r="V27" i="160"/>
  <c r="V26" i="160" s="1"/>
  <c r="G40" i="164"/>
  <c r="J40" i="164" s="1"/>
  <c r="V35" i="160"/>
  <c r="G33" i="164"/>
  <c r="J33" i="164" s="1"/>
  <c r="V28" i="160"/>
  <c r="G37" i="164"/>
  <c r="J37" i="164" s="1"/>
  <c r="V32" i="160"/>
  <c r="W29" i="160"/>
  <c r="W34" i="160"/>
  <c r="W23" i="160"/>
  <c r="W28" i="160"/>
  <c r="W30" i="160"/>
  <c r="W31" i="160"/>
  <c r="W32" i="160"/>
  <c r="W33" i="160"/>
  <c r="W35" i="160"/>
  <c r="G28" i="164"/>
  <c r="G27" i="164"/>
  <c r="G26" i="164"/>
  <c r="G25" i="164"/>
  <c r="G24" i="164"/>
  <c r="G23" i="164"/>
  <c r="G22" i="164"/>
  <c r="G21" i="164"/>
  <c r="E26" i="160"/>
  <c r="G31" i="164" s="1"/>
  <c r="J31" i="164" s="1"/>
  <c r="F26" i="160"/>
  <c r="G42" i="164" s="1"/>
  <c r="V12" i="160"/>
  <c r="V11" i="160"/>
  <c r="B93" i="67" l="1"/>
  <c r="G10" i="164"/>
  <c r="J10" i="164" s="1"/>
  <c r="V15" i="160"/>
  <c r="V14" i="160" s="1"/>
  <c r="G14" i="164"/>
  <c r="J14" i="164" s="1"/>
  <c r="V19" i="160"/>
  <c r="G18" i="164"/>
  <c r="J18" i="164" s="1"/>
  <c r="V23" i="160"/>
  <c r="G16" i="164"/>
  <c r="J16" i="164" s="1"/>
  <c r="V21" i="160"/>
  <c r="G12" i="164"/>
  <c r="J12" i="164" s="1"/>
  <c r="V17" i="160"/>
  <c r="E14" i="160"/>
  <c r="G9" i="164" s="1"/>
  <c r="J9" i="164" s="1"/>
  <c r="G11" i="164"/>
  <c r="J11" i="164" s="1"/>
  <c r="V16" i="160"/>
  <c r="G13" i="164"/>
  <c r="J13" i="164" s="1"/>
  <c r="V18" i="160"/>
  <c r="G15" i="164"/>
  <c r="J15" i="164" s="1"/>
  <c r="V20" i="160"/>
  <c r="G17" i="164"/>
  <c r="J17" i="164" s="1"/>
  <c r="V22" i="160"/>
  <c r="W19" i="160"/>
  <c r="W27" i="160"/>
  <c r="W17" i="160"/>
  <c r="W21" i="160"/>
  <c r="F14" i="160"/>
  <c r="G20" i="164" s="1"/>
  <c r="W15" i="160"/>
  <c r="W16" i="160"/>
  <c r="W18" i="160"/>
  <c r="W20" i="160"/>
  <c r="W22" i="160"/>
  <c r="B94" i="67" l="1"/>
  <c r="D177" i="157"/>
  <c r="C177" i="157"/>
  <c r="B177" i="157"/>
  <c r="D139" i="157"/>
  <c r="C139" i="157"/>
  <c r="B139" i="157"/>
  <c r="D119" i="157"/>
  <c r="C119" i="157"/>
  <c r="B119" i="157"/>
  <c r="D98" i="157"/>
  <c r="C98" i="157"/>
  <c r="B98" i="157"/>
  <c r="D71" i="157"/>
  <c r="C71" i="157"/>
  <c r="B71" i="157"/>
  <c r="D23" i="157"/>
  <c r="C23" i="157"/>
  <c r="B23" i="157"/>
  <c r="C24" i="157"/>
  <c r="B194" i="67"/>
  <c r="B161" i="67"/>
  <c r="G140" i="67"/>
  <c r="B140" i="67"/>
  <c r="G118" i="67"/>
  <c r="B118" i="67"/>
  <c r="B79" i="67"/>
  <c r="G22" i="67"/>
  <c r="B22" i="67"/>
  <c r="F194" i="66"/>
  <c r="B194" i="66"/>
  <c r="F161" i="66"/>
  <c r="B161" i="66"/>
  <c r="F140" i="66"/>
  <c r="B140" i="66"/>
  <c r="F118" i="66"/>
  <c r="B118" i="66"/>
  <c r="F79" i="66"/>
  <c r="B79" i="66"/>
  <c r="F22" i="66"/>
  <c r="B22" i="66"/>
  <c r="F194" i="72"/>
  <c r="B194" i="72"/>
  <c r="F161" i="72"/>
  <c r="B161" i="72"/>
  <c r="F140" i="72"/>
  <c r="B140" i="72"/>
  <c r="F118" i="72"/>
  <c r="B118" i="72"/>
  <c r="F79" i="72"/>
  <c r="B79" i="72"/>
  <c r="F22" i="72"/>
  <c r="B22" i="72"/>
  <c r="B194" i="70"/>
  <c r="B161" i="70"/>
  <c r="B140" i="70"/>
  <c r="B118" i="70"/>
  <c r="B79" i="70"/>
  <c r="B22" i="70"/>
  <c r="B215" i="68"/>
  <c r="B214" i="68"/>
  <c r="B217" i="68"/>
  <c r="F194" i="68"/>
  <c r="B194" i="68"/>
  <c r="F161" i="68"/>
  <c r="B161" i="68"/>
  <c r="F162" i="68"/>
  <c r="F140" i="68"/>
  <c r="B140" i="68"/>
  <c r="F118" i="68"/>
  <c r="B118" i="68"/>
  <c r="F79" i="68"/>
  <c r="B79" i="68"/>
  <c r="F22" i="68"/>
  <c r="B22" i="68"/>
  <c r="A22" i="160"/>
  <c r="A23" i="160" s="1"/>
  <c r="A24" i="160" s="1"/>
  <c r="A25" i="160" s="1"/>
  <c r="A26" i="160" s="1"/>
  <c r="A27" i="160" s="1"/>
  <c r="A28" i="160" s="1"/>
  <c r="A29" i="160" s="1"/>
  <c r="A30" i="160" s="1"/>
  <c r="U26" i="160"/>
  <c r="T26" i="160"/>
  <c r="R26" i="160"/>
  <c r="P26" i="160"/>
  <c r="O26" i="160"/>
  <c r="L26" i="160"/>
  <c r="B26" i="160"/>
  <c r="U14" i="160"/>
  <c r="T14" i="160"/>
  <c r="R14" i="160"/>
  <c r="P14" i="160"/>
  <c r="O14" i="160"/>
  <c r="L14" i="160"/>
  <c r="B14" i="160"/>
  <c r="B95" i="67" l="1"/>
  <c r="Q14" i="144"/>
  <c r="A13" i="144"/>
  <c r="A14" i="144" s="1"/>
  <c r="A15" i="144" s="1"/>
  <c r="A16" i="144" s="1"/>
  <c r="A17" i="144" s="1"/>
  <c r="A18" i="144" s="1"/>
  <c r="A19" i="144" s="1"/>
  <c r="A20" i="144" s="1"/>
  <c r="A21" i="144" s="1"/>
  <c r="A22" i="144" s="1"/>
  <c r="B96" i="67" l="1"/>
  <c r="F194" i="67"/>
  <c r="G194" i="66"/>
  <c r="F161" i="67"/>
  <c r="F140" i="67"/>
  <c r="F118" i="67"/>
  <c r="F79" i="67"/>
  <c r="B97" i="67" l="1"/>
  <c r="E24" i="151"/>
  <c r="F38" i="155"/>
  <c r="E24" i="148"/>
  <c r="E62" i="147"/>
  <c r="U62" i="147" s="1"/>
  <c r="E31" i="147"/>
  <c r="D118" i="66"/>
  <c r="D118" i="67"/>
  <c r="D118" i="70"/>
  <c r="D118" i="68"/>
  <c r="D118" i="72"/>
  <c r="E140" i="66"/>
  <c r="E140" i="70"/>
  <c r="E140" i="68"/>
  <c r="E140" i="72"/>
  <c r="D161" i="67"/>
  <c r="D161" i="70"/>
  <c r="D161" i="72"/>
  <c r="D161" i="68"/>
  <c r="D161" i="66"/>
  <c r="F22" i="67"/>
  <c r="E118" i="70"/>
  <c r="E118" i="68"/>
  <c r="E118" i="72"/>
  <c r="E118" i="66"/>
  <c r="D140" i="72"/>
  <c r="D140" i="66"/>
  <c r="D140" i="70"/>
  <c r="D140" i="67"/>
  <c r="D140" i="68"/>
  <c r="E13" i="144"/>
  <c r="E22" i="72"/>
  <c r="E22" i="66"/>
  <c r="E22" i="70"/>
  <c r="E22" i="68"/>
  <c r="E79" i="68"/>
  <c r="E79" i="72"/>
  <c r="E79" i="66"/>
  <c r="E79" i="70"/>
  <c r="E161" i="72"/>
  <c r="E161" i="68"/>
  <c r="E161" i="66"/>
  <c r="E161" i="70"/>
  <c r="E194" i="72"/>
  <c r="E194" i="68"/>
  <c r="E194" i="66"/>
  <c r="E194" i="70"/>
  <c r="D22" i="70"/>
  <c r="D22" i="68"/>
  <c r="D22" i="72"/>
  <c r="D22" i="66"/>
  <c r="D22" i="67"/>
  <c r="D79" i="67"/>
  <c r="D79" i="68"/>
  <c r="D79" i="72"/>
  <c r="D79" i="66"/>
  <c r="D79" i="70"/>
  <c r="D194" i="67"/>
  <c r="D194" i="72"/>
  <c r="D194" i="68"/>
  <c r="D194" i="66"/>
  <c r="D194" i="70"/>
  <c r="B98" i="67" l="1"/>
  <c r="U13" i="144"/>
  <c r="U31" i="147"/>
  <c r="U24" i="148"/>
  <c r="W38" i="155"/>
  <c r="AP38" i="155" s="1"/>
  <c r="U24" i="151"/>
  <c r="G79" i="68"/>
  <c r="G79" i="72"/>
  <c r="G194" i="72"/>
  <c r="G194" i="68"/>
  <c r="G22" i="68"/>
  <c r="G22" i="72"/>
  <c r="G118" i="72"/>
  <c r="G118" i="68"/>
  <c r="G140" i="68"/>
  <c r="G140" i="72"/>
  <c r="G161" i="72"/>
  <c r="G161" i="68"/>
  <c r="B99" i="67" l="1"/>
  <c r="S26" i="160"/>
  <c r="N26" i="160"/>
  <c r="M26" i="160"/>
  <c r="K26" i="160"/>
  <c r="J26" i="160"/>
  <c r="I26" i="160"/>
  <c r="H26" i="160"/>
  <c r="G26" i="160"/>
  <c r="S14" i="160"/>
  <c r="N14" i="160"/>
  <c r="M14" i="160"/>
  <c r="K14" i="160"/>
  <c r="J14" i="160"/>
  <c r="I14" i="160"/>
  <c r="H14" i="160"/>
  <c r="G14" i="160"/>
  <c r="A11" i="160"/>
  <c r="A12" i="160" s="1"/>
  <c r="A13" i="160" s="1"/>
  <c r="A14" i="160" s="1"/>
  <c r="A15" i="160" s="1"/>
  <c r="A16" i="160" s="1"/>
  <c r="A17" i="160" s="1"/>
  <c r="A18" i="160" s="1"/>
  <c r="A4" i="160"/>
  <c r="A3" i="160"/>
  <c r="A1" i="160"/>
  <c r="A19" i="160" l="1"/>
  <c r="A20" i="160" s="1"/>
  <c r="A21" i="160" s="1"/>
  <c r="A31" i="160" l="1"/>
  <c r="A32" i="160" s="1"/>
  <c r="A33" i="160" s="1"/>
  <c r="A34" i="160" s="1"/>
  <c r="A35" i="160" s="1"/>
  <c r="A36" i="160" s="1"/>
  <c r="A1" i="157" l="1"/>
  <c r="A3" i="157"/>
  <c r="A4" i="157"/>
  <c r="B9" i="157"/>
  <c r="C9" i="157"/>
  <c r="D9" i="157"/>
  <c r="A10" i="157"/>
  <c r="A11" i="157" s="1"/>
  <c r="A12" i="157" s="1"/>
  <c r="A13" i="157" s="1"/>
  <c r="A14" i="157" s="1"/>
  <c r="A15" i="157" s="1"/>
  <c r="A16" i="157" s="1"/>
  <c r="A17" i="157" s="1"/>
  <c r="A18" i="157" s="1"/>
  <c r="A19" i="157" s="1"/>
  <c r="A20" i="157" s="1"/>
  <c r="A21" i="157" s="1"/>
  <c r="B11" i="157"/>
  <c r="C11" i="157"/>
  <c r="D11" i="157"/>
  <c r="B12" i="157"/>
  <c r="C12" i="157"/>
  <c r="D12" i="157"/>
  <c r="B13" i="157"/>
  <c r="C13" i="157"/>
  <c r="D13" i="157"/>
  <c r="B15" i="157"/>
  <c r="C15" i="157"/>
  <c r="D15" i="157"/>
  <c r="B16" i="157"/>
  <c r="C16" i="157"/>
  <c r="D16" i="157"/>
  <c r="B17" i="157"/>
  <c r="C17" i="157"/>
  <c r="D17" i="157"/>
  <c r="B18" i="157"/>
  <c r="C18" i="157"/>
  <c r="D18" i="157"/>
  <c r="B20" i="157"/>
  <c r="C20" i="157"/>
  <c r="D20" i="157"/>
  <c r="B21" i="157"/>
  <c r="C21" i="157"/>
  <c r="D21" i="157"/>
  <c r="B24" i="157"/>
  <c r="D24" i="157"/>
  <c r="B25" i="157"/>
  <c r="C25" i="157"/>
  <c r="D25" i="157"/>
  <c r="B26" i="157"/>
  <c r="C26" i="157"/>
  <c r="D26" i="157"/>
  <c r="B27" i="157"/>
  <c r="C27" i="157"/>
  <c r="D27" i="157"/>
  <c r="B28" i="157"/>
  <c r="C28" i="157"/>
  <c r="D28" i="157"/>
  <c r="B29" i="157"/>
  <c r="C29" i="157"/>
  <c r="D29" i="157"/>
  <c r="B30" i="157"/>
  <c r="C30" i="157"/>
  <c r="D30" i="157"/>
  <c r="B31" i="157"/>
  <c r="C31" i="157"/>
  <c r="D31" i="157"/>
  <c r="C32" i="157"/>
  <c r="D32" i="157"/>
  <c r="B34" i="157"/>
  <c r="C34" i="157"/>
  <c r="D34" i="157"/>
  <c r="B35" i="157"/>
  <c r="C35" i="157"/>
  <c r="D35" i="157"/>
  <c r="B37" i="157"/>
  <c r="C37" i="157"/>
  <c r="D37" i="157"/>
  <c r="B38" i="157"/>
  <c r="C38" i="157"/>
  <c r="D38" i="157"/>
  <c r="B39" i="157"/>
  <c r="C39" i="157"/>
  <c r="D39" i="157"/>
  <c r="B40" i="157"/>
  <c r="C40" i="157"/>
  <c r="D40" i="157"/>
  <c r="B41" i="157"/>
  <c r="C41" i="157"/>
  <c r="D41" i="157"/>
  <c r="B42" i="157"/>
  <c r="C42" i="157"/>
  <c r="D42" i="157"/>
  <c r="B43" i="157"/>
  <c r="C43" i="157"/>
  <c r="D43" i="157"/>
  <c r="B44" i="157"/>
  <c r="C44" i="157"/>
  <c r="D44" i="157"/>
  <c r="B46" i="157"/>
  <c r="C46" i="157"/>
  <c r="D46" i="157"/>
  <c r="B47" i="157"/>
  <c r="C47" i="157"/>
  <c r="D47" i="157"/>
  <c r="B48" i="157"/>
  <c r="C48" i="157"/>
  <c r="D48" i="157"/>
  <c r="B49" i="157"/>
  <c r="C49" i="157"/>
  <c r="D49" i="157"/>
  <c r="B50" i="157"/>
  <c r="C50" i="157"/>
  <c r="D50" i="157"/>
  <c r="B51" i="157"/>
  <c r="C51" i="157"/>
  <c r="D51" i="157"/>
  <c r="B52" i="157"/>
  <c r="C52" i="157"/>
  <c r="D52" i="157"/>
  <c r="B54" i="157"/>
  <c r="C54" i="157"/>
  <c r="D54" i="157"/>
  <c r="B55" i="157"/>
  <c r="C55" i="157"/>
  <c r="D55" i="157"/>
  <c r="B56" i="157"/>
  <c r="C56" i="157"/>
  <c r="D56" i="157"/>
  <c r="B57" i="157"/>
  <c r="C57" i="157"/>
  <c r="D57" i="157"/>
  <c r="B58" i="157"/>
  <c r="C58" i="157"/>
  <c r="D58" i="157"/>
  <c r="B59" i="157"/>
  <c r="C59" i="157"/>
  <c r="D59" i="157"/>
  <c r="B60" i="157"/>
  <c r="C60" i="157"/>
  <c r="D60" i="157"/>
  <c r="B61" i="157"/>
  <c r="C61" i="157"/>
  <c r="D61" i="157"/>
  <c r="B62" i="157"/>
  <c r="C62" i="157"/>
  <c r="D62" i="157"/>
  <c r="B64" i="157"/>
  <c r="C64" i="157"/>
  <c r="D64" i="157"/>
  <c r="B65" i="157"/>
  <c r="C65" i="157"/>
  <c r="D65" i="157"/>
  <c r="B66" i="157"/>
  <c r="C66" i="157"/>
  <c r="D66" i="157"/>
  <c r="B67" i="157"/>
  <c r="C67" i="157"/>
  <c r="D67" i="157"/>
  <c r="B68" i="157"/>
  <c r="C68" i="157"/>
  <c r="D68" i="157"/>
  <c r="B72" i="157"/>
  <c r="C72" i="157"/>
  <c r="D72" i="157"/>
  <c r="B73" i="157"/>
  <c r="C73" i="157"/>
  <c r="D73" i="157"/>
  <c r="B74" i="157"/>
  <c r="C74" i="157"/>
  <c r="D74" i="157"/>
  <c r="B75" i="157"/>
  <c r="C75" i="157"/>
  <c r="D75" i="157"/>
  <c r="B76" i="157"/>
  <c r="C76" i="157"/>
  <c r="D76" i="157"/>
  <c r="B77" i="157"/>
  <c r="C77" i="157"/>
  <c r="D77" i="157"/>
  <c r="B78" i="157"/>
  <c r="C78" i="157"/>
  <c r="D78" i="157"/>
  <c r="B79" i="157"/>
  <c r="C79" i="157"/>
  <c r="D79" i="157"/>
  <c r="B81" i="157"/>
  <c r="C81" i="157"/>
  <c r="D81" i="157"/>
  <c r="B82" i="157"/>
  <c r="C82" i="157"/>
  <c r="D82" i="157"/>
  <c r="B83" i="157"/>
  <c r="C83" i="157"/>
  <c r="D83" i="157"/>
  <c r="B84" i="157"/>
  <c r="C84" i="157"/>
  <c r="D84" i="157"/>
  <c r="B85" i="157"/>
  <c r="C85" i="157"/>
  <c r="D85" i="157"/>
  <c r="B86" i="157"/>
  <c r="C86" i="157"/>
  <c r="D86" i="157"/>
  <c r="B87" i="157"/>
  <c r="C87" i="157"/>
  <c r="D87" i="157"/>
  <c r="B88" i="157"/>
  <c r="C88" i="157"/>
  <c r="D88" i="157"/>
  <c r="B89" i="157"/>
  <c r="C89" i="157"/>
  <c r="D89" i="157"/>
  <c r="B91" i="157"/>
  <c r="C91" i="157"/>
  <c r="D91" i="157"/>
  <c r="B92" i="157"/>
  <c r="C92" i="157"/>
  <c r="D92" i="157"/>
  <c r="B93" i="157"/>
  <c r="C93" i="157"/>
  <c r="D93" i="157"/>
  <c r="B94" i="157"/>
  <c r="C94" i="157"/>
  <c r="D94" i="157"/>
  <c r="B95" i="157"/>
  <c r="C95" i="157"/>
  <c r="D95" i="157"/>
  <c r="B96" i="157"/>
  <c r="C96" i="157"/>
  <c r="D96" i="157"/>
  <c r="B99" i="157"/>
  <c r="C99" i="157"/>
  <c r="D99" i="157"/>
  <c r="B100" i="157"/>
  <c r="C100" i="157"/>
  <c r="D100" i="157"/>
  <c r="B101" i="157"/>
  <c r="C101" i="157"/>
  <c r="D101" i="157"/>
  <c r="B102" i="157"/>
  <c r="C102" i="157"/>
  <c r="D102" i="157"/>
  <c r="B103" i="157"/>
  <c r="C103" i="157"/>
  <c r="D103" i="157"/>
  <c r="B104" i="157"/>
  <c r="C104" i="157"/>
  <c r="D104" i="157"/>
  <c r="B105" i="157"/>
  <c r="C105" i="157"/>
  <c r="D105" i="157"/>
  <c r="B106" i="157"/>
  <c r="C106" i="157"/>
  <c r="D106" i="157"/>
  <c r="B107" i="157"/>
  <c r="C107" i="157"/>
  <c r="D107" i="157"/>
  <c r="B109" i="157"/>
  <c r="C109" i="157"/>
  <c r="D109" i="157"/>
  <c r="B110" i="157"/>
  <c r="C110" i="157"/>
  <c r="D110" i="157"/>
  <c r="B111" i="157"/>
  <c r="C111" i="157"/>
  <c r="D111" i="157"/>
  <c r="B112" i="157"/>
  <c r="C112" i="157"/>
  <c r="D112" i="157"/>
  <c r="B113" i="157"/>
  <c r="C113" i="157"/>
  <c r="D113" i="157"/>
  <c r="B114" i="157"/>
  <c r="C114" i="157"/>
  <c r="D114" i="157"/>
  <c r="B115" i="157"/>
  <c r="C115" i="157"/>
  <c r="D115" i="157"/>
  <c r="B116" i="157"/>
  <c r="C116" i="157"/>
  <c r="D116" i="157"/>
  <c r="B117" i="157"/>
  <c r="C117" i="157"/>
  <c r="D117" i="157"/>
  <c r="B120" i="157"/>
  <c r="C120" i="157"/>
  <c r="D120" i="157"/>
  <c r="B121" i="157"/>
  <c r="C121" i="157"/>
  <c r="D121" i="157"/>
  <c r="B122" i="157"/>
  <c r="C122" i="157"/>
  <c r="D122" i="157"/>
  <c r="B123" i="157"/>
  <c r="C123" i="157"/>
  <c r="D123" i="157"/>
  <c r="B124" i="157"/>
  <c r="C124" i="157"/>
  <c r="D124" i="157"/>
  <c r="B125" i="157"/>
  <c r="C125" i="157"/>
  <c r="D125" i="157"/>
  <c r="B126" i="157"/>
  <c r="C126" i="157"/>
  <c r="D126" i="157"/>
  <c r="B127" i="157"/>
  <c r="C127" i="157"/>
  <c r="D127" i="157"/>
  <c r="B128" i="157"/>
  <c r="C128" i="157"/>
  <c r="D128" i="157"/>
  <c r="B130" i="157"/>
  <c r="C130" i="157"/>
  <c r="D130" i="157"/>
  <c r="B131" i="157"/>
  <c r="C131" i="157"/>
  <c r="D131" i="157"/>
  <c r="B132" i="157"/>
  <c r="C132" i="157"/>
  <c r="D132" i="157"/>
  <c r="B133" i="157"/>
  <c r="C133" i="157"/>
  <c r="D133" i="157"/>
  <c r="B134" i="157"/>
  <c r="C134" i="157"/>
  <c r="D134" i="157"/>
  <c r="B135" i="157"/>
  <c r="C135" i="157"/>
  <c r="D135" i="157"/>
  <c r="B137" i="157"/>
  <c r="C137" i="157"/>
  <c r="D137" i="157"/>
  <c r="B140" i="157"/>
  <c r="C140" i="157"/>
  <c r="D140" i="157"/>
  <c r="B141" i="157"/>
  <c r="C141" i="157"/>
  <c r="D141" i="157"/>
  <c r="B142" i="157"/>
  <c r="C142" i="157"/>
  <c r="D142" i="157"/>
  <c r="B143" i="157"/>
  <c r="C143" i="157"/>
  <c r="D143" i="157"/>
  <c r="B144" i="157"/>
  <c r="C144" i="157"/>
  <c r="D144" i="157"/>
  <c r="B145" i="157"/>
  <c r="C145" i="157"/>
  <c r="D145" i="157"/>
  <c r="B146" i="157"/>
  <c r="C146" i="157"/>
  <c r="D146" i="157"/>
  <c r="B147" i="157"/>
  <c r="C147" i="157"/>
  <c r="D147" i="157"/>
  <c r="B148" i="157"/>
  <c r="C148" i="157"/>
  <c r="D148" i="157"/>
  <c r="B150" i="157"/>
  <c r="C150" i="157"/>
  <c r="D150" i="157"/>
  <c r="B151" i="157"/>
  <c r="C151" i="157"/>
  <c r="D151" i="157"/>
  <c r="B153" i="157"/>
  <c r="C153" i="157"/>
  <c r="D153" i="157"/>
  <c r="B154" i="157"/>
  <c r="C154" i="157"/>
  <c r="D154" i="157"/>
  <c r="G154" i="157"/>
  <c r="B156" i="157"/>
  <c r="C156" i="157"/>
  <c r="D156" i="157"/>
  <c r="B157" i="157"/>
  <c r="C157" i="157"/>
  <c r="D157" i="157"/>
  <c r="B158" i="157"/>
  <c r="C158" i="157"/>
  <c r="D158" i="157"/>
  <c r="B159" i="157"/>
  <c r="C159" i="157"/>
  <c r="D159" i="157"/>
  <c r="B160" i="157"/>
  <c r="C160" i="157"/>
  <c r="D160" i="157"/>
  <c r="B161" i="157"/>
  <c r="C161" i="157"/>
  <c r="D161" i="157"/>
  <c r="B163" i="157"/>
  <c r="C163" i="157"/>
  <c r="D163" i="157"/>
  <c r="B164" i="157"/>
  <c r="C164" i="157"/>
  <c r="D164" i="157"/>
  <c r="B165" i="157"/>
  <c r="C165" i="157"/>
  <c r="D165" i="157"/>
  <c r="B166" i="157"/>
  <c r="C166" i="157"/>
  <c r="D166" i="157"/>
  <c r="B168" i="157"/>
  <c r="C168" i="157"/>
  <c r="D168" i="157"/>
  <c r="B169" i="157"/>
  <c r="C169" i="157"/>
  <c r="D169" i="157"/>
  <c r="B170" i="157"/>
  <c r="C170" i="157"/>
  <c r="D170" i="157"/>
  <c r="B171" i="157"/>
  <c r="C171" i="157"/>
  <c r="D171" i="157"/>
  <c r="B172" i="157"/>
  <c r="C172" i="157"/>
  <c r="D172" i="157"/>
  <c r="B174" i="157"/>
  <c r="C174" i="157"/>
  <c r="D174" i="157"/>
  <c r="B175" i="157"/>
  <c r="C175" i="157"/>
  <c r="D175" i="157"/>
  <c r="B178" i="157"/>
  <c r="C178" i="157"/>
  <c r="D178" i="157"/>
  <c r="B179" i="157"/>
  <c r="C179" i="157"/>
  <c r="D179" i="157"/>
  <c r="B180" i="157"/>
  <c r="C180" i="157"/>
  <c r="D180" i="157"/>
  <c r="B181" i="157"/>
  <c r="C181" i="157"/>
  <c r="D181" i="157"/>
  <c r="B182" i="157"/>
  <c r="C182" i="157"/>
  <c r="D182" i="157"/>
  <c r="B183" i="157"/>
  <c r="C183" i="157"/>
  <c r="D183" i="157"/>
  <c r="B184" i="157"/>
  <c r="C184" i="157"/>
  <c r="D184" i="157"/>
  <c r="B185" i="157"/>
  <c r="C185" i="157"/>
  <c r="D185" i="157"/>
  <c r="B186" i="157"/>
  <c r="C186" i="157"/>
  <c r="D186" i="157"/>
  <c r="B187" i="157"/>
  <c r="C187" i="157"/>
  <c r="D187" i="157"/>
  <c r="B188" i="157"/>
  <c r="C188" i="157"/>
  <c r="D188" i="157"/>
  <c r="B189" i="157"/>
  <c r="C189" i="157"/>
  <c r="D189" i="157"/>
  <c r="B190" i="157"/>
  <c r="C190" i="157"/>
  <c r="D190" i="157"/>
  <c r="B191" i="157"/>
  <c r="C191" i="157"/>
  <c r="D191" i="157"/>
  <c r="B192" i="157"/>
  <c r="C192" i="157"/>
  <c r="D192" i="157"/>
  <c r="B194" i="157"/>
  <c r="C194" i="157"/>
  <c r="D194" i="157"/>
  <c r="A22" i="157" l="1"/>
  <c r="A24" i="157" s="1"/>
  <c r="A25" i="157" s="1"/>
  <c r="A26" i="157" s="1"/>
  <c r="A27" i="157" s="1"/>
  <c r="A28" i="157" s="1"/>
  <c r="A29" i="157" s="1"/>
  <c r="A30" i="157" s="1"/>
  <c r="A31" i="157" s="1"/>
  <c r="A23" i="157"/>
  <c r="O5" i="156"/>
  <c r="AE5" i="156" s="1"/>
  <c r="C9" i="156"/>
  <c r="Q9" i="156" s="1"/>
  <c r="AG9" i="156" s="1"/>
  <c r="E9" i="156"/>
  <c r="F9" i="156"/>
  <c r="G9" i="156"/>
  <c r="H9" i="156"/>
  <c r="I9" i="156"/>
  <c r="J9" i="156"/>
  <c r="K9" i="156"/>
  <c r="L9" i="156"/>
  <c r="M9" i="156"/>
  <c r="A14" i="156"/>
  <c r="A15" i="156" s="1"/>
  <c r="A16" i="156" s="1"/>
  <c r="A17" i="156" s="1"/>
  <c r="A18" i="156" s="1"/>
  <c r="A19" i="156" s="1"/>
  <c r="O14" i="156"/>
  <c r="AE14" i="156"/>
  <c r="O15" i="156"/>
  <c r="O16" i="156" s="1"/>
  <c r="O17" i="156" s="1"/>
  <c r="O18" i="156" s="1"/>
  <c r="O19" i="156" s="1"/>
  <c r="AE15" i="156"/>
  <c r="AE16" i="156" s="1"/>
  <c r="AE17" i="156" s="1"/>
  <c r="AE18" i="156" s="1"/>
  <c r="AE19" i="156" s="1"/>
  <c r="R5" i="155"/>
  <c r="AK5" i="155" s="1"/>
  <c r="A9" i="155"/>
  <c r="B9" i="155"/>
  <c r="C9" i="155"/>
  <c r="E9" i="155"/>
  <c r="F9" i="155"/>
  <c r="W9" i="155" s="1"/>
  <c r="AP9" i="155" s="1"/>
  <c r="H9" i="155"/>
  <c r="I9" i="155"/>
  <c r="J9" i="155"/>
  <c r="K9" i="155"/>
  <c r="L9" i="155"/>
  <c r="M9" i="155"/>
  <c r="N9" i="155"/>
  <c r="O9" i="155"/>
  <c r="P9" i="155"/>
  <c r="A14" i="155"/>
  <c r="A15" i="155" s="1"/>
  <c r="A16" i="155" s="1"/>
  <c r="A17" i="155" s="1"/>
  <c r="A18" i="155" s="1"/>
  <c r="A19" i="155" s="1"/>
  <c r="A20" i="155" s="1"/>
  <c r="A21" i="155" s="1"/>
  <c r="B14" i="155"/>
  <c r="B21" i="155" s="1"/>
  <c r="R14" i="155"/>
  <c r="R15" i="155" s="1"/>
  <c r="R16" i="155" s="1"/>
  <c r="R17" i="155" s="1"/>
  <c r="R18" i="155" s="1"/>
  <c r="R19" i="155" s="1"/>
  <c r="R20" i="155" s="1"/>
  <c r="R21" i="155" s="1"/>
  <c r="R22" i="155" s="1"/>
  <c r="R23" i="155" s="1"/>
  <c r="R24" i="155" s="1"/>
  <c r="R25" i="155" s="1"/>
  <c r="R26" i="155" s="1"/>
  <c r="R27" i="155" s="1"/>
  <c r="R28" i="155" s="1"/>
  <c r="R29" i="155" s="1"/>
  <c r="R30" i="155" s="1"/>
  <c r="R31" i="155" s="1"/>
  <c r="R32" i="155" s="1"/>
  <c r="R33" i="155" s="1"/>
  <c r="R34" i="155" s="1"/>
  <c r="R35" i="155" s="1"/>
  <c r="R36" i="155" s="1"/>
  <c r="S14" i="155"/>
  <c r="S21" i="155" s="1"/>
  <c r="AK14" i="155"/>
  <c r="AK15" i="155" s="1"/>
  <c r="AK16" i="155" s="1"/>
  <c r="AK17" i="155" s="1"/>
  <c r="AK18" i="155" s="1"/>
  <c r="AK19" i="155" s="1"/>
  <c r="AK20" i="155" s="1"/>
  <c r="AK21" i="155" s="1"/>
  <c r="AK22" i="155" s="1"/>
  <c r="AK23" i="155" s="1"/>
  <c r="AK24" i="155" s="1"/>
  <c r="AK25" i="155" s="1"/>
  <c r="AK26" i="155" s="1"/>
  <c r="AK27" i="155" s="1"/>
  <c r="AK28" i="155" s="1"/>
  <c r="AK29" i="155" s="1"/>
  <c r="AK30" i="155" s="1"/>
  <c r="AK31" i="155" s="1"/>
  <c r="AK32" i="155" s="1"/>
  <c r="AK33" i="155" s="1"/>
  <c r="AK34" i="155" s="1"/>
  <c r="AK35" i="155" s="1"/>
  <c r="AK36" i="155" s="1"/>
  <c r="AL14" i="155"/>
  <c r="AL21" i="155" s="1"/>
  <c r="B15" i="155"/>
  <c r="S15" i="155"/>
  <c r="S22" i="155" s="1"/>
  <c r="AL15" i="155"/>
  <c r="E19" i="155"/>
  <c r="V19" i="155"/>
  <c r="AO19" i="155"/>
  <c r="A22" i="155"/>
  <c r="A23" i="155" s="1"/>
  <c r="A24" i="155" s="1"/>
  <c r="A25" i="155" s="1"/>
  <c r="A26" i="155" s="1"/>
  <c r="A27" i="155" s="1"/>
  <c r="A28" i="155" s="1"/>
  <c r="A29" i="155" s="1"/>
  <c r="A30" i="155" s="1"/>
  <c r="A31" i="155" s="1"/>
  <c r="A32" i="155" s="1"/>
  <c r="A33" i="155" s="1"/>
  <c r="A34" i="155" s="1"/>
  <c r="A35" i="155" s="1"/>
  <c r="A36" i="155" s="1"/>
  <c r="E26" i="155"/>
  <c r="V26" i="155"/>
  <c r="AO26" i="155"/>
  <c r="E32" i="155"/>
  <c r="V32" i="155"/>
  <c r="AO32" i="155"/>
  <c r="E36" i="155"/>
  <c r="V36" i="155"/>
  <c r="AO36" i="155"/>
  <c r="B40" i="155"/>
  <c r="B41" i="155" s="1"/>
  <c r="B42" i="155" s="1"/>
  <c r="B43" i="155" s="1"/>
  <c r="B44" i="155" s="1"/>
  <c r="B45" i="155" s="1"/>
  <c r="B46" i="155" s="1"/>
  <c r="B47" i="155" s="1"/>
  <c r="B48" i="155" s="1"/>
  <c r="B49" i="155" s="1"/>
  <c r="B50" i="155" s="1"/>
  <c r="B51" i="155" s="1"/>
  <c r="B52" i="155" s="1"/>
  <c r="B53" i="155" s="1"/>
  <c r="S40" i="155"/>
  <c r="S41" i="155" s="1"/>
  <c r="AL40" i="155"/>
  <c r="AL41" i="155" s="1"/>
  <c r="AL42" i="155" s="1"/>
  <c r="AL43" i="155" s="1"/>
  <c r="AL44" i="155" s="1"/>
  <c r="AL45" i="155" s="1"/>
  <c r="AL46" i="155" s="1"/>
  <c r="AL47" i="155" s="1"/>
  <c r="AL48" i="155" s="1"/>
  <c r="AL49" i="155" s="1"/>
  <c r="AL50" i="155" s="1"/>
  <c r="AL51" i="155" s="1"/>
  <c r="AL52" i="155" s="1"/>
  <c r="AL53" i="155" s="1"/>
  <c r="S42" i="155"/>
  <c r="S43" i="155" s="1"/>
  <c r="S44" i="155" s="1"/>
  <c r="S45" i="155" s="1"/>
  <c r="S46" i="155" s="1"/>
  <c r="S47" i="155" s="1"/>
  <c r="S48" i="155" s="1"/>
  <c r="S49" i="155" s="1"/>
  <c r="S50" i="155" s="1"/>
  <c r="S51" i="155" s="1"/>
  <c r="S52" i="155" s="1"/>
  <c r="S53" i="155" s="1"/>
  <c r="E54" i="155"/>
  <c r="V54" i="155"/>
  <c r="AO54" i="155"/>
  <c r="AG14" i="153"/>
  <c r="AG15" i="153" s="1"/>
  <c r="P14" i="153"/>
  <c r="P15" i="153" s="1"/>
  <c r="P5" i="153"/>
  <c r="AG5" i="153" s="1"/>
  <c r="F9" i="153"/>
  <c r="G9" i="153"/>
  <c r="H9" i="153"/>
  <c r="I9" i="153"/>
  <c r="J9" i="153"/>
  <c r="K9" i="153"/>
  <c r="L9" i="153"/>
  <c r="M9" i="153"/>
  <c r="N9" i="153"/>
  <c r="A9" i="153"/>
  <c r="B9" i="153"/>
  <c r="D9" i="153"/>
  <c r="A14" i="153"/>
  <c r="A15" i="153" s="1"/>
  <c r="Q5" i="151"/>
  <c r="AI5" i="151" s="1"/>
  <c r="A9" i="151"/>
  <c r="B9" i="151"/>
  <c r="C9" i="151"/>
  <c r="D9" i="151"/>
  <c r="E9" i="151"/>
  <c r="G9" i="151"/>
  <c r="H9" i="151"/>
  <c r="I9" i="151"/>
  <c r="J9" i="151"/>
  <c r="K9" i="151"/>
  <c r="L9" i="151"/>
  <c r="M9" i="151"/>
  <c r="N9" i="151"/>
  <c r="O9" i="151"/>
  <c r="A14" i="151"/>
  <c r="B14" i="151"/>
  <c r="B15" i="151" s="1"/>
  <c r="B16" i="151" s="1"/>
  <c r="B17" i="151" s="1"/>
  <c r="B18" i="151" s="1"/>
  <c r="B21" i="151" s="1"/>
  <c r="Q14" i="151"/>
  <c r="Q15" i="151" s="1"/>
  <c r="Q16" i="151" s="1"/>
  <c r="Q17" i="151" s="1"/>
  <c r="Q18" i="151" s="1"/>
  <c r="Q19" i="151" s="1"/>
  <c r="Q20" i="151" s="1"/>
  <c r="Q21" i="151" s="1"/>
  <c r="Q22" i="151" s="1"/>
  <c r="R14" i="151"/>
  <c r="AI14" i="151"/>
  <c r="AI15" i="151" s="1"/>
  <c r="AI16" i="151" s="1"/>
  <c r="AI17" i="151" s="1"/>
  <c r="AI18" i="151" s="1"/>
  <c r="AI19" i="151" s="1"/>
  <c r="AI20" i="151" s="1"/>
  <c r="AI21" i="151" s="1"/>
  <c r="AJ14" i="151"/>
  <c r="AJ15" i="151" s="1"/>
  <c r="AJ16" i="151" s="1"/>
  <c r="AJ17" i="151" s="1"/>
  <c r="A15" i="151"/>
  <c r="A16" i="151" s="1"/>
  <c r="A17" i="151" s="1"/>
  <c r="A18" i="151" s="1"/>
  <c r="A19" i="151" s="1"/>
  <c r="A20" i="151" s="1"/>
  <c r="R15" i="151"/>
  <c r="R16" i="151" s="1"/>
  <c r="R17" i="151" s="1"/>
  <c r="R18" i="151" s="1"/>
  <c r="R21" i="151" s="1"/>
  <c r="AJ18" i="151"/>
  <c r="AJ21" i="151" s="1"/>
  <c r="D19" i="151"/>
  <c r="T19" i="151"/>
  <c r="AL19" i="151"/>
  <c r="D22" i="151"/>
  <c r="T22" i="151"/>
  <c r="AL22" i="151"/>
  <c r="Q5" i="148"/>
  <c r="AI5" i="148" s="1"/>
  <c r="A9" i="148"/>
  <c r="B9" i="148"/>
  <c r="C9" i="148"/>
  <c r="D9" i="148"/>
  <c r="E9" i="148"/>
  <c r="G9" i="148"/>
  <c r="H9" i="148"/>
  <c r="I9" i="148"/>
  <c r="J9" i="148"/>
  <c r="K9" i="148"/>
  <c r="L9" i="148"/>
  <c r="M9" i="148"/>
  <c r="N9" i="148"/>
  <c r="O9" i="148"/>
  <c r="A14" i="148"/>
  <c r="A15" i="148" s="1"/>
  <c r="A16" i="148" s="1"/>
  <c r="A17" i="148" s="1"/>
  <c r="A18" i="148" s="1"/>
  <c r="A19" i="148" s="1"/>
  <c r="A20" i="148" s="1"/>
  <c r="A21" i="148" s="1"/>
  <c r="A22" i="148" s="1"/>
  <c r="A23" i="148" s="1"/>
  <c r="A24" i="148" s="1"/>
  <c r="A25" i="148" s="1"/>
  <c r="A26" i="148" s="1"/>
  <c r="A27" i="148" s="1"/>
  <c r="A28" i="148" s="1"/>
  <c r="A29" i="148" s="1"/>
  <c r="A30" i="148" s="1"/>
  <c r="B14" i="148"/>
  <c r="B15" i="148" s="1"/>
  <c r="B16" i="148" s="1"/>
  <c r="B17" i="148" s="1"/>
  <c r="Q14" i="148"/>
  <c r="Q15" i="148" s="1"/>
  <c r="Q16" i="148" s="1"/>
  <c r="Q17" i="148" s="1"/>
  <c r="Q18" i="148" s="1"/>
  <c r="Q19" i="148" s="1"/>
  <c r="Q20" i="148" s="1"/>
  <c r="Q21" i="148" s="1"/>
  <c r="Q22" i="148" s="1"/>
  <c r="Q23" i="148" s="1"/>
  <c r="Q24" i="148" s="1"/>
  <c r="Q25" i="148" s="1"/>
  <c r="Q26" i="148" s="1"/>
  <c r="Q27" i="148" s="1"/>
  <c r="Q28" i="148" s="1"/>
  <c r="Q29" i="148" s="1"/>
  <c r="Q30" i="148" s="1"/>
  <c r="R14" i="148"/>
  <c r="R15" i="148" s="1"/>
  <c r="R16" i="148" s="1"/>
  <c r="R17" i="148" s="1"/>
  <c r="R18" i="148" s="1"/>
  <c r="R19" i="148" s="1"/>
  <c r="R20" i="148" s="1"/>
  <c r="R24" i="148" s="1"/>
  <c r="AI14" i="148"/>
  <c r="AI15" i="148" s="1"/>
  <c r="AI16" i="148" s="1"/>
  <c r="AI17" i="148" s="1"/>
  <c r="AI18" i="148" s="1"/>
  <c r="AI19" i="148" s="1"/>
  <c r="AI20" i="148" s="1"/>
  <c r="AI21" i="148" s="1"/>
  <c r="AI22" i="148" s="1"/>
  <c r="AJ14" i="148"/>
  <c r="AJ15" i="148" s="1"/>
  <c r="AJ16" i="148" s="1"/>
  <c r="AJ17" i="148" s="1"/>
  <c r="B18" i="148"/>
  <c r="B19" i="148" s="1"/>
  <c r="B20" i="148" s="1"/>
  <c r="B24" i="148" s="1"/>
  <c r="AJ18" i="148"/>
  <c r="AJ19" i="148" s="1"/>
  <c r="AJ20" i="148" s="1"/>
  <c r="AJ24" i="148" s="1"/>
  <c r="D22" i="148"/>
  <c r="T22" i="148"/>
  <c r="AL22" i="148"/>
  <c r="Q5" i="147"/>
  <c r="AI5" i="147" s="1"/>
  <c r="A9" i="147"/>
  <c r="B9" i="147"/>
  <c r="C9" i="147"/>
  <c r="D9" i="147"/>
  <c r="E9" i="147"/>
  <c r="G9" i="147"/>
  <c r="H9" i="147"/>
  <c r="I9" i="147"/>
  <c r="J9" i="147"/>
  <c r="K9" i="147"/>
  <c r="L9" i="147"/>
  <c r="M9" i="147"/>
  <c r="N9" i="147"/>
  <c r="O9" i="147"/>
  <c r="A14" i="147"/>
  <c r="A15" i="147" s="1"/>
  <c r="A16" i="147" s="1"/>
  <c r="A17" i="147" s="1"/>
  <c r="A18" i="147" s="1"/>
  <c r="A19" i="147" s="1"/>
  <c r="A20" i="147" s="1"/>
  <c r="A21" i="147" s="1"/>
  <c r="A22" i="147" s="1"/>
  <c r="A23" i="147" s="1"/>
  <c r="A24" i="147" s="1"/>
  <c r="A25" i="147" s="1"/>
  <c r="A26" i="147" s="1"/>
  <c r="A27" i="147" s="1"/>
  <c r="A28" i="147" s="1"/>
  <c r="A29" i="147" s="1"/>
  <c r="B14" i="147"/>
  <c r="B15" i="147" s="1"/>
  <c r="B16" i="147" s="1"/>
  <c r="B17" i="147" s="1"/>
  <c r="B18" i="147" s="1"/>
  <c r="B19" i="147" s="1"/>
  <c r="B20" i="147" s="1"/>
  <c r="B21" i="147" s="1"/>
  <c r="B24" i="147" s="1"/>
  <c r="B25" i="147" s="1"/>
  <c r="B26" i="147" s="1"/>
  <c r="B27" i="147" s="1"/>
  <c r="Q14" i="147"/>
  <c r="Q15" i="147" s="1"/>
  <c r="Q16" i="147" s="1"/>
  <c r="Q17" i="147" s="1"/>
  <c r="R14" i="147"/>
  <c r="R15" i="147" s="1"/>
  <c r="R16" i="147" s="1"/>
  <c r="R17" i="147" s="1"/>
  <c r="R18" i="147" s="1"/>
  <c r="R19" i="147" s="1"/>
  <c r="R20" i="147" s="1"/>
  <c r="R21" i="147" s="1"/>
  <c r="R24" i="147" s="1"/>
  <c r="R25" i="147" s="1"/>
  <c r="R26" i="147" s="1"/>
  <c r="R27" i="147" s="1"/>
  <c r="AI14" i="147"/>
  <c r="AI15" i="147" s="1"/>
  <c r="AI16" i="147" s="1"/>
  <c r="AI17" i="147" s="1"/>
  <c r="AI18" i="147" s="1"/>
  <c r="AI19" i="147" s="1"/>
  <c r="AI20" i="147" s="1"/>
  <c r="AI21" i="147" s="1"/>
  <c r="AI22" i="147" s="1"/>
  <c r="AI23" i="147" s="1"/>
  <c r="AI24" i="147" s="1"/>
  <c r="AI25" i="147" s="1"/>
  <c r="AI26" i="147" s="1"/>
  <c r="AI27" i="147" s="1"/>
  <c r="AI28" i="147" s="1"/>
  <c r="AI29" i="147" s="1"/>
  <c r="AJ14" i="147"/>
  <c r="AJ15" i="147" s="1"/>
  <c r="AJ16" i="147" s="1"/>
  <c r="AJ17" i="147" s="1"/>
  <c r="AJ18" i="147" s="1"/>
  <c r="AJ19" i="147" s="1"/>
  <c r="AJ20" i="147" s="1"/>
  <c r="AJ21" i="147" s="1"/>
  <c r="AJ24" i="147" s="1"/>
  <c r="AJ25" i="147" s="1"/>
  <c r="AJ26" i="147" s="1"/>
  <c r="AJ27" i="147" s="1"/>
  <c r="Q18" i="147"/>
  <c r="Q19" i="147" s="1"/>
  <c r="Q20" i="147" s="1"/>
  <c r="Q21" i="147" s="1"/>
  <c r="Q22" i="147" s="1"/>
  <c r="Q23" i="147" s="1"/>
  <c r="Q24" i="147" s="1"/>
  <c r="D22" i="147"/>
  <c r="T22" i="147"/>
  <c r="AL22" i="147"/>
  <c r="Q25" i="147"/>
  <c r="Q26" i="147" s="1"/>
  <c r="Q27" i="147" s="1"/>
  <c r="Q28" i="147" s="1"/>
  <c r="Q29" i="147" s="1"/>
  <c r="D29" i="147"/>
  <c r="T29" i="147"/>
  <c r="AL29" i="147"/>
  <c r="B44" i="147"/>
  <c r="B45" i="147" s="1"/>
  <c r="B46" i="147" s="1"/>
  <c r="B47" i="147" s="1"/>
  <c r="B48" i="147" s="1"/>
  <c r="B49" i="147" s="1"/>
  <c r="B50" i="147" s="1"/>
  <c r="B51" i="147" s="1"/>
  <c r="B54" i="147" s="1"/>
  <c r="B55" i="147" s="1"/>
  <c r="B56" i="147" s="1"/>
  <c r="B57" i="147" s="1"/>
  <c r="B58" i="147" s="1"/>
  <c r="R44" i="147"/>
  <c r="R45" i="147" s="1"/>
  <c r="R46" i="147" s="1"/>
  <c r="R47" i="147" s="1"/>
  <c r="R48" i="147" s="1"/>
  <c r="R49" i="147" s="1"/>
  <c r="R50" i="147" s="1"/>
  <c r="R51" i="147" s="1"/>
  <c r="R54" i="147" s="1"/>
  <c r="R55" i="147" s="1"/>
  <c r="R56" i="147" s="1"/>
  <c r="R57" i="147" s="1"/>
  <c r="R58" i="147" s="1"/>
  <c r="AJ44" i="147"/>
  <c r="AJ45" i="147" s="1"/>
  <c r="AJ46" i="147" s="1"/>
  <c r="AJ47" i="147" s="1"/>
  <c r="AJ48" i="147" s="1"/>
  <c r="AJ49" i="147" s="1"/>
  <c r="AJ50" i="147" s="1"/>
  <c r="AJ51" i="147" s="1"/>
  <c r="AJ54" i="147" s="1"/>
  <c r="AJ55" i="147" s="1"/>
  <c r="AJ56" i="147" s="1"/>
  <c r="AJ57" i="147" s="1"/>
  <c r="AJ58" i="147" s="1"/>
  <c r="D52" i="147"/>
  <c r="T52" i="147"/>
  <c r="AL52" i="147"/>
  <c r="D60" i="147"/>
  <c r="T60" i="147"/>
  <c r="AL60" i="147"/>
  <c r="O5" i="146"/>
  <c r="AE5" i="146" s="1"/>
  <c r="A9" i="146"/>
  <c r="E9" i="146"/>
  <c r="F9" i="146"/>
  <c r="G9" i="146"/>
  <c r="H9" i="146"/>
  <c r="I9" i="146"/>
  <c r="J9" i="146"/>
  <c r="K9" i="146"/>
  <c r="L9" i="146"/>
  <c r="M9" i="146"/>
  <c r="A14" i="146"/>
  <c r="A15" i="146" s="1"/>
  <c r="A16" i="146" s="1"/>
  <c r="A17" i="146" s="1"/>
  <c r="A18" i="146" s="1"/>
  <c r="A19" i="146" s="1"/>
  <c r="A20" i="146" s="1"/>
  <c r="A21" i="146" s="1"/>
  <c r="O14" i="146"/>
  <c r="O15" i="146" s="1"/>
  <c r="O16" i="146" s="1"/>
  <c r="O17" i="146" s="1"/>
  <c r="O18" i="146" s="1"/>
  <c r="O19" i="146" s="1"/>
  <c r="O20" i="146" s="1"/>
  <c r="O21" i="146" s="1"/>
  <c r="AE14" i="146"/>
  <c r="AE15" i="146" s="1"/>
  <c r="AE16" i="146" s="1"/>
  <c r="AE17" i="146" s="1"/>
  <c r="AE18" i="146" s="1"/>
  <c r="AE19" i="146" s="1"/>
  <c r="AE20" i="146" s="1"/>
  <c r="AE21" i="146" s="1"/>
  <c r="B15" i="146"/>
  <c r="P15" i="146"/>
  <c r="AF15" i="146"/>
  <c r="E9" i="144"/>
  <c r="E9" i="145"/>
  <c r="O9" i="145"/>
  <c r="N9" i="145"/>
  <c r="M9" i="145"/>
  <c r="L9" i="145"/>
  <c r="K9" i="145"/>
  <c r="J9" i="145"/>
  <c r="I9" i="145"/>
  <c r="H9" i="145"/>
  <c r="G9" i="145"/>
  <c r="Q5" i="145"/>
  <c r="AI5" i="145" s="1"/>
  <c r="A14" i="145"/>
  <c r="B14" i="145"/>
  <c r="Q14" i="145"/>
  <c r="R14" i="145"/>
  <c r="R15" i="145" s="1"/>
  <c r="R16" i="145" s="1"/>
  <c r="R17" i="145" s="1"/>
  <c r="AI14" i="145"/>
  <c r="AJ14" i="145"/>
  <c r="A15" i="145"/>
  <c r="A16" i="145" s="1"/>
  <c r="A17" i="145" s="1"/>
  <c r="A18" i="145" s="1"/>
  <c r="B15" i="145"/>
  <c r="B16" i="145" s="1"/>
  <c r="B17" i="145" s="1"/>
  <c r="Q15" i="145"/>
  <c r="AI15" i="145"/>
  <c r="AI16" i="145" s="1"/>
  <c r="AI17" i="145" s="1"/>
  <c r="AI18" i="145" s="1"/>
  <c r="AJ15" i="145"/>
  <c r="AJ16" i="145" s="1"/>
  <c r="AJ17" i="145" s="1"/>
  <c r="Q16" i="145"/>
  <c r="Q17" i="145" s="1"/>
  <c r="Q18" i="145" s="1"/>
  <c r="Q19" i="145" s="1"/>
  <c r="A19" i="145"/>
  <c r="A20" i="145" s="1"/>
  <c r="A22" i="145" s="1"/>
  <c r="A23" i="145" s="1"/>
  <c r="AI19" i="145"/>
  <c r="AI20" i="145" s="1"/>
  <c r="AI22" i="145" s="1"/>
  <c r="AI23" i="145" s="1"/>
  <c r="Q20" i="145"/>
  <c r="Q22" i="145" s="1"/>
  <c r="Q23" i="145" s="1"/>
  <c r="Q24" i="145" s="1"/>
  <c r="Q25" i="145" s="1"/>
  <c r="Q26" i="145" s="1"/>
  <c r="Q27" i="145" s="1"/>
  <c r="Q28" i="145" s="1"/>
  <c r="Q29" i="145" s="1"/>
  <c r="Q30" i="145" s="1"/>
  <c r="Q31" i="145" s="1"/>
  <c r="Q32" i="145" s="1"/>
  <c r="D21" i="145"/>
  <c r="T21" i="145"/>
  <c r="AL21" i="145"/>
  <c r="A24" i="145"/>
  <c r="A25" i="145" s="1"/>
  <c r="A26" i="145" s="1"/>
  <c r="A27" i="145" s="1"/>
  <c r="A28" i="145" s="1"/>
  <c r="A29" i="145" s="1"/>
  <c r="A30" i="145" s="1"/>
  <c r="A31" i="145" s="1"/>
  <c r="A32" i="145" s="1"/>
  <c r="AI24" i="145"/>
  <c r="AI25" i="145"/>
  <c r="AI26" i="145" s="1"/>
  <c r="AI27" i="145" s="1"/>
  <c r="AI28" i="145" s="1"/>
  <c r="AI29" i="145" s="1"/>
  <c r="AI30" i="145" s="1"/>
  <c r="AI31" i="145" s="1"/>
  <c r="AI32" i="145" s="1"/>
  <c r="D27" i="145"/>
  <c r="T27" i="145"/>
  <c r="T28" i="145" s="1"/>
  <c r="T29" i="145" s="1"/>
  <c r="T30" i="145" s="1"/>
  <c r="AL27" i="145"/>
  <c r="AL28" i="145" s="1"/>
  <c r="D28" i="145"/>
  <c r="D29" i="145" s="1"/>
  <c r="D30" i="145" s="1"/>
  <c r="AL29" i="145"/>
  <c r="AL30" i="145" s="1"/>
  <c r="A2" i="144"/>
  <c r="Q2" i="144" s="1"/>
  <c r="AI2" i="144" s="1"/>
  <c r="Q5" i="144"/>
  <c r="AI5" i="144" s="1"/>
  <c r="A9" i="144"/>
  <c r="B9" i="144"/>
  <c r="C9" i="144"/>
  <c r="D9" i="144"/>
  <c r="G9" i="144"/>
  <c r="H9" i="144"/>
  <c r="I9" i="144"/>
  <c r="J9" i="144"/>
  <c r="K9" i="144"/>
  <c r="L9" i="144"/>
  <c r="M9" i="144"/>
  <c r="N9" i="144"/>
  <c r="O9" i="144"/>
  <c r="Q15" i="144"/>
  <c r="Q16" i="144" s="1"/>
  <c r="Q17" i="144" s="1"/>
  <c r="Q18" i="144" s="1"/>
  <c r="Q19" i="144" s="1"/>
  <c r="Q20" i="144" s="1"/>
  <c r="Q21" i="144" s="1"/>
  <c r="Q22" i="144" s="1"/>
  <c r="Q23" i="144" s="1"/>
  <c r="AI15" i="144"/>
  <c r="AI16" i="144" s="1"/>
  <c r="AI17" i="144" s="1"/>
  <c r="AI18" i="144" s="1"/>
  <c r="AI19" i="144" s="1"/>
  <c r="AI20" i="144" s="1"/>
  <c r="AI21" i="144" s="1"/>
  <c r="AI22" i="144" s="1"/>
  <c r="AI23" i="144" s="1"/>
  <c r="A23" i="144"/>
  <c r="G140" i="66"/>
  <c r="G162" i="68"/>
  <c r="F162" i="67"/>
  <c r="A1" i="142"/>
  <c r="A1" i="144" s="1"/>
  <c r="Q2" i="142"/>
  <c r="AI2" i="142" s="1"/>
  <c r="A3" i="142"/>
  <c r="Q3" i="142" s="1"/>
  <c r="AI3" i="142" s="1"/>
  <c r="A4" i="142"/>
  <c r="A4" i="144" s="1"/>
  <c r="Q5" i="142"/>
  <c r="AI5" i="142" s="1"/>
  <c r="F9" i="142"/>
  <c r="E9" i="153" s="1"/>
  <c r="A14" i="142"/>
  <c r="A15" i="142" s="1"/>
  <c r="A16" i="142" s="1"/>
  <c r="A17" i="142" s="1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B14" i="142"/>
  <c r="D14" i="142"/>
  <c r="Q14" i="142"/>
  <c r="Q15" i="142" s="1"/>
  <c r="Q16" i="142" s="1"/>
  <c r="Q17" i="142" s="1"/>
  <c r="Q18" i="142" s="1"/>
  <c r="Q19" i="142" s="1"/>
  <c r="Q20" i="142" s="1"/>
  <c r="Q21" i="142" s="1"/>
  <c r="Q22" i="142" s="1"/>
  <c r="Q23" i="142" s="1"/>
  <c r="Q24" i="142" s="1"/>
  <c r="Q25" i="142" s="1"/>
  <c r="Q26" i="142" s="1"/>
  <c r="Q27" i="142" s="1"/>
  <c r="R14" i="142"/>
  <c r="T14" i="142"/>
  <c r="AI14" i="142"/>
  <c r="AI15" i="142" s="1"/>
  <c r="AI16" i="142" s="1"/>
  <c r="AI17" i="142" s="1"/>
  <c r="AI18" i="142" s="1"/>
  <c r="AI19" i="142" s="1"/>
  <c r="AI20" i="142" s="1"/>
  <c r="AI21" i="142" s="1"/>
  <c r="AI22" i="142" s="1"/>
  <c r="AI23" i="142" s="1"/>
  <c r="AI24" i="142" s="1"/>
  <c r="AI25" i="142" s="1"/>
  <c r="AI26" i="142" s="1"/>
  <c r="AI27" i="142" s="1"/>
  <c r="AJ14" i="142"/>
  <c r="AL14" i="142"/>
  <c r="B17" i="142"/>
  <c r="B18" i="142" s="1"/>
  <c r="B19" i="142" s="1"/>
  <c r="D17" i="142"/>
  <c r="D18" i="142" s="1"/>
  <c r="R17" i="142"/>
  <c r="T17" i="142"/>
  <c r="AJ17" i="142"/>
  <c r="AL17" i="142"/>
  <c r="AL18" i="142" s="1"/>
  <c r="R18" i="142"/>
  <c r="R19" i="142" s="1"/>
  <c r="T18" i="142"/>
  <c r="T21" i="142" s="1"/>
  <c r="T22" i="142" s="1"/>
  <c r="T23" i="142" s="1"/>
  <c r="T24" i="142" s="1"/>
  <c r="T25" i="142" s="1"/>
  <c r="AJ18" i="142"/>
  <c r="T19" i="142"/>
  <c r="AJ19" i="142"/>
  <c r="B22" i="142"/>
  <c r="B23" i="142" s="1"/>
  <c r="R22" i="142"/>
  <c r="R23" i="142" s="1"/>
  <c r="R24" i="142" s="1"/>
  <c r="R25" i="142" s="1"/>
  <c r="AJ22" i="142"/>
  <c r="AJ23" i="142" s="1"/>
  <c r="AJ24" i="142" s="1"/>
  <c r="AJ25" i="142" s="1"/>
  <c r="B24" i="142"/>
  <c r="B25" i="142" s="1"/>
  <c r="AJ18" i="145" l="1"/>
  <c r="AJ23" i="145"/>
  <c r="R18" i="145"/>
  <c r="R23" i="145"/>
  <c r="D21" i="142"/>
  <c r="D22" i="142" s="1"/>
  <c r="D23" i="142" s="1"/>
  <c r="D24" i="142" s="1"/>
  <c r="D25" i="142" s="1"/>
  <c r="D19" i="142"/>
  <c r="E16" i="181"/>
  <c r="F10" i="181"/>
  <c r="E10" i="181"/>
  <c r="E15" i="181"/>
  <c r="E8" i="181"/>
  <c r="A32" i="157"/>
  <c r="A33" i="157" s="1"/>
  <c r="A34" i="157" s="1"/>
  <c r="A35" i="157" s="1"/>
  <c r="A36" i="157" s="1"/>
  <c r="S16" i="155"/>
  <c r="A21" i="151"/>
  <c r="A22" i="151" s="1"/>
  <c r="A23" i="151" s="1"/>
  <c r="A24" i="151" s="1"/>
  <c r="A25" i="151" s="1"/>
  <c r="A26" i="151" s="1"/>
  <c r="A27" i="151" s="1"/>
  <c r="A28" i="151" s="1"/>
  <c r="A29" i="151" s="1"/>
  <c r="A30" i="151" s="1"/>
  <c r="A31" i="151" s="1"/>
  <c r="A32" i="151" s="1"/>
  <c r="A33" i="151" s="1"/>
  <c r="A34" i="151" s="1"/>
  <c r="A35" i="151" s="1"/>
  <c r="A36" i="151" s="1"/>
  <c r="Q23" i="151"/>
  <c r="Q24" i="151" s="1"/>
  <c r="Q25" i="151" s="1"/>
  <c r="Q26" i="151" s="1"/>
  <c r="Q27" i="151" s="1"/>
  <c r="Q28" i="151" s="1"/>
  <c r="Q29" i="151" s="1"/>
  <c r="Q30" i="151" s="1"/>
  <c r="Q31" i="151" s="1"/>
  <c r="Q32" i="151" s="1"/>
  <c r="Q33" i="151" s="1"/>
  <c r="Q34" i="151" s="1"/>
  <c r="Q35" i="151" s="1"/>
  <c r="Q36" i="151" s="1"/>
  <c r="AI22" i="151"/>
  <c r="AI23" i="151" s="1"/>
  <c r="AI24" i="151" s="1"/>
  <c r="AI25" i="151" s="1"/>
  <c r="AI26" i="151" s="1"/>
  <c r="AI27" i="151" s="1"/>
  <c r="AI28" i="151" s="1"/>
  <c r="AI29" i="151" s="1"/>
  <c r="AI30" i="151" s="1"/>
  <c r="AI31" i="151" s="1"/>
  <c r="AI32" i="151" s="1"/>
  <c r="AI33" i="151" s="1"/>
  <c r="AI34" i="151" s="1"/>
  <c r="AI35" i="151" s="1"/>
  <c r="AI36" i="151" s="1"/>
  <c r="AJ21" i="148"/>
  <c r="B21" i="148"/>
  <c r="B22" i="148" s="1"/>
  <c r="G99" i="67"/>
  <c r="G98" i="67"/>
  <c r="G97" i="67"/>
  <c r="G96" i="67"/>
  <c r="G95" i="67"/>
  <c r="G94" i="67"/>
  <c r="G93" i="67"/>
  <c r="G92" i="67"/>
  <c r="D162" i="68"/>
  <c r="D162" i="67"/>
  <c r="G79" i="66"/>
  <c r="A31" i="148"/>
  <c r="A32" i="148" s="1"/>
  <c r="A33" i="148" s="1"/>
  <c r="A34" i="148" s="1"/>
  <c r="A35" i="148" s="1"/>
  <c r="A36" i="148" s="1"/>
  <c r="AI24" i="148"/>
  <c r="AI23" i="148"/>
  <c r="AI25" i="148" s="1"/>
  <c r="AI26" i="148" s="1"/>
  <c r="AI27" i="148" s="1"/>
  <c r="AI28" i="148" s="1"/>
  <c r="AI29" i="148" s="1"/>
  <c r="AI30" i="148" s="1"/>
  <c r="AI31" i="148" s="1"/>
  <c r="AI32" i="148" s="1"/>
  <c r="AI33" i="148" s="1"/>
  <c r="AI34" i="148" s="1"/>
  <c r="AI35" i="148" s="1"/>
  <c r="AI36" i="148" s="1"/>
  <c r="R21" i="148"/>
  <c r="B25" i="148"/>
  <c r="B26" i="148" s="1"/>
  <c r="B27" i="148" s="1"/>
  <c r="B28" i="148" s="1"/>
  <c r="B29" i="148" s="1"/>
  <c r="B30" i="148" s="1"/>
  <c r="B31" i="148" s="1"/>
  <c r="B32" i="148" s="1"/>
  <c r="B33" i="148" s="1"/>
  <c r="B34" i="148" s="1"/>
  <c r="Q31" i="148"/>
  <c r="Q32" i="148" s="1"/>
  <c r="Q33" i="148" s="1"/>
  <c r="Q34" i="148" s="1"/>
  <c r="Q35" i="148" s="1"/>
  <c r="Q36" i="148" s="1"/>
  <c r="AJ59" i="147"/>
  <c r="AJ63" i="147" s="1"/>
  <c r="AJ64" i="147" s="1"/>
  <c r="AJ65" i="147" s="1"/>
  <c r="AJ66" i="147" s="1"/>
  <c r="AJ67" i="147" s="1"/>
  <c r="AJ68" i="147" s="1"/>
  <c r="AJ69" i="147" s="1"/>
  <c r="AJ70" i="147" s="1"/>
  <c r="AJ71" i="147" s="1"/>
  <c r="AJ62" i="147"/>
  <c r="AI30" i="147"/>
  <c r="AI32" i="147" s="1"/>
  <c r="AI33" i="147" s="1"/>
  <c r="AI34" i="147" s="1"/>
  <c r="AI35" i="147" s="1"/>
  <c r="AI36" i="147" s="1"/>
  <c r="AI37" i="147" s="1"/>
  <c r="AI38" i="147" s="1"/>
  <c r="AI39" i="147" s="1"/>
  <c r="AI40" i="147" s="1"/>
  <c r="AI41" i="147" s="1"/>
  <c r="AI42" i="147" s="1"/>
  <c r="AI43" i="147" s="1"/>
  <c r="AI44" i="147" s="1"/>
  <c r="AI45" i="147" s="1"/>
  <c r="AI46" i="147" s="1"/>
  <c r="AI47" i="147" s="1"/>
  <c r="AI48" i="147" s="1"/>
  <c r="AI49" i="147" s="1"/>
  <c r="AI50" i="147" s="1"/>
  <c r="AI51" i="147" s="1"/>
  <c r="AI52" i="147" s="1"/>
  <c r="AI53" i="147" s="1"/>
  <c r="AI54" i="147" s="1"/>
  <c r="AI55" i="147" s="1"/>
  <c r="AI56" i="147" s="1"/>
  <c r="AI57" i="147" s="1"/>
  <c r="AI58" i="147" s="1"/>
  <c r="AI59" i="147" s="1"/>
  <c r="AI61" i="147" s="1"/>
  <c r="AI63" i="147" s="1"/>
  <c r="AI64" i="147" s="1"/>
  <c r="AI65" i="147" s="1"/>
  <c r="AI66" i="147" s="1"/>
  <c r="AI67" i="147" s="1"/>
  <c r="AI68" i="147" s="1"/>
  <c r="AI69" i="147" s="1"/>
  <c r="AI70" i="147" s="1"/>
  <c r="AI71" i="147" s="1"/>
  <c r="AI72" i="147" s="1"/>
  <c r="AI73" i="147" s="1"/>
  <c r="AI74" i="147" s="1"/>
  <c r="AI31" i="147"/>
  <c r="R59" i="147"/>
  <c r="R63" i="147" s="1"/>
  <c r="R64" i="147" s="1"/>
  <c r="R65" i="147" s="1"/>
  <c r="R66" i="147" s="1"/>
  <c r="R67" i="147" s="1"/>
  <c r="R68" i="147" s="1"/>
  <c r="R69" i="147" s="1"/>
  <c r="R70" i="147" s="1"/>
  <c r="R71" i="147" s="1"/>
  <c r="R62" i="147"/>
  <c r="R28" i="147"/>
  <c r="R32" i="147" s="1"/>
  <c r="R33" i="147" s="1"/>
  <c r="R34" i="147" s="1"/>
  <c r="R35" i="147" s="1"/>
  <c r="R36" i="147" s="1"/>
  <c r="R37" i="147" s="1"/>
  <c r="R38" i="147" s="1"/>
  <c r="R39" i="147" s="1"/>
  <c r="R40" i="147" s="1"/>
  <c r="R31" i="147"/>
  <c r="A35" i="147"/>
  <c r="A36" i="147" s="1"/>
  <c r="A37" i="147" s="1"/>
  <c r="A38" i="147" s="1"/>
  <c r="A39" i="147" s="1"/>
  <c r="A40" i="147" s="1"/>
  <c r="A41" i="147" s="1"/>
  <c r="A42" i="147" s="1"/>
  <c r="A43" i="147" s="1"/>
  <c r="A44" i="147" s="1"/>
  <c r="A45" i="147" s="1"/>
  <c r="A46" i="147" s="1"/>
  <c r="A47" i="147" s="1"/>
  <c r="A48" i="147" s="1"/>
  <c r="A49" i="147" s="1"/>
  <c r="A50" i="147" s="1"/>
  <c r="A51" i="147" s="1"/>
  <c r="A52" i="147" s="1"/>
  <c r="A53" i="147" s="1"/>
  <c r="A54" i="147" s="1"/>
  <c r="A55" i="147" s="1"/>
  <c r="A56" i="147" s="1"/>
  <c r="A57" i="147" s="1"/>
  <c r="A58" i="147" s="1"/>
  <c r="A59" i="147" s="1"/>
  <c r="A60" i="147" s="1"/>
  <c r="A61" i="147" s="1"/>
  <c r="A62" i="147" s="1"/>
  <c r="A63" i="147" s="1"/>
  <c r="A64" i="147" s="1"/>
  <c r="A65" i="147" s="1"/>
  <c r="A66" i="147" s="1"/>
  <c r="A67" i="147" s="1"/>
  <c r="A68" i="147" s="1"/>
  <c r="A69" i="147" s="1"/>
  <c r="A70" i="147" s="1"/>
  <c r="A30" i="147"/>
  <c r="A31" i="147" s="1"/>
  <c r="A32" i="147" s="1"/>
  <c r="A33" i="147" s="1"/>
  <c r="A34" i="147" s="1"/>
  <c r="B59" i="147"/>
  <c r="B63" i="147" s="1"/>
  <c r="B64" i="147" s="1"/>
  <c r="B65" i="147" s="1"/>
  <c r="B66" i="147" s="1"/>
  <c r="B67" i="147" s="1"/>
  <c r="B68" i="147" s="1"/>
  <c r="B69" i="147" s="1"/>
  <c r="B70" i="147" s="1"/>
  <c r="B71" i="147" s="1"/>
  <c r="B62" i="147"/>
  <c r="Q30" i="147"/>
  <c r="Q32" i="147" s="1"/>
  <c r="Q33" i="147" s="1"/>
  <c r="Q34" i="147" s="1"/>
  <c r="Q35" i="147" s="1"/>
  <c r="Q36" i="147" s="1"/>
  <c r="Q37" i="147" s="1"/>
  <c r="Q38" i="147" s="1"/>
  <c r="Q39" i="147" s="1"/>
  <c r="Q40" i="147" s="1"/>
  <c r="Q41" i="147" s="1"/>
  <c r="Q42" i="147" s="1"/>
  <c r="Q43" i="147" s="1"/>
  <c r="Q44" i="147" s="1"/>
  <c r="Q45" i="147" s="1"/>
  <c r="Q46" i="147" s="1"/>
  <c r="Q47" i="147" s="1"/>
  <c r="Q48" i="147" s="1"/>
  <c r="Q49" i="147" s="1"/>
  <c r="Q50" i="147" s="1"/>
  <c r="Q51" i="147" s="1"/>
  <c r="Q52" i="147" s="1"/>
  <c r="Q53" i="147" s="1"/>
  <c r="Q54" i="147" s="1"/>
  <c r="Q55" i="147" s="1"/>
  <c r="Q56" i="147" s="1"/>
  <c r="Q57" i="147" s="1"/>
  <c r="Q58" i="147" s="1"/>
  <c r="Q59" i="147" s="1"/>
  <c r="Q61" i="147" s="1"/>
  <c r="Q31" i="147"/>
  <c r="AJ28" i="147"/>
  <c r="AJ32" i="147" s="1"/>
  <c r="AJ33" i="147" s="1"/>
  <c r="AJ34" i="147" s="1"/>
  <c r="AJ35" i="147" s="1"/>
  <c r="AJ36" i="147" s="1"/>
  <c r="AJ37" i="147" s="1"/>
  <c r="AJ38" i="147" s="1"/>
  <c r="AJ39" i="147" s="1"/>
  <c r="AJ40" i="147" s="1"/>
  <c r="AJ31" i="147"/>
  <c r="B28" i="147"/>
  <c r="B32" i="147" s="1"/>
  <c r="B33" i="147" s="1"/>
  <c r="B34" i="147" s="1"/>
  <c r="B35" i="147" s="1"/>
  <c r="B36" i="147" s="1"/>
  <c r="B37" i="147" s="1"/>
  <c r="B38" i="147" s="1"/>
  <c r="B39" i="147" s="1"/>
  <c r="B40" i="147" s="1"/>
  <c r="B31" i="147"/>
  <c r="AK37" i="155"/>
  <c r="AK39" i="155" s="1"/>
  <c r="AK40" i="155" s="1"/>
  <c r="AK41" i="155" s="1"/>
  <c r="AK42" i="155" s="1"/>
  <c r="AK43" i="155" s="1"/>
  <c r="AK44" i="155" s="1"/>
  <c r="AK45" i="155" s="1"/>
  <c r="AK46" i="155" s="1"/>
  <c r="AK47" i="155" s="1"/>
  <c r="AK48" i="155" s="1"/>
  <c r="AK49" i="155" s="1"/>
  <c r="AK50" i="155" s="1"/>
  <c r="AK51" i="155" s="1"/>
  <c r="AK52" i="155" s="1"/>
  <c r="AK53" i="155" s="1"/>
  <c r="AK54" i="155" s="1"/>
  <c r="AK55" i="155" s="1"/>
  <c r="AK56" i="155" s="1"/>
  <c r="AK38" i="155"/>
  <c r="A37" i="155"/>
  <c r="A39" i="155" s="1"/>
  <c r="A40" i="155" s="1"/>
  <c r="A41" i="155" s="1"/>
  <c r="A42" i="155" s="1"/>
  <c r="A43" i="155" s="1"/>
  <c r="A44" i="155" s="1"/>
  <c r="A45" i="155" s="1"/>
  <c r="A46" i="155" s="1"/>
  <c r="A47" i="155" s="1"/>
  <c r="A48" i="155" s="1"/>
  <c r="A49" i="155" s="1"/>
  <c r="A50" i="155" s="1"/>
  <c r="A51" i="155" s="1"/>
  <c r="A52" i="155" s="1"/>
  <c r="A53" i="155" s="1"/>
  <c r="A54" i="155" s="1"/>
  <c r="A55" i="155" s="1"/>
  <c r="A56" i="155" s="1"/>
  <c r="A38" i="155"/>
  <c r="R37" i="155"/>
  <c r="R39" i="155" s="1"/>
  <c r="R40" i="155" s="1"/>
  <c r="R41" i="155" s="1"/>
  <c r="R42" i="155" s="1"/>
  <c r="R43" i="155" s="1"/>
  <c r="R44" i="155" s="1"/>
  <c r="R45" i="155" s="1"/>
  <c r="R46" i="155" s="1"/>
  <c r="R47" i="155" s="1"/>
  <c r="R48" i="155" s="1"/>
  <c r="R49" i="155" s="1"/>
  <c r="R50" i="155" s="1"/>
  <c r="R51" i="155" s="1"/>
  <c r="R52" i="155" s="1"/>
  <c r="R53" i="155" s="1"/>
  <c r="R54" i="155" s="1"/>
  <c r="R55" i="155" s="1"/>
  <c r="R56" i="155" s="1"/>
  <c r="R38" i="155"/>
  <c r="G22" i="66"/>
  <c r="W50" i="155"/>
  <c r="AP50" i="155" s="1"/>
  <c r="W53" i="155"/>
  <c r="AP53" i="155" s="1"/>
  <c r="W48" i="155"/>
  <c r="AP48" i="155" s="1"/>
  <c r="W44" i="155"/>
  <c r="AP44" i="155" s="1"/>
  <c r="E33" i="148"/>
  <c r="E71" i="147"/>
  <c r="U71" i="147" s="1"/>
  <c r="E59" i="147"/>
  <c r="U59" i="147" s="1"/>
  <c r="E58" i="147"/>
  <c r="U58" i="147" s="1"/>
  <c r="E55" i="147"/>
  <c r="U55" i="147" s="1"/>
  <c r="E54" i="147"/>
  <c r="U54" i="147" s="1"/>
  <c r="E51" i="147"/>
  <c r="U51" i="147" s="1"/>
  <c r="E28" i="147"/>
  <c r="U28" i="147" s="1"/>
  <c r="E26" i="147"/>
  <c r="U26" i="147" s="1"/>
  <c r="E24" i="147"/>
  <c r="U24" i="147" s="1"/>
  <c r="E23" i="142"/>
  <c r="U23" i="142" s="1"/>
  <c r="E21" i="142"/>
  <c r="U21" i="142" s="1"/>
  <c r="W51" i="155"/>
  <c r="AP51" i="155" s="1"/>
  <c r="E32" i="151"/>
  <c r="U32" i="151" s="1"/>
  <c r="E30" i="151"/>
  <c r="U30" i="151" s="1"/>
  <c r="E28" i="151"/>
  <c r="U28" i="151" s="1"/>
  <c r="E24" i="142"/>
  <c r="U24" i="142" s="1"/>
  <c r="W49" i="155"/>
  <c r="AP49" i="155" s="1"/>
  <c r="W47" i="155"/>
  <c r="AP47" i="155" s="1"/>
  <c r="E69" i="147"/>
  <c r="U69" i="147" s="1"/>
  <c r="E56" i="147"/>
  <c r="U56" i="147" s="1"/>
  <c r="E27" i="147"/>
  <c r="U27" i="147" s="1"/>
  <c r="E25" i="147"/>
  <c r="U25" i="147" s="1"/>
  <c r="W52" i="155"/>
  <c r="AP52" i="155" s="1"/>
  <c r="E33" i="151"/>
  <c r="U33" i="151" s="1"/>
  <c r="E31" i="151"/>
  <c r="E29" i="151"/>
  <c r="U29" i="151" s="1"/>
  <c r="E21" i="147"/>
  <c r="U21" i="147" s="1"/>
  <c r="E13" i="145"/>
  <c r="U13" i="145" s="1"/>
  <c r="F9" i="147"/>
  <c r="F9" i="151"/>
  <c r="G9" i="155"/>
  <c r="A2" i="145"/>
  <c r="F9" i="148"/>
  <c r="D9" i="156"/>
  <c r="D9" i="146"/>
  <c r="F23" i="155"/>
  <c r="W23" i="155" s="1"/>
  <c r="AP23" i="155" s="1"/>
  <c r="C16" i="156"/>
  <c r="Q16" i="156" s="1"/>
  <c r="F29" i="155"/>
  <c r="W29" i="155" s="1"/>
  <c r="AP29" i="155" s="1"/>
  <c r="E27" i="148"/>
  <c r="F13" i="155"/>
  <c r="W13" i="155" s="1"/>
  <c r="AP13" i="155" s="1"/>
  <c r="E20" i="148"/>
  <c r="E20" i="147"/>
  <c r="U20" i="147" s="1"/>
  <c r="E20" i="145"/>
  <c r="U20" i="145" s="1"/>
  <c r="F16" i="155"/>
  <c r="W16" i="155" s="1"/>
  <c r="E13" i="151"/>
  <c r="E18" i="147"/>
  <c r="U18" i="147" s="1"/>
  <c r="C13" i="156"/>
  <c r="C18" i="156" s="1"/>
  <c r="W43" i="155"/>
  <c r="AP43" i="155" s="1"/>
  <c r="E26" i="151"/>
  <c r="U26" i="151" s="1"/>
  <c r="E29" i="148"/>
  <c r="E15" i="148"/>
  <c r="C14" i="156"/>
  <c r="W41" i="155"/>
  <c r="AP41" i="155" s="1"/>
  <c r="F28" i="155"/>
  <c r="W28" i="155" s="1"/>
  <c r="F17" i="155"/>
  <c r="W17" i="155" s="1"/>
  <c r="AP17" i="155" s="1"/>
  <c r="E17" i="151"/>
  <c r="U17" i="151" s="1"/>
  <c r="E30" i="148"/>
  <c r="E26" i="148"/>
  <c r="E67" i="147"/>
  <c r="U67" i="147" s="1"/>
  <c r="E28" i="145"/>
  <c r="U28" i="145" s="1"/>
  <c r="E22" i="142"/>
  <c r="F24" i="155"/>
  <c r="W24" i="155" s="1"/>
  <c r="AP24" i="155" s="1"/>
  <c r="E14" i="148"/>
  <c r="E65" i="147"/>
  <c r="U65" i="147" s="1"/>
  <c r="E40" i="147"/>
  <c r="E34" i="147"/>
  <c r="E15" i="147"/>
  <c r="U15" i="147" s="1"/>
  <c r="E16" i="145"/>
  <c r="U16" i="145" s="1"/>
  <c r="W42" i="155"/>
  <c r="AP42" i="155" s="1"/>
  <c r="W40" i="155"/>
  <c r="AP40" i="155" s="1"/>
  <c r="F21" i="155"/>
  <c r="F18" i="155"/>
  <c r="W18" i="155" s="1"/>
  <c r="AP18" i="155" s="1"/>
  <c r="E21" i="148"/>
  <c r="E13" i="148"/>
  <c r="E64" i="147"/>
  <c r="U64" i="147" s="1"/>
  <c r="E43" i="147"/>
  <c r="E25" i="145"/>
  <c r="U25" i="145" s="1"/>
  <c r="E23" i="145"/>
  <c r="U23" i="145" s="1"/>
  <c r="E19" i="145"/>
  <c r="U19" i="145" s="1"/>
  <c r="E16" i="142"/>
  <c r="E13" i="142"/>
  <c r="W45" i="155"/>
  <c r="AP45" i="155" s="1"/>
  <c r="E25" i="148"/>
  <c r="I25" i="148" s="1"/>
  <c r="E66" i="147"/>
  <c r="E50" i="147"/>
  <c r="U50" i="147" s="1"/>
  <c r="E38" i="147"/>
  <c r="E36" i="147"/>
  <c r="E32" i="147"/>
  <c r="E17" i="147"/>
  <c r="U17" i="147" s="1"/>
  <c r="E29" i="145"/>
  <c r="U29" i="145" s="1"/>
  <c r="E26" i="145"/>
  <c r="U26" i="145" s="1"/>
  <c r="E18" i="145"/>
  <c r="U18" i="145" s="1"/>
  <c r="E15" i="145"/>
  <c r="U15" i="145" s="1"/>
  <c r="C13" i="153"/>
  <c r="C15" i="153" s="1"/>
  <c r="F35" i="155"/>
  <c r="W35" i="155" s="1"/>
  <c r="AP35" i="155" s="1"/>
  <c r="F15" i="155"/>
  <c r="W15" i="155" s="1"/>
  <c r="F14" i="155"/>
  <c r="W14" i="155" s="1"/>
  <c r="AP14" i="155" s="1"/>
  <c r="E27" i="151"/>
  <c r="U27" i="151" s="1"/>
  <c r="E21" i="151"/>
  <c r="E18" i="151"/>
  <c r="U18" i="151" s="1"/>
  <c r="E16" i="151"/>
  <c r="U16" i="151" s="1"/>
  <c r="E15" i="151"/>
  <c r="U15" i="151" s="1"/>
  <c r="E32" i="148"/>
  <c r="E31" i="148"/>
  <c r="E19" i="148"/>
  <c r="E17" i="148"/>
  <c r="E16" i="148"/>
  <c r="E68" i="147"/>
  <c r="U68" i="147" s="1"/>
  <c r="E63" i="147"/>
  <c r="E57" i="147"/>
  <c r="U57" i="147" s="1"/>
  <c r="E19" i="147"/>
  <c r="U19" i="147" s="1"/>
  <c r="E16" i="147"/>
  <c r="U16" i="147" s="1"/>
  <c r="E14" i="147"/>
  <c r="U14" i="147" s="1"/>
  <c r="E27" i="145"/>
  <c r="U27" i="145" s="1"/>
  <c r="E22" i="144"/>
  <c r="E21" i="144"/>
  <c r="E20" i="144"/>
  <c r="E19" i="144"/>
  <c r="E18" i="144"/>
  <c r="E17" i="144"/>
  <c r="E16" i="144"/>
  <c r="E15" i="144"/>
  <c r="E14" i="144"/>
  <c r="E18" i="142"/>
  <c r="F25" i="155"/>
  <c r="W25" i="155" s="1"/>
  <c r="AP25" i="155" s="1"/>
  <c r="F22" i="155"/>
  <c r="W22" i="155" s="1"/>
  <c r="AP22" i="155" s="1"/>
  <c r="E49" i="147"/>
  <c r="U49" i="147" s="1"/>
  <c r="E44" i="147"/>
  <c r="U44" i="147" s="1"/>
  <c r="E39" i="147"/>
  <c r="E37" i="147"/>
  <c r="E35" i="147"/>
  <c r="E33" i="147"/>
  <c r="E13" i="147"/>
  <c r="U13" i="147" s="1"/>
  <c r="E24" i="145"/>
  <c r="U24" i="145" s="1"/>
  <c r="E17" i="145"/>
  <c r="U17" i="145" s="1"/>
  <c r="E14" i="145"/>
  <c r="U14" i="145" s="1"/>
  <c r="W46" i="155"/>
  <c r="AP46" i="155" s="1"/>
  <c r="F34" i="155"/>
  <c r="F31" i="155"/>
  <c r="F30" i="155"/>
  <c r="W30" i="155" s="1"/>
  <c r="AP30" i="155" s="1"/>
  <c r="E25" i="151"/>
  <c r="E14" i="151"/>
  <c r="U14" i="151" s="1"/>
  <c r="E28" i="148"/>
  <c r="I28" i="148" s="1"/>
  <c r="E18" i="148"/>
  <c r="E70" i="147"/>
  <c r="U70" i="147" s="1"/>
  <c r="E48" i="147"/>
  <c r="U48" i="147" s="1"/>
  <c r="E47" i="147"/>
  <c r="U47" i="147" s="1"/>
  <c r="E46" i="147"/>
  <c r="U46" i="147" s="1"/>
  <c r="E45" i="147"/>
  <c r="U45" i="147" s="1"/>
  <c r="S25" i="155"/>
  <c r="AL22" i="155"/>
  <c r="AL16" i="155"/>
  <c r="B22" i="155"/>
  <c r="B16" i="155"/>
  <c r="U31" i="151"/>
  <c r="A3" i="144"/>
  <c r="Q3" i="144" s="1"/>
  <c r="AI3" i="144" s="1"/>
  <c r="Q4" i="142"/>
  <c r="AI4" i="142" s="1"/>
  <c r="Q4" i="144"/>
  <c r="AI4" i="144" s="1"/>
  <c r="A4" i="145"/>
  <c r="A1" i="145"/>
  <c r="Q1" i="144"/>
  <c r="AI1" i="144" s="1"/>
  <c r="Q1" i="142"/>
  <c r="AI1" i="142" s="1"/>
  <c r="R22" i="148"/>
  <c r="R25" i="148"/>
  <c r="R26" i="148" s="1"/>
  <c r="R27" i="148" s="1"/>
  <c r="R28" i="148" s="1"/>
  <c r="R29" i="148" s="1"/>
  <c r="R30" i="148" s="1"/>
  <c r="R31" i="148" s="1"/>
  <c r="R32" i="148" s="1"/>
  <c r="R33" i="148" s="1"/>
  <c r="R34" i="148" s="1"/>
  <c r="AJ25" i="148"/>
  <c r="AJ26" i="148" s="1"/>
  <c r="AJ27" i="148" s="1"/>
  <c r="AJ28" i="148" s="1"/>
  <c r="AJ29" i="148" s="1"/>
  <c r="AJ30" i="148" s="1"/>
  <c r="AJ31" i="148" s="1"/>
  <c r="AJ32" i="148" s="1"/>
  <c r="AJ33" i="148" s="1"/>
  <c r="AJ34" i="148" s="1"/>
  <c r="AJ22" i="148"/>
  <c r="Q60" i="147"/>
  <c r="Q62" i="147" s="1"/>
  <c r="Q63" i="147"/>
  <c r="Q64" i="147" s="1"/>
  <c r="Q65" i="147" s="1"/>
  <c r="Q66" i="147" s="1"/>
  <c r="Q67" i="147" s="1"/>
  <c r="Q68" i="147" s="1"/>
  <c r="Q69" i="147" s="1"/>
  <c r="Q70" i="147" s="1"/>
  <c r="Q71" i="147" s="1"/>
  <c r="Q72" i="147" s="1"/>
  <c r="Q73" i="147" s="1"/>
  <c r="Q74" i="147" s="1"/>
  <c r="F9" i="145"/>
  <c r="F9" i="144"/>
  <c r="B18" i="145"/>
  <c r="B23" i="145"/>
  <c r="AL21" i="142"/>
  <c r="AL22" i="142" s="1"/>
  <c r="AL23" i="142" s="1"/>
  <c r="AL24" i="142" s="1"/>
  <c r="AL25" i="142" s="1"/>
  <c r="AL19" i="142"/>
  <c r="R19" i="145" l="1"/>
  <c r="R24" i="145"/>
  <c r="AJ19" i="145"/>
  <c r="AJ24" i="145"/>
  <c r="U17" i="148"/>
  <c r="I17" i="148"/>
  <c r="U31" i="148"/>
  <c r="I31" i="148"/>
  <c r="U21" i="148"/>
  <c r="I21" i="148"/>
  <c r="U14" i="148"/>
  <c r="I14" i="148"/>
  <c r="U15" i="148"/>
  <c r="I15" i="148"/>
  <c r="U20" i="148"/>
  <c r="I20" i="148"/>
  <c r="U27" i="148"/>
  <c r="I27" i="148"/>
  <c r="U33" i="148"/>
  <c r="I33" i="148"/>
  <c r="U16" i="148"/>
  <c r="I16" i="148"/>
  <c r="U19" i="148"/>
  <c r="I19" i="148"/>
  <c r="U32" i="148"/>
  <c r="I32" i="148"/>
  <c r="U26" i="148"/>
  <c r="I26" i="148"/>
  <c r="U30" i="148"/>
  <c r="I30" i="148"/>
  <c r="U18" i="148"/>
  <c r="I18" i="148"/>
  <c r="U29" i="148"/>
  <c r="I29" i="148"/>
  <c r="D24" i="183"/>
  <c r="D108" i="183"/>
  <c r="C19" i="156"/>
  <c r="U18" i="142"/>
  <c r="E9" i="181"/>
  <c r="E18" i="181"/>
  <c r="F17" i="181"/>
  <c r="U22" i="142"/>
  <c r="F18" i="181"/>
  <c r="E17" i="181"/>
  <c r="F8" i="181"/>
  <c r="U39" i="147"/>
  <c r="U17" i="144"/>
  <c r="U20" i="144"/>
  <c r="U22" i="144"/>
  <c r="U36" i="147"/>
  <c r="U40" i="147"/>
  <c r="E92" i="67"/>
  <c r="E98" i="67"/>
  <c r="E95" i="67"/>
  <c r="E36" i="67"/>
  <c r="E40" i="67"/>
  <c r="E35" i="67"/>
  <c r="E39" i="67"/>
  <c r="E91" i="67"/>
  <c r="E96" i="67"/>
  <c r="U35" i="147"/>
  <c r="U37" i="147"/>
  <c r="U34" i="147"/>
  <c r="E41" i="67"/>
  <c r="E97" i="67"/>
  <c r="U33" i="147"/>
  <c r="U19" i="144"/>
  <c r="D98" i="183"/>
  <c r="D41" i="183"/>
  <c r="U16" i="144"/>
  <c r="U18" i="144"/>
  <c r="U21" i="144"/>
  <c r="U38" i="147"/>
  <c r="E94" i="67"/>
  <c r="E93" i="67"/>
  <c r="E34" i="67"/>
  <c r="E38" i="67"/>
  <c r="E42" i="67"/>
  <c r="E37" i="67"/>
  <c r="E99" i="67"/>
  <c r="S17" i="155"/>
  <c r="S23" i="155"/>
  <c r="G91" i="67"/>
  <c r="G90" i="67"/>
  <c r="E91" i="66"/>
  <c r="E91" i="68"/>
  <c r="E91" i="70"/>
  <c r="E91" i="72"/>
  <c r="E96" i="72"/>
  <c r="E96" i="68"/>
  <c r="E96" i="66"/>
  <c r="E96" i="70"/>
  <c r="E41" i="72"/>
  <c r="E41" i="70"/>
  <c r="E41" i="68"/>
  <c r="E41" i="66"/>
  <c r="E97" i="70"/>
  <c r="E97" i="68"/>
  <c r="E97" i="66"/>
  <c r="E97" i="72"/>
  <c r="E99" i="66"/>
  <c r="E99" i="68"/>
  <c r="E99" i="72"/>
  <c r="E99" i="70"/>
  <c r="A37" i="157"/>
  <c r="A38" i="157" s="1"/>
  <c r="A39" i="157" s="1"/>
  <c r="A40" i="157" s="1"/>
  <c r="A41" i="157" s="1"/>
  <c r="A42" i="157" s="1"/>
  <c r="A43" i="157" s="1"/>
  <c r="A44" i="157" s="1"/>
  <c r="A45" i="157" s="1"/>
  <c r="A46" i="157" s="1"/>
  <c r="A47" i="157" s="1"/>
  <c r="A48" i="157" s="1"/>
  <c r="A49" i="157" s="1"/>
  <c r="A50" i="157" s="1"/>
  <c r="A51" i="157" s="1"/>
  <c r="A52" i="157" s="1"/>
  <c r="A53" i="157" s="1"/>
  <c r="A54" i="157" s="1"/>
  <c r="A55" i="157" s="1"/>
  <c r="A56" i="157" s="1"/>
  <c r="A57" i="157" s="1"/>
  <c r="A58" i="157" s="1"/>
  <c r="A59" i="157" s="1"/>
  <c r="A60" i="157" s="1"/>
  <c r="A61" i="157" s="1"/>
  <c r="A62" i="157" s="1"/>
  <c r="A63" i="157" s="1"/>
  <c r="A64" i="157" s="1"/>
  <c r="A65" i="157" s="1"/>
  <c r="A66" i="157" s="1"/>
  <c r="A67" i="157" s="1"/>
  <c r="A68" i="157" s="1"/>
  <c r="G79" i="67"/>
  <c r="G118" i="66"/>
  <c r="U25" i="148"/>
  <c r="E34" i="148"/>
  <c r="U25" i="151"/>
  <c r="E34" i="151"/>
  <c r="E162" i="68"/>
  <c r="G161" i="66"/>
  <c r="W39" i="155"/>
  <c r="F54" i="155"/>
  <c r="U63" i="147"/>
  <c r="E72" i="147"/>
  <c r="U14" i="144"/>
  <c r="E23" i="144"/>
  <c r="AI60" i="147"/>
  <c r="AI62" i="147" s="1"/>
  <c r="E41" i="147"/>
  <c r="E29" i="147"/>
  <c r="R13" i="153"/>
  <c r="E60" i="147"/>
  <c r="Q2" i="145"/>
  <c r="AI2" i="145" s="1"/>
  <c r="A2" i="146"/>
  <c r="E25" i="142"/>
  <c r="F19" i="155"/>
  <c r="U16" i="142"/>
  <c r="E52" i="147"/>
  <c r="U43" i="147"/>
  <c r="U13" i="148"/>
  <c r="E22" i="148"/>
  <c r="U28" i="148"/>
  <c r="W31" i="155"/>
  <c r="AP31" i="155" s="1"/>
  <c r="F32" i="155"/>
  <c r="E17" i="142"/>
  <c r="U15" i="144"/>
  <c r="U66" i="147"/>
  <c r="Q13" i="156"/>
  <c r="Q18" i="156" s="1"/>
  <c r="U32" i="147"/>
  <c r="E21" i="145"/>
  <c r="E30" i="145"/>
  <c r="W21" i="155"/>
  <c r="AP21" i="155" s="1"/>
  <c r="E22" i="147"/>
  <c r="F26" i="155"/>
  <c r="F36" i="155"/>
  <c r="W34" i="155"/>
  <c r="E22" i="151"/>
  <c r="U21" i="151"/>
  <c r="U13" i="142"/>
  <c r="E14" i="142"/>
  <c r="Q14" i="156"/>
  <c r="Q19" i="156" s="1"/>
  <c r="U13" i="151"/>
  <c r="E19" i="151"/>
  <c r="B17" i="155"/>
  <c r="B23" i="155"/>
  <c r="B25" i="155"/>
  <c r="AL17" i="155"/>
  <c r="AL23" i="155"/>
  <c r="AL25" i="155"/>
  <c r="AP28" i="155"/>
  <c r="W19" i="155"/>
  <c r="AP15" i="155"/>
  <c r="AP16" i="155"/>
  <c r="A3" i="145"/>
  <c r="A3" i="146" s="1"/>
  <c r="Q1" i="145"/>
  <c r="AI1" i="145" s="1"/>
  <c r="A1" i="146"/>
  <c r="Q4" i="145"/>
  <c r="AI4" i="145" s="1"/>
  <c r="A4" i="146"/>
  <c r="U22" i="147"/>
  <c r="U29" i="147"/>
  <c r="U60" i="147"/>
  <c r="U21" i="145"/>
  <c r="B19" i="145"/>
  <c r="B24" i="145"/>
  <c r="U30" i="145"/>
  <c r="AJ20" i="145" l="1"/>
  <c r="AJ26" i="145" s="1"/>
  <c r="AJ27" i="145" s="1"/>
  <c r="AJ28" i="145" s="1"/>
  <c r="AJ29" i="145" s="1"/>
  <c r="AJ30" i="145" s="1"/>
  <c r="AJ25" i="145"/>
  <c r="R20" i="145"/>
  <c r="R26" i="145" s="1"/>
  <c r="R27" i="145" s="1"/>
  <c r="R28" i="145" s="1"/>
  <c r="R29" i="145" s="1"/>
  <c r="R30" i="145" s="1"/>
  <c r="R25" i="145"/>
  <c r="D116" i="183"/>
  <c r="D68" i="183"/>
  <c r="U25" i="142"/>
  <c r="U17" i="142"/>
  <c r="A69" i="157"/>
  <c r="A70" i="157" s="1"/>
  <c r="A71" i="157" s="1"/>
  <c r="A72" i="157" s="1"/>
  <c r="A73" i="157" s="1"/>
  <c r="A74" i="157" s="1"/>
  <c r="A75" i="157" s="1"/>
  <c r="A76" i="157" s="1"/>
  <c r="A77" i="157" s="1"/>
  <c r="A78" i="157" s="1"/>
  <c r="A79" i="157" s="1"/>
  <c r="A80" i="157" s="1"/>
  <c r="A81" i="157" s="1"/>
  <c r="A82" i="157" s="1"/>
  <c r="A83" i="157" s="1"/>
  <c r="A84" i="157" s="1"/>
  <c r="A85" i="157" s="1"/>
  <c r="A86" i="157" s="1"/>
  <c r="A87" i="157" s="1"/>
  <c r="A88" i="157" s="1"/>
  <c r="A89" i="157" s="1"/>
  <c r="A90" i="157" s="1"/>
  <c r="A91" i="157" s="1"/>
  <c r="A92" i="157" s="1"/>
  <c r="A93" i="157" s="1"/>
  <c r="A94" i="157" s="1"/>
  <c r="A95" i="157" s="1"/>
  <c r="A96" i="157" s="1"/>
  <c r="S28" i="155"/>
  <c r="S18" i="155"/>
  <c r="S24" i="155"/>
  <c r="R15" i="153"/>
  <c r="E92" i="72"/>
  <c r="E92" i="66"/>
  <c r="E92" i="70"/>
  <c r="E92" i="68"/>
  <c r="E95" i="66"/>
  <c r="E95" i="70"/>
  <c r="E95" i="68"/>
  <c r="E95" i="72"/>
  <c r="E40" i="68"/>
  <c r="E40" i="66"/>
  <c r="E40" i="72"/>
  <c r="E40" i="70"/>
  <c r="E36" i="68"/>
  <c r="E36" i="66"/>
  <c r="E36" i="72"/>
  <c r="E36" i="70"/>
  <c r="E94" i="72"/>
  <c r="E94" i="68"/>
  <c r="E94" i="66"/>
  <c r="E94" i="70"/>
  <c r="E37" i="68"/>
  <c r="E37" i="66"/>
  <c r="E37" i="72"/>
  <c r="E37" i="70"/>
  <c r="E42" i="66"/>
  <c r="E42" i="72"/>
  <c r="E42" i="68"/>
  <c r="E42" i="70"/>
  <c r="E38" i="72"/>
  <c r="E38" i="66"/>
  <c r="E38" i="68"/>
  <c r="E38" i="70"/>
  <c r="E34" i="72"/>
  <c r="E34" i="66"/>
  <c r="E34" i="70"/>
  <c r="E34" i="68"/>
  <c r="E98" i="72"/>
  <c r="E98" i="68"/>
  <c r="E98" i="70"/>
  <c r="E98" i="66"/>
  <c r="E39" i="66"/>
  <c r="E39" i="70"/>
  <c r="E39" i="68"/>
  <c r="E39" i="72"/>
  <c r="E35" i="72"/>
  <c r="E35" i="70"/>
  <c r="E35" i="66"/>
  <c r="E35" i="68"/>
  <c r="E93" i="70"/>
  <c r="E93" i="66"/>
  <c r="E93" i="72"/>
  <c r="E93" i="68"/>
  <c r="U52" i="147"/>
  <c r="U34" i="148"/>
  <c r="U34" i="151"/>
  <c r="U23" i="144"/>
  <c r="U72" i="147"/>
  <c r="AP39" i="155"/>
  <c r="AP54" i="155" s="1"/>
  <c r="W54" i="155"/>
  <c r="U41" i="147"/>
  <c r="W26" i="155"/>
  <c r="E36" i="148"/>
  <c r="O2" i="146"/>
  <c r="AE2" i="146" s="1"/>
  <c r="A2" i="147"/>
  <c r="U22" i="148"/>
  <c r="E36" i="151"/>
  <c r="F56" i="155"/>
  <c r="E32" i="145"/>
  <c r="E74" i="147"/>
  <c r="U22" i="151"/>
  <c r="W32" i="155"/>
  <c r="U19" i="151"/>
  <c r="U14" i="142"/>
  <c r="E19" i="142"/>
  <c r="W36" i="155"/>
  <c r="AP34" i="155"/>
  <c r="AP36" i="155" s="1"/>
  <c r="AP32" i="155"/>
  <c r="B28" i="155"/>
  <c r="B18" i="155"/>
  <c r="B24" i="155"/>
  <c r="AP19" i="155"/>
  <c r="AL18" i="155"/>
  <c r="AL24" i="155"/>
  <c r="AL28" i="155"/>
  <c r="AP26" i="155"/>
  <c r="Q3" i="145"/>
  <c r="AI3" i="145" s="1"/>
  <c r="A3" i="147"/>
  <c r="O3" i="146"/>
  <c r="AE3" i="146" s="1"/>
  <c r="A4" i="147"/>
  <c r="O4" i="146"/>
  <c r="AE4" i="146" s="1"/>
  <c r="O1" i="146"/>
  <c r="AE1" i="146" s="1"/>
  <c r="A1" i="147"/>
  <c r="B25" i="145"/>
  <c r="B20" i="145"/>
  <c r="B26" i="145" s="1"/>
  <c r="B27" i="145" s="1"/>
  <c r="B28" i="145" s="1"/>
  <c r="B29" i="145" s="1"/>
  <c r="B30" i="145" s="1"/>
  <c r="U32" i="145"/>
  <c r="U19" i="142" l="1"/>
  <c r="U27" i="142" s="1"/>
  <c r="A98" i="157"/>
  <c r="A97" i="157"/>
  <c r="A99" i="157" s="1"/>
  <c r="A100" i="157" s="1"/>
  <c r="A101" i="157" s="1"/>
  <c r="A102" i="157" s="1"/>
  <c r="A103" i="157" s="1"/>
  <c r="A104" i="157" s="1"/>
  <c r="A105" i="157" s="1"/>
  <c r="A106" i="157" s="1"/>
  <c r="A107" i="157" s="1"/>
  <c r="A108" i="157" s="1"/>
  <c r="A109" i="157" s="1"/>
  <c r="A110" i="157" s="1"/>
  <c r="A111" i="157" s="1"/>
  <c r="A112" i="157" s="1"/>
  <c r="A113" i="157" s="1"/>
  <c r="A114" i="157" s="1"/>
  <c r="A115" i="157" s="1"/>
  <c r="A116" i="157" s="1"/>
  <c r="A117" i="157" s="1"/>
  <c r="A118" i="157" s="1"/>
  <c r="A119" i="157" s="1"/>
  <c r="A120" i="157" s="1"/>
  <c r="A121" i="157" s="1"/>
  <c r="A122" i="157" s="1"/>
  <c r="A123" i="157" s="1"/>
  <c r="A124" i="157" s="1"/>
  <c r="A125" i="157" s="1"/>
  <c r="A126" i="157" s="1"/>
  <c r="A127" i="157" s="1"/>
  <c r="A128" i="157" s="1"/>
  <c r="A129" i="157" s="1"/>
  <c r="A130" i="157" s="1"/>
  <c r="A131" i="157" s="1"/>
  <c r="A132" i="157" s="1"/>
  <c r="A133" i="157" s="1"/>
  <c r="A134" i="157" s="1"/>
  <c r="A135" i="157" s="1"/>
  <c r="A136" i="157" s="1"/>
  <c r="A137" i="157" s="1"/>
  <c r="A138" i="157" s="1"/>
  <c r="A139" i="157" s="1"/>
  <c r="A140" i="157" s="1"/>
  <c r="A141" i="157" s="1"/>
  <c r="A142" i="157" s="1"/>
  <c r="A143" i="157" s="1"/>
  <c r="A144" i="157" s="1"/>
  <c r="A145" i="157" s="1"/>
  <c r="A146" i="157" s="1"/>
  <c r="A147" i="157" s="1"/>
  <c r="A148" i="157" s="1"/>
  <c r="A149" i="157" s="1"/>
  <c r="A150" i="157" s="1"/>
  <c r="A151" i="157" s="1"/>
  <c r="A152" i="157" s="1"/>
  <c r="A153" i="157" s="1"/>
  <c r="A154" i="157" s="1"/>
  <c r="A155" i="157" s="1"/>
  <c r="A156" i="157" s="1"/>
  <c r="A157" i="157" s="1"/>
  <c r="A158" i="157" s="1"/>
  <c r="A159" i="157" s="1"/>
  <c r="A160" i="157" s="1"/>
  <c r="A161" i="157" s="1"/>
  <c r="A162" i="157" s="1"/>
  <c r="A163" i="157" s="1"/>
  <c r="A164" i="157" s="1"/>
  <c r="A165" i="157" s="1"/>
  <c r="A166" i="157" s="1"/>
  <c r="A167" i="157" s="1"/>
  <c r="A168" i="157" s="1"/>
  <c r="A169" i="157" s="1"/>
  <c r="A170" i="157" s="1"/>
  <c r="A171" i="157" s="1"/>
  <c r="A172" i="157" s="1"/>
  <c r="A173" i="157" s="1"/>
  <c r="A174" i="157" s="1"/>
  <c r="A175" i="157" s="1"/>
  <c r="A176" i="157" s="1"/>
  <c r="A177" i="157" s="1"/>
  <c r="A178" i="157" s="1"/>
  <c r="A179" i="157" s="1"/>
  <c r="A180" i="157" s="1"/>
  <c r="A181" i="157" s="1"/>
  <c r="A182" i="157" s="1"/>
  <c r="A183" i="157" s="1"/>
  <c r="A184" i="157" s="1"/>
  <c r="A185" i="157" s="1"/>
  <c r="A186" i="157" s="1"/>
  <c r="A187" i="157" s="1"/>
  <c r="A188" i="157" s="1"/>
  <c r="A189" i="157" s="1"/>
  <c r="A190" i="157" s="1"/>
  <c r="A191" i="157" s="1"/>
  <c r="A192" i="157" s="1"/>
  <c r="A193" i="157" s="1"/>
  <c r="A194" i="157" s="1"/>
  <c r="S30" i="155"/>
  <c r="S35" i="155" s="1"/>
  <c r="S31" i="155" s="1"/>
  <c r="S29" i="155"/>
  <c r="S34" i="155" s="1"/>
  <c r="U36" i="151"/>
  <c r="U74" i="147"/>
  <c r="U36" i="148"/>
  <c r="Q2" i="147"/>
  <c r="AI2" i="147" s="1"/>
  <c r="A2" i="148"/>
  <c r="W56" i="155"/>
  <c r="E27" i="142"/>
  <c r="AP56" i="155"/>
  <c r="B29" i="155"/>
  <c r="B34" i="155" s="1"/>
  <c r="B30" i="155"/>
  <c r="B35" i="155" s="1"/>
  <c r="B31" i="155" s="1"/>
  <c r="AL29" i="155"/>
  <c r="AL34" i="155" s="1"/>
  <c r="AL30" i="155"/>
  <c r="AL35" i="155" s="1"/>
  <c r="AL31" i="155" s="1"/>
  <c r="A4" i="148"/>
  <c r="A4" i="151" s="1"/>
  <c r="Q4" i="147"/>
  <c r="AI4" i="147" s="1"/>
  <c r="Q1" i="147"/>
  <c r="AI1" i="147" s="1"/>
  <c r="A1" i="148"/>
  <c r="A1" i="151" s="1"/>
  <c r="A3" i="148"/>
  <c r="A3" i="151" s="1"/>
  <c r="Q3" i="147"/>
  <c r="AI3" i="147" s="1"/>
  <c r="Q2" i="148" l="1"/>
  <c r="AI2" i="148" s="1"/>
  <c r="A2" i="151"/>
  <c r="Q1" i="151"/>
  <c r="AI1" i="151" s="1"/>
  <c r="A1" i="153"/>
  <c r="Q3" i="151"/>
  <c r="AI3" i="151" s="1"/>
  <c r="A3" i="153"/>
  <c r="A4" i="153"/>
  <c r="Q4" i="151"/>
  <c r="AI4" i="151" s="1"/>
  <c r="Q1" i="148"/>
  <c r="AI1" i="148" s="1"/>
  <c r="Q3" i="148"/>
  <c r="AI3" i="148" s="1"/>
  <c r="Q4" i="148"/>
  <c r="AI4" i="148" s="1"/>
  <c r="Q2" i="151" l="1"/>
  <c r="AI2" i="151" s="1"/>
  <c r="A2" i="153"/>
  <c r="P1" i="153"/>
  <c r="AG1" i="153" s="1"/>
  <c r="A1" i="155"/>
  <c r="A4" i="155"/>
  <c r="P4" i="153"/>
  <c r="AG4" i="153" s="1"/>
  <c r="A3" i="155"/>
  <c r="P3" i="153"/>
  <c r="AG3" i="153" s="1"/>
  <c r="B162" i="67" l="1"/>
  <c r="B162" i="68"/>
  <c r="A1" i="156"/>
  <c r="A1" i="193" s="1"/>
  <c r="R1" i="155"/>
  <c r="AK1" i="155" s="1"/>
  <c r="A2" i="155"/>
  <c r="P2" i="153"/>
  <c r="AG2" i="153" s="1"/>
  <c r="R3" i="155"/>
  <c r="AK3" i="155" s="1"/>
  <c r="A3" i="156"/>
  <c r="A3" i="193" s="1"/>
  <c r="A4" i="156"/>
  <c r="A4" i="193" s="1"/>
  <c r="R4" i="155"/>
  <c r="AK4" i="155" s="1"/>
  <c r="A4" i="182" l="1"/>
  <c r="A3" i="181"/>
  <c r="A1" i="182"/>
  <c r="A1" i="181"/>
  <c r="A5" i="182"/>
  <c r="A4" i="181"/>
  <c r="O4" i="156"/>
  <c r="AE4" i="156" s="1"/>
  <c r="R2" i="155"/>
  <c r="AK2" i="155" s="1"/>
  <c r="A2" i="156"/>
  <c r="O2" i="156" s="1"/>
  <c r="AE2" i="156" s="1"/>
  <c r="O3" i="156"/>
  <c r="AE3" i="156" s="1"/>
  <c r="O1" i="156"/>
  <c r="AE1" i="156" s="1"/>
  <c r="W26" i="160" l="1"/>
  <c r="Q26" i="160"/>
  <c r="W14" i="160"/>
  <c r="Q14" i="160"/>
  <c r="G72" i="157" l="1"/>
  <c r="C117" i="182" s="1"/>
  <c r="D117" i="182" s="1"/>
  <c r="G23" i="157"/>
  <c r="C49" i="182" s="1"/>
  <c r="D49" i="182" s="1"/>
  <c r="G38" i="155" l="1"/>
  <c r="J38" i="155" s="1"/>
  <c r="G177" i="157"/>
  <c r="C253" i="182" s="1"/>
  <c r="D253" i="182" s="1"/>
  <c r="F13" i="144"/>
  <c r="G71" i="157"/>
  <c r="C116" i="182" s="1"/>
  <c r="D116" i="182" s="1"/>
  <c r="F62" i="147"/>
  <c r="I62" i="147" s="1"/>
  <c r="G98" i="157"/>
  <c r="C143" i="182" s="1"/>
  <c r="D143" i="182" s="1"/>
  <c r="G119" i="157"/>
  <c r="C172" i="182" s="1"/>
  <c r="D172" i="182" s="1"/>
  <c r="F24" i="148"/>
  <c r="I24" i="148" s="1"/>
  <c r="G139" i="157"/>
  <c r="C200" i="182" s="1"/>
  <c r="D200" i="182" s="1"/>
  <c r="F24" i="151"/>
  <c r="I24" i="151" s="1"/>
  <c r="B91" i="72"/>
  <c r="B91" i="70"/>
  <c r="B91" i="68"/>
  <c r="B91" i="66"/>
  <c r="F22" i="142"/>
  <c r="I22" i="142" s="1"/>
  <c r="G16" i="157"/>
  <c r="C38" i="182" s="1"/>
  <c r="D38" i="182" s="1"/>
  <c r="D17" i="146"/>
  <c r="G17" i="146" s="1"/>
  <c r="G34" i="157"/>
  <c r="C88" i="182" s="1"/>
  <c r="D88" i="182" s="1"/>
  <c r="F29" i="145"/>
  <c r="I29" i="145" s="1"/>
  <c r="G52" i="157"/>
  <c r="C86" i="182" s="1"/>
  <c r="D86" i="182" s="1"/>
  <c r="F26" i="147"/>
  <c r="I26" i="147" s="1"/>
  <c r="G66" i="157"/>
  <c r="C111" i="182" s="1"/>
  <c r="D111" i="182" s="1"/>
  <c r="F47" i="147"/>
  <c r="I47" i="147" s="1"/>
  <c r="G85" i="157"/>
  <c r="C130" i="182" s="1"/>
  <c r="D130" i="182" s="1"/>
  <c r="F57" i="147"/>
  <c r="I57" i="147" s="1"/>
  <c r="G94" i="157"/>
  <c r="C139" i="182" s="1"/>
  <c r="D139" i="182" s="1"/>
  <c r="F13" i="148"/>
  <c r="I13" i="148" s="1"/>
  <c r="G109" i="157"/>
  <c r="C162" i="182" s="1"/>
  <c r="D162" i="182" s="1"/>
  <c r="G117" i="157"/>
  <c r="C170" i="182" s="1"/>
  <c r="D170" i="182" s="1"/>
  <c r="F15" i="151"/>
  <c r="I15" i="151" s="1"/>
  <c r="G132" i="157"/>
  <c r="C193" i="182" s="1"/>
  <c r="D193" i="182" s="1"/>
  <c r="F28" i="151"/>
  <c r="I28" i="151" s="1"/>
  <c r="G143" i="157"/>
  <c r="C204" i="182" s="1"/>
  <c r="D204" i="182" s="1"/>
  <c r="E13" i="153"/>
  <c r="H13" i="153" s="1"/>
  <c r="H15" i="153" s="1"/>
  <c r="D24" i="180" s="1"/>
  <c r="G153" i="157"/>
  <c r="C222" i="182" s="1"/>
  <c r="D222" i="182" s="1"/>
  <c r="D223" i="182" s="1"/>
  <c r="G29" i="155"/>
  <c r="J29" i="155" s="1"/>
  <c r="G164" i="157"/>
  <c r="C240" i="182" s="1"/>
  <c r="D240" i="182" s="1"/>
  <c r="G34" i="155"/>
  <c r="J34" i="155" s="1"/>
  <c r="G174" i="157"/>
  <c r="C250" i="182" s="1"/>
  <c r="D250" i="182" s="1"/>
  <c r="G184" i="157"/>
  <c r="C260" i="182" s="1"/>
  <c r="D260" i="182" s="1"/>
  <c r="G192" i="157"/>
  <c r="C268" i="182" s="1"/>
  <c r="D268" i="182" s="1"/>
  <c r="F13" i="142"/>
  <c r="I13" i="142" s="1"/>
  <c r="I14" i="142" s="1"/>
  <c r="D12" i="180" s="1"/>
  <c r="G9" i="157"/>
  <c r="C31" i="182" s="1"/>
  <c r="D31" i="182" s="1"/>
  <c r="F21" i="142"/>
  <c r="I21" i="142" s="1"/>
  <c r="G15" i="157"/>
  <c r="C37" i="182" s="1"/>
  <c r="D37" i="182" s="1"/>
  <c r="D13" i="146"/>
  <c r="G13" i="146" s="1"/>
  <c r="G20" i="157"/>
  <c r="C60" i="182" s="1"/>
  <c r="D60" i="182" s="1"/>
  <c r="F16" i="144"/>
  <c r="I16" i="144" s="1"/>
  <c r="G26" i="157"/>
  <c r="C52" i="182" s="1"/>
  <c r="D52" i="182" s="1"/>
  <c r="F20" i="144"/>
  <c r="I20" i="144" s="1"/>
  <c r="G30" i="157"/>
  <c r="C56" i="182" s="1"/>
  <c r="D56" i="182" s="1"/>
  <c r="D18" i="146"/>
  <c r="G35" i="157"/>
  <c r="C89" i="182" s="1"/>
  <c r="D89" i="182" s="1"/>
  <c r="F16" i="145"/>
  <c r="I16" i="145" s="1"/>
  <c r="G40" i="157"/>
  <c r="C74" i="182" s="1"/>
  <c r="D74" i="182" s="1"/>
  <c r="F20" i="145"/>
  <c r="I20" i="145" s="1"/>
  <c r="G44" i="157"/>
  <c r="C78" i="182" s="1"/>
  <c r="D78" i="182" s="1"/>
  <c r="F26" i="145"/>
  <c r="I26" i="145" s="1"/>
  <c r="G49" i="157"/>
  <c r="C83" i="182" s="1"/>
  <c r="D83" i="182" s="1"/>
  <c r="F13" i="147"/>
  <c r="I13" i="147" s="1"/>
  <c r="G54" i="157"/>
  <c r="C99" i="182" s="1"/>
  <c r="D99" i="182" s="1"/>
  <c r="F17" i="147"/>
  <c r="I17" i="147" s="1"/>
  <c r="G58" i="157"/>
  <c r="C103" i="182" s="1"/>
  <c r="D103" i="182" s="1"/>
  <c r="F21" i="147"/>
  <c r="I21" i="147" s="1"/>
  <c r="G62" i="157"/>
  <c r="C107" i="182" s="1"/>
  <c r="D107" i="182" s="1"/>
  <c r="F27" i="147"/>
  <c r="I27" i="147" s="1"/>
  <c r="G67" i="157"/>
  <c r="C112" i="182" s="1"/>
  <c r="D112" i="182" s="1"/>
  <c r="F34" i="147"/>
  <c r="I34" i="147" s="1"/>
  <c r="G73" i="157"/>
  <c r="C118" i="182" s="1"/>
  <c r="D118" i="182" s="1"/>
  <c r="F38" i="147"/>
  <c r="I38" i="147" s="1"/>
  <c r="G77" i="157"/>
  <c r="C122" i="182" s="1"/>
  <c r="D122" i="182" s="1"/>
  <c r="F44" i="147"/>
  <c r="I44" i="147" s="1"/>
  <c r="G82" i="157"/>
  <c r="C127" i="182" s="1"/>
  <c r="D127" i="182" s="1"/>
  <c r="F48" i="147"/>
  <c r="I48" i="147" s="1"/>
  <c r="G86" i="157"/>
  <c r="C131" i="182" s="1"/>
  <c r="D131" i="182" s="1"/>
  <c r="F54" i="147"/>
  <c r="I54" i="147" s="1"/>
  <c r="G91" i="157"/>
  <c r="C136" i="182" s="1"/>
  <c r="D136" i="182" s="1"/>
  <c r="F58" i="147"/>
  <c r="I58" i="147" s="1"/>
  <c r="G95" i="157"/>
  <c r="C140" i="182" s="1"/>
  <c r="D140" i="182" s="1"/>
  <c r="F65" i="147"/>
  <c r="I65" i="147" s="1"/>
  <c r="G101" i="157"/>
  <c r="C146" i="182" s="1"/>
  <c r="D146" i="182" s="1"/>
  <c r="F69" i="147"/>
  <c r="I69" i="147" s="1"/>
  <c r="G105" i="157"/>
  <c r="C150" i="182" s="1"/>
  <c r="D150" i="182" s="1"/>
  <c r="G110" i="157"/>
  <c r="C163" i="182" s="1"/>
  <c r="D163" i="182" s="1"/>
  <c r="G114" i="157"/>
  <c r="C167" i="182" s="1"/>
  <c r="D167" i="182" s="1"/>
  <c r="G120" i="157"/>
  <c r="C173" i="182" s="1"/>
  <c r="D173" i="182" s="1"/>
  <c r="G124" i="157"/>
  <c r="C177" i="182" s="1"/>
  <c r="D177" i="182" s="1"/>
  <c r="G128" i="157"/>
  <c r="C181" i="182" s="1"/>
  <c r="D181" i="182" s="1"/>
  <c r="F16" i="151"/>
  <c r="I16" i="151" s="1"/>
  <c r="G133" i="157"/>
  <c r="C194" i="182" s="1"/>
  <c r="D194" i="182" s="1"/>
  <c r="F25" i="151"/>
  <c r="I25" i="151" s="1"/>
  <c r="G140" i="157"/>
  <c r="C201" i="182" s="1"/>
  <c r="D201" i="182" s="1"/>
  <c r="F29" i="151"/>
  <c r="I29" i="151" s="1"/>
  <c r="G144" i="157"/>
  <c r="C205" i="182" s="1"/>
  <c r="D205" i="182" s="1"/>
  <c r="F33" i="151"/>
  <c r="I33" i="151" s="1"/>
  <c r="G148" i="157"/>
  <c r="C209" i="182" s="1"/>
  <c r="D209" i="182" s="1"/>
  <c r="G13" i="155"/>
  <c r="J13" i="155" s="1"/>
  <c r="G156" i="157"/>
  <c r="C232" i="182" s="1"/>
  <c r="D232" i="182" s="1"/>
  <c r="G17" i="155"/>
  <c r="J17" i="155" s="1"/>
  <c r="G160" i="157"/>
  <c r="C236" i="182" s="1"/>
  <c r="D236" i="182" s="1"/>
  <c r="G30" i="155"/>
  <c r="J30" i="155" s="1"/>
  <c r="G165" i="157"/>
  <c r="C241" i="182" s="1"/>
  <c r="D241" i="182" s="1"/>
  <c r="G23" i="155"/>
  <c r="J23" i="155" s="1"/>
  <c r="G170" i="157"/>
  <c r="C246" i="182" s="1"/>
  <c r="D246" i="182" s="1"/>
  <c r="G35" i="155"/>
  <c r="J35" i="155" s="1"/>
  <c r="G175" i="157"/>
  <c r="C251" i="182" s="1"/>
  <c r="D251" i="182" s="1"/>
  <c r="G181" i="157"/>
  <c r="C257" i="182" s="1"/>
  <c r="D257" i="182" s="1"/>
  <c r="G185" i="157"/>
  <c r="C261" i="182" s="1"/>
  <c r="D261" i="182" s="1"/>
  <c r="G189" i="157"/>
  <c r="C265" i="182" s="1"/>
  <c r="D265" i="182" s="1"/>
  <c r="D16" i="156"/>
  <c r="G16" i="156" s="1"/>
  <c r="G194" i="157"/>
  <c r="C270" i="182" s="1"/>
  <c r="D270" i="182" s="1"/>
  <c r="F18" i="142"/>
  <c r="I18" i="142" s="1"/>
  <c r="G13" i="157"/>
  <c r="C35" i="182" s="1"/>
  <c r="D35" i="182" s="1"/>
  <c r="F19" i="144"/>
  <c r="I19" i="144" s="1"/>
  <c r="G29" i="157"/>
  <c r="C55" i="182" s="1"/>
  <c r="D55" i="182" s="1"/>
  <c r="F19" i="145"/>
  <c r="I19" i="145" s="1"/>
  <c r="G43" i="157"/>
  <c r="C77" i="182" s="1"/>
  <c r="D77" i="182" s="1"/>
  <c r="F16" i="147"/>
  <c r="I16" i="147" s="1"/>
  <c r="G57" i="157"/>
  <c r="C102" i="182" s="1"/>
  <c r="D102" i="182" s="1"/>
  <c r="F37" i="147"/>
  <c r="I37" i="147" s="1"/>
  <c r="G76" i="157"/>
  <c r="C121" i="182" s="1"/>
  <c r="D121" i="182" s="1"/>
  <c r="F64" i="147"/>
  <c r="I64" i="147" s="1"/>
  <c r="G100" i="157"/>
  <c r="C145" i="182" s="1"/>
  <c r="D145" i="182" s="1"/>
  <c r="G127" i="157"/>
  <c r="C180" i="182" s="1"/>
  <c r="D180" i="182" s="1"/>
  <c r="F16" i="142"/>
  <c r="I16" i="142" s="1"/>
  <c r="G11" i="157"/>
  <c r="C33" i="182" s="1"/>
  <c r="D33" i="182" s="1"/>
  <c r="F24" i="142"/>
  <c r="I24" i="142" s="1"/>
  <c r="G18" i="157"/>
  <c r="C40" i="182" s="1"/>
  <c r="D40" i="182" s="1"/>
  <c r="D14" i="146"/>
  <c r="G21" i="157"/>
  <c r="C61" i="182" s="1"/>
  <c r="D61" i="182" s="1"/>
  <c r="F17" i="144"/>
  <c r="I17" i="144" s="1"/>
  <c r="G27" i="157"/>
  <c r="C53" i="182" s="1"/>
  <c r="D53" i="182" s="1"/>
  <c r="F21" i="144"/>
  <c r="I21" i="144" s="1"/>
  <c r="G31" i="157"/>
  <c r="C57" i="182" s="1"/>
  <c r="D57" i="182" s="1"/>
  <c r="F13" i="145"/>
  <c r="I13" i="145" s="1"/>
  <c r="G37" i="157"/>
  <c r="C71" i="182" s="1"/>
  <c r="D71" i="182" s="1"/>
  <c r="F17" i="145"/>
  <c r="I17" i="145" s="1"/>
  <c r="G41" i="157"/>
  <c r="C75" i="182" s="1"/>
  <c r="D75" i="182" s="1"/>
  <c r="F23" i="145"/>
  <c r="I23" i="145" s="1"/>
  <c r="G46" i="157"/>
  <c r="C80" i="182" s="1"/>
  <c r="D80" i="182" s="1"/>
  <c r="F27" i="145"/>
  <c r="I27" i="145" s="1"/>
  <c r="G50" i="157"/>
  <c r="C84" i="182" s="1"/>
  <c r="D84" i="182" s="1"/>
  <c r="F14" i="147"/>
  <c r="I14" i="147" s="1"/>
  <c r="G55" i="157"/>
  <c r="C100" i="182" s="1"/>
  <c r="D100" i="182" s="1"/>
  <c r="F18" i="147"/>
  <c r="I18" i="147" s="1"/>
  <c r="G59" i="157"/>
  <c r="C104" i="182" s="1"/>
  <c r="D104" i="182" s="1"/>
  <c r="F24" i="147"/>
  <c r="I24" i="147" s="1"/>
  <c r="G64" i="157"/>
  <c r="C109" i="182" s="1"/>
  <c r="D109" i="182" s="1"/>
  <c r="F28" i="147"/>
  <c r="I28" i="147" s="1"/>
  <c r="G68" i="157"/>
  <c r="C113" i="182" s="1"/>
  <c r="D113" i="182" s="1"/>
  <c r="F35" i="147"/>
  <c r="I35" i="147" s="1"/>
  <c r="G74" i="157"/>
  <c r="C119" i="182" s="1"/>
  <c r="D119" i="182" s="1"/>
  <c r="F39" i="147"/>
  <c r="I39" i="147" s="1"/>
  <c r="G78" i="157"/>
  <c r="C123" i="182" s="1"/>
  <c r="D123" i="182" s="1"/>
  <c r="F45" i="147"/>
  <c r="I45" i="147" s="1"/>
  <c r="G83" i="157"/>
  <c r="C128" i="182" s="1"/>
  <c r="D128" i="182" s="1"/>
  <c r="F49" i="147"/>
  <c r="I49" i="147" s="1"/>
  <c r="G87" i="157"/>
  <c r="C132" i="182" s="1"/>
  <c r="D132" i="182" s="1"/>
  <c r="F55" i="147"/>
  <c r="I55" i="147" s="1"/>
  <c r="G92" i="157"/>
  <c r="C137" i="182" s="1"/>
  <c r="D137" i="182" s="1"/>
  <c r="F59" i="147"/>
  <c r="I59" i="147" s="1"/>
  <c r="G96" i="157"/>
  <c r="C141" i="182" s="1"/>
  <c r="D141" i="182" s="1"/>
  <c r="F66" i="147"/>
  <c r="I66" i="147" s="1"/>
  <c r="G102" i="157"/>
  <c r="C147" i="182" s="1"/>
  <c r="D147" i="182" s="1"/>
  <c r="F70" i="147"/>
  <c r="I70" i="147" s="1"/>
  <c r="G106" i="157"/>
  <c r="C151" i="182" s="1"/>
  <c r="D151" i="182" s="1"/>
  <c r="G111" i="157"/>
  <c r="C164" i="182" s="1"/>
  <c r="D164" i="182" s="1"/>
  <c r="G115" i="157"/>
  <c r="C168" i="182" s="1"/>
  <c r="D168" i="182" s="1"/>
  <c r="G121" i="157"/>
  <c r="C174" i="182" s="1"/>
  <c r="D174" i="182" s="1"/>
  <c r="G125" i="157"/>
  <c r="C178" i="182" s="1"/>
  <c r="D178" i="182" s="1"/>
  <c r="F13" i="151"/>
  <c r="I13" i="151" s="1"/>
  <c r="G130" i="157"/>
  <c r="C191" i="182" s="1"/>
  <c r="D191" i="182" s="1"/>
  <c r="F17" i="151"/>
  <c r="I17" i="151" s="1"/>
  <c r="G134" i="157"/>
  <c r="C195" i="182" s="1"/>
  <c r="D195" i="182" s="1"/>
  <c r="F26" i="151"/>
  <c r="I26" i="151" s="1"/>
  <c r="G141" i="157"/>
  <c r="C202" i="182" s="1"/>
  <c r="D202" i="182" s="1"/>
  <c r="F30" i="151"/>
  <c r="I30" i="151" s="1"/>
  <c r="G145" i="157"/>
  <c r="C206" i="182" s="1"/>
  <c r="D206" i="182" s="1"/>
  <c r="D13" i="156"/>
  <c r="G13" i="156" s="1"/>
  <c r="G18" i="156" s="1"/>
  <c r="D26" i="180" s="1"/>
  <c r="G150" i="157"/>
  <c r="C211" i="182" s="1"/>
  <c r="D211" i="182" s="1"/>
  <c r="G14" i="155"/>
  <c r="J14" i="155" s="1"/>
  <c r="G157" i="157"/>
  <c r="C233" i="182" s="1"/>
  <c r="D233" i="182" s="1"/>
  <c r="G18" i="155"/>
  <c r="J18" i="155" s="1"/>
  <c r="G161" i="157"/>
  <c r="C237" i="182" s="1"/>
  <c r="D237" i="182" s="1"/>
  <c r="G31" i="155"/>
  <c r="J31" i="155" s="1"/>
  <c r="G166" i="157"/>
  <c r="C242" i="182" s="1"/>
  <c r="D242" i="182" s="1"/>
  <c r="G24" i="155"/>
  <c r="J24" i="155" s="1"/>
  <c r="G171" i="157"/>
  <c r="C247" i="182" s="1"/>
  <c r="D247" i="182" s="1"/>
  <c r="G178" i="157"/>
  <c r="C254" i="182" s="1"/>
  <c r="D254" i="182" s="1"/>
  <c r="G182" i="157"/>
  <c r="C258" i="182" s="1"/>
  <c r="D258" i="182" s="1"/>
  <c r="G186" i="157"/>
  <c r="C262" i="182" s="1"/>
  <c r="D262" i="182" s="1"/>
  <c r="G190" i="157"/>
  <c r="C266" i="182" s="1"/>
  <c r="D266" i="182" s="1"/>
  <c r="F15" i="144"/>
  <c r="I15" i="144" s="1"/>
  <c r="G25" i="157"/>
  <c r="C51" i="182" s="1"/>
  <c r="D51" i="182" s="1"/>
  <c r="F15" i="145"/>
  <c r="I15" i="145" s="1"/>
  <c r="G39" i="157"/>
  <c r="C73" i="182" s="1"/>
  <c r="D73" i="182" s="1"/>
  <c r="F25" i="145"/>
  <c r="I25" i="145" s="1"/>
  <c r="G48" i="157"/>
  <c r="C82" i="182" s="1"/>
  <c r="D82" i="182" s="1"/>
  <c r="F20" i="147"/>
  <c r="I20" i="147" s="1"/>
  <c r="G61" i="157"/>
  <c r="C106" i="182" s="1"/>
  <c r="D106" i="182" s="1"/>
  <c r="F33" i="147"/>
  <c r="I33" i="147" s="1"/>
  <c r="F43" i="147"/>
  <c r="I43" i="147" s="1"/>
  <c r="G81" i="157"/>
  <c r="C126" i="182" s="1"/>
  <c r="D126" i="182" s="1"/>
  <c r="F51" i="147"/>
  <c r="I51" i="147" s="1"/>
  <c r="G89" i="157"/>
  <c r="C134" i="182" s="1"/>
  <c r="D134" i="182" s="1"/>
  <c r="F68" i="147"/>
  <c r="I68" i="147" s="1"/>
  <c r="G104" i="157"/>
  <c r="C149" i="182" s="1"/>
  <c r="D149" i="182" s="1"/>
  <c r="G113" i="157"/>
  <c r="C166" i="182" s="1"/>
  <c r="D166" i="182" s="1"/>
  <c r="G123" i="157"/>
  <c r="C176" i="182" s="1"/>
  <c r="D176" i="182" s="1"/>
  <c r="F21" i="151"/>
  <c r="G137" i="157"/>
  <c r="C198" i="182" s="1"/>
  <c r="D198" i="182" s="1"/>
  <c r="F32" i="151"/>
  <c r="I32" i="151" s="1"/>
  <c r="G147" i="157"/>
  <c r="C208" i="182" s="1"/>
  <c r="D208" i="182" s="1"/>
  <c r="G16" i="155"/>
  <c r="J16" i="155" s="1"/>
  <c r="G159" i="157"/>
  <c r="C235" i="182" s="1"/>
  <c r="D235" i="182" s="1"/>
  <c r="G22" i="155"/>
  <c r="J22" i="155" s="1"/>
  <c r="G169" i="157"/>
  <c r="C245" i="182" s="1"/>
  <c r="D245" i="182" s="1"/>
  <c r="G180" i="157"/>
  <c r="C256" i="182" s="1"/>
  <c r="D256" i="182" s="1"/>
  <c r="G188" i="157"/>
  <c r="C264" i="182" s="1"/>
  <c r="D264" i="182" s="1"/>
  <c r="F17" i="142"/>
  <c r="I17" i="142" s="1"/>
  <c r="G12" i="157"/>
  <c r="C34" i="182" s="1"/>
  <c r="D34" i="182" s="1"/>
  <c r="F23" i="142"/>
  <c r="I23" i="142" s="1"/>
  <c r="G17" i="157"/>
  <c r="C39" i="182" s="1"/>
  <c r="D39" i="182" s="1"/>
  <c r="F14" i="144"/>
  <c r="I14" i="144" s="1"/>
  <c r="G24" i="157"/>
  <c r="C50" i="182" s="1"/>
  <c r="D50" i="182" s="1"/>
  <c r="F18" i="144"/>
  <c r="I18" i="144" s="1"/>
  <c r="G28" i="157"/>
  <c r="C54" i="182" s="1"/>
  <c r="D54" i="182" s="1"/>
  <c r="F22" i="144"/>
  <c r="I22" i="144" s="1"/>
  <c r="G32" i="157"/>
  <c r="C58" i="182" s="1"/>
  <c r="D58" i="182" s="1"/>
  <c r="F14" i="145"/>
  <c r="I14" i="145" s="1"/>
  <c r="G38" i="157"/>
  <c r="C72" i="182" s="1"/>
  <c r="D72" i="182" s="1"/>
  <c r="F18" i="145"/>
  <c r="I18" i="145" s="1"/>
  <c r="G42" i="157"/>
  <c r="C76" i="182" s="1"/>
  <c r="D76" i="182" s="1"/>
  <c r="F24" i="145"/>
  <c r="I24" i="145" s="1"/>
  <c r="G47" i="157"/>
  <c r="C81" i="182" s="1"/>
  <c r="D81" i="182" s="1"/>
  <c r="F28" i="145"/>
  <c r="I28" i="145" s="1"/>
  <c r="G51" i="157"/>
  <c r="C85" i="182" s="1"/>
  <c r="D85" i="182" s="1"/>
  <c r="F15" i="147"/>
  <c r="I15" i="147" s="1"/>
  <c r="G56" i="157"/>
  <c r="C101" i="182" s="1"/>
  <c r="D101" i="182" s="1"/>
  <c r="F19" i="147"/>
  <c r="I19" i="147" s="1"/>
  <c r="G60" i="157"/>
  <c r="C105" i="182" s="1"/>
  <c r="D105" i="182" s="1"/>
  <c r="F25" i="147"/>
  <c r="I25" i="147" s="1"/>
  <c r="G65" i="157"/>
  <c r="C110" i="182" s="1"/>
  <c r="D110" i="182" s="1"/>
  <c r="F32" i="147"/>
  <c r="I32" i="147" s="1"/>
  <c r="F36" i="147"/>
  <c r="I36" i="147" s="1"/>
  <c r="G75" i="157"/>
  <c r="C120" i="182" s="1"/>
  <c r="D120" i="182" s="1"/>
  <c r="F40" i="147"/>
  <c r="I40" i="147" s="1"/>
  <c r="G79" i="157"/>
  <c r="C124" i="182" s="1"/>
  <c r="D124" i="182" s="1"/>
  <c r="F46" i="147"/>
  <c r="I46" i="147" s="1"/>
  <c r="G84" i="157"/>
  <c r="C129" i="182" s="1"/>
  <c r="D129" i="182" s="1"/>
  <c r="F50" i="147"/>
  <c r="I50" i="147" s="1"/>
  <c r="G88" i="157"/>
  <c r="C133" i="182" s="1"/>
  <c r="D133" i="182" s="1"/>
  <c r="F56" i="147"/>
  <c r="I56" i="147" s="1"/>
  <c r="G93" i="157"/>
  <c r="C138" i="182" s="1"/>
  <c r="D138" i="182" s="1"/>
  <c r="F63" i="147"/>
  <c r="I63" i="147" s="1"/>
  <c r="G99" i="157"/>
  <c r="C144" i="182" s="1"/>
  <c r="D144" i="182" s="1"/>
  <c r="F67" i="147"/>
  <c r="I67" i="147" s="1"/>
  <c r="G103" i="157"/>
  <c r="C148" i="182" s="1"/>
  <c r="D148" i="182" s="1"/>
  <c r="F71" i="147"/>
  <c r="I71" i="147" s="1"/>
  <c r="G107" i="157"/>
  <c r="C152" i="182" s="1"/>
  <c r="D152" i="182" s="1"/>
  <c r="G112" i="157"/>
  <c r="C165" i="182" s="1"/>
  <c r="D165" i="182" s="1"/>
  <c r="G116" i="157"/>
  <c r="C169" i="182" s="1"/>
  <c r="D169" i="182" s="1"/>
  <c r="G122" i="157"/>
  <c r="C175" i="182" s="1"/>
  <c r="D175" i="182" s="1"/>
  <c r="G126" i="157"/>
  <c r="C179" i="182" s="1"/>
  <c r="D179" i="182" s="1"/>
  <c r="F14" i="151"/>
  <c r="I14" i="151" s="1"/>
  <c r="G131" i="157"/>
  <c r="C192" i="182" s="1"/>
  <c r="D192" i="182" s="1"/>
  <c r="F18" i="151"/>
  <c r="I18" i="151" s="1"/>
  <c r="G135" i="157"/>
  <c r="C196" i="182" s="1"/>
  <c r="D196" i="182" s="1"/>
  <c r="F27" i="151"/>
  <c r="I27" i="151" s="1"/>
  <c r="G142" i="157"/>
  <c r="C203" i="182" s="1"/>
  <c r="D203" i="182" s="1"/>
  <c r="F31" i="151"/>
  <c r="I31" i="151" s="1"/>
  <c r="G146" i="157"/>
  <c r="C207" i="182" s="1"/>
  <c r="D207" i="182" s="1"/>
  <c r="D14" i="156"/>
  <c r="G151" i="157"/>
  <c r="C212" i="182" s="1"/>
  <c r="D212" i="182" s="1"/>
  <c r="G15" i="155"/>
  <c r="J15" i="155" s="1"/>
  <c r="G158" i="157"/>
  <c r="C234" i="182" s="1"/>
  <c r="D234" i="182" s="1"/>
  <c r="G28" i="155"/>
  <c r="J28" i="155" s="1"/>
  <c r="G163" i="157"/>
  <c r="C239" i="182" s="1"/>
  <c r="D239" i="182" s="1"/>
  <c r="G21" i="155"/>
  <c r="J21" i="155" s="1"/>
  <c r="G168" i="157"/>
  <c r="C244" i="182" s="1"/>
  <c r="D244" i="182" s="1"/>
  <c r="G25" i="155"/>
  <c r="J25" i="155" s="1"/>
  <c r="G172" i="157"/>
  <c r="C248" i="182" s="1"/>
  <c r="D248" i="182" s="1"/>
  <c r="G179" i="157"/>
  <c r="C255" i="182" s="1"/>
  <c r="D255" i="182" s="1"/>
  <c r="G183" i="157"/>
  <c r="C259" i="182" s="1"/>
  <c r="D259" i="182" s="1"/>
  <c r="G187" i="157"/>
  <c r="C263" i="182" s="1"/>
  <c r="D263" i="182" s="1"/>
  <c r="G191" i="157"/>
  <c r="C267" i="182" s="1"/>
  <c r="D267" i="182" s="1"/>
  <c r="I21" i="151" l="1"/>
  <c r="G14" i="156"/>
  <c r="D63" i="182"/>
  <c r="M12" i="182" s="1"/>
  <c r="M19" i="182"/>
  <c r="D213" i="182"/>
  <c r="D91" i="182"/>
  <c r="M17" i="182"/>
  <c r="D182" i="182"/>
  <c r="D271" i="182"/>
  <c r="D41" i="182"/>
  <c r="J36" i="155"/>
  <c r="I25" i="142"/>
  <c r="D14" i="180" s="1"/>
  <c r="I19" i="142"/>
  <c r="D13" i="180" s="1"/>
  <c r="F31" i="147"/>
  <c r="I31" i="147" s="1"/>
  <c r="G70" i="157"/>
  <c r="C115" i="182" s="1"/>
  <c r="D115" i="182" s="1"/>
  <c r="D153" i="182" s="1"/>
  <c r="B92" i="72"/>
  <c r="B92" i="70"/>
  <c r="B92" i="66"/>
  <c r="B92" i="68"/>
  <c r="J32" i="155"/>
  <c r="J19" i="155"/>
  <c r="I34" i="151"/>
  <c r="I34" i="148"/>
  <c r="I29" i="147"/>
  <c r="I22" i="148"/>
  <c r="I22" i="147"/>
  <c r="I21" i="145"/>
  <c r="I60" i="147"/>
  <c r="J26" i="155"/>
  <c r="I13" i="144"/>
  <c r="I19" i="151"/>
  <c r="I30" i="145"/>
  <c r="I52" i="147"/>
  <c r="G19" i="156" l="1"/>
  <c r="D27" i="180" s="1"/>
  <c r="I22" i="151"/>
  <c r="I36" i="151" s="1"/>
  <c r="D23" i="180" s="1"/>
  <c r="M14" i="182"/>
  <c r="M11" i="182"/>
  <c r="M16" i="182"/>
  <c r="M18" i="182"/>
  <c r="M15" i="182"/>
  <c r="M13" i="182"/>
  <c r="I27" i="142"/>
  <c r="B93" i="66"/>
  <c r="B93" i="68"/>
  <c r="B93" i="72"/>
  <c r="B93" i="70"/>
  <c r="I32" i="145"/>
  <c r="D19" i="180" s="1"/>
  <c r="I36" i="148"/>
  <c r="D22" i="180" s="1"/>
  <c r="J54" i="155"/>
  <c r="J56" i="155" s="1"/>
  <c r="D25" i="180" s="1"/>
  <c r="I23" i="144"/>
  <c r="D15" i="180" s="1"/>
  <c r="I72" i="147"/>
  <c r="I41" i="147"/>
  <c r="M20" i="182" l="1"/>
  <c r="I74" i="147"/>
  <c r="D20" i="180" s="1"/>
  <c r="B94" i="66"/>
  <c r="B94" i="70"/>
  <c r="B94" i="68"/>
  <c r="B94" i="72"/>
  <c r="B95" i="72" l="1"/>
  <c r="B95" i="70"/>
  <c r="B95" i="68"/>
  <c r="B95" i="66"/>
  <c r="B96" i="72" l="1"/>
  <c r="B96" i="70"/>
  <c r="B96" i="68"/>
  <c r="B96" i="66"/>
  <c r="H25" i="54"/>
  <c r="B97" i="66" l="1"/>
  <c r="B97" i="70"/>
  <c r="B97" i="68"/>
  <c r="B97" i="72"/>
  <c r="F7" i="54"/>
  <c r="B98" i="66" l="1"/>
  <c r="B98" i="70"/>
  <c r="B98" i="68"/>
  <c r="B98" i="72"/>
  <c r="B99" i="72" l="1"/>
  <c r="B99" i="70"/>
  <c r="B99" i="68"/>
  <c r="B99" i="66"/>
  <c r="G18" i="146" l="1"/>
  <c r="G19" i="146" s="1"/>
  <c r="D18" i="180" s="1"/>
  <c r="G14" i="146"/>
  <c r="G15" i="146" s="1"/>
  <c r="D17" i="180" s="1"/>
  <c r="D29" i="180" l="1"/>
  <c r="D32" i="180" s="1"/>
  <c r="G21" i="146"/>
  <c r="O13" i="43" l="1"/>
  <c r="B15" i="182" s="1"/>
  <c r="O11" i="43"/>
  <c r="B13" i="182" s="1"/>
  <c r="O9" i="43"/>
  <c r="B11" i="182" s="1"/>
  <c r="O10" i="43"/>
  <c r="B12" i="182" s="1"/>
  <c r="O12" i="43"/>
  <c r="B14" i="182" s="1"/>
  <c r="O14" i="43"/>
  <c r="O17" i="43"/>
  <c r="B17" i="182" s="1"/>
  <c r="O18" i="43"/>
  <c r="O19" i="43"/>
  <c r="O15" i="43"/>
  <c r="N16" i="43"/>
  <c r="O16" i="43" l="1"/>
  <c r="B16" i="182" s="1"/>
  <c r="O20" i="43"/>
  <c r="B18" i="182" s="1"/>
  <c r="O21" i="43"/>
  <c r="B20" i="182" l="1"/>
  <c r="O22" i="43"/>
  <c r="A2" i="127"/>
  <c r="D16" i="111" l="1"/>
  <c r="A1" i="128" l="1"/>
  <c r="A4" i="128"/>
  <c r="A5" i="128"/>
  <c r="A12" i="128"/>
  <c r="A13" i="128" s="1"/>
  <c r="A14" i="128" s="1"/>
  <c r="A15" i="128" s="1"/>
  <c r="A16" i="128" s="1"/>
  <c r="A17" i="128" s="1"/>
  <c r="F17" i="128"/>
  <c r="G17" i="128"/>
  <c r="H17" i="128"/>
  <c r="I17" i="128"/>
  <c r="A18" i="128" l="1"/>
  <c r="A19" i="128" s="1"/>
  <c r="A20" i="128" s="1"/>
  <c r="A21" i="128" s="1"/>
  <c r="A22" i="128" s="1"/>
  <c r="A23" i="128" s="1"/>
  <c r="A24" i="128" s="1"/>
  <c r="A25" i="128" s="1"/>
  <c r="A26" i="128" s="1"/>
  <c r="A27" i="128" s="1"/>
  <c r="A28" i="128" s="1"/>
  <c r="A29" i="128" s="1"/>
  <c r="E16" i="111"/>
  <c r="D17" i="111"/>
  <c r="D18" i="111"/>
  <c r="D19" i="111"/>
  <c r="E19" i="111" l="1"/>
  <c r="E18" i="111"/>
  <c r="E17" i="111"/>
  <c r="A30" i="128"/>
  <c r="A31" i="128" s="1"/>
  <c r="A32" i="128" s="1"/>
  <c r="A33" i="128" s="1"/>
  <c r="A34" i="128" l="1"/>
  <c r="A35" i="128" s="1"/>
  <c r="A36" i="128" s="1"/>
  <c r="A37" i="128" s="1"/>
  <c r="A38" i="128" s="1"/>
  <c r="A39" i="128" s="1"/>
  <c r="A40" i="128" s="1"/>
  <c r="A41" i="128" s="1"/>
  <c r="A42" i="128" s="1"/>
  <c r="A43" i="128" s="1"/>
  <c r="A44" i="128" s="1"/>
  <c r="A45" i="128" s="1"/>
  <c r="A46" i="128" s="1"/>
  <c r="A47" i="128" s="1"/>
  <c r="A48" i="128" s="1"/>
  <c r="A49" i="128" s="1"/>
  <c r="A50" i="128" s="1"/>
  <c r="A51" i="128" s="1"/>
  <c r="E24" i="110" l="1"/>
  <c r="E21" i="110"/>
  <c r="E29" i="110" l="1"/>
  <c r="F189" i="68"/>
  <c r="F212" i="68"/>
  <c r="B12" i="68"/>
  <c r="F12" i="68"/>
  <c r="F13" i="68"/>
  <c r="F14" i="68"/>
  <c r="B16" i="68"/>
  <c r="F16" i="68"/>
  <c r="F17" i="68"/>
  <c r="F18" i="68"/>
  <c r="F19" i="68"/>
  <c r="B21" i="68"/>
  <c r="B23" i="68"/>
  <c r="F23" i="68"/>
  <c r="B24" i="68"/>
  <c r="F24" i="68"/>
  <c r="B25" i="68"/>
  <c r="F25" i="68"/>
  <c r="B26" i="68"/>
  <c r="F26" i="68"/>
  <c r="B27" i="68"/>
  <c r="F27" i="68"/>
  <c r="B28" i="68"/>
  <c r="F28" i="68"/>
  <c r="B29" i="68"/>
  <c r="F29" i="68"/>
  <c r="B30" i="68"/>
  <c r="F30" i="68"/>
  <c r="B31" i="68"/>
  <c r="F31" i="68"/>
  <c r="B44" i="68"/>
  <c r="B45" i="68"/>
  <c r="F45" i="68"/>
  <c r="B46" i="68"/>
  <c r="F46" i="68"/>
  <c r="F47" i="68"/>
  <c r="F48" i="68"/>
  <c r="F49" i="68"/>
  <c r="F50" i="68"/>
  <c r="F51" i="68"/>
  <c r="F52" i="68"/>
  <c r="F54" i="68"/>
  <c r="F55" i="68"/>
  <c r="F56" i="68"/>
  <c r="F57" i="68"/>
  <c r="F58" i="68"/>
  <c r="F59" i="68"/>
  <c r="F60" i="68"/>
  <c r="B62" i="68"/>
  <c r="B63" i="68"/>
  <c r="F63" i="68"/>
  <c r="F64" i="68"/>
  <c r="F65" i="68"/>
  <c r="F66" i="68"/>
  <c r="F67" i="68"/>
  <c r="F68" i="68"/>
  <c r="F69" i="68"/>
  <c r="F70" i="68"/>
  <c r="F71" i="68"/>
  <c r="F73" i="68"/>
  <c r="F74" i="68"/>
  <c r="F75" i="68"/>
  <c r="F76" i="68"/>
  <c r="F77" i="68"/>
  <c r="F80" i="68"/>
  <c r="F81" i="68"/>
  <c r="F82" i="68"/>
  <c r="F83" i="68"/>
  <c r="F84" i="68"/>
  <c r="F85" i="68"/>
  <c r="F86" i="68"/>
  <c r="F87" i="68"/>
  <c r="F88" i="68"/>
  <c r="B101" i="68"/>
  <c r="F101" i="68"/>
  <c r="F102" i="68"/>
  <c r="F103" i="68"/>
  <c r="F104" i="68"/>
  <c r="F105" i="68"/>
  <c r="F106" i="68"/>
  <c r="F107" i="68"/>
  <c r="F108" i="68"/>
  <c r="F109" i="68"/>
  <c r="F111" i="68"/>
  <c r="F112" i="68"/>
  <c r="F113" i="68"/>
  <c r="F114" i="68"/>
  <c r="F115" i="68"/>
  <c r="F116" i="68"/>
  <c r="F119" i="68"/>
  <c r="F120" i="68"/>
  <c r="F121" i="68"/>
  <c r="F122" i="68"/>
  <c r="F123" i="68"/>
  <c r="F124" i="68"/>
  <c r="F125" i="68"/>
  <c r="F126" i="68"/>
  <c r="F127" i="68"/>
  <c r="B129" i="68"/>
  <c r="B130" i="68"/>
  <c r="F130" i="68"/>
  <c r="F131" i="68"/>
  <c r="F132" i="68"/>
  <c r="F133" i="68"/>
  <c r="F134" i="68"/>
  <c r="F135" i="68"/>
  <c r="F136" i="68"/>
  <c r="F137" i="68"/>
  <c r="F138" i="68"/>
  <c r="F141" i="68"/>
  <c r="F142" i="68"/>
  <c r="F143" i="68"/>
  <c r="F144" i="68"/>
  <c r="F145" i="68"/>
  <c r="F146" i="68"/>
  <c r="F147" i="68"/>
  <c r="F148" i="68"/>
  <c r="F149" i="68"/>
  <c r="B151" i="68"/>
  <c r="B152" i="68"/>
  <c r="F152" i="68"/>
  <c r="F153" i="68"/>
  <c r="F154" i="68"/>
  <c r="F155" i="68"/>
  <c r="F156" i="68"/>
  <c r="F157" i="68"/>
  <c r="F159" i="68"/>
  <c r="F163" i="68"/>
  <c r="F164" i="68"/>
  <c r="F165" i="68"/>
  <c r="F166" i="68"/>
  <c r="F167" i="68"/>
  <c r="F168" i="68"/>
  <c r="F169" i="68"/>
  <c r="F170" i="68"/>
  <c r="B172" i="68"/>
  <c r="B173" i="68"/>
  <c r="F173" i="68"/>
  <c r="F174" i="68"/>
  <c r="F175" i="68"/>
  <c r="F176" i="68"/>
  <c r="F177" i="68"/>
  <c r="F178" i="68"/>
  <c r="F180" i="68"/>
  <c r="F181" i="68"/>
  <c r="F182" i="68"/>
  <c r="F183" i="68"/>
  <c r="F184" i="68"/>
  <c r="F186" i="68"/>
  <c r="F187" i="68"/>
  <c r="F188" i="68"/>
  <c r="F191" i="68"/>
  <c r="F192" i="68"/>
  <c r="B195" i="68"/>
  <c r="F195" i="68"/>
  <c r="B196" i="68"/>
  <c r="F196" i="68"/>
  <c r="B197" i="68"/>
  <c r="F197" i="68"/>
  <c r="B198" i="68"/>
  <c r="F198" i="68"/>
  <c r="B199" i="68"/>
  <c r="F199" i="68"/>
  <c r="B200" i="68"/>
  <c r="F200" i="68"/>
  <c r="B201" i="68"/>
  <c r="F201" i="68"/>
  <c r="B202" i="68"/>
  <c r="F202" i="68"/>
  <c r="B203" i="68"/>
  <c r="F203" i="68"/>
  <c r="B204" i="68"/>
  <c r="F204" i="68"/>
  <c r="B205" i="68"/>
  <c r="F205" i="68"/>
  <c r="B206" i="68"/>
  <c r="F206" i="68"/>
  <c r="B207" i="68"/>
  <c r="F207" i="68"/>
  <c r="B208" i="68"/>
  <c r="F208" i="68"/>
  <c r="B209" i="68"/>
  <c r="F209" i="68"/>
  <c r="B211" i="68"/>
  <c r="B212" i="68"/>
  <c r="F214" i="68"/>
  <c r="F215" i="68"/>
  <c r="F217" i="68"/>
  <c r="B10" i="68"/>
  <c r="B9" i="68"/>
  <c r="B12" i="70"/>
  <c r="B16" i="70"/>
  <c r="B21" i="70"/>
  <c r="B23" i="70"/>
  <c r="B24" i="70"/>
  <c r="B25" i="70"/>
  <c r="B26" i="70"/>
  <c r="B27" i="70"/>
  <c r="B28" i="70"/>
  <c r="B29" i="70"/>
  <c r="B30" i="70"/>
  <c r="B31" i="70"/>
  <c r="B44" i="70"/>
  <c r="B45" i="70"/>
  <c r="B46" i="70"/>
  <c r="B62" i="70"/>
  <c r="B63" i="70"/>
  <c r="B101" i="70"/>
  <c r="B129" i="70"/>
  <c r="B130" i="70"/>
  <c r="B151" i="70"/>
  <c r="B152" i="70"/>
  <c r="B172" i="70"/>
  <c r="B173" i="70"/>
  <c r="B195" i="70"/>
  <c r="B196" i="70"/>
  <c r="B197" i="70"/>
  <c r="B198" i="70"/>
  <c r="B199" i="70"/>
  <c r="B200" i="70"/>
  <c r="B201" i="70"/>
  <c r="B202" i="70"/>
  <c r="B203" i="70"/>
  <c r="B204" i="70"/>
  <c r="B205" i="70"/>
  <c r="B206" i="70"/>
  <c r="B207" i="70"/>
  <c r="B208" i="70"/>
  <c r="B209" i="70"/>
  <c r="B211" i="70"/>
  <c r="B212" i="70"/>
  <c r="B214" i="70"/>
  <c r="B215" i="70"/>
  <c r="B217" i="70"/>
  <c r="B10" i="70"/>
  <c r="B9" i="70"/>
  <c r="F212" i="72"/>
  <c r="B12" i="72"/>
  <c r="F12" i="72"/>
  <c r="F13" i="72"/>
  <c r="F14" i="72"/>
  <c r="B16" i="72"/>
  <c r="F16" i="72"/>
  <c r="F17" i="72"/>
  <c r="F18" i="72"/>
  <c r="F19" i="72"/>
  <c r="B21" i="72"/>
  <c r="B23" i="72"/>
  <c r="F23" i="72"/>
  <c r="B24" i="72"/>
  <c r="F24" i="72"/>
  <c r="B25" i="72"/>
  <c r="F25" i="72"/>
  <c r="B26" i="72"/>
  <c r="F26" i="72"/>
  <c r="B27" i="72"/>
  <c r="F27" i="72"/>
  <c r="B28" i="72"/>
  <c r="F28" i="72"/>
  <c r="B29" i="72"/>
  <c r="F29" i="72"/>
  <c r="B30" i="72"/>
  <c r="F30" i="72"/>
  <c r="B31" i="72"/>
  <c r="F31" i="72"/>
  <c r="B44" i="72"/>
  <c r="B45" i="72"/>
  <c r="F45" i="72"/>
  <c r="B46" i="72"/>
  <c r="F46" i="72"/>
  <c r="F47" i="72"/>
  <c r="F48" i="72"/>
  <c r="F49" i="72"/>
  <c r="F50" i="72"/>
  <c r="F51" i="72"/>
  <c r="F52" i="72"/>
  <c r="F54" i="72"/>
  <c r="F55" i="72"/>
  <c r="F56" i="72"/>
  <c r="F57" i="72"/>
  <c r="F58" i="72"/>
  <c r="F59" i="72"/>
  <c r="F60" i="72"/>
  <c r="B62" i="72"/>
  <c r="B63" i="72"/>
  <c r="F63" i="72"/>
  <c r="F64" i="72"/>
  <c r="F65" i="72"/>
  <c r="F66" i="72"/>
  <c r="F67" i="72"/>
  <c r="F68" i="72"/>
  <c r="F69" i="72"/>
  <c r="F70" i="72"/>
  <c r="F71" i="72"/>
  <c r="F73" i="72"/>
  <c r="F74" i="72"/>
  <c r="F75" i="72"/>
  <c r="F76" i="72"/>
  <c r="F77" i="72"/>
  <c r="F80" i="72"/>
  <c r="F81" i="72"/>
  <c r="F82" i="72"/>
  <c r="F83" i="72"/>
  <c r="F84" i="72"/>
  <c r="F85" i="72"/>
  <c r="F86" i="72"/>
  <c r="F87" i="72"/>
  <c r="F88" i="72"/>
  <c r="B101" i="72"/>
  <c r="F101" i="72"/>
  <c r="F102" i="72"/>
  <c r="F103" i="72"/>
  <c r="F104" i="72"/>
  <c r="F105" i="72"/>
  <c r="F106" i="72"/>
  <c r="F107" i="72"/>
  <c r="F108" i="72"/>
  <c r="F109" i="72"/>
  <c r="F111" i="72"/>
  <c r="F112" i="72"/>
  <c r="F113" i="72"/>
  <c r="F114" i="72"/>
  <c r="F115" i="72"/>
  <c r="F116" i="72"/>
  <c r="F119" i="72"/>
  <c r="F120" i="72"/>
  <c r="F121" i="72"/>
  <c r="F122" i="72"/>
  <c r="F123" i="72"/>
  <c r="F124" i="72"/>
  <c r="F125" i="72"/>
  <c r="F126" i="72"/>
  <c r="F127" i="72"/>
  <c r="B129" i="72"/>
  <c r="B130" i="72"/>
  <c r="F130" i="72"/>
  <c r="F131" i="72"/>
  <c r="F132" i="72"/>
  <c r="F133" i="72"/>
  <c r="F134" i="72"/>
  <c r="F135" i="72"/>
  <c r="F136" i="72"/>
  <c r="F137" i="72"/>
  <c r="F138" i="72"/>
  <c r="F141" i="72"/>
  <c r="F142" i="72"/>
  <c r="F143" i="72"/>
  <c r="F144" i="72"/>
  <c r="F145" i="72"/>
  <c r="F146" i="72"/>
  <c r="F147" i="72"/>
  <c r="F148" i="72"/>
  <c r="F149" i="72"/>
  <c r="B151" i="72"/>
  <c r="B152" i="72"/>
  <c r="F152" i="72"/>
  <c r="F153" i="72"/>
  <c r="F154" i="72"/>
  <c r="F155" i="72"/>
  <c r="F156" i="72"/>
  <c r="F157" i="72"/>
  <c r="F159" i="72"/>
  <c r="F162" i="72"/>
  <c r="F163" i="72"/>
  <c r="F164" i="72"/>
  <c r="F165" i="72"/>
  <c r="F166" i="72"/>
  <c r="F167" i="72"/>
  <c r="F168" i="72"/>
  <c r="F169" i="72"/>
  <c r="F170" i="72"/>
  <c r="B172" i="72"/>
  <c r="B173" i="72"/>
  <c r="F173" i="72"/>
  <c r="F174" i="72"/>
  <c r="F175" i="72"/>
  <c r="F176" i="72"/>
  <c r="F177" i="72"/>
  <c r="F178" i="72"/>
  <c r="F180" i="72"/>
  <c r="F181" i="72"/>
  <c r="F182" i="72"/>
  <c r="F183" i="72"/>
  <c r="F184" i="72"/>
  <c r="F186" i="72"/>
  <c r="F187" i="72"/>
  <c r="F188" i="72"/>
  <c r="F189" i="72"/>
  <c r="F191" i="72"/>
  <c r="F192" i="72"/>
  <c r="B195" i="72"/>
  <c r="F195" i="72"/>
  <c r="B196" i="72"/>
  <c r="F196" i="72"/>
  <c r="B197" i="72"/>
  <c r="F197" i="72"/>
  <c r="B198" i="72"/>
  <c r="F198" i="72"/>
  <c r="B199" i="72"/>
  <c r="F199" i="72"/>
  <c r="B200" i="72"/>
  <c r="F200" i="72"/>
  <c r="B201" i="72"/>
  <c r="F201" i="72"/>
  <c r="B202" i="72"/>
  <c r="F202" i="72"/>
  <c r="B203" i="72"/>
  <c r="F203" i="72"/>
  <c r="B204" i="72"/>
  <c r="F204" i="72"/>
  <c r="B205" i="72"/>
  <c r="F205" i="72"/>
  <c r="B206" i="72"/>
  <c r="F206" i="72"/>
  <c r="B207" i="72"/>
  <c r="F207" i="72"/>
  <c r="B208" i="72"/>
  <c r="F208" i="72"/>
  <c r="B209" i="72"/>
  <c r="F209" i="72"/>
  <c r="B211" i="72"/>
  <c r="B212" i="72"/>
  <c r="B214" i="72"/>
  <c r="B215" i="72"/>
  <c r="B217" i="72"/>
  <c r="B10" i="72"/>
  <c r="B9" i="72"/>
  <c r="B12" i="66"/>
  <c r="F12" i="66"/>
  <c r="F13" i="66"/>
  <c r="F14" i="66"/>
  <c r="B16" i="66"/>
  <c r="F16" i="66"/>
  <c r="F17" i="66"/>
  <c r="F18" i="66"/>
  <c r="F19" i="66"/>
  <c r="B21" i="66"/>
  <c r="B23" i="66"/>
  <c r="F23" i="66"/>
  <c r="B24" i="66"/>
  <c r="F24" i="66"/>
  <c r="B25" i="66"/>
  <c r="F25" i="66"/>
  <c r="B26" i="66"/>
  <c r="F26" i="66"/>
  <c r="B27" i="66"/>
  <c r="F27" i="66"/>
  <c r="B28" i="66"/>
  <c r="F28" i="66"/>
  <c r="B29" i="66"/>
  <c r="F29" i="66"/>
  <c r="B30" i="66"/>
  <c r="F30" i="66"/>
  <c r="B31" i="66"/>
  <c r="F31" i="66"/>
  <c r="B44" i="66"/>
  <c r="B45" i="66"/>
  <c r="F45" i="66"/>
  <c r="B46" i="66"/>
  <c r="F46" i="66"/>
  <c r="F47" i="66"/>
  <c r="F48" i="66"/>
  <c r="F49" i="66"/>
  <c r="F50" i="66"/>
  <c r="F51" i="66"/>
  <c r="F52" i="66"/>
  <c r="F54" i="66"/>
  <c r="F55" i="66"/>
  <c r="F56" i="66"/>
  <c r="F57" i="66"/>
  <c r="F58" i="66"/>
  <c r="F59" i="66"/>
  <c r="F60" i="66"/>
  <c r="B62" i="66"/>
  <c r="B63" i="66"/>
  <c r="F63" i="66"/>
  <c r="F64" i="66"/>
  <c r="F65" i="66"/>
  <c r="F66" i="66"/>
  <c r="F67" i="66"/>
  <c r="F68" i="66"/>
  <c r="F69" i="66"/>
  <c r="F70" i="66"/>
  <c r="F71" i="66"/>
  <c r="F73" i="66"/>
  <c r="F74" i="66"/>
  <c r="F75" i="66"/>
  <c r="F76" i="66"/>
  <c r="F77" i="66"/>
  <c r="F80" i="66"/>
  <c r="F81" i="66"/>
  <c r="F82" i="66"/>
  <c r="F83" i="66"/>
  <c r="F84" i="66"/>
  <c r="F85" i="66"/>
  <c r="F86" i="66"/>
  <c r="F87" i="66"/>
  <c r="F88" i="66"/>
  <c r="B101" i="66"/>
  <c r="F101" i="66"/>
  <c r="F102" i="66"/>
  <c r="F103" i="66"/>
  <c r="F104" i="66"/>
  <c r="F105" i="66"/>
  <c r="F106" i="66"/>
  <c r="F107" i="66"/>
  <c r="F108" i="66"/>
  <c r="F109" i="66"/>
  <c r="F111" i="66"/>
  <c r="F112" i="66"/>
  <c r="F113" i="66"/>
  <c r="F114" i="66"/>
  <c r="F115" i="66"/>
  <c r="F116" i="66"/>
  <c r="F119" i="66"/>
  <c r="F120" i="66"/>
  <c r="F121" i="66"/>
  <c r="F122" i="66"/>
  <c r="F123" i="66"/>
  <c r="F124" i="66"/>
  <c r="F125" i="66"/>
  <c r="F126" i="66"/>
  <c r="F127" i="66"/>
  <c r="B129" i="66"/>
  <c r="B130" i="66"/>
  <c r="F130" i="66"/>
  <c r="F131" i="66"/>
  <c r="F132" i="66"/>
  <c r="F133" i="66"/>
  <c r="F134" i="66"/>
  <c r="F135" i="66"/>
  <c r="F136" i="66"/>
  <c r="F137" i="66"/>
  <c r="F138" i="66"/>
  <c r="F141" i="66"/>
  <c r="F142" i="66"/>
  <c r="F143" i="66"/>
  <c r="F144" i="66"/>
  <c r="F145" i="66"/>
  <c r="F146" i="66"/>
  <c r="F147" i="66"/>
  <c r="F148" i="66"/>
  <c r="F149" i="66"/>
  <c r="B151" i="66"/>
  <c r="B152" i="66"/>
  <c r="F152" i="66"/>
  <c r="F153" i="66"/>
  <c r="F154" i="66"/>
  <c r="F155" i="66"/>
  <c r="F156" i="66"/>
  <c r="F157" i="66"/>
  <c r="F159" i="66"/>
  <c r="F162" i="66"/>
  <c r="F163" i="66"/>
  <c r="F164" i="66"/>
  <c r="F165" i="66"/>
  <c r="F166" i="66"/>
  <c r="F167" i="66"/>
  <c r="F168" i="66"/>
  <c r="F169" i="66"/>
  <c r="F170" i="66"/>
  <c r="B172" i="66"/>
  <c r="B173" i="66"/>
  <c r="F173" i="66"/>
  <c r="F174" i="66"/>
  <c r="F175" i="66"/>
  <c r="F176" i="66"/>
  <c r="F177" i="66"/>
  <c r="F178" i="66"/>
  <c r="F180" i="66"/>
  <c r="F181" i="66"/>
  <c r="F182" i="66"/>
  <c r="F183" i="66"/>
  <c r="F184" i="66"/>
  <c r="F186" i="66"/>
  <c r="F187" i="66"/>
  <c r="F188" i="66"/>
  <c r="F189" i="66"/>
  <c r="F191" i="66"/>
  <c r="F192" i="66"/>
  <c r="B195" i="66"/>
  <c r="F195" i="66"/>
  <c r="B196" i="66"/>
  <c r="F196" i="66"/>
  <c r="B197" i="66"/>
  <c r="F197" i="66"/>
  <c r="B198" i="66"/>
  <c r="F198" i="66"/>
  <c r="B199" i="66"/>
  <c r="F199" i="66"/>
  <c r="B200" i="66"/>
  <c r="F200" i="66"/>
  <c r="B201" i="66"/>
  <c r="F201" i="66"/>
  <c r="B202" i="66"/>
  <c r="F202" i="66"/>
  <c r="B203" i="66"/>
  <c r="F203" i="66"/>
  <c r="B204" i="66"/>
  <c r="F204" i="66"/>
  <c r="B205" i="66"/>
  <c r="F205" i="66"/>
  <c r="B206" i="66"/>
  <c r="F206" i="66"/>
  <c r="B207" i="66"/>
  <c r="F207" i="66"/>
  <c r="B208" i="66"/>
  <c r="F208" i="66"/>
  <c r="B209" i="66"/>
  <c r="F209" i="66"/>
  <c r="B211" i="66"/>
  <c r="B212" i="66"/>
  <c r="F212" i="66"/>
  <c r="B214" i="66"/>
  <c r="F214" i="66"/>
  <c r="G214" i="66"/>
  <c r="B215" i="66"/>
  <c r="F215" i="66"/>
  <c r="G215" i="66"/>
  <c r="B217" i="66"/>
  <c r="F217" i="66"/>
  <c r="G217" i="66"/>
  <c r="F10" i="66"/>
  <c r="B10" i="66"/>
  <c r="B9" i="66"/>
  <c r="B172" i="67"/>
  <c r="B173" i="67"/>
  <c r="B195" i="67"/>
  <c r="B196" i="67"/>
  <c r="B197" i="67"/>
  <c r="B198" i="67"/>
  <c r="B199" i="67"/>
  <c r="B200" i="67"/>
  <c r="B201" i="67"/>
  <c r="B202" i="67"/>
  <c r="B203" i="67"/>
  <c r="B204" i="67"/>
  <c r="B205" i="67"/>
  <c r="B206" i="67"/>
  <c r="B207" i="67"/>
  <c r="B208" i="67"/>
  <c r="B209" i="67"/>
  <c r="B211" i="67"/>
  <c r="B212" i="67"/>
  <c r="G212" i="67"/>
  <c r="B214" i="67"/>
  <c r="G214" i="67"/>
  <c r="B215" i="67"/>
  <c r="G215" i="67"/>
  <c r="B217" i="67"/>
  <c r="G217" i="67"/>
  <c r="B130" i="67"/>
  <c r="G138" i="67"/>
  <c r="B151" i="67"/>
  <c r="B152" i="67"/>
  <c r="B63" i="67"/>
  <c r="B101" i="67"/>
  <c r="G109" i="67"/>
  <c r="B129" i="67"/>
  <c r="B62" i="67"/>
  <c r="B45" i="67"/>
  <c r="B46" i="67"/>
  <c r="B44" i="67"/>
  <c r="B21" i="67"/>
  <c r="B23" i="67"/>
  <c r="B24" i="67"/>
  <c r="B25" i="67"/>
  <c r="B26" i="67"/>
  <c r="B27" i="67"/>
  <c r="B28" i="67"/>
  <c r="B29" i="67"/>
  <c r="B30" i="67"/>
  <c r="B31" i="67"/>
  <c r="B12" i="67"/>
  <c r="G12" i="67"/>
  <c r="G13" i="67"/>
  <c r="G14" i="67"/>
  <c r="B16" i="67"/>
  <c r="G16" i="67"/>
  <c r="G17" i="67"/>
  <c r="G18" i="67"/>
  <c r="G19" i="67"/>
  <c r="G10" i="67"/>
  <c r="B9" i="67"/>
  <c r="B10" i="67"/>
  <c r="A1" i="127" l="1"/>
  <c r="A4" i="127"/>
  <c r="A20" i="127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A32" i="127" s="1"/>
  <c r="A33" i="127" s="1"/>
  <c r="A34" i="127" s="1"/>
  <c r="A35" i="127" s="1"/>
  <c r="A36" i="127" s="1"/>
  <c r="A37" i="127" s="1"/>
  <c r="A38" i="127" s="1"/>
  <c r="A39" i="127" s="1"/>
  <c r="D48" i="183" l="1"/>
  <c r="D56" i="183" l="1"/>
  <c r="F63" i="67" l="1"/>
  <c r="F64" i="67"/>
  <c r="F65" i="67"/>
  <c r="F66" i="67"/>
  <c r="F67" i="67"/>
  <c r="F68" i="67"/>
  <c r="F69" i="67"/>
  <c r="F70" i="67"/>
  <c r="F71" i="67"/>
  <c r="G71" i="67"/>
  <c r="F73" i="67"/>
  <c r="F74" i="67"/>
  <c r="F75" i="67"/>
  <c r="F76" i="67"/>
  <c r="F77" i="67"/>
  <c r="F80" i="67"/>
  <c r="F81" i="67"/>
  <c r="F82" i="67"/>
  <c r="F83" i="67"/>
  <c r="F84" i="67"/>
  <c r="F85" i="67"/>
  <c r="F86" i="67"/>
  <c r="F87" i="67"/>
  <c r="F88" i="67"/>
  <c r="G149" i="68"/>
  <c r="F152" i="67"/>
  <c r="F153" i="67"/>
  <c r="F154" i="67"/>
  <c r="F155" i="67"/>
  <c r="F156" i="67"/>
  <c r="F157" i="67"/>
  <c r="F159" i="67"/>
  <c r="F163" i="67"/>
  <c r="F164" i="67"/>
  <c r="F165" i="67"/>
  <c r="F166" i="67"/>
  <c r="F167" i="67"/>
  <c r="F168" i="67"/>
  <c r="F169" i="67"/>
  <c r="F170" i="67"/>
  <c r="F173" i="67"/>
  <c r="F174" i="67"/>
  <c r="F175" i="67"/>
  <c r="F176" i="67"/>
  <c r="F177" i="67"/>
  <c r="F178" i="67"/>
  <c r="F180" i="67"/>
  <c r="F181" i="67"/>
  <c r="F182" i="67"/>
  <c r="F183" i="67"/>
  <c r="F184" i="67"/>
  <c r="F186" i="67"/>
  <c r="F187" i="67"/>
  <c r="F188" i="67"/>
  <c r="F189" i="67"/>
  <c r="F191" i="67"/>
  <c r="F192" i="67"/>
  <c r="F195" i="67"/>
  <c r="F196" i="67"/>
  <c r="F197" i="67"/>
  <c r="F198" i="67"/>
  <c r="F199" i="67"/>
  <c r="F200" i="67"/>
  <c r="F201" i="67"/>
  <c r="F202" i="67"/>
  <c r="F203" i="67"/>
  <c r="F204" i="67"/>
  <c r="F205" i="67"/>
  <c r="F206" i="67"/>
  <c r="F207" i="67"/>
  <c r="F208" i="67"/>
  <c r="F209" i="67"/>
  <c r="F214" i="67"/>
  <c r="F215" i="67"/>
  <c r="F217" i="67"/>
  <c r="B47" i="68" l="1"/>
  <c r="B47" i="70"/>
  <c r="B47" i="66"/>
  <c r="B47" i="72"/>
  <c r="B47" i="67"/>
  <c r="B13" i="68"/>
  <c r="B13" i="66"/>
  <c r="B13" i="67"/>
  <c r="B13" i="72"/>
  <c r="B13" i="70"/>
  <c r="B153" i="70"/>
  <c r="B153" i="68"/>
  <c r="B153" i="72"/>
  <c r="B153" i="66"/>
  <c r="B153" i="67"/>
  <c r="B131" i="68"/>
  <c r="B131" i="70"/>
  <c r="B131" i="66"/>
  <c r="B131" i="72"/>
  <c r="B131" i="67"/>
  <c r="B102" i="70"/>
  <c r="B102" i="66"/>
  <c r="B102" i="72"/>
  <c r="B102" i="68"/>
  <c r="B102" i="67"/>
  <c r="B174" i="68"/>
  <c r="B174" i="70"/>
  <c r="B174" i="72"/>
  <c r="B174" i="67"/>
  <c r="B174" i="66"/>
  <c r="B64" i="68"/>
  <c r="B64" i="70"/>
  <c r="B64" i="72"/>
  <c r="B64" i="66"/>
  <c r="B64" i="67"/>
  <c r="B17" i="68"/>
  <c r="B17" i="70"/>
  <c r="B17" i="66"/>
  <c r="B17" i="72"/>
  <c r="B17" i="67"/>
  <c r="D207" i="70"/>
  <c r="D207" i="72"/>
  <c r="D207" i="68"/>
  <c r="D207" i="67"/>
  <c r="D207" i="66"/>
  <c r="G205" i="68"/>
  <c r="G205" i="72"/>
  <c r="D203" i="70"/>
  <c r="D203" i="68"/>
  <c r="D203" i="72"/>
  <c r="D203" i="66"/>
  <c r="D203" i="67"/>
  <c r="D197" i="68"/>
  <c r="D197" i="70"/>
  <c r="D197" i="67"/>
  <c r="D197" i="72"/>
  <c r="D197" i="66"/>
  <c r="D169" i="68"/>
  <c r="D169" i="70"/>
  <c r="D169" i="67"/>
  <c r="D169" i="66"/>
  <c r="D169" i="72"/>
  <c r="E168" i="70"/>
  <c r="E168" i="66"/>
  <c r="E168" i="68"/>
  <c r="E168" i="72"/>
  <c r="F149" i="67"/>
  <c r="E147" i="68"/>
  <c r="E147" i="72"/>
  <c r="E147" i="70"/>
  <c r="E147" i="66"/>
  <c r="D126" i="70"/>
  <c r="D126" i="68"/>
  <c r="D126" i="66"/>
  <c r="D126" i="72"/>
  <c r="D126" i="67"/>
  <c r="E115" i="70"/>
  <c r="E115" i="66"/>
  <c r="E115" i="72"/>
  <c r="E115" i="68"/>
  <c r="G112" i="68"/>
  <c r="G112" i="72"/>
  <c r="F107" i="67"/>
  <c r="E75" i="70"/>
  <c r="E75" i="66"/>
  <c r="E75" i="68"/>
  <c r="E75" i="72"/>
  <c r="D70" i="68"/>
  <c r="D70" i="72"/>
  <c r="D70" i="66"/>
  <c r="D70" i="67"/>
  <c r="D70" i="70"/>
  <c r="D66" i="68"/>
  <c r="D66" i="70"/>
  <c r="D66" i="67"/>
  <c r="D66" i="72"/>
  <c r="D66" i="66"/>
  <c r="D27" i="68"/>
  <c r="D27" i="70"/>
  <c r="D27" i="72"/>
  <c r="D27" i="67"/>
  <c r="D27" i="66"/>
  <c r="D24" i="68"/>
  <c r="D24" i="70"/>
  <c r="D24" i="72"/>
  <c r="D24" i="67"/>
  <c r="D24" i="66"/>
  <c r="D23" i="68"/>
  <c r="D23" i="72"/>
  <c r="D23" i="67"/>
  <c r="D23" i="70"/>
  <c r="D23" i="66"/>
  <c r="G10" i="66"/>
  <c r="D10" i="72"/>
  <c r="D10" i="68"/>
  <c r="D10" i="70"/>
  <c r="D10" i="66"/>
  <c r="D10" i="67"/>
  <c r="D214" i="70"/>
  <c r="D214" i="68"/>
  <c r="D214" i="72"/>
  <c r="D214" i="66"/>
  <c r="D214" i="67"/>
  <c r="G212" i="66"/>
  <c r="D212" i="68"/>
  <c r="D212" i="70"/>
  <c r="D212" i="67"/>
  <c r="D212" i="72"/>
  <c r="D212" i="66"/>
  <c r="E209" i="68"/>
  <c r="E209" i="72"/>
  <c r="E209" i="70"/>
  <c r="E209" i="66"/>
  <c r="G208" i="68"/>
  <c r="G208" i="72"/>
  <c r="D206" i="70"/>
  <c r="D206" i="68"/>
  <c r="D206" i="72"/>
  <c r="D206" i="67"/>
  <c r="D206" i="66"/>
  <c r="E205" i="68"/>
  <c r="E205" i="72"/>
  <c r="E205" i="70"/>
  <c r="E205" i="66"/>
  <c r="G204" i="68"/>
  <c r="G204" i="72"/>
  <c r="G200" i="68"/>
  <c r="G200" i="72"/>
  <c r="D198" i="70"/>
  <c r="D198" i="68"/>
  <c r="D198" i="72"/>
  <c r="D198" i="67"/>
  <c r="D198" i="66"/>
  <c r="D192" i="68"/>
  <c r="D192" i="70"/>
  <c r="D192" i="72"/>
  <c r="D192" i="66"/>
  <c r="D192" i="67"/>
  <c r="D187" i="68"/>
  <c r="D187" i="70"/>
  <c r="D187" i="72"/>
  <c r="D187" i="66"/>
  <c r="D187" i="67"/>
  <c r="D182" i="70"/>
  <c r="D182" i="72"/>
  <c r="D182" i="66"/>
  <c r="D182" i="67"/>
  <c r="D182" i="68"/>
  <c r="D177" i="70"/>
  <c r="D177" i="68"/>
  <c r="D177" i="72"/>
  <c r="D177" i="66"/>
  <c r="D177" i="67"/>
  <c r="G170" i="68"/>
  <c r="G170" i="72"/>
  <c r="D168" i="68"/>
  <c r="D168" i="66"/>
  <c r="D168" i="72"/>
  <c r="D168" i="67"/>
  <c r="D168" i="70"/>
  <c r="E167" i="68"/>
  <c r="E167" i="72"/>
  <c r="E167" i="66"/>
  <c r="E167" i="70"/>
  <c r="G166" i="68"/>
  <c r="G166" i="72"/>
  <c r="D157" i="68"/>
  <c r="D157" i="66"/>
  <c r="D157" i="72"/>
  <c r="D157" i="67"/>
  <c r="D157" i="70"/>
  <c r="D153" i="68"/>
  <c r="D153" i="66"/>
  <c r="D153" i="70"/>
  <c r="D153" i="67"/>
  <c r="D153" i="72"/>
  <c r="D152" i="68"/>
  <c r="D152" i="70"/>
  <c r="D152" i="72"/>
  <c r="D152" i="67"/>
  <c r="D152" i="66"/>
  <c r="F148" i="67"/>
  <c r="D147" i="68"/>
  <c r="D147" i="70"/>
  <c r="D147" i="72"/>
  <c r="D147" i="66"/>
  <c r="D147" i="67"/>
  <c r="D146" i="68"/>
  <c r="D146" i="70"/>
  <c r="D146" i="72"/>
  <c r="D146" i="66"/>
  <c r="D146" i="67"/>
  <c r="D145" i="70"/>
  <c r="D145" i="68"/>
  <c r="D145" i="72"/>
  <c r="D145" i="66"/>
  <c r="D145" i="67"/>
  <c r="D144" i="68"/>
  <c r="D144" i="70"/>
  <c r="D144" i="72"/>
  <c r="D144" i="66"/>
  <c r="D144" i="67"/>
  <c r="D143" i="70"/>
  <c r="D143" i="68"/>
  <c r="D143" i="72"/>
  <c r="D143" i="66"/>
  <c r="D143" i="67"/>
  <c r="D142" i="68"/>
  <c r="D142" i="70"/>
  <c r="D142" i="72"/>
  <c r="D142" i="66"/>
  <c r="D142" i="67"/>
  <c r="D141" i="70"/>
  <c r="D141" i="68"/>
  <c r="D141" i="67"/>
  <c r="D141" i="72"/>
  <c r="D141" i="66"/>
  <c r="D138" i="68"/>
  <c r="D138" i="70"/>
  <c r="D138" i="72"/>
  <c r="D138" i="66"/>
  <c r="D138" i="67"/>
  <c r="D137" i="68"/>
  <c r="D137" i="70"/>
  <c r="D137" i="72"/>
  <c r="D137" i="66"/>
  <c r="D137" i="67"/>
  <c r="D136" i="68"/>
  <c r="D136" i="70"/>
  <c r="D136" i="72"/>
  <c r="D136" i="66"/>
  <c r="D136" i="67"/>
  <c r="D135" i="70"/>
  <c r="D135" i="68"/>
  <c r="D135" i="67"/>
  <c r="D135" i="72"/>
  <c r="D135" i="66"/>
  <c r="D134" i="68"/>
  <c r="D134" i="70"/>
  <c r="D134" i="72"/>
  <c r="D134" i="66"/>
  <c r="D134" i="67"/>
  <c r="D133" i="68"/>
  <c r="D133" i="70"/>
  <c r="D133" i="72"/>
  <c r="D133" i="66"/>
  <c r="D133" i="67"/>
  <c r="D132" i="68"/>
  <c r="D132" i="70"/>
  <c r="D132" i="72"/>
  <c r="D132" i="66"/>
  <c r="D132" i="67"/>
  <c r="D131" i="70"/>
  <c r="D131" i="68"/>
  <c r="D131" i="67"/>
  <c r="D131" i="72"/>
  <c r="D131" i="66"/>
  <c r="G127" i="68"/>
  <c r="G127" i="72"/>
  <c r="F126" i="67"/>
  <c r="D125" i="70"/>
  <c r="D125" i="68"/>
  <c r="D125" i="66"/>
  <c r="D125" i="67"/>
  <c r="D125" i="72"/>
  <c r="F123" i="67"/>
  <c r="D121" i="70"/>
  <c r="D121" i="66"/>
  <c r="D121" i="72"/>
  <c r="D121" i="67"/>
  <c r="D121" i="68"/>
  <c r="F119" i="67"/>
  <c r="F116" i="67"/>
  <c r="D115" i="68"/>
  <c r="D115" i="70"/>
  <c r="D115" i="66"/>
  <c r="D115" i="72"/>
  <c r="D115" i="67"/>
  <c r="D113" i="68"/>
  <c r="D113" i="70"/>
  <c r="D113" i="72"/>
  <c r="D113" i="67"/>
  <c r="D113" i="66"/>
  <c r="E112" i="68"/>
  <c r="E112" i="72"/>
  <c r="E112" i="70"/>
  <c r="E112" i="66"/>
  <c r="G111" i="68"/>
  <c r="G111" i="72"/>
  <c r="F109" i="67"/>
  <c r="F108" i="67"/>
  <c r="D106" i="68"/>
  <c r="D106" i="70"/>
  <c r="D106" i="66"/>
  <c r="D106" i="72"/>
  <c r="D106" i="67"/>
  <c r="F104" i="67"/>
  <c r="D102" i="68"/>
  <c r="D102" i="70"/>
  <c r="D102" i="66"/>
  <c r="D102" i="72"/>
  <c r="D102" i="67"/>
  <c r="D101" i="68"/>
  <c r="D101" i="72"/>
  <c r="D101" i="70"/>
  <c r="D101" i="66"/>
  <c r="D101" i="67"/>
  <c r="D83" i="70"/>
  <c r="D83" i="67"/>
  <c r="D83" i="66"/>
  <c r="D83" i="72"/>
  <c r="D83" i="68"/>
  <c r="G77" i="68"/>
  <c r="G77" i="72"/>
  <c r="D75" i="68"/>
  <c r="D75" i="70"/>
  <c r="D75" i="72"/>
  <c r="D75" i="66"/>
  <c r="D75" i="67"/>
  <c r="E74" i="70"/>
  <c r="E74" i="66"/>
  <c r="E74" i="68"/>
  <c r="E74" i="72"/>
  <c r="G73" i="68"/>
  <c r="G73" i="72"/>
  <c r="D71" i="68"/>
  <c r="D71" i="70"/>
  <c r="D71" i="72"/>
  <c r="D71" i="66"/>
  <c r="D71" i="67"/>
  <c r="D67" i="68"/>
  <c r="D67" i="70"/>
  <c r="D67" i="72"/>
  <c r="D67" i="66"/>
  <c r="D67" i="67"/>
  <c r="F57" i="67"/>
  <c r="F56" i="67"/>
  <c r="F55" i="67"/>
  <c r="F54" i="67"/>
  <c r="F52" i="67"/>
  <c r="F51" i="67"/>
  <c r="F50" i="67"/>
  <c r="F49" i="67"/>
  <c r="F48" i="67"/>
  <c r="F47" i="67"/>
  <c r="E45" i="70"/>
  <c r="E45" i="66"/>
  <c r="E45" i="72"/>
  <c r="E45" i="68"/>
  <c r="F29" i="67"/>
  <c r="G19" i="72"/>
  <c r="G19" i="68"/>
  <c r="F18" i="67"/>
  <c r="F17" i="67"/>
  <c r="F14" i="67"/>
  <c r="G209" i="68"/>
  <c r="G209" i="72"/>
  <c r="E206" i="68"/>
  <c r="E206" i="72"/>
  <c r="E206" i="70"/>
  <c r="E206" i="66"/>
  <c r="D181" i="68"/>
  <c r="D181" i="70"/>
  <c r="D181" i="67"/>
  <c r="D181" i="72"/>
  <c r="D181" i="66"/>
  <c r="D176" i="70"/>
  <c r="D176" i="68"/>
  <c r="D176" i="67"/>
  <c r="D176" i="72"/>
  <c r="D176" i="66"/>
  <c r="G167" i="68"/>
  <c r="G167" i="72"/>
  <c r="F127" i="67"/>
  <c r="E125" i="68"/>
  <c r="E125" i="72"/>
  <c r="E125" i="70"/>
  <c r="E125" i="66"/>
  <c r="F122" i="67"/>
  <c r="D116" i="68"/>
  <c r="D116" i="70"/>
  <c r="D116" i="72"/>
  <c r="D116" i="66"/>
  <c r="D116" i="67"/>
  <c r="E113" i="70"/>
  <c r="E113" i="66"/>
  <c r="E113" i="68"/>
  <c r="E113" i="72"/>
  <c r="D109" i="68"/>
  <c r="D109" i="70"/>
  <c r="D109" i="72"/>
  <c r="D109" i="67"/>
  <c r="D109" i="66"/>
  <c r="D105" i="68"/>
  <c r="D105" i="70"/>
  <c r="D105" i="72"/>
  <c r="D105" i="66"/>
  <c r="D105" i="67"/>
  <c r="D82" i="68"/>
  <c r="D82" i="70"/>
  <c r="D82" i="66"/>
  <c r="D82" i="72"/>
  <c r="D82" i="67"/>
  <c r="D76" i="68"/>
  <c r="D76" i="70"/>
  <c r="D76" i="72"/>
  <c r="D76" i="66"/>
  <c r="D76" i="67"/>
  <c r="D29" i="68"/>
  <c r="D29" i="70"/>
  <c r="D29" i="72"/>
  <c r="D29" i="66"/>
  <c r="D29" i="67"/>
  <c r="D26" i="70"/>
  <c r="D26" i="72"/>
  <c r="D26" i="68"/>
  <c r="D26" i="66"/>
  <c r="D26" i="67"/>
  <c r="E16" i="70"/>
  <c r="E16" i="66"/>
  <c r="E16" i="72"/>
  <c r="E16" i="68"/>
  <c r="G12" i="66"/>
  <c r="D12" i="68"/>
  <c r="D12" i="70"/>
  <c r="D12" i="72"/>
  <c r="D12" i="66"/>
  <c r="D12" i="67"/>
  <c r="D215" i="70"/>
  <c r="D215" i="72"/>
  <c r="D215" i="66"/>
  <c r="D215" i="68"/>
  <c r="D215" i="67"/>
  <c r="D209" i="70"/>
  <c r="D209" i="68"/>
  <c r="D209" i="67"/>
  <c r="D209" i="72"/>
  <c r="D209" i="66"/>
  <c r="E208" i="70"/>
  <c r="E208" i="66"/>
  <c r="E208" i="72"/>
  <c r="E208" i="68"/>
  <c r="G207" i="68"/>
  <c r="G207" i="72"/>
  <c r="D205" i="70"/>
  <c r="D205" i="68"/>
  <c r="D205" i="67"/>
  <c r="D205" i="72"/>
  <c r="D205" i="66"/>
  <c r="E204" i="70"/>
  <c r="E204" i="66"/>
  <c r="E204" i="72"/>
  <c r="E204" i="68"/>
  <c r="G203" i="68"/>
  <c r="G203" i="72"/>
  <c r="D201" i="68"/>
  <c r="D201" i="70"/>
  <c r="D201" i="72"/>
  <c r="D201" i="67"/>
  <c r="D201" i="66"/>
  <c r="E200" i="68"/>
  <c r="E200" i="72"/>
  <c r="E200" i="70"/>
  <c r="E200" i="66"/>
  <c r="D199" i="68"/>
  <c r="D199" i="70"/>
  <c r="D199" i="67"/>
  <c r="D199" i="72"/>
  <c r="D199" i="66"/>
  <c r="D195" i="70"/>
  <c r="D195" i="68"/>
  <c r="D195" i="72"/>
  <c r="D195" i="66"/>
  <c r="D195" i="67"/>
  <c r="D188" i="68"/>
  <c r="D188" i="70"/>
  <c r="D188" i="67"/>
  <c r="D188" i="72"/>
  <c r="D188" i="66"/>
  <c r="D183" i="68"/>
  <c r="D183" i="70"/>
  <c r="D183" i="67"/>
  <c r="D183" i="72"/>
  <c r="D183" i="66"/>
  <c r="D178" i="68"/>
  <c r="D178" i="70"/>
  <c r="D178" i="67"/>
  <c r="D178" i="72"/>
  <c r="D178" i="66"/>
  <c r="D174" i="68"/>
  <c r="D174" i="70"/>
  <c r="D174" i="72"/>
  <c r="D174" i="66"/>
  <c r="D174" i="67"/>
  <c r="D173" i="70"/>
  <c r="D173" i="68"/>
  <c r="D173" i="72"/>
  <c r="D173" i="66"/>
  <c r="D173" i="67"/>
  <c r="E170" i="68"/>
  <c r="E170" i="72"/>
  <c r="E170" i="70"/>
  <c r="E170" i="66"/>
  <c r="G169" i="68"/>
  <c r="G169" i="72"/>
  <c r="D167" i="68"/>
  <c r="D167" i="70"/>
  <c r="D167" i="66"/>
  <c r="D167" i="67"/>
  <c r="D167" i="72"/>
  <c r="E166" i="68"/>
  <c r="E166" i="72"/>
  <c r="E166" i="70"/>
  <c r="E166" i="66"/>
  <c r="G165" i="68"/>
  <c r="G165" i="72"/>
  <c r="G163" i="68"/>
  <c r="G163" i="72"/>
  <c r="D159" i="68"/>
  <c r="D159" i="70"/>
  <c r="D159" i="72"/>
  <c r="D159" i="67"/>
  <c r="D159" i="66"/>
  <c r="D154" i="68"/>
  <c r="D154" i="70"/>
  <c r="D154" i="72"/>
  <c r="D154" i="67"/>
  <c r="D154" i="66"/>
  <c r="E149" i="68"/>
  <c r="E149" i="72"/>
  <c r="E149" i="66"/>
  <c r="E149" i="70"/>
  <c r="F147" i="67"/>
  <c r="D130" i="68"/>
  <c r="D130" i="70"/>
  <c r="D130" i="72"/>
  <c r="D130" i="66"/>
  <c r="D130" i="67"/>
  <c r="E127" i="70"/>
  <c r="E127" i="66"/>
  <c r="E127" i="72"/>
  <c r="E127" i="68"/>
  <c r="G126" i="68"/>
  <c r="G126" i="72"/>
  <c r="F125" i="67"/>
  <c r="F124" i="67"/>
  <c r="D122" i="68"/>
  <c r="D122" i="70"/>
  <c r="D122" i="72"/>
  <c r="D122" i="66"/>
  <c r="D122" i="67"/>
  <c r="F120" i="67"/>
  <c r="G116" i="68"/>
  <c r="G116" i="72"/>
  <c r="F115" i="67"/>
  <c r="F114" i="67"/>
  <c r="F113" i="67"/>
  <c r="D112" i="68"/>
  <c r="D112" i="70"/>
  <c r="D112" i="72"/>
  <c r="D112" i="66"/>
  <c r="D112" i="67"/>
  <c r="E111" i="68"/>
  <c r="E111" i="72"/>
  <c r="E111" i="70"/>
  <c r="E111" i="66"/>
  <c r="G109" i="68"/>
  <c r="G109" i="72"/>
  <c r="D107" i="68"/>
  <c r="D107" i="70"/>
  <c r="D107" i="67"/>
  <c r="D107" i="72"/>
  <c r="D107" i="66"/>
  <c r="F105" i="67"/>
  <c r="D103" i="68"/>
  <c r="D103" i="70"/>
  <c r="D103" i="67"/>
  <c r="D103" i="72"/>
  <c r="D103" i="66"/>
  <c r="G86" i="68"/>
  <c r="G86" i="72"/>
  <c r="D84" i="68"/>
  <c r="D84" i="70"/>
  <c r="D84" i="72"/>
  <c r="D84" i="66"/>
  <c r="D84" i="67"/>
  <c r="D80" i="68"/>
  <c r="D80" i="70"/>
  <c r="D80" i="72"/>
  <c r="D80" i="66"/>
  <c r="D80" i="67"/>
  <c r="E77" i="68"/>
  <c r="E77" i="72"/>
  <c r="E77" i="66"/>
  <c r="E77" i="70"/>
  <c r="G76" i="68"/>
  <c r="G76" i="72"/>
  <c r="D74" i="68"/>
  <c r="D74" i="70"/>
  <c r="D74" i="72"/>
  <c r="D74" i="66"/>
  <c r="D74" i="67"/>
  <c r="E73" i="68"/>
  <c r="E73" i="72"/>
  <c r="E73" i="66"/>
  <c r="E73" i="70"/>
  <c r="D68" i="68"/>
  <c r="D68" i="70"/>
  <c r="D68" i="72"/>
  <c r="D68" i="66"/>
  <c r="D68" i="67"/>
  <c r="D64" i="68"/>
  <c r="D64" i="70"/>
  <c r="D64" i="72"/>
  <c r="D64" i="66"/>
  <c r="D64" i="67"/>
  <c r="D63" i="68"/>
  <c r="D63" i="70"/>
  <c r="D63" i="72"/>
  <c r="D63" i="66"/>
  <c r="D63" i="67"/>
  <c r="F58" i="67"/>
  <c r="F46" i="67"/>
  <c r="D45" i="70"/>
  <c r="D45" i="72"/>
  <c r="D45" i="68"/>
  <c r="D45" i="66"/>
  <c r="D45" i="67"/>
  <c r="D31" i="72"/>
  <c r="D31" i="67"/>
  <c r="D31" i="68"/>
  <c r="D31" i="66"/>
  <c r="D31" i="70"/>
  <c r="D30" i="68"/>
  <c r="D30" i="70"/>
  <c r="D30" i="72"/>
  <c r="D30" i="66"/>
  <c r="D30" i="67"/>
  <c r="G29" i="68"/>
  <c r="G29" i="72"/>
  <c r="F28" i="67"/>
  <c r="F27" i="67"/>
  <c r="F26" i="67"/>
  <c r="F25" i="67"/>
  <c r="F24" i="67"/>
  <c r="F23" i="67"/>
  <c r="E19" i="68"/>
  <c r="E19" i="72"/>
  <c r="E19" i="70"/>
  <c r="E19" i="66"/>
  <c r="G18" i="72"/>
  <c r="G18" i="68"/>
  <c r="F16" i="67"/>
  <c r="F12" i="67"/>
  <c r="F10" i="67"/>
  <c r="F212" i="67"/>
  <c r="D191" i="70"/>
  <c r="D191" i="67"/>
  <c r="D191" i="68"/>
  <c r="D191" i="72"/>
  <c r="D191" i="66"/>
  <c r="D186" i="70"/>
  <c r="D186" i="68"/>
  <c r="D186" i="67"/>
  <c r="D186" i="72"/>
  <c r="D186" i="66"/>
  <c r="D165" i="68"/>
  <c r="D165" i="70"/>
  <c r="D165" i="67"/>
  <c r="D165" i="66"/>
  <c r="D165" i="72"/>
  <c r="D163" i="70"/>
  <c r="D163" i="68"/>
  <c r="D163" i="72"/>
  <c r="D163" i="67"/>
  <c r="D163" i="66"/>
  <c r="D156" i="68"/>
  <c r="D156" i="70"/>
  <c r="D156" i="72"/>
  <c r="D156" i="66"/>
  <c r="D156" i="67"/>
  <c r="F130" i="67"/>
  <c r="D124" i="68"/>
  <c r="D124" i="70"/>
  <c r="D124" i="72"/>
  <c r="D124" i="67"/>
  <c r="D124" i="66"/>
  <c r="D120" i="68"/>
  <c r="D120" i="72"/>
  <c r="D120" i="67"/>
  <c r="D120" i="66"/>
  <c r="D120" i="70"/>
  <c r="D114" i="68"/>
  <c r="D114" i="70"/>
  <c r="D114" i="72"/>
  <c r="D114" i="67"/>
  <c r="D114" i="66"/>
  <c r="F111" i="67"/>
  <c r="F103" i="67"/>
  <c r="D88" i="70"/>
  <c r="D88" i="68"/>
  <c r="D88" i="66"/>
  <c r="D88" i="67"/>
  <c r="D88" i="72"/>
  <c r="D86" i="68"/>
  <c r="D86" i="70"/>
  <c r="D86" i="66"/>
  <c r="D86" i="72"/>
  <c r="D86" i="67"/>
  <c r="G74" i="68"/>
  <c r="G74" i="72"/>
  <c r="E71" i="68"/>
  <c r="E71" i="72"/>
  <c r="E71" i="70"/>
  <c r="E71" i="66"/>
  <c r="F60" i="67"/>
  <c r="D46" i="68"/>
  <c r="D46" i="72"/>
  <c r="D46" i="70"/>
  <c r="D46" i="66"/>
  <c r="D46" i="67"/>
  <c r="G45" i="68"/>
  <c r="G45" i="72"/>
  <c r="F31" i="67"/>
  <c r="F30" i="67"/>
  <c r="D28" i="68"/>
  <c r="D28" i="70"/>
  <c r="D28" i="72"/>
  <c r="D28" i="67"/>
  <c r="D28" i="66"/>
  <c r="D25" i="68"/>
  <c r="D25" i="70"/>
  <c r="D25" i="66"/>
  <c r="D25" i="72"/>
  <c r="D25" i="67"/>
  <c r="F19" i="67"/>
  <c r="D217" i="68"/>
  <c r="D217" i="70"/>
  <c r="D217" i="72"/>
  <c r="D217" i="66"/>
  <c r="D217" i="67"/>
  <c r="D208" i="68"/>
  <c r="D208" i="70"/>
  <c r="D208" i="66"/>
  <c r="D208" i="72"/>
  <c r="D208" i="67"/>
  <c r="E207" i="70"/>
  <c r="E207" i="66"/>
  <c r="E207" i="68"/>
  <c r="E207" i="72"/>
  <c r="G206" i="68"/>
  <c r="G206" i="72"/>
  <c r="D204" i="68"/>
  <c r="D204" i="70"/>
  <c r="D204" i="66"/>
  <c r="D204" i="72"/>
  <c r="D204" i="67"/>
  <c r="E203" i="70"/>
  <c r="E203" i="66"/>
  <c r="E203" i="68"/>
  <c r="E203" i="72"/>
  <c r="D202" i="70"/>
  <c r="D202" i="68"/>
  <c r="D202" i="72"/>
  <c r="D202" i="67"/>
  <c r="D202" i="66"/>
  <c r="D200" i="68"/>
  <c r="D200" i="70"/>
  <c r="D200" i="72"/>
  <c r="D200" i="66"/>
  <c r="D200" i="67"/>
  <c r="D196" i="68"/>
  <c r="D196" i="70"/>
  <c r="D196" i="72"/>
  <c r="D196" i="66"/>
  <c r="D196" i="67"/>
  <c r="D189" i="68"/>
  <c r="D189" i="70"/>
  <c r="D189" i="72"/>
  <c r="D189" i="66"/>
  <c r="D189" i="67"/>
  <c r="D184" i="70"/>
  <c r="D184" i="68"/>
  <c r="D184" i="72"/>
  <c r="D184" i="66"/>
  <c r="D184" i="67"/>
  <c r="D180" i="70"/>
  <c r="D180" i="68"/>
  <c r="D180" i="72"/>
  <c r="D180" i="66"/>
  <c r="D180" i="67"/>
  <c r="D175" i="68"/>
  <c r="D175" i="70"/>
  <c r="D175" i="72"/>
  <c r="D175" i="66"/>
  <c r="D175" i="67"/>
  <c r="D170" i="68"/>
  <c r="D170" i="70"/>
  <c r="D170" i="66"/>
  <c r="D170" i="67"/>
  <c r="D170" i="72"/>
  <c r="E169" i="70"/>
  <c r="E169" i="66"/>
  <c r="E169" i="68"/>
  <c r="E169" i="72"/>
  <c r="G168" i="68"/>
  <c r="G168" i="72"/>
  <c r="D166" i="68"/>
  <c r="D166" i="70"/>
  <c r="D166" i="66"/>
  <c r="D166" i="67"/>
  <c r="D166" i="72"/>
  <c r="E165" i="70"/>
  <c r="E165" i="66"/>
  <c r="E165" i="68"/>
  <c r="E165" i="72"/>
  <c r="D164" i="66"/>
  <c r="D164" i="72"/>
  <c r="D164" i="68"/>
  <c r="D164" i="70"/>
  <c r="D164" i="67"/>
  <c r="E163" i="70"/>
  <c r="E163" i="66"/>
  <c r="E163" i="68"/>
  <c r="E163" i="72"/>
  <c r="D162" i="70"/>
  <c r="D162" i="66"/>
  <c r="D162" i="72"/>
  <c r="D155" i="68"/>
  <c r="D155" i="70"/>
  <c r="D155" i="66"/>
  <c r="D155" i="72"/>
  <c r="D155" i="67"/>
  <c r="D149" i="68"/>
  <c r="D149" i="70"/>
  <c r="D149" i="72"/>
  <c r="D149" i="67"/>
  <c r="D149" i="66"/>
  <c r="D148" i="68"/>
  <c r="D148" i="70"/>
  <c r="D148" i="66"/>
  <c r="D148" i="72"/>
  <c r="D148" i="67"/>
  <c r="G147" i="68"/>
  <c r="G147" i="72"/>
  <c r="F146" i="67"/>
  <c r="F145" i="67"/>
  <c r="F144" i="67"/>
  <c r="F143" i="67"/>
  <c r="F142" i="67"/>
  <c r="F141" i="67"/>
  <c r="F138" i="67"/>
  <c r="F137" i="67"/>
  <c r="F136" i="67"/>
  <c r="F135" i="67"/>
  <c r="F134" i="67"/>
  <c r="F133" i="67"/>
  <c r="F132" i="67"/>
  <c r="F131" i="67"/>
  <c r="D127" i="70"/>
  <c r="D127" i="68"/>
  <c r="D127" i="67"/>
  <c r="D127" i="66"/>
  <c r="D127" i="72"/>
  <c r="E126" i="70"/>
  <c r="E126" i="66"/>
  <c r="E126" i="68"/>
  <c r="E126" i="72"/>
  <c r="G125" i="68"/>
  <c r="G125" i="72"/>
  <c r="D123" i="68"/>
  <c r="D123" i="70"/>
  <c r="D123" i="67"/>
  <c r="D123" i="66"/>
  <c r="D123" i="72"/>
  <c r="F121" i="67"/>
  <c r="D119" i="68"/>
  <c r="D119" i="70"/>
  <c r="D119" i="67"/>
  <c r="D119" i="66"/>
  <c r="D119" i="72"/>
  <c r="E116" i="68"/>
  <c r="E116" i="72"/>
  <c r="E116" i="70"/>
  <c r="E116" i="66"/>
  <c r="G115" i="68"/>
  <c r="G115" i="72"/>
  <c r="G113" i="68"/>
  <c r="G113" i="72"/>
  <c r="F112" i="67"/>
  <c r="D111" i="68"/>
  <c r="D111" i="70"/>
  <c r="D111" i="72"/>
  <c r="D111" i="66"/>
  <c r="D111" i="67"/>
  <c r="E109" i="70"/>
  <c r="E109" i="66"/>
  <c r="E109" i="68"/>
  <c r="E109" i="72"/>
  <c r="D108" i="70"/>
  <c r="D108" i="68"/>
  <c r="D108" i="66"/>
  <c r="D108" i="67"/>
  <c r="D108" i="72"/>
  <c r="F106" i="67"/>
  <c r="D104" i="70"/>
  <c r="D104" i="68"/>
  <c r="D104" i="66"/>
  <c r="D104" i="67"/>
  <c r="D104" i="72"/>
  <c r="F102" i="67"/>
  <c r="F101" i="67"/>
  <c r="D87" i="68"/>
  <c r="D87" i="70"/>
  <c r="D87" i="67"/>
  <c r="D87" i="72"/>
  <c r="D87" i="66"/>
  <c r="E86" i="70"/>
  <c r="E86" i="66"/>
  <c r="E86" i="68"/>
  <c r="E86" i="72"/>
  <c r="D85" i="68"/>
  <c r="D85" i="70"/>
  <c r="D85" i="72"/>
  <c r="D85" i="67"/>
  <c r="D85" i="66"/>
  <c r="D81" i="68"/>
  <c r="D81" i="70"/>
  <c r="D81" i="72"/>
  <c r="D81" i="67"/>
  <c r="D81" i="66"/>
  <c r="D77" i="68"/>
  <c r="D77" i="70"/>
  <c r="D77" i="72"/>
  <c r="D77" i="67"/>
  <c r="D77" i="66"/>
  <c r="E76" i="68"/>
  <c r="E76" i="72"/>
  <c r="E76" i="70"/>
  <c r="E76" i="66"/>
  <c r="G75" i="68"/>
  <c r="G75" i="72"/>
  <c r="D73" i="68"/>
  <c r="D73" i="70"/>
  <c r="D73" i="72"/>
  <c r="D73" i="67"/>
  <c r="D73" i="66"/>
  <c r="G71" i="68"/>
  <c r="G71" i="72"/>
  <c r="D69" i="68"/>
  <c r="D69" i="70"/>
  <c r="D69" i="66"/>
  <c r="D69" i="67"/>
  <c r="D69" i="72"/>
  <c r="D65" i="68"/>
  <c r="D65" i="70"/>
  <c r="D65" i="72"/>
  <c r="D65" i="66"/>
  <c r="D65" i="67"/>
  <c r="F59" i="67"/>
  <c r="D57" i="68"/>
  <c r="D57" i="70"/>
  <c r="D57" i="66"/>
  <c r="D57" i="67"/>
  <c r="D57" i="72"/>
  <c r="D56" i="68"/>
  <c r="D56" i="70"/>
  <c r="D56" i="72"/>
  <c r="D56" i="66"/>
  <c r="D56" i="67"/>
  <c r="D55" i="68"/>
  <c r="D55" i="70"/>
  <c r="D55" i="72"/>
  <c r="D55" i="67"/>
  <c r="D55" i="66"/>
  <c r="D54" i="68"/>
  <c r="D54" i="70"/>
  <c r="D54" i="67"/>
  <c r="D54" i="66"/>
  <c r="D54" i="72"/>
  <c r="D52" i="68"/>
  <c r="D52" i="70"/>
  <c r="D52" i="72"/>
  <c r="D52" i="66"/>
  <c r="D52" i="67"/>
  <c r="D51" i="68"/>
  <c r="D51" i="70"/>
  <c r="D51" i="72"/>
  <c r="D51" i="66"/>
  <c r="D51" i="67"/>
  <c r="D50" i="72"/>
  <c r="D50" i="70"/>
  <c r="D50" i="67"/>
  <c r="D50" i="66"/>
  <c r="D50" i="68"/>
  <c r="D49" i="68"/>
  <c r="D49" i="70"/>
  <c r="D49" i="66"/>
  <c r="D49" i="72"/>
  <c r="D49" i="67"/>
  <c r="D48" i="68"/>
  <c r="D48" i="70"/>
  <c r="D48" i="72"/>
  <c r="D48" i="66"/>
  <c r="D48" i="67"/>
  <c r="D47" i="68"/>
  <c r="D47" i="70"/>
  <c r="D47" i="72"/>
  <c r="D47" i="66"/>
  <c r="D47" i="67"/>
  <c r="F45" i="67"/>
  <c r="E29" i="70"/>
  <c r="E29" i="66"/>
  <c r="E29" i="68"/>
  <c r="E29" i="72"/>
  <c r="E18" i="68"/>
  <c r="E18" i="72"/>
  <c r="E18" i="70"/>
  <c r="E18" i="66"/>
  <c r="G16" i="68"/>
  <c r="G16" i="72"/>
  <c r="F13" i="67"/>
  <c r="G142" i="67"/>
  <c r="G143" i="67"/>
  <c r="G144" i="67"/>
  <c r="G145" i="67"/>
  <c r="G146" i="67"/>
  <c r="G147" i="67"/>
  <c r="G148" i="67"/>
  <c r="G149" i="67"/>
  <c r="G141" i="67"/>
  <c r="B181" i="68" l="1"/>
  <c r="B181" i="72"/>
  <c r="B181" i="67"/>
  <c r="B181" i="70"/>
  <c r="B181" i="66"/>
  <c r="B154" i="70"/>
  <c r="B154" i="66"/>
  <c r="B154" i="68"/>
  <c r="B154" i="72"/>
  <c r="B154" i="67"/>
  <c r="B180" i="68"/>
  <c r="B180" i="70"/>
  <c r="B180" i="66"/>
  <c r="B180" i="72"/>
  <c r="B180" i="67"/>
  <c r="B132" i="68"/>
  <c r="B132" i="72"/>
  <c r="B132" i="70"/>
  <c r="B132" i="66"/>
  <c r="B132" i="67"/>
  <c r="B18" i="68"/>
  <c r="B18" i="70"/>
  <c r="B18" i="66"/>
  <c r="B18" i="67"/>
  <c r="B18" i="72"/>
  <c r="B14" i="70"/>
  <c r="B14" i="68"/>
  <c r="B14" i="66"/>
  <c r="B14" i="72"/>
  <c r="B14" i="67"/>
  <c r="B176" i="68"/>
  <c r="B176" i="72"/>
  <c r="B176" i="70"/>
  <c r="B176" i="67"/>
  <c r="B176" i="66"/>
  <c r="B175" i="68"/>
  <c r="B175" i="70"/>
  <c r="B175" i="66"/>
  <c r="B175" i="72"/>
  <c r="B175" i="67"/>
  <c r="B65" i="68"/>
  <c r="B65" i="70"/>
  <c r="B65" i="66"/>
  <c r="B65" i="72"/>
  <c r="B65" i="67"/>
  <c r="B103" i="68"/>
  <c r="B103" i="70"/>
  <c r="B103" i="72"/>
  <c r="B103" i="66"/>
  <c r="B103" i="67"/>
  <c r="B48" i="68"/>
  <c r="B48" i="66"/>
  <c r="B48" i="72"/>
  <c r="B48" i="67"/>
  <c r="B48" i="70"/>
  <c r="G124" i="67"/>
  <c r="G85" i="67"/>
  <c r="G120" i="67"/>
  <c r="G81" i="67"/>
  <c r="G127" i="67"/>
  <c r="G88" i="67"/>
  <c r="G86" i="67"/>
  <c r="G121" i="67"/>
  <c r="G82" i="67"/>
  <c r="G123" i="67"/>
  <c r="G84" i="67"/>
  <c r="G126" i="67"/>
  <c r="G87" i="67"/>
  <c r="G122" i="67"/>
  <c r="G83" i="67"/>
  <c r="G125" i="67"/>
  <c r="B49" i="68" l="1"/>
  <c r="B49" i="70"/>
  <c r="B49" i="66"/>
  <c r="B49" i="72"/>
  <c r="B49" i="67"/>
  <c r="B19" i="70"/>
  <c r="B19" i="68"/>
  <c r="B19" i="66"/>
  <c r="B19" i="72"/>
  <c r="B19" i="67"/>
  <c r="B155" i="68"/>
  <c r="B155" i="70"/>
  <c r="B155" i="72"/>
  <c r="B155" i="66"/>
  <c r="B155" i="67"/>
  <c r="B104" i="70"/>
  <c r="B104" i="66"/>
  <c r="B104" i="68"/>
  <c r="B104" i="72"/>
  <c r="B104" i="67"/>
  <c r="B182" i="68"/>
  <c r="B182" i="70"/>
  <c r="B182" i="66"/>
  <c r="B182" i="72"/>
  <c r="B182" i="67"/>
  <c r="B133" i="68"/>
  <c r="B133" i="66"/>
  <c r="B133" i="72"/>
  <c r="B133" i="67"/>
  <c r="B133" i="70"/>
  <c r="B184" i="68"/>
  <c r="B184" i="70"/>
  <c r="B184" i="66"/>
  <c r="B184" i="72"/>
  <c r="B184" i="67"/>
  <c r="B177" i="68"/>
  <c r="B177" i="70"/>
  <c r="B177" i="66"/>
  <c r="B177" i="72"/>
  <c r="B177" i="67"/>
  <c r="B66" i="68"/>
  <c r="B66" i="72"/>
  <c r="B66" i="70"/>
  <c r="B66" i="66"/>
  <c r="B66" i="67"/>
  <c r="G119" i="67"/>
  <c r="G80" i="67"/>
  <c r="G162" i="67" l="1"/>
  <c r="B178" i="68"/>
  <c r="B178" i="70"/>
  <c r="B178" i="72"/>
  <c r="B178" i="66"/>
  <c r="B178" i="67"/>
  <c r="B186" i="68"/>
  <c r="B186" i="72"/>
  <c r="B186" i="66"/>
  <c r="B186" i="67"/>
  <c r="B186" i="70"/>
  <c r="B134" i="70"/>
  <c r="B134" i="68"/>
  <c r="B134" i="72"/>
  <c r="B134" i="66"/>
  <c r="B134" i="67"/>
  <c r="B156" i="68"/>
  <c r="B156" i="70"/>
  <c r="B156" i="66"/>
  <c r="B156" i="72"/>
  <c r="B156" i="67"/>
  <c r="B183" i="68"/>
  <c r="B183" i="70"/>
  <c r="B183" i="72"/>
  <c r="B183" i="67"/>
  <c r="B183" i="66"/>
  <c r="B67" i="70"/>
  <c r="B67" i="68"/>
  <c r="B67" i="66"/>
  <c r="B67" i="72"/>
  <c r="B67" i="67"/>
  <c r="B105" i="68"/>
  <c r="B105" i="72"/>
  <c r="B105" i="70"/>
  <c r="B105" i="67"/>
  <c r="B105" i="66"/>
  <c r="B50" i="70"/>
  <c r="B50" i="68"/>
  <c r="B50" i="66"/>
  <c r="B50" i="72"/>
  <c r="B50" i="67"/>
  <c r="G170" i="67"/>
  <c r="G166" i="67"/>
  <c r="G207" i="67"/>
  <c r="G203" i="67"/>
  <c r="G169" i="67"/>
  <c r="G206" i="67"/>
  <c r="G168" i="67"/>
  <c r="G209" i="67"/>
  <c r="G205" i="67"/>
  <c r="E34" i="112"/>
  <c r="G167" i="67"/>
  <c r="G208" i="67"/>
  <c r="G204" i="67"/>
  <c r="G200" i="67"/>
  <c r="E33" i="112"/>
  <c r="E30" i="112"/>
  <c r="E32" i="112"/>
  <c r="G164" i="67"/>
  <c r="E31" i="112"/>
  <c r="G201" i="67" l="1"/>
  <c r="G202" i="67"/>
  <c r="G199" i="67"/>
  <c r="G195" i="67"/>
  <c r="G198" i="67"/>
  <c r="G197" i="67"/>
  <c r="G161" i="67"/>
  <c r="G196" i="67"/>
  <c r="B106" i="70"/>
  <c r="B106" i="68"/>
  <c r="B106" i="66"/>
  <c r="B106" i="72"/>
  <c r="B106" i="67"/>
  <c r="B157" i="70"/>
  <c r="B157" i="68"/>
  <c r="B157" i="72"/>
  <c r="B157" i="67"/>
  <c r="B157" i="66"/>
  <c r="B187" i="68"/>
  <c r="B187" i="70"/>
  <c r="B187" i="66"/>
  <c r="B187" i="72"/>
  <c r="B187" i="67"/>
  <c r="B51" i="68"/>
  <c r="B51" i="70"/>
  <c r="B51" i="66"/>
  <c r="B51" i="67"/>
  <c r="B51" i="72"/>
  <c r="B188" i="68"/>
  <c r="B188" i="70"/>
  <c r="B188" i="72"/>
  <c r="B188" i="66"/>
  <c r="B188" i="67"/>
  <c r="B54" i="68"/>
  <c r="B54" i="70"/>
  <c r="B54" i="66"/>
  <c r="B54" i="72"/>
  <c r="B54" i="67"/>
  <c r="B68" i="68"/>
  <c r="B68" i="70"/>
  <c r="B68" i="72"/>
  <c r="B68" i="66"/>
  <c r="B68" i="67"/>
  <c r="B135" i="68"/>
  <c r="B135" i="70"/>
  <c r="B135" i="66"/>
  <c r="B135" i="72"/>
  <c r="B135" i="67"/>
  <c r="G165" i="67"/>
  <c r="G163" i="67"/>
  <c r="G194" i="67" l="1"/>
  <c r="B69" i="66"/>
  <c r="B69" i="72"/>
  <c r="B69" i="70"/>
  <c r="B69" i="67"/>
  <c r="B69" i="68"/>
  <c r="B191" i="68"/>
  <c r="B191" i="72"/>
  <c r="B191" i="67"/>
  <c r="B191" i="70"/>
  <c r="B191" i="66"/>
  <c r="B52" i="68"/>
  <c r="B52" i="70"/>
  <c r="B52" i="66"/>
  <c r="B52" i="72"/>
  <c r="B52" i="67"/>
  <c r="B159" i="70"/>
  <c r="B159" i="68"/>
  <c r="B159" i="66"/>
  <c r="B159" i="72"/>
  <c r="B159" i="67"/>
  <c r="B136" i="68"/>
  <c r="B136" i="70"/>
  <c r="B136" i="72"/>
  <c r="B136" i="66"/>
  <c r="B136" i="67"/>
  <c r="B192" i="68"/>
  <c r="B192" i="70"/>
  <c r="B192" i="66"/>
  <c r="B192" i="72"/>
  <c r="B192" i="67"/>
  <c r="B55" i="70"/>
  <c r="B55" i="68"/>
  <c r="B55" i="66"/>
  <c r="B55" i="72"/>
  <c r="B55" i="67"/>
  <c r="B107" i="68"/>
  <c r="B107" i="70"/>
  <c r="B107" i="72"/>
  <c r="B107" i="66"/>
  <c r="B107" i="67"/>
  <c r="B108" i="68" l="1"/>
  <c r="B108" i="66"/>
  <c r="B108" i="72"/>
  <c r="B108" i="70"/>
  <c r="B108" i="67"/>
  <c r="B137" i="68"/>
  <c r="B137" i="70"/>
  <c r="B137" i="66"/>
  <c r="B137" i="67"/>
  <c r="B137" i="72"/>
  <c r="B189" i="68"/>
  <c r="B189" i="70"/>
  <c r="B189" i="66"/>
  <c r="B189" i="67"/>
  <c r="B189" i="72"/>
  <c r="B56" i="68"/>
  <c r="B56" i="70"/>
  <c r="B56" i="66"/>
  <c r="B56" i="72"/>
  <c r="B56" i="67"/>
  <c r="B162" i="72"/>
  <c r="B162" i="70"/>
  <c r="B162" i="66"/>
  <c r="B70" i="68"/>
  <c r="B70" i="70"/>
  <c r="B70" i="72"/>
  <c r="B70" i="66"/>
  <c r="B70" i="67"/>
  <c r="B163" i="66" l="1"/>
  <c r="B163" i="72"/>
  <c r="B163" i="68"/>
  <c r="B163" i="70"/>
  <c r="B163" i="67"/>
  <c r="B138" i="70"/>
  <c r="B138" i="68"/>
  <c r="B138" i="72"/>
  <c r="B138" i="67"/>
  <c r="B138" i="66"/>
  <c r="B71" i="70"/>
  <c r="B71" i="66"/>
  <c r="B71" i="68"/>
  <c r="B71" i="72"/>
  <c r="B71" i="67"/>
  <c r="B73" i="68"/>
  <c r="B73" i="70"/>
  <c r="B73" i="72"/>
  <c r="B73" i="66"/>
  <c r="B73" i="67"/>
  <c r="B57" i="68"/>
  <c r="B57" i="66"/>
  <c r="B57" i="70"/>
  <c r="B57" i="72"/>
  <c r="B57" i="67"/>
  <c r="B109" i="68"/>
  <c r="B109" i="70"/>
  <c r="B109" i="72"/>
  <c r="B109" i="66"/>
  <c r="B109" i="67"/>
  <c r="B58" i="68" l="1"/>
  <c r="B58" i="70"/>
  <c r="B58" i="66"/>
  <c r="B58" i="72"/>
  <c r="B58" i="67"/>
  <c r="B141" i="68"/>
  <c r="B141" i="70"/>
  <c r="B141" i="66"/>
  <c r="B141" i="72"/>
  <c r="B141" i="67"/>
  <c r="B111" i="70"/>
  <c r="B111" i="66"/>
  <c r="B111" i="72"/>
  <c r="B111" i="68"/>
  <c r="B111" i="67"/>
  <c r="B74" i="68"/>
  <c r="B74" i="70"/>
  <c r="B74" i="66"/>
  <c r="B74" i="72"/>
  <c r="B74" i="67"/>
  <c r="B164" i="70"/>
  <c r="B164" i="68"/>
  <c r="B164" i="72"/>
  <c r="B164" i="66"/>
  <c r="B164" i="67"/>
  <c r="B142" i="68" l="1"/>
  <c r="B142" i="72"/>
  <c r="B142" i="70"/>
  <c r="B142" i="67"/>
  <c r="B142" i="66"/>
  <c r="B75" i="68"/>
  <c r="B75" i="72"/>
  <c r="B75" i="70"/>
  <c r="B75" i="67"/>
  <c r="B75" i="66"/>
  <c r="B112" i="68"/>
  <c r="B112" i="70"/>
  <c r="B112" i="72"/>
  <c r="B112" i="66"/>
  <c r="B112" i="67"/>
  <c r="B165" i="70"/>
  <c r="B165" i="66"/>
  <c r="B165" i="68"/>
  <c r="B165" i="72"/>
  <c r="B165" i="67"/>
  <c r="B59" i="70"/>
  <c r="B59" i="68"/>
  <c r="B59" i="66"/>
  <c r="B59" i="72"/>
  <c r="B59" i="67"/>
  <c r="B76" i="70" l="1"/>
  <c r="B76" i="68"/>
  <c r="B76" i="66"/>
  <c r="B76" i="72"/>
  <c r="B76" i="67"/>
  <c r="B166" i="68"/>
  <c r="B166" i="70"/>
  <c r="B166" i="72"/>
  <c r="B166" i="66"/>
  <c r="B166" i="67"/>
  <c r="B113" i="70"/>
  <c r="B113" i="66"/>
  <c r="B113" i="68"/>
  <c r="B113" i="72"/>
  <c r="B113" i="67"/>
  <c r="B60" i="68"/>
  <c r="B60" i="70"/>
  <c r="B60" i="66"/>
  <c r="B60" i="67"/>
  <c r="B60" i="72"/>
  <c r="B143" i="68"/>
  <c r="B143" i="66"/>
  <c r="B143" i="72"/>
  <c r="B143" i="67"/>
  <c r="B143" i="70"/>
  <c r="B144" i="70" l="1"/>
  <c r="B144" i="68"/>
  <c r="B144" i="72"/>
  <c r="B144" i="66"/>
  <c r="B144" i="67"/>
  <c r="B167" i="68"/>
  <c r="B167" i="70"/>
  <c r="B167" i="66"/>
  <c r="B167" i="72"/>
  <c r="B167" i="67"/>
  <c r="B114" i="68"/>
  <c r="B114" i="72"/>
  <c r="B114" i="70"/>
  <c r="B114" i="67"/>
  <c r="B114" i="66"/>
  <c r="B77" i="68"/>
  <c r="B77" i="70"/>
  <c r="B77" i="72"/>
  <c r="B77" i="66"/>
  <c r="B77" i="67"/>
  <c r="B80" i="66" l="1"/>
  <c r="B80" i="72"/>
  <c r="B80" i="68"/>
  <c r="B80" i="67"/>
  <c r="B80" i="70"/>
  <c r="B168" i="70"/>
  <c r="B168" i="68"/>
  <c r="B168" i="72"/>
  <c r="B168" i="66"/>
  <c r="B168" i="67"/>
  <c r="B115" i="70"/>
  <c r="B115" i="68"/>
  <c r="B115" i="66"/>
  <c r="B115" i="72"/>
  <c r="B115" i="67"/>
  <c r="B169" i="70"/>
  <c r="B169" i="68"/>
  <c r="B169" i="66"/>
  <c r="B169" i="72"/>
  <c r="B169" i="67"/>
  <c r="B145" i="68"/>
  <c r="B145" i="70"/>
  <c r="B145" i="66"/>
  <c r="B145" i="72"/>
  <c r="B145" i="67"/>
  <c r="B146" i="68" l="1"/>
  <c r="B146" i="70"/>
  <c r="B146" i="72"/>
  <c r="B146" i="67"/>
  <c r="B146" i="66"/>
  <c r="B170" i="68"/>
  <c r="B170" i="72"/>
  <c r="B170" i="70"/>
  <c r="B170" i="66"/>
  <c r="B170" i="67"/>
  <c r="B116" i="68"/>
  <c r="B116" i="70"/>
  <c r="B116" i="72"/>
  <c r="B116" i="67"/>
  <c r="B116" i="66"/>
  <c r="B81" i="68"/>
  <c r="B81" i="70"/>
  <c r="B81" i="72"/>
  <c r="B81" i="66"/>
  <c r="B81" i="67"/>
  <c r="B119" i="68" l="1"/>
  <c r="B119" i="66"/>
  <c r="B119" i="72"/>
  <c r="B119" i="70"/>
  <c r="B119" i="67"/>
  <c r="B148" i="70"/>
  <c r="B148" i="68"/>
  <c r="B148" i="72"/>
  <c r="B148" i="67"/>
  <c r="B148" i="66"/>
  <c r="B147" i="68"/>
  <c r="B147" i="70"/>
  <c r="B147" i="66"/>
  <c r="B147" i="67"/>
  <c r="B147" i="72"/>
  <c r="B82" i="70"/>
  <c r="B82" i="66"/>
  <c r="B82" i="68"/>
  <c r="B82" i="72"/>
  <c r="B82" i="67"/>
  <c r="B149" i="68" l="1"/>
  <c r="B149" i="70"/>
  <c r="B149" i="66"/>
  <c r="B149" i="72"/>
  <c r="B149" i="67"/>
  <c r="B83" i="68"/>
  <c r="B83" i="70"/>
  <c r="B83" i="72"/>
  <c r="B83" i="66"/>
  <c r="B83" i="67"/>
  <c r="B120" i="68"/>
  <c r="B120" i="70"/>
  <c r="B120" i="72"/>
  <c r="B120" i="67"/>
  <c r="B120" i="66"/>
  <c r="B84" i="68" l="1"/>
  <c r="B84" i="70"/>
  <c r="B84" i="66"/>
  <c r="B84" i="72"/>
  <c r="B84" i="67"/>
  <c r="B121" i="70"/>
  <c r="B121" i="66"/>
  <c r="B121" i="72"/>
  <c r="B121" i="68"/>
  <c r="B121" i="67"/>
  <c r="B122" i="68" l="1"/>
  <c r="B122" i="70"/>
  <c r="B122" i="72"/>
  <c r="B122" i="66"/>
  <c r="B122" i="67"/>
  <c r="B85" i="68"/>
  <c r="B85" i="72"/>
  <c r="B85" i="70"/>
  <c r="B85" i="67"/>
  <c r="B85" i="66"/>
  <c r="B87" i="68" l="1"/>
  <c r="B87" i="70"/>
  <c r="B87" i="72"/>
  <c r="B87" i="66"/>
  <c r="B87" i="67"/>
  <c r="B86" i="70"/>
  <c r="B86" i="68"/>
  <c r="B86" i="66"/>
  <c r="B86" i="72"/>
  <c r="B86" i="67"/>
  <c r="B123" i="70"/>
  <c r="B123" i="66"/>
  <c r="B123" i="68"/>
  <c r="B123" i="72"/>
  <c r="B123" i="67"/>
  <c r="D22" i="111"/>
  <c r="D21" i="111"/>
  <c r="A1" i="111"/>
  <c r="A3" i="111"/>
  <c r="A4" i="111"/>
  <c r="E22" i="111" l="1"/>
  <c r="E21" i="111"/>
  <c r="B124" i="68"/>
  <c r="B124" i="72"/>
  <c r="B124" i="70"/>
  <c r="B124" i="66"/>
  <c r="B124" i="67"/>
  <c r="B88" i="66"/>
  <c r="B88" i="72"/>
  <c r="B88" i="67"/>
  <c r="B88" i="68"/>
  <c r="B88" i="70"/>
  <c r="D20" i="111"/>
  <c r="E9" i="111"/>
  <c r="E11" i="112"/>
  <c r="E10" i="111"/>
  <c r="E11" i="111"/>
  <c r="E20" i="111" l="1"/>
  <c r="B125" i="70"/>
  <c r="B125" i="68"/>
  <c r="B125" i="66"/>
  <c r="B125" i="72"/>
  <c r="B125" i="67"/>
  <c r="E13" i="110"/>
  <c r="D27" i="110"/>
  <c r="E10" i="110"/>
  <c r="D23" i="110"/>
  <c r="E14" i="110"/>
  <c r="D28" i="110"/>
  <c r="E11" i="110"/>
  <c r="D25" i="110"/>
  <c r="E8" i="110"/>
  <c r="D20" i="110"/>
  <c r="E12" i="110"/>
  <c r="D26" i="110"/>
  <c r="E9" i="110"/>
  <c r="D22" i="110"/>
  <c r="A3" i="110"/>
  <c r="A2" i="110"/>
  <c r="A1" i="110"/>
  <c r="I21" i="54"/>
  <c r="F20" i="54"/>
  <c r="F19" i="54"/>
  <c r="F18" i="54"/>
  <c r="F17" i="54"/>
  <c r="F16" i="54"/>
  <c r="E27" i="110" l="1"/>
  <c r="E25" i="110"/>
  <c r="E28" i="110"/>
  <c r="E26" i="110"/>
  <c r="E23" i="110"/>
  <c r="E22" i="110"/>
  <c r="E20" i="110"/>
  <c r="E19" i="110"/>
  <c r="B126" i="68"/>
  <c r="B126" i="70"/>
  <c r="B126" i="72"/>
  <c r="B126" i="67"/>
  <c r="B126" i="66"/>
  <c r="O21" i="54"/>
  <c r="I12" i="54"/>
  <c r="F13" i="54"/>
  <c r="I13" i="54"/>
  <c r="G132" i="67"/>
  <c r="G47" i="67"/>
  <c r="G153" i="67"/>
  <c r="G103" i="67"/>
  <c r="G131" i="67"/>
  <c r="G102" i="67"/>
  <c r="G173" i="67"/>
  <c r="G46" i="67"/>
  <c r="G101" i="67"/>
  <c r="G130" i="67"/>
  <c r="G45" i="67"/>
  <c r="G133" i="67"/>
  <c r="G48" i="67"/>
  <c r="G104" i="67"/>
  <c r="G50" i="67"/>
  <c r="G135" i="67"/>
  <c r="G106" i="67"/>
  <c r="G49" i="67"/>
  <c r="G67" i="67"/>
  <c r="G105" i="67"/>
  <c r="G134" i="67"/>
  <c r="G52" i="67"/>
  <c r="G108" i="67"/>
  <c r="G137" i="67"/>
  <c r="G51" i="67"/>
  <c r="G69" i="67"/>
  <c r="G136" i="67"/>
  <c r="G107" i="67"/>
  <c r="D18" i="183" l="1"/>
  <c r="G178" i="67"/>
  <c r="G156" i="67"/>
  <c r="G70" i="67"/>
  <c r="G155" i="67"/>
  <c r="G183" i="67"/>
  <c r="G175" i="67"/>
  <c r="G157" i="67"/>
  <c r="G177" i="67"/>
  <c r="G66" i="67"/>
  <c r="G64" i="67"/>
  <c r="G65" i="67"/>
  <c r="G180" i="67"/>
  <c r="G68" i="67"/>
  <c r="G182" i="67"/>
  <c r="G176" i="67"/>
  <c r="G181" i="67"/>
  <c r="G154" i="67"/>
  <c r="G184" i="67"/>
  <c r="G174" i="67"/>
  <c r="G63" i="67"/>
  <c r="B127" i="68"/>
  <c r="B127" i="66"/>
  <c r="B127" i="72"/>
  <c r="B127" i="67"/>
  <c r="B127" i="70"/>
  <c r="G152" i="67"/>
  <c r="O12" i="54"/>
  <c r="M13" i="54"/>
  <c r="F14" i="54"/>
  <c r="F15" i="54"/>
  <c r="F22" i="54"/>
  <c r="F23" i="54"/>
  <c r="F21" i="54"/>
  <c r="G21" i="54" s="1"/>
  <c r="F12" i="54"/>
  <c r="A1" i="112"/>
  <c r="A3" i="112"/>
  <c r="A4" i="112"/>
  <c r="E12" i="112"/>
  <c r="E13" i="112"/>
  <c r="E14" i="112"/>
  <c r="E15" i="112"/>
  <c r="E16" i="112"/>
  <c r="E17" i="112"/>
  <c r="E18" i="112"/>
  <c r="E19" i="112"/>
  <c r="A4" i="54"/>
  <c r="A3" i="54"/>
  <c r="A1" i="54"/>
  <c r="G12" i="54" l="1"/>
  <c r="M12" i="54"/>
  <c r="E58" i="112"/>
  <c r="E54" i="112"/>
  <c r="E50" i="112"/>
  <c r="E46" i="112"/>
  <c r="E56" i="112"/>
  <c r="E48" i="112"/>
  <c r="E53" i="112"/>
  <c r="E45" i="112"/>
  <c r="E52" i="112"/>
  <c r="E57" i="112"/>
  <c r="E49" i="112"/>
  <c r="E59" i="112"/>
  <c r="E55" i="112"/>
  <c r="E51" i="112"/>
  <c r="E47" i="112"/>
  <c r="G27" i="67" l="1"/>
  <c r="G28" i="67"/>
  <c r="G30" i="67"/>
  <c r="G29" i="67"/>
  <c r="G57" i="67"/>
  <c r="G186" i="67"/>
  <c r="G114" i="67"/>
  <c r="E36" i="112"/>
  <c r="G24" i="67"/>
  <c r="G55" i="67"/>
  <c r="G112" i="67"/>
  <c r="E35" i="112"/>
  <c r="G23" i="67"/>
  <c r="E37" i="112"/>
  <c r="G25" i="67"/>
  <c r="G115" i="67"/>
  <c r="G159" i="67"/>
  <c r="G58" i="67"/>
  <c r="G187" i="67"/>
  <c r="G191" i="67"/>
  <c r="G60" i="67"/>
  <c r="G189" i="67"/>
  <c r="G59" i="67"/>
  <c r="G188" i="67"/>
  <c r="G192" i="67"/>
  <c r="G116" i="67"/>
  <c r="E38" i="112"/>
  <c r="G26" i="67"/>
  <c r="G56" i="67"/>
  <c r="G113" i="67"/>
  <c r="G31" i="67" l="1"/>
  <c r="G74" i="67"/>
  <c r="G75" i="67"/>
  <c r="G77" i="67"/>
  <c r="G76" i="67"/>
  <c r="G111" i="67"/>
  <c r="G54" i="67"/>
  <c r="G73" i="67" l="1"/>
  <c r="E25" i="54" l="1"/>
  <c r="G149" i="72" l="1"/>
  <c r="D14" i="68" l="1"/>
  <c r="G14" i="66"/>
  <c r="D14" i="66"/>
  <c r="G13" i="66"/>
  <c r="D13" i="68"/>
  <c r="D13" i="70"/>
  <c r="D13" i="72"/>
  <c r="D13" i="66"/>
  <c r="D13" i="67"/>
  <c r="E191" i="68"/>
  <c r="E191" i="70"/>
  <c r="E191" i="72"/>
  <c r="E191" i="66"/>
  <c r="E186" i="68"/>
  <c r="E186" i="70"/>
  <c r="E186" i="66"/>
  <c r="E186" i="72"/>
  <c r="E176" i="68"/>
  <c r="E176" i="72"/>
  <c r="E176" i="66"/>
  <c r="E176" i="70"/>
  <c r="E155" i="68"/>
  <c r="E155" i="72"/>
  <c r="E155" i="66"/>
  <c r="E155" i="70"/>
  <c r="E81" i="66"/>
  <c r="E81" i="68"/>
  <c r="E81" i="72"/>
  <c r="E81" i="70"/>
  <c r="E65" i="72"/>
  <c r="E65" i="66"/>
  <c r="E65" i="70"/>
  <c r="E65" i="68"/>
  <c r="E26" i="70"/>
  <c r="E26" i="72"/>
  <c r="E26" i="68"/>
  <c r="E26" i="66"/>
  <c r="E215" i="67"/>
  <c r="E215" i="68"/>
  <c r="E215" i="70"/>
  <c r="E215" i="66"/>
  <c r="E215" i="72"/>
  <c r="E198" i="70"/>
  <c r="E198" i="68"/>
  <c r="E198" i="66"/>
  <c r="E198" i="72"/>
  <c r="E196" i="72"/>
  <c r="E196" i="70"/>
  <c r="E196" i="66"/>
  <c r="E196" i="68"/>
  <c r="E159" i="70"/>
  <c r="E159" i="68"/>
  <c r="E159" i="66"/>
  <c r="E159" i="72"/>
  <c r="E146" i="70"/>
  <c r="E146" i="72"/>
  <c r="E146" i="68"/>
  <c r="E146" i="66"/>
  <c r="E144" i="68"/>
  <c r="E144" i="72"/>
  <c r="E144" i="70"/>
  <c r="E144" i="66"/>
  <c r="E142" i="70"/>
  <c r="E142" i="68"/>
  <c r="E142" i="72"/>
  <c r="E142" i="66"/>
  <c r="E138" i="68"/>
  <c r="E138" i="72"/>
  <c r="E138" i="66"/>
  <c r="E138" i="70"/>
  <c r="E136" i="70"/>
  <c r="E136" i="72"/>
  <c r="E136" i="68"/>
  <c r="E136" i="66"/>
  <c r="E134" i="70"/>
  <c r="E134" i="68"/>
  <c r="E134" i="72"/>
  <c r="E134" i="66"/>
  <c r="E132" i="70"/>
  <c r="E132" i="68"/>
  <c r="E132" i="66"/>
  <c r="E132" i="72"/>
  <c r="E123" i="72"/>
  <c r="E123" i="70"/>
  <c r="E123" i="66"/>
  <c r="E123" i="68"/>
  <c r="E121" i="68"/>
  <c r="E121" i="70"/>
  <c r="E121" i="66"/>
  <c r="E121" i="72"/>
  <c r="E119" i="72"/>
  <c r="E119" i="66"/>
  <c r="E119" i="70"/>
  <c r="E119" i="68"/>
  <c r="E108" i="72"/>
  <c r="E108" i="66"/>
  <c r="E108" i="68"/>
  <c r="E108" i="70"/>
  <c r="E106" i="68"/>
  <c r="E106" i="70"/>
  <c r="E106" i="72"/>
  <c r="E106" i="66"/>
  <c r="E104" i="72"/>
  <c r="E104" i="68"/>
  <c r="E104" i="66"/>
  <c r="E104" i="70"/>
  <c r="E102" i="68"/>
  <c r="E102" i="72"/>
  <c r="E102" i="70"/>
  <c r="E102" i="66"/>
  <c r="E87" i="70"/>
  <c r="E87" i="68"/>
  <c r="E87" i="66"/>
  <c r="E87" i="72"/>
  <c r="E56" i="72"/>
  <c r="E56" i="66"/>
  <c r="E56" i="70"/>
  <c r="E56" i="68"/>
  <c r="E54" i="70"/>
  <c r="E54" i="68"/>
  <c r="E54" i="72"/>
  <c r="E54" i="66"/>
  <c r="E51" i="68"/>
  <c r="E51" i="72"/>
  <c r="E51" i="66"/>
  <c r="E51" i="70"/>
  <c r="E49" i="70"/>
  <c r="E49" i="66"/>
  <c r="E49" i="68"/>
  <c r="E49" i="72"/>
  <c r="E47" i="68"/>
  <c r="E47" i="72"/>
  <c r="E47" i="70"/>
  <c r="E47" i="66"/>
  <c r="E30" i="72"/>
  <c r="E30" i="70"/>
  <c r="E30" i="68"/>
  <c r="E30" i="66"/>
  <c r="E10" i="68"/>
  <c r="E10" i="70"/>
  <c r="E10" i="72"/>
  <c r="E10" i="66"/>
  <c r="E201" i="68"/>
  <c r="E201" i="72"/>
  <c r="E201" i="66"/>
  <c r="E201" i="70"/>
  <c r="E188" i="72"/>
  <c r="E188" i="66"/>
  <c r="E188" i="70"/>
  <c r="E188" i="68"/>
  <c r="E181" i="68"/>
  <c r="E181" i="72"/>
  <c r="E181" i="66"/>
  <c r="E181" i="70"/>
  <c r="E174" i="72"/>
  <c r="E174" i="68"/>
  <c r="E174" i="66"/>
  <c r="E174" i="70"/>
  <c r="E153" i="72"/>
  <c r="E153" i="66"/>
  <c r="E153" i="68"/>
  <c r="E153" i="70"/>
  <c r="E101" i="70"/>
  <c r="E101" i="72"/>
  <c r="E101" i="68"/>
  <c r="E101" i="66"/>
  <c r="E85" i="72"/>
  <c r="E85" i="70"/>
  <c r="E85" i="68"/>
  <c r="E85" i="66"/>
  <c r="E69" i="72"/>
  <c r="E69" i="66"/>
  <c r="E69" i="68"/>
  <c r="E69" i="70"/>
  <c r="E67" i="68"/>
  <c r="E67" i="70"/>
  <c r="E67" i="72"/>
  <c r="E67" i="66"/>
  <c r="E60" i="70"/>
  <c r="E60" i="72"/>
  <c r="E60" i="68"/>
  <c r="E60" i="66"/>
  <c r="E46" i="72"/>
  <c r="E46" i="66"/>
  <c r="E46" i="70"/>
  <c r="E46" i="68"/>
  <c r="E28" i="70"/>
  <c r="E28" i="72"/>
  <c r="E28" i="68"/>
  <c r="E28" i="66"/>
  <c r="E24" i="70"/>
  <c r="E24" i="68"/>
  <c r="E24" i="72"/>
  <c r="E24" i="66"/>
  <c r="E202" i="70"/>
  <c r="E202" i="72"/>
  <c r="E202" i="66"/>
  <c r="E202" i="68"/>
  <c r="E192" i="70"/>
  <c r="E192" i="68"/>
  <c r="E192" i="72"/>
  <c r="E192" i="66"/>
  <c r="E189" i="66"/>
  <c r="E189" i="68"/>
  <c r="E189" i="72"/>
  <c r="E189" i="70"/>
  <c r="E187" i="70"/>
  <c r="E187" i="68"/>
  <c r="E187" i="72"/>
  <c r="E187" i="66"/>
  <c r="E184" i="70"/>
  <c r="E184" i="72"/>
  <c r="E184" i="68"/>
  <c r="E184" i="66"/>
  <c r="E182" i="70"/>
  <c r="E182" i="66"/>
  <c r="E182" i="68"/>
  <c r="E182" i="72"/>
  <c r="E180" i="68"/>
  <c r="E180" i="70"/>
  <c r="E180" i="72"/>
  <c r="E180" i="66"/>
  <c r="E177" i="70"/>
  <c r="E177" i="68"/>
  <c r="E177" i="66"/>
  <c r="E177" i="72"/>
  <c r="E175" i="72"/>
  <c r="E175" i="68"/>
  <c r="E175" i="66"/>
  <c r="E175" i="70"/>
  <c r="E162" i="70"/>
  <c r="E162" i="72"/>
  <c r="E162" i="66"/>
  <c r="E156" i="70"/>
  <c r="E156" i="68"/>
  <c r="E156" i="66"/>
  <c r="E156" i="72"/>
  <c r="E154" i="70"/>
  <c r="E154" i="72"/>
  <c r="E154" i="66"/>
  <c r="E154" i="68"/>
  <c r="E148" i="72"/>
  <c r="E148" i="70"/>
  <c r="E148" i="66"/>
  <c r="E148" i="68"/>
  <c r="E130" i="68"/>
  <c r="E130" i="72"/>
  <c r="E130" i="70"/>
  <c r="E130" i="66"/>
  <c r="E114" i="68"/>
  <c r="E114" i="66"/>
  <c r="E114" i="70"/>
  <c r="E114" i="72"/>
  <c r="E84" i="72"/>
  <c r="E84" i="70"/>
  <c r="E84" i="66"/>
  <c r="E84" i="68"/>
  <c r="E82" i="68"/>
  <c r="E82" i="70"/>
  <c r="E82" i="72"/>
  <c r="E82" i="66"/>
  <c r="E80" i="72"/>
  <c r="E80" i="66"/>
  <c r="E80" i="68"/>
  <c r="E80" i="70"/>
  <c r="E70" i="72"/>
  <c r="E70" i="66"/>
  <c r="E70" i="70"/>
  <c r="E70" i="68"/>
  <c r="E68" i="70"/>
  <c r="E68" i="66"/>
  <c r="E68" i="68"/>
  <c r="E68" i="72"/>
  <c r="E66" i="68"/>
  <c r="E66" i="70"/>
  <c r="E66" i="72"/>
  <c r="E66" i="66"/>
  <c r="E64" i="70"/>
  <c r="E64" i="72"/>
  <c r="E64" i="68"/>
  <c r="E64" i="66"/>
  <c r="E63" i="68"/>
  <c r="E63" i="66"/>
  <c r="E63" i="72"/>
  <c r="E63" i="70"/>
  <c r="E59" i="72"/>
  <c r="E59" i="68"/>
  <c r="E59" i="66"/>
  <c r="E59" i="70"/>
  <c r="E27" i="68"/>
  <c r="E27" i="66"/>
  <c r="E27" i="72"/>
  <c r="E27" i="70"/>
  <c r="E25" i="72"/>
  <c r="E25" i="66"/>
  <c r="E25" i="68"/>
  <c r="E25" i="70"/>
  <c r="E23" i="68"/>
  <c r="E23" i="70"/>
  <c r="E23" i="66"/>
  <c r="E23" i="72"/>
  <c r="E195" i="72"/>
  <c r="E195" i="68"/>
  <c r="E195" i="66"/>
  <c r="E195" i="70"/>
  <c r="E183" i="72"/>
  <c r="E183" i="66"/>
  <c r="E183" i="68"/>
  <c r="E183" i="70"/>
  <c r="E178" i="72"/>
  <c r="E178" i="70"/>
  <c r="E178" i="66"/>
  <c r="E178" i="68"/>
  <c r="E157" i="72"/>
  <c r="E157" i="66"/>
  <c r="E157" i="70"/>
  <c r="E157" i="68"/>
  <c r="E83" i="70"/>
  <c r="E83" i="68"/>
  <c r="E83" i="72"/>
  <c r="E83" i="66"/>
  <c r="E58" i="70"/>
  <c r="E58" i="68"/>
  <c r="E58" i="72"/>
  <c r="E58" i="66"/>
  <c r="E217" i="68"/>
  <c r="E217" i="70"/>
  <c r="E217" i="72"/>
  <c r="E217" i="67"/>
  <c r="E217" i="66"/>
  <c r="E214" i="72"/>
  <c r="E214" i="66"/>
  <c r="E214" i="67"/>
  <c r="E214" i="68"/>
  <c r="E214" i="70"/>
  <c r="E199" i="72"/>
  <c r="E199" i="70"/>
  <c r="E199" i="66"/>
  <c r="E199" i="68"/>
  <c r="E197" i="68"/>
  <c r="E197" i="70"/>
  <c r="E197" i="66"/>
  <c r="E197" i="72"/>
  <c r="E173" i="70"/>
  <c r="E173" i="68"/>
  <c r="E173" i="72"/>
  <c r="E173" i="66"/>
  <c r="E164" i="72"/>
  <c r="E164" i="68"/>
  <c r="E164" i="66"/>
  <c r="E164" i="70"/>
  <c r="E152" i="70"/>
  <c r="E152" i="68"/>
  <c r="E152" i="72"/>
  <c r="E152" i="66"/>
  <c r="E145" i="68"/>
  <c r="E145" i="66"/>
  <c r="E145" i="72"/>
  <c r="E145" i="70"/>
  <c r="E143" i="72"/>
  <c r="E143" i="66"/>
  <c r="E143" i="70"/>
  <c r="E143" i="68"/>
  <c r="E141" i="68"/>
  <c r="E141" i="70"/>
  <c r="E141" i="72"/>
  <c r="E141" i="66"/>
  <c r="E137" i="72"/>
  <c r="E137" i="68"/>
  <c r="E137" i="66"/>
  <c r="E137" i="70"/>
  <c r="E135" i="68"/>
  <c r="E135" i="70"/>
  <c r="E135" i="72"/>
  <c r="E135" i="66"/>
  <c r="E133" i="72"/>
  <c r="E133" i="66"/>
  <c r="E133" i="70"/>
  <c r="E133" i="68"/>
  <c r="E131" i="68"/>
  <c r="E131" i="72"/>
  <c r="E131" i="66"/>
  <c r="E131" i="70"/>
  <c r="E124" i="68"/>
  <c r="E124" i="72"/>
  <c r="E124" i="70"/>
  <c r="E124" i="66"/>
  <c r="E122" i="70"/>
  <c r="E122" i="72"/>
  <c r="E122" i="66"/>
  <c r="E122" i="68"/>
  <c r="E120" i="68"/>
  <c r="E120" i="72"/>
  <c r="E120" i="70"/>
  <c r="E120" i="66"/>
  <c r="E107" i="70"/>
  <c r="E107" i="72"/>
  <c r="E107" i="66"/>
  <c r="E107" i="68"/>
  <c r="E105" i="68"/>
  <c r="E105" i="66"/>
  <c r="E105" i="72"/>
  <c r="E105" i="70"/>
  <c r="E103" i="70"/>
  <c r="E103" i="72"/>
  <c r="E103" i="66"/>
  <c r="E103" i="68"/>
  <c r="E88" i="72"/>
  <c r="E88" i="66"/>
  <c r="E88" i="70"/>
  <c r="E88" i="68"/>
  <c r="E57" i="68"/>
  <c r="E57" i="70"/>
  <c r="E57" i="66"/>
  <c r="E57" i="72"/>
  <c r="E55" i="72"/>
  <c r="E55" i="70"/>
  <c r="E55" i="66"/>
  <c r="E55" i="68"/>
  <c r="E52" i="68"/>
  <c r="E52" i="72"/>
  <c r="E52" i="66"/>
  <c r="E52" i="70"/>
  <c r="E50" i="72"/>
  <c r="E50" i="66"/>
  <c r="E50" i="70"/>
  <c r="E50" i="68"/>
  <c r="E48" i="68"/>
  <c r="E48" i="70"/>
  <c r="E48" i="72"/>
  <c r="E48" i="66"/>
  <c r="E31" i="68"/>
  <c r="E31" i="70"/>
  <c r="E31" i="66"/>
  <c r="E31" i="72"/>
  <c r="E17" i="70"/>
  <c r="E17" i="68"/>
  <c r="E17" i="72"/>
  <c r="E17" i="66"/>
  <c r="E14" i="70"/>
  <c r="E14" i="72"/>
  <c r="E14" i="66"/>
  <c r="E14" i="68"/>
  <c r="E13" i="72"/>
  <c r="E13" i="66"/>
  <c r="E13" i="70"/>
  <c r="E13" i="68"/>
  <c r="E12" i="70"/>
  <c r="E12" i="72"/>
  <c r="E12" i="68"/>
  <c r="E12" i="66"/>
  <c r="D14" i="70" l="1"/>
  <c r="D14" i="72"/>
  <c r="D14" i="67"/>
  <c r="D58" i="68"/>
  <c r="D58" i="70"/>
  <c r="D58" i="72"/>
  <c r="D58" i="67"/>
  <c r="D58" i="66"/>
  <c r="G212" i="68"/>
  <c r="G85" i="68"/>
  <c r="G85" i="72"/>
  <c r="G81" i="68"/>
  <c r="G81" i="72"/>
  <c r="G87" i="68"/>
  <c r="G87" i="72"/>
  <c r="G199" i="72"/>
  <c r="G199" i="68"/>
  <c r="E212" i="70"/>
  <c r="E212" i="72"/>
  <c r="E212" i="66"/>
  <c r="E212" i="67"/>
  <c r="E212" i="68"/>
  <c r="G64" i="68"/>
  <c r="G64" i="72"/>
  <c r="G26" i="72"/>
  <c r="G26" i="68"/>
  <c r="G102" i="68"/>
  <c r="G102" i="72"/>
  <c r="G144" i="68"/>
  <c r="G144" i="72"/>
  <c r="G164" i="68"/>
  <c r="G164" i="72"/>
  <c r="G196" i="72"/>
  <c r="G196" i="68"/>
  <c r="G82" i="68"/>
  <c r="G82" i="72"/>
  <c r="G23" i="72"/>
  <c r="G23" i="68"/>
  <c r="G201" i="72"/>
  <c r="G201" i="68"/>
  <c r="G119" i="68"/>
  <c r="G119" i="72"/>
  <c r="G198" i="72"/>
  <c r="G198" i="68"/>
  <c r="G88" i="68"/>
  <c r="G88" i="72"/>
  <c r="G84" i="68"/>
  <c r="G84" i="72"/>
  <c r="G202" i="72"/>
  <c r="G202" i="68"/>
  <c r="G83" i="68"/>
  <c r="G83" i="72"/>
  <c r="G197" i="72"/>
  <c r="G197" i="68"/>
  <c r="G101" i="68"/>
  <c r="G101" i="72"/>
  <c r="D60" i="68" l="1"/>
  <c r="D60" i="70"/>
  <c r="D60" i="72"/>
  <c r="D60" i="66"/>
  <c r="D60" i="67"/>
  <c r="G16" i="66"/>
  <c r="D16" i="68"/>
  <c r="D16" i="70"/>
  <c r="D16" i="72"/>
  <c r="D16" i="67"/>
  <c r="D16" i="66"/>
  <c r="D59" i="70"/>
  <c r="D59" i="68"/>
  <c r="D59" i="72"/>
  <c r="D59" i="67"/>
  <c r="D59" i="66"/>
  <c r="G212" i="72"/>
  <c r="G24" i="72"/>
  <c r="G24" i="68"/>
  <c r="G135" i="68"/>
  <c r="G135" i="72"/>
  <c r="G60" i="68"/>
  <c r="G60" i="72"/>
  <c r="G68" i="68"/>
  <c r="G68" i="72"/>
  <c r="G56" i="68"/>
  <c r="G56" i="72"/>
  <c r="G134" i="68"/>
  <c r="G134" i="72"/>
  <c r="G104" i="68"/>
  <c r="G104" i="72"/>
  <c r="G142" i="68"/>
  <c r="G142" i="72"/>
  <c r="G50" i="68"/>
  <c r="G50" i="72"/>
  <c r="G65" i="68"/>
  <c r="G65" i="72"/>
  <c r="G107" i="68"/>
  <c r="G107" i="72"/>
  <c r="G133" i="68"/>
  <c r="G133" i="72"/>
  <c r="G155" i="68"/>
  <c r="G155" i="72"/>
  <c r="G66" i="68"/>
  <c r="G66" i="72"/>
  <c r="G131" i="68"/>
  <c r="G131" i="72"/>
  <c r="G122" i="68"/>
  <c r="G122" i="72"/>
  <c r="G183" i="68"/>
  <c r="G183" i="72"/>
  <c r="G27" i="72"/>
  <c r="G27" i="68"/>
  <c r="G187" i="72"/>
  <c r="G187" i="68"/>
  <c r="G12" i="68"/>
  <c r="G12" i="72"/>
  <c r="G191" i="72"/>
  <c r="G191" i="68"/>
  <c r="G57" i="68"/>
  <c r="G57" i="72"/>
  <c r="G174" i="68"/>
  <c r="G174" i="72"/>
  <c r="G54" i="68"/>
  <c r="G54" i="72"/>
  <c r="G47" i="68"/>
  <c r="G47" i="72"/>
  <c r="G176" i="68"/>
  <c r="G176" i="72"/>
  <c r="G195" i="72"/>
  <c r="G195" i="68"/>
  <c r="G123" i="68"/>
  <c r="G123" i="72"/>
  <c r="G55" i="68"/>
  <c r="G55" i="72"/>
  <c r="G214" i="68"/>
  <c r="G214" i="72"/>
  <c r="G28" i="72"/>
  <c r="G28" i="68"/>
  <c r="G51" i="68"/>
  <c r="G51" i="72"/>
  <c r="G103" i="68"/>
  <c r="G103" i="72"/>
  <c r="G132" i="68"/>
  <c r="G132" i="72"/>
  <c r="G130" i="68"/>
  <c r="G130" i="72"/>
  <c r="G49" i="68"/>
  <c r="G49" i="72"/>
  <c r="G177" i="68"/>
  <c r="G177" i="72"/>
  <c r="G114" i="68"/>
  <c r="G114" i="72"/>
  <c r="G156" i="68"/>
  <c r="G156" i="72"/>
  <c r="G13" i="68"/>
  <c r="G13" i="72"/>
  <c r="G182" i="68"/>
  <c r="G182" i="72"/>
  <c r="G180" i="68"/>
  <c r="G180" i="72"/>
  <c r="G124" i="68"/>
  <c r="G124" i="72"/>
  <c r="G186" i="72"/>
  <c r="G186" i="68"/>
  <c r="G48" i="68"/>
  <c r="G48" i="72"/>
  <c r="G189" i="68"/>
  <c r="G189" i="72"/>
  <c r="G136" i="68"/>
  <c r="G136" i="72"/>
  <c r="G31" i="72"/>
  <c r="G31" i="68"/>
  <c r="G217" i="72"/>
  <c r="G217" i="68"/>
  <c r="G153" i="68"/>
  <c r="G153" i="72"/>
  <c r="G152" i="68"/>
  <c r="G152" i="72"/>
  <c r="G46" i="68"/>
  <c r="G46" i="72"/>
  <c r="G63" i="68"/>
  <c r="G63" i="72"/>
  <c r="G215" i="68"/>
  <c r="G215" i="72"/>
  <c r="G106" i="68"/>
  <c r="G106" i="72"/>
  <c r="G30" i="72"/>
  <c r="G30" i="68"/>
  <c r="G173" i="68"/>
  <c r="G173" i="72"/>
  <c r="G121" i="68"/>
  <c r="G121" i="72"/>
  <c r="B7" i="54"/>
  <c r="G25" i="72"/>
  <c r="G25" i="68"/>
  <c r="G162" i="72"/>
  <c r="G17" i="68"/>
  <c r="G17" i="72"/>
  <c r="G58" i="68"/>
  <c r="G58" i="72"/>
  <c r="G178" i="68"/>
  <c r="G178" i="72"/>
  <c r="G159" i="68"/>
  <c r="G159" i="72"/>
  <c r="G154" i="68"/>
  <c r="G154" i="72"/>
  <c r="G120" i="68"/>
  <c r="G120" i="72"/>
  <c r="G181" i="68"/>
  <c r="G181" i="72"/>
  <c r="G14" i="68"/>
  <c r="G14" i="72"/>
  <c r="G184" i="72"/>
  <c r="G184" i="68"/>
  <c r="G80" i="68"/>
  <c r="G80" i="72"/>
  <c r="G137" i="68"/>
  <c r="G137" i="72"/>
  <c r="G67" i="68"/>
  <c r="G67" i="72"/>
  <c r="G105" i="68"/>
  <c r="G105" i="72"/>
  <c r="G141" i="68"/>
  <c r="G141" i="72"/>
  <c r="G138" i="68"/>
  <c r="G138" i="72"/>
  <c r="G108" i="68"/>
  <c r="G108" i="72"/>
  <c r="G59" i="68"/>
  <c r="G59" i="72"/>
  <c r="G69" i="68"/>
  <c r="G69" i="72"/>
  <c r="G157" i="68"/>
  <c r="G157" i="72"/>
  <c r="G145" i="68"/>
  <c r="G145" i="72"/>
  <c r="G175" i="68"/>
  <c r="G175" i="72"/>
  <c r="G70" i="68"/>
  <c r="G70" i="72"/>
  <c r="G143" i="68"/>
  <c r="G143" i="72"/>
  <c r="G148" i="68"/>
  <c r="G148" i="72"/>
  <c r="G188" i="72"/>
  <c r="G188" i="68"/>
  <c r="G52" i="68"/>
  <c r="G52" i="72"/>
  <c r="G192" i="72"/>
  <c r="G192" i="68"/>
  <c r="G146" i="68"/>
  <c r="G146" i="72"/>
  <c r="G17" i="66" l="1"/>
  <c r="D17" i="68"/>
  <c r="D17" i="70"/>
  <c r="D17" i="72"/>
  <c r="D17" i="66"/>
  <c r="D17" i="67"/>
  <c r="G19" i="66" l="1"/>
  <c r="D19" i="68"/>
  <c r="D19" i="70"/>
  <c r="D19" i="72"/>
  <c r="D19" i="66"/>
  <c r="D19" i="67"/>
  <c r="G18" i="66"/>
  <c r="D18" i="68"/>
  <c r="D18" i="70"/>
  <c r="D18" i="72"/>
  <c r="D18" i="66"/>
  <c r="D18" i="67"/>
  <c r="A4" i="41" l="1"/>
  <c r="A3" i="41"/>
  <c r="A1" i="41"/>
  <c r="A4" i="43" l="1"/>
  <c r="B4" i="43"/>
  <c r="A2" i="43"/>
  <c r="B2" i="43"/>
  <c r="A1" i="43"/>
  <c r="B1" i="43"/>
  <c r="P9" i="43" l="1"/>
  <c r="H20" i="43"/>
  <c r="J20" i="43"/>
  <c r="L20" i="43"/>
  <c r="G20" i="43"/>
  <c r="M16" i="43"/>
  <c r="F16" i="43"/>
  <c r="L16" i="43"/>
  <c r="L21" i="43" s="1"/>
  <c r="M20" i="43"/>
  <c r="E20" i="43"/>
  <c r="I20" i="43"/>
  <c r="N20" i="43"/>
  <c r="J16" i="43"/>
  <c r="E16" i="43"/>
  <c r="E21" i="43" s="1"/>
  <c r="G16" i="43"/>
  <c r="K16" i="43"/>
  <c r="K20" i="43"/>
  <c r="I16" i="43"/>
  <c r="H16" i="43"/>
  <c r="P12" i="43"/>
  <c r="F20" i="43"/>
  <c r="P11" i="43"/>
  <c r="P14" i="43"/>
  <c r="P13" i="43"/>
  <c r="D20" i="43"/>
  <c r="P19" i="43"/>
  <c r="D16" i="43"/>
  <c r="C16" i="43"/>
  <c r="P15" i="43"/>
  <c r="P17" i="43"/>
  <c r="P10" i="43"/>
  <c r="C20" i="43"/>
  <c r="C21" i="43" s="1"/>
  <c r="P18" i="43"/>
  <c r="D63" i="183" l="1"/>
  <c r="D73" i="183"/>
  <c r="P16" i="43"/>
  <c r="F22" i="43"/>
  <c r="J21" i="43"/>
  <c r="N22" i="43"/>
  <c r="H22" i="43"/>
  <c r="G22" i="43"/>
  <c r="I21" i="43"/>
  <c r="J22" i="43"/>
  <c r="E22" i="43"/>
  <c r="M21" i="43"/>
  <c r="L22" i="43"/>
  <c r="M22" i="43"/>
  <c r="K22" i="43"/>
  <c r="N21" i="43"/>
  <c r="D21" i="43"/>
  <c r="I22" i="43"/>
  <c r="G21" i="43"/>
  <c r="K21" i="43"/>
  <c r="D22" i="43"/>
  <c r="H21" i="43"/>
  <c r="F21" i="43"/>
  <c r="C22" i="43"/>
  <c r="P20" i="43" l="1"/>
  <c r="P22" i="43" l="1"/>
  <c r="P21" i="43"/>
  <c r="D62" i="183" l="1"/>
  <c r="D72" i="183"/>
  <c r="A1" i="67"/>
  <c r="A1" i="66" s="1"/>
  <c r="A1" i="72" s="1"/>
  <c r="A1" i="70" s="1"/>
  <c r="A1" i="68" s="1"/>
  <c r="A1" i="183" s="1"/>
  <c r="A3" i="67"/>
  <c r="A3" i="66" s="1"/>
  <c r="A3" i="72" s="1"/>
  <c r="A3" i="70" s="1"/>
  <c r="A3" i="68" s="1"/>
  <c r="A3" i="183" s="1"/>
  <c r="A4" i="67"/>
  <c r="A4" i="66" s="1"/>
  <c r="A4" i="72" s="1"/>
  <c r="A4" i="70" s="1"/>
  <c r="A4" i="68" s="1"/>
  <c r="A4" i="183" s="1"/>
  <c r="D74" i="183" l="1"/>
  <c r="D75" i="183"/>
  <c r="D64" i="183"/>
  <c r="D65" i="183" l="1"/>
  <c r="A10" i="70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2" i="70" l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26" i="68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10" i="72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46" i="70" l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48" i="68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21" i="66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21" i="72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20" i="67"/>
  <c r="A21" i="67" s="1"/>
  <c r="A48" i="66" l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44" i="72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33" i="72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101" i="70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90" i="70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2" i="68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22" i="67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52" i="67" l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33" i="67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101" i="72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90" i="72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78" i="66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116" i="72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0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44" i="68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05" i="67" l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03" i="66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90" i="66"/>
  <c r="A91" i="66" s="1"/>
  <c r="A92" i="66" s="1"/>
  <c r="A93" i="66" s="1"/>
  <c r="A94" i="66" s="1"/>
  <c r="A95" i="66" s="1"/>
  <c r="A96" i="66" s="1"/>
  <c r="A97" i="66" s="1"/>
  <c r="A118" i="67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72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60" i="70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90" i="70" s="1"/>
  <c r="A191" i="70" s="1"/>
  <c r="A167" i="68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A190" i="68" s="1"/>
  <c r="A191" i="68" s="1"/>
  <c r="A192" i="68" s="1"/>
  <c r="A193" i="68" s="1"/>
  <c r="A192" i="70" l="1"/>
  <c r="A193" i="70" s="1"/>
  <c r="A194" i="70" s="1"/>
  <c r="A195" i="70" s="1"/>
  <c r="A196" i="70" s="1"/>
  <c r="A197" i="70" s="1"/>
  <c r="A198" i="70" s="1"/>
  <c r="A199" i="70" s="1"/>
  <c r="A200" i="70" s="1"/>
  <c r="A201" i="70" s="1"/>
  <c r="A202" i="70" s="1"/>
  <c r="A203" i="70" s="1"/>
  <c r="A204" i="70" s="1"/>
  <c r="A205" i="70" s="1"/>
  <c r="A206" i="70" s="1"/>
  <c r="A207" i="70" s="1"/>
  <c r="A208" i="70" s="1"/>
  <c r="A209" i="70" s="1"/>
  <c r="A210" i="70" s="1"/>
  <c r="A211" i="70" s="1"/>
  <c r="A212" i="70" s="1"/>
  <c r="A213" i="70" s="1"/>
  <c r="A214" i="70" s="1"/>
  <c r="A215" i="70" s="1"/>
  <c r="A216" i="70" s="1"/>
  <c r="A217" i="70" s="1"/>
  <c r="A139" i="67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8" i="67" s="1"/>
  <c r="A159" i="67" s="1"/>
  <c r="A160" i="67" s="1"/>
  <c r="A161" i="67" s="1"/>
  <c r="A162" i="67" s="1"/>
  <c r="A163" i="67" s="1"/>
  <c r="A139" i="66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59" i="72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A190" i="72" s="1"/>
  <c r="A191" i="72" s="1"/>
  <c r="A192" i="72" s="1"/>
  <c r="A194" i="68"/>
  <c r="A195" i="68" s="1"/>
  <c r="A196" i="68" s="1"/>
  <c r="A197" i="68" s="1"/>
  <c r="A198" i="68" s="1"/>
  <c r="A199" i="68" s="1"/>
  <c r="A200" i="68" s="1"/>
  <c r="A201" i="68" s="1"/>
  <c r="A202" i="68" s="1"/>
  <c r="A203" i="68" s="1"/>
  <c r="A204" i="68" s="1"/>
  <c r="A205" i="68" s="1"/>
  <c r="A206" i="68" s="1"/>
  <c r="A207" i="68" s="1"/>
  <c r="A208" i="68" s="1"/>
  <c r="A209" i="68" s="1"/>
  <c r="A210" i="68" s="1"/>
  <c r="A211" i="68" s="1"/>
  <c r="A212" i="68" s="1"/>
  <c r="A213" i="68" s="1"/>
  <c r="A214" i="68" s="1"/>
  <c r="A215" i="68" s="1"/>
  <c r="A216" i="68" s="1"/>
  <c r="A217" i="68" s="1"/>
  <c r="A164" i="67" l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A191" i="67" s="1"/>
  <c r="A160" i="66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3" i="72"/>
  <c r="A194" i="72" s="1"/>
  <c r="A195" i="72" s="1"/>
  <c r="A196" i="72" s="1"/>
  <c r="A197" i="72" s="1"/>
  <c r="A198" i="72" s="1"/>
  <c r="A199" i="72" s="1"/>
  <c r="A200" i="72" s="1"/>
  <c r="A201" i="72" s="1"/>
  <c r="A202" i="72" s="1"/>
  <c r="A203" i="72" s="1"/>
  <c r="A204" i="72" s="1"/>
  <c r="A205" i="72" s="1"/>
  <c r="A206" i="72" s="1"/>
  <c r="A207" i="72" s="1"/>
  <c r="A208" i="72" s="1"/>
  <c r="A209" i="72" s="1"/>
  <c r="A210" i="72" s="1"/>
  <c r="A211" i="72" s="1"/>
  <c r="A212" i="72" s="1"/>
  <c r="A213" i="72" s="1"/>
  <c r="A214" i="72" s="1"/>
  <c r="A215" i="72" s="1"/>
  <c r="A216" i="72" s="1"/>
  <c r="A217" i="72" s="1"/>
  <c r="A192" i="67" l="1"/>
  <c r="A193" i="67" s="1"/>
  <c r="A194" i="67" s="1"/>
  <c r="A195" i="67" s="1"/>
  <c r="A196" i="67" s="1"/>
  <c r="A197" i="67" s="1"/>
  <c r="A198" i="67" s="1"/>
  <c r="A199" i="67" s="1"/>
  <c r="A200" i="67" s="1"/>
  <c r="A201" i="67" s="1"/>
  <c r="A202" i="67" s="1"/>
  <c r="A203" i="67" s="1"/>
  <c r="A204" i="67" s="1"/>
  <c r="A205" i="67" s="1"/>
  <c r="A206" i="67" s="1"/>
  <c r="A207" i="67" s="1"/>
  <c r="A208" i="67" s="1"/>
  <c r="A209" i="67" s="1"/>
  <c r="A210" i="67" s="1"/>
  <c r="A211" i="67" s="1"/>
  <c r="A212" i="67" s="1"/>
  <c r="A213" i="67" s="1"/>
  <c r="A214" i="67" s="1"/>
  <c r="A215" i="67" s="1"/>
  <c r="A216" i="67" s="1"/>
  <c r="A217" i="67" s="1"/>
  <c r="A192" i="66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R9" i="43"/>
  <c r="F10" i="68" l="1"/>
  <c r="F10" i="72"/>
  <c r="D13" i="183" l="1"/>
  <c r="G18" i="54" l="1"/>
  <c r="G14" i="54"/>
  <c r="I23" i="54"/>
  <c r="I22" i="54"/>
  <c r="I20" i="54"/>
  <c r="I19" i="54"/>
  <c r="I18" i="54"/>
  <c r="I17" i="54"/>
  <c r="I16" i="54"/>
  <c r="I15" i="54"/>
  <c r="I14" i="54"/>
  <c r="I28" i="54" l="1"/>
  <c r="O18" i="54"/>
  <c r="O14" i="54"/>
  <c r="O22" i="54"/>
  <c r="O13" i="54"/>
  <c r="M23" i="54"/>
  <c r="I25" i="54"/>
  <c r="L21" i="54" s="1"/>
  <c r="M15" i="54"/>
  <c r="M19" i="54"/>
  <c r="M16" i="54"/>
  <c r="M20" i="54"/>
  <c r="M17" i="54"/>
  <c r="M14" i="54"/>
  <c r="N14" i="54"/>
  <c r="N18" i="54"/>
  <c r="M18" i="54"/>
  <c r="G22" i="54"/>
  <c r="N22" i="54" s="1"/>
  <c r="M22" i="54"/>
  <c r="G19" i="54"/>
  <c r="N19" i="54" s="1"/>
  <c r="G16" i="54"/>
  <c r="N16" i="54" s="1"/>
  <c r="G20" i="54"/>
  <c r="N20" i="54" s="1"/>
  <c r="O17" i="54"/>
  <c r="G13" i="54"/>
  <c r="N13" i="54" s="1"/>
  <c r="G17" i="54"/>
  <c r="N17" i="54" s="1"/>
  <c r="O16" i="54"/>
  <c r="O20" i="54"/>
  <c r="O15" i="54"/>
  <c r="O19" i="54"/>
  <c r="O23" i="54"/>
  <c r="G23" i="54"/>
  <c r="N23" i="54" s="1"/>
  <c r="G15" i="54"/>
  <c r="N15" i="54" s="1"/>
  <c r="N21" i="54" l="1"/>
  <c r="M21" i="54"/>
  <c r="P21" i="54" s="1"/>
  <c r="L18" i="54"/>
  <c r="P18" i="54" s="1"/>
  <c r="L14" i="54"/>
  <c r="P14" i="54" s="1"/>
  <c r="L17" i="54"/>
  <c r="P17" i="54" s="1"/>
  <c r="L13" i="54"/>
  <c r="P13" i="54" s="1"/>
  <c r="L19" i="54"/>
  <c r="P19" i="54" s="1"/>
  <c r="L15" i="54"/>
  <c r="P15" i="54" s="1"/>
  <c r="L20" i="54"/>
  <c r="R20" i="54" s="1"/>
  <c r="L16" i="54"/>
  <c r="P16" i="54" s="1"/>
  <c r="L12" i="54"/>
  <c r="P12" i="54" s="1"/>
  <c r="L22" i="54"/>
  <c r="Q22" i="54" s="1"/>
  <c r="L23" i="54"/>
  <c r="Q23" i="54" s="1"/>
  <c r="Q17" i="54"/>
  <c r="N12" i="54"/>
  <c r="P28" i="54" l="1"/>
  <c r="Q13" i="54"/>
  <c r="Q16" i="54"/>
  <c r="P22" i="54"/>
  <c r="Q19" i="54"/>
  <c r="R12" i="54"/>
  <c r="P20" i="54"/>
  <c r="P23" i="54"/>
  <c r="R21" i="54"/>
  <c r="R13" i="54"/>
  <c r="Q21" i="54"/>
  <c r="R23" i="54"/>
  <c r="Q12" i="54"/>
  <c r="Q15" i="54"/>
  <c r="R16" i="54"/>
  <c r="R28" i="54" s="1"/>
  <c r="Q14" i="54"/>
  <c r="R14" i="54"/>
  <c r="R19" i="54"/>
  <c r="Q18" i="54"/>
  <c r="Q20" i="54"/>
  <c r="R17" i="54"/>
  <c r="R18" i="54"/>
  <c r="R22" i="54"/>
  <c r="R15" i="54"/>
  <c r="Q28" i="54" l="1"/>
  <c r="Q25" i="54"/>
  <c r="R25" i="54"/>
  <c r="P25" i="54"/>
  <c r="R29" i="54" l="1"/>
  <c r="D106" i="183" s="1"/>
  <c r="P29" i="54"/>
  <c r="D86" i="183" s="1"/>
  <c r="Q29" i="54"/>
  <c r="D96" i="183" s="1"/>
  <c r="P26" i="54"/>
  <c r="R26" i="54"/>
  <c r="Q26" i="54"/>
  <c r="R17" i="43" l="1"/>
  <c r="R11" i="43"/>
  <c r="R12" i="43"/>
  <c r="R15" i="43"/>
  <c r="R14" i="43"/>
  <c r="R10" i="43"/>
  <c r="R13" i="43"/>
  <c r="D31" i="183" l="1"/>
  <c r="R18" i="43" l="1"/>
  <c r="R19" i="43"/>
  <c r="R16" i="43"/>
  <c r="R20" i="43"/>
  <c r="R21" i="43" l="1"/>
  <c r="R22" i="43"/>
  <c r="G10" i="68" l="1"/>
  <c r="G10" i="72"/>
  <c r="B26" i="41" l="1"/>
  <c r="B28" i="41"/>
  <c r="B27" i="41"/>
  <c r="G149" i="66" l="1"/>
  <c r="G145" i="66"/>
  <c r="G141" i="66"/>
  <c r="G28" i="66"/>
  <c r="G24" i="66"/>
  <c r="G146" i="66"/>
  <c r="G148" i="66"/>
  <c r="G144" i="66"/>
  <c r="G27" i="66"/>
  <c r="G23" i="66"/>
  <c r="G30" i="66"/>
  <c r="G29" i="66"/>
  <c r="G31" i="66"/>
  <c r="G147" i="66"/>
  <c r="G143" i="66"/>
  <c r="G26" i="66"/>
  <c r="G142" i="66"/>
  <c r="G25" i="66"/>
  <c r="G134" i="66"/>
  <c r="G131" i="66"/>
  <c r="G49" i="66"/>
  <c r="G135" i="66"/>
  <c r="G136" i="66"/>
  <c r="G132" i="66"/>
  <c r="G45" i="66"/>
  <c r="G52" i="66"/>
  <c r="G48" i="66"/>
  <c r="G138" i="66"/>
  <c r="G50" i="66"/>
  <c r="G133" i="66"/>
  <c r="G130" i="66"/>
  <c r="G51" i="66"/>
  <c r="G47" i="66"/>
  <c r="G137" i="66"/>
  <c r="G46" i="66"/>
  <c r="G54" i="66"/>
  <c r="G55" i="66"/>
  <c r="G57" i="66"/>
  <c r="G56" i="66"/>
  <c r="G58" i="66"/>
  <c r="G59" i="66"/>
  <c r="G60" i="66"/>
  <c r="C7" i="54"/>
  <c r="J12" i="54" s="1"/>
  <c r="J13" i="54" l="1"/>
  <c r="K13" i="54" s="1"/>
  <c r="J14" i="54"/>
  <c r="K14" i="54" s="1"/>
  <c r="J15" i="54"/>
  <c r="K15" i="54" s="1"/>
  <c r="G74" i="66"/>
  <c r="G173" i="66"/>
  <c r="G68" i="66"/>
  <c r="G157" i="66"/>
  <c r="G177" i="66"/>
  <c r="G180" i="66"/>
  <c r="G183" i="66"/>
  <c r="G162" i="66"/>
  <c r="G203" i="66"/>
  <c r="G205" i="66"/>
  <c r="G204" i="66"/>
  <c r="G199" i="66"/>
  <c r="G113" i="66"/>
  <c r="G191" i="66"/>
  <c r="G176" i="66"/>
  <c r="G103" i="66"/>
  <c r="G66" i="66"/>
  <c r="G181" i="66"/>
  <c r="G63" i="66"/>
  <c r="G127" i="66"/>
  <c r="G196" i="66"/>
  <c r="G121" i="66"/>
  <c r="G123" i="66"/>
  <c r="G80" i="66"/>
  <c r="G192" i="66"/>
  <c r="G188" i="66"/>
  <c r="G77" i="66"/>
  <c r="G116" i="66"/>
  <c r="G159" i="66"/>
  <c r="G64" i="66"/>
  <c r="G178" i="66"/>
  <c r="G175" i="66"/>
  <c r="G155" i="66"/>
  <c r="G152" i="66"/>
  <c r="G107" i="66"/>
  <c r="G182" i="66"/>
  <c r="G108" i="66"/>
  <c r="G126" i="66"/>
  <c r="G163" i="66"/>
  <c r="G122" i="66"/>
  <c r="G88" i="66"/>
  <c r="G125" i="66"/>
  <c r="G207" i="66"/>
  <c r="G166" i="66"/>
  <c r="G114" i="66"/>
  <c r="G111" i="66"/>
  <c r="G105" i="66"/>
  <c r="G101" i="66"/>
  <c r="G156" i="66"/>
  <c r="G106" i="66"/>
  <c r="G104" i="66"/>
  <c r="G70" i="66"/>
  <c r="G82" i="66"/>
  <c r="G168" i="66"/>
  <c r="G120" i="66"/>
  <c r="G164" i="66"/>
  <c r="G81" i="66"/>
  <c r="G202" i="66"/>
  <c r="G73" i="66"/>
  <c r="G76" i="66"/>
  <c r="G186" i="66"/>
  <c r="G69" i="66"/>
  <c r="G154" i="66"/>
  <c r="G174" i="66"/>
  <c r="G67" i="66"/>
  <c r="G124" i="66"/>
  <c r="G87" i="66"/>
  <c r="G85" i="66"/>
  <c r="G198" i="66"/>
  <c r="G200" i="66"/>
  <c r="G167" i="66"/>
  <c r="G83" i="66"/>
  <c r="G75" i="66"/>
  <c r="G115" i="66"/>
  <c r="G187" i="66"/>
  <c r="G189" i="66"/>
  <c r="G112" i="66"/>
  <c r="G71" i="66"/>
  <c r="G109" i="66"/>
  <c r="G102" i="66"/>
  <c r="G153" i="66"/>
  <c r="G65" i="66"/>
  <c r="G184" i="66"/>
  <c r="G170" i="66"/>
  <c r="G197" i="66"/>
  <c r="G208" i="66"/>
  <c r="G169" i="66"/>
  <c r="G86" i="66"/>
  <c r="G119" i="66"/>
  <c r="G195" i="66"/>
  <c r="G201" i="66"/>
  <c r="G84" i="66"/>
  <c r="G206" i="66"/>
  <c r="G165" i="66"/>
  <c r="G209" i="66"/>
  <c r="J21" i="54"/>
  <c r="J23" i="54"/>
  <c r="J22" i="54"/>
  <c r="K12" i="54"/>
  <c r="J16" i="54"/>
  <c r="K16" i="54" s="1"/>
  <c r="J20" i="54"/>
  <c r="K20" i="54" s="1"/>
  <c r="J18" i="54"/>
  <c r="K18" i="54" s="1"/>
  <c r="J17" i="54"/>
  <c r="K17" i="54" s="1"/>
  <c r="J19" i="54"/>
  <c r="K19" i="54" s="1"/>
  <c r="D7" i="54"/>
  <c r="J25" i="54" l="1"/>
  <c r="K23" i="54"/>
  <c r="K22" i="54"/>
  <c r="K21" i="54" l="1"/>
  <c r="A71" i="147" l="1"/>
  <c r="A72" i="147" s="1"/>
  <c r="A73" i="147" s="1"/>
  <c r="A74" i="147" s="1"/>
  <c r="I40" i="66" l="1"/>
  <c r="G42" i="193" s="1"/>
  <c r="I36" i="66"/>
  <c r="G38" i="193" s="1"/>
  <c r="I39" i="66"/>
  <c r="G41" i="193" s="1"/>
  <c r="I41" i="66"/>
  <c r="G43" i="193" s="1"/>
  <c r="I38" i="66"/>
  <c r="G40" i="193" s="1"/>
  <c r="I34" i="66"/>
  <c r="G36" i="193" s="1"/>
  <c r="I42" i="66"/>
  <c r="G44" i="193" s="1"/>
  <c r="I33" i="66"/>
  <c r="G35" i="193" s="1"/>
  <c r="I35" i="66"/>
  <c r="G37" i="193" s="1"/>
  <c r="I37" i="66"/>
  <c r="G39" i="193" s="1"/>
  <c r="I33" i="67" l="1"/>
  <c r="F35" i="193" s="1"/>
  <c r="I41" i="67"/>
  <c r="F43" i="193" s="1"/>
  <c r="I39" i="67"/>
  <c r="F41" i="193" s="1"/>
  <c r="I34" i="67"/>
  <c r="F36" i="193" s="1"/>
  <c r="I42" i="67"/>
  <c r="F44" i="193" s="1"/>
  <c r="I36" i="67"/>
  <c r="F38" i="193" s="1"/>
  <c r="I38" i="67"/>
  <c r="F40" i="193" s="1"/>
  <c r="I35" i="67"/>
  <c r="F37" i="193" s="1"/>
  <c r="I40" i="67"/>
  <c r="F42" i="193" s="1"/>
  <c r="I37" i="67"/>
  <c r="F39" i="193" s="1"/>
  <c r="P127" i="192" l="1"/>
  <c r="R127" i="192" s="1"/>
  <c r="P94" i="192"/>
  <c r="P203" i="192"/>
  <c r="R203" i="192" s="1"/>
  <c r="P69" i="192"/>
  <c r="R69" i="192" s="1"/>
  <c r="P75" i="192"/>
  <c r="R75" i="192" s="1"/>
  <c r="P125" i="192"/>
  <c r="R125" i="192" s="1"/>
  <c r="P22" i="192"/>
  <c r="R22" i="192" s="1"/>
  <c r="P96" i="192"/>
  <c r="P57" i="192"/>
  <c r="R57" i="192" s="1"/>
  <c r="P59" i="192"/>
  <c r="R59" i="192" s="1"/>
  <c r="P153" i="192"/>
  <c r="R153" i="192" s="1"/>
  <c r="P204" i="192"/>
  <c r="R204" i="192" s="1"/>
  <c r="P115" i="192"/>
  <c r="R115" i="192" s="1"/>
  <c r="P104" i="192"/>
  <c r="R104" i="192" s="1"/>
  <c r="P39" i="192"/>
  <c r="P159" i="192"/>
  <c r="R159" i="192" s="1"/>
  <c r="P143" i="192"/>
  <c r="R143" i="192" s="1"/>
  <c r="P26" i="192"/>
  <c r="R26" i="192" s="1"/>
  <c r="P163" i="192"/>
  <c r="R163" i="192" s="1"/>
  <c r="P173" i="192"/>
  <c r="R173" i="192" s="1"/>
  <c r="P68" i="192"/>
  <c r="R68" i="192" s="1"/>
  <c r="P31" i="192"/>
  <c r="R31" i="192" s="1"/>
  <c r="P58" i="192"/>
  <c r="R58" i="192" s="1"/>
  <c r="P67" i="192"/>
  <c r="R67" i="192" s="1"/>
  <c r="P184" i="192"/>
  <c r="R184" i="192" s="1"/>
  <c r="P114" i="192"/>
  <c r="R114" i="192" s="1"/>
  <c r="P170" i="192"/>
  <c r="R170" i="192" s="1"/>
  <c r="P162" i="192"/>
  <c r="R162" i="192" s="1"/>
  <c r="P35" i="192"/>
  <c r="P111" i="192"/>
  <c r="R111" i="192" s="1"/>
  <c r="P92" i="192"/>
  <c r="P86" i="192"/>
  <c r="R86" i="192" s="1"/>
  <c r="P118" i="192"/>
  <c r="R118" i="192" s="1"/>
  <c r="P14" i="192"/>
  <c r="R14" i="192" s="1"/>
  <c r="P105" i="192"/>
  <c r="R105" i="192" s="1"/>
  <c r="P13" i="192"/>
  <c r="R13" i="192" s="1"/>
  <c r="P60" i="192"/>
  <c r="R60" i="192" s="1"/>
  <c r="P49" i="192"/>
  <c r="R49" i="192" s="1"/>
  <c r="P81" i="192"/>
  <c r="R81" i="192" s="1"/>
  <c r="P149" i="192"/>
  <c r="R149" i="192" s="1"/>
  <c r="P134" i="192"/>
  <c r="R134" i="192" s="1"/>
  <c r="P29" i="192"/>
  <c r="R29" i="192" s="1"/>
  <c r="P154" i="192"/>
  <c r="R154" i="192" s="1"/>
  <c r="P135" i="192"/>
  <c r="R135" i="192" s="1"/>
  <c r="P80" i="192"/>
  <c r="R80" i="192" s="1"/>
  <c r="P74" i="192"/>
  <c r="R74" i="192" s="1"/>
  <c r="P126" i="192"/>
  <c r="R126" i="192" s="1"/>
  <c r="P156" i="192"/>
  <c r="R156" i="192" s="1"/>
  <c r="P46" i="192"/>
  <c r="R46" i="192" s="1"/>
  <c r="P176" i="192"/>
  <c r="R176" i="192" s="1"/>
  <c r="P189" i="192"/>
  <c r="R189" i="192" s="1"/>
  <c r="P133" i="192"/>
  <c r="R133" i="192" s="1"/>
  <c r="P144" i="192"/>
  <c r="R144" i="192" s="1"/>
  <c r="P64" i="192"/>
  <c r="R64" i="192" s="1"/>
  <c r="P79" i="192"/>
  <c r="R79" i="192" s="1"/>
  <c r="P141" i="192"/>
  <c r="R141" i="192" s="1"/>
  <c r="P25" i="192"/>
  <c r="R25" i="192" s="1"/>
  <c r="P207" i="192"/>
  <c r="R207" i="192" s="1"/>
  <c r="P147" i="192"/>
  <c r="R147" i="192" s="1"/>
  <c r="P136" i="192"/>
  <c r="R136" i="192" s="1"/>
  <c r="P137" i="192"/>
  <c r="R137" i="192" s="1"/>
  <c r="P131" i="192"/>
  <c r="R131" i="192" s="1"/>
  <c r="P182" i="192"/>
  <c r="R182" i="192" s="1"/>
  <c r="P140" i="192"/>
  <c r="R140" i="192" s="1"/>
  <c r="P146" i="192"/>
  <c r="R146" i="192" s="1"/>
  <c r="P47" i="192"/>
  <c r="R47" i="192" s="1"/>
  <c r="P192" i="192"/>
  <c r="R192" i="192" s="1"/>
  <c r="P187" i="192"/>
  <c r="R187" i="192" s="1"/>
  <c r="P91" i="192"/>
  <c r="P197" i="192"/>
  <c r="R197" i="192" s="1"/>
  <c r="P37" i="192"/>
  <c r="P191" i="192"/>
  <c r="R191" i="192" s="1"/>
  <c r="P174" i="192"/>
  <c r="R174" i="192" s="1"/>
  <c r="P166" i="192"/>
  <c r="R166" i="192" s="1"/>
  <c r="P106" i="192"/>
  <c r="R106" i="192" s="1"/>
  <c r="P148" i="192"/>
  <c r="R148" i="192" s="1"/>
  <c r="P198" i="192"/>
  <c r="R198" i="192" s="1"/>
  <c r="P101" i="192"/>
  <c r="R101" i="192" s="1"/>
  <c r="P87" i="192"/>
  <c r="R87" i="192" s="1"/>
  <c r="P84" i="192"/>
  <c r="R84" i="192" s="1"/>
  <c r="P152" i="192"/>
  <c r="R152" i="192" s="1"/>
  <c r="P98" i="192"/>
  <c r="P71" i="192"/>
  <c r="R71" i="192" s="1"/>
  <c r="P107" i="192"/>
  <c r="R107" i="192" s="1"/>
  <c r="P138" i="192"/>
  <c r="R138" i="192" s="1"/>
  <c r="P82" i="192"/>
  <c r="R82" i="192" s="1"/>
  <c r="P186" i="192"/>
  <c r="R186" i="192" s="1"/>
  <c r="P97" i="192"/>
  <c r="P56" i="192"/>
  <c r="R56" i="192" s="1"/>
  <c r="P85" i="192"/>
  <c r="R85" i="192" s="1"/>
  <c r="P212" i="192"/>
  <c r="Q212" i="192" s="1"/>
  <c r="R212" i="192" s="1"/>
  <c r="P175" i="192"/>
  <c r="R175" i="192" s="1"/>
  <c r="P17" i="192"/>
  <c r="R17" i="192" s="1"/>
  <c r="P169" i="192"/>
  <c r="R169" i="192" s="1"/>
  <c r="P102" i="192"/>
  <c r="R102" i="192" s="1"/>
  <c r="P112" i="192"/>
  <c r="R112" i="192" s="1"/>
  <c r="P41" i="192"/>
  <c r="P188" i="192"/>
  <c r="R188" i="192" s="1"/>
  <c r="P201" i="192"/>
  <c r="R201" i="192" s="1"/>
  <c r="P123" i="192"/>
  <c r="R123" i="192" s="1"/>
  <c r="P73" i="192"/>
  <c r="R73" i="192" s="1"/>
  <c r="P95" i="192"/>
  <c r="P16" i="192"/>
  <c r="R16" i="192" s="1"/>
  <c r="P167" i="192"/>
  <c r="R167" i="192" s="1"/>
  <c r="P122" i="192"/>
  <c r="R122" i="192" s="1"/>
  <c r="P65" i="192"/>
  <c r="R65" i="192" s="1"/>
  <c r="P209" i="192"/>
  <c r="R209" i="192" s="1"/>
  <c r="P195" i="192"/>
  <c r="R195" i="192" s="1"/>
  <c r="P130" i="192"/>
  <c r="R130" i="192" s="1"/>
  <c r="P202" i="192"/>
  <c r="R202" i="192" s="1"/>
  <c r="P178" i="192"/>
  <c r="R178" i="192" s="1"/>
  <c r="P88" i="192"/>
  <c r="R88" i="192" s="1"/>
  <c r="P164" i="192"/>
  <c r="R164" i="192" s="1"/>
  <c r="P54" i="192"/>
  <c r="R54" i="192" s="1"/>
  <c r="P19" i="192"/>
  <c r="R19" i="192" s="1"/>
  <c r="P36" i="192"/>
  <c r="P120" i="192"/>
  <c r="R120" i="192" s="1"/>
  <c r="P196" i="192"/>
  <c r="R196" i="192" s="1"/>
  <c r="P93" i="192"/>
  <c r="P12" i="192"/>
  <c r="R12" i="192" s="1"/>
  <c r="P42" i="192"/>
  <c r="P83" i="192"/>
  <c r="R83" i="192" s="1"/>
  <c r="P180" i="192"/>
  <c r="R180" i="192" s="1"/>
  <c r="P205" i="192"/>
  <c r="R205" i="192" s="1"/>
  <c r="P99" i="192"/>
  <c r="P109" i="192"/>
  <c r="R109" i="192" s="1"/>
  <c r="P208" i="192"/>
  <c r="R208" i="192" s="1"/>
  <c r="P76" i="192"/>
  <c r="R76" i="192" s="1"/>
  <c r="P108" i="192"/>
  <c r="R108" i="192" s="1"/>
  <c r="P52" i="192"/>
  <c r="R52" i="192" s="1"/>
  <c r="P155" i="192"/>
  <c r="R155" i="192" s="1"/>
  <c r="P63" i="192"/>
  <c r="R63" i="192" s="1"/>
  <c r="P51" i="192"/>
  <c r="R51" i="192" s="1"/>
  <c r="P28" i="192"/>
  <c r="R28" i="192" s="1"/>
  <c r="P199" i="192"/>
  <c r="R199" i="192" s="1"/>
  <c r="P103" i="192"/>
  <c r="R103" i="192" s="1"/>
  <c r="P30" i="192"/>
  <c r="R30" i="192" s="1"/>
  <c r="P18" i="192"/>
  <c r="R18" i="192" s="1"/>
  <c r="P183" i="192"/>
  <c r="R183" i="192" s="1"/>
  <c r="P165" i="192"/>
  <c r="R165" i="192" s="1"/>
  <c r="P77" i="192"/>
  <c r="R77" i="192" s="1"/>
  <c r="P181" i="192"/>
  <c r="R181" i="192" s="1"/>
  <c r="P23" i="192"/>
  <c r="R23" i="192" s="1"/>
  <c r="P206" i="192"/>
  <c r="R206" i="192" s="1"/>
  <c r="P116" i="192"/>
  <c r="R116" i="192" s="1"/>
  <c r="P40" i="192"/>
  <c r="P90" i="192"/>
  <c r="P10" i="192"/>
  <c r="R10" i="192" s="1"/>
  <c r="P66" i="192"/>
  <c r="R66" i="192" s="1"/>
  <c r="P113" i="192"/>
  <c r="R113" i="192" s="1"/>
  <c r="P27" i="192"/>
  <c r="R27" i="192" s="1"/>
  <c r="P157" i="192"/>
  <c r="R157" i="192" s="1"/>
  <c r="P45" i="192"/>
  <c r="R45" i="192" s="1"/>
  <c r="P33" i="192"/>
  <c r="P168" i="192"/>
  <c r="R168" i="192" s="1"/>
  <c r="P119" i="192"/>
  <c r="R119" i="192" s="1"/>
  <c r="P48" i="192"/>
  <c r="R48" i="192" s="1"/>
  <c r="P121" i="192"/>
  <c r="R121" i="192" s="1"/>
  <c r="P194" i="192"/>
  <c r="R194" i="192" s="1"/>
  <c r="P161" i="192"/>
  <c r="R161" i="192" s="1"/>
  <c r="P24" i="192"/>
  <c r="R24" i="192" s="1"/>
  <c r="P200" i="192"/>
  <c r="R200" i="192" s="1"/>
  <c r="P177" i="192"/>
  <c r="R177" i="192" s="1"/>
  <c r="P142" i="192"/>
  <c r="R142" i="192" s="1"/>
  <c r="P124" i="192"/>
  <c r="R124" i="192" s="1"/>
  <c r="P50" i="192"/>
  <c r="R50" i="192" s="1"/>
  <c r="P38" i="192"/>
  <c r="P145" i="192"/>
  <c r="R145" i="192" s="1"/>
  <c r="P34" i="192"/>
  <c r="P132" i="192"/>
  <c r="R132" i="192" s="1"/>
  <c r="P70" i="192"/>
  <c r="R70" i="192" s="1"/>
  <c r="P55" i="192"/>
  <c r="R55" i="192" s="1"/>
  <c r="Q132" i="192" l="1"/>
  <c r="Q54" i="192"/>
  <c r="Q207" i="192"/>
  <c r="Q70" i="192"/>
  <c r="Q177" i="192"/>
  <c r="Q168" i="192"/>
  <c r="Q183" i="192"/>
  <c r="Q155" i="192"/>
  <c r="Q180" i="192"/>
  <c r="Q19" i="192"/>
  <c r="Q209" i="192"/>
  <c r="Q201" i="192"/>
  <c r="Q71" i="192"/>
  <c r="Q106" i="192"/>
  <c r="Q192" i="192"/>
  <c r="Q147" i="192"/>
  <c r="Q189" i="192"/>
  <c r="Q154" i="192"/>
  <c r="Q105" i="192"/>
  <c r="Q170" i="192"/>
  <c r="Q163" i="192"/>
  <c r="Q153" i="192"/>
  <c r="Q203" i="192"/>
  <c r="Q52" i="192"/>
  <c r="Q47" i="192"/>
  <c r="Q59" i="192"/>
  <c r="Q24" i="192"/>
  <c r="Q45" i="192"/>
  <c r="Q116" i="192"/>
  <c r="Q30" i="192"/>
  <c r="Q108" i="192"/>
  <c r="Q164" i="192"/>
  <c r="Q122" i="192"/>
  <c r="Q56" i="192"/>
  <c r="Q152" i="192"/>
  <c r="Q174" i="192"/>
  <c r="Q146" i="192"/>
  <c r="Q25" i="192"/>
  <c r="Q46" i="192"/>
  <c r="Q134" i="192"/>
  <c r="Q118" i="192"/>
  <c r="Q184" i="192"/>
  <c r="Q143" i="192"/>
  <c r="Q57" i="192"/>
  <c r="Q127" i="192"/>
  <c r="Q188" i="192"/>
  <c r="Q29" i="192"/>
  <c r="Q145" i="192"/>
  <c r="Q161" i="192"/>
  <c r="Q157" i="192"/>
  <c r="Q206" i="192"/>
  <c r="Q103" i="192"/>
  <c r="Q76" i="192"/>
  <c r="Q12" i="192"/>
  <c r="Q88" i="192"/>
  <c r="Q167" i="192"/>
  <c r="Q112" i="192"/>
  <c r="Q84" i="192"/>
  <c r="Q191" i="192"/>
  <c r="Q140" i="192"/>
  <c r="Q141" i="192"/>
  <c r="Q156" i="192"/>
  <c r="Q149" i="192"/>
  <c r="Q86" i="192"/>
  <c r="Q67" i="192"/>
  <c r="Q159" i="192"/>
  <c r="Q85" i="192"/>
  <c r="Q26" i="192"/>
  <c r="Q194" i="192"/>
  <c r="Q27" i="192"/>
  <c r="Q23" i="192"/>
  <c r="Q199" i="192"/>
  <c r="Q208" i="192"/>
  <c r="Q178" i="192"/>
  <c r="Q16" i="192"/>
  <c r="Q102" i="192"/>
  <c r="Q186" i="192"/>
  <c r="Q87" i="192"/>
  <c r="Q182" i="192"/>
  <c r="Q79" i="192"/>
  <c r="Q126" i="192"/>
  <c r="Q81" i="192"/>
  <c r="Q58" i="192"/>
  <c r="Q22" i="192"/>
  <c r="Q18" i="192"/>
  <c r="Q114" i="192"/>
  <c r="Q50" i="192"/>
  <c r="Q121" i="192"/>
  <c r="Q113" i="192"/>
  <c r="Q181" i="192"/>
  <c r="Q28" i="192"/>
  <c r="Q109" i="192"/>
  <c r="Q196" i="192"/>
  <c r="Q202" i="192"/>
  <c r="Q169" i="192"/>
  <c r="Q82" i="192"/>
  <c r="Q101" i="192"/>
  <c r="Q197" i="192"/>
  <c r="Q131" i="192"/>
  <c r="Q64" i="192"/>
  <c r="Q74" i="192"/>
  <c r="Q49" i="192"/>
  <c r="Q111" i="192"/>
  <c r="Q31" i="192"/>
  <c r="Q104" i="192"/>
  <c r="Q125" i="192"/>
  <c r="Q83" i="192"/>
  <c r="Q166" i="192"/>
  <c r="Q14" i="192"/>
  <c r="Q124" i="192"/>
  <c r="Q48" i="192"/>
  <c r="Q66" i="192"/>
  <c r="Q77" i="192"/>
  <c r="Q51" i="192"/>
  <c r="Q120" i="192"/>
  <c r="Q130" i="192"/>
  <c r="Q73" i="192"/>
  <c r="Q17" i="192"/>
  <c r="Q138" i="192"/>
  <c r="Q198" i="192"/>
  <c r="Q137" i="192"/>
  <c r="Q144" i="192"/>
  <c r="Q80" i="192"/>
  <c r="Q60" i="192"/>
  <c r="Q68" i="192"/>
  <c r="Q115" i="192"/>
  <c r="Q75" i="192"/>
  <c r="Q200" i="192"/>
  <c r="Q65" i="192"/>
  <c r="Q176" i="192"/>
  <c r="Q55" i="192"/>
  <c r="Q142" i="192"/>
  <c r="Q119" i="192"/>
  <c r="Q10" i="192"/>
  <c r="Q165" i="192"/>
  <c r="Q63" i="192"/>
  <c r="Q205" i="192"/>
  <c r="Q195" i="192"/>
  <c r="Q123" i="192"/>
  <c r="Q175" i="192"/>
  <c r="Q107" i="192"/>
  <c r="Q148" i="192"/>
  <c r="Q187" i="192"/>
  <c r="Q136" i="192"/>
  <c r="Q133" i="192"/>
  <c r="Q135" i="192"/>
  <c r="Q13" i="192"/>
  <c r="Q162" i="192"/>
  <c r="Q173" i="192"/>
  <c r="Q204" i="192"/>
  <c r="Q69" i="192"/>
  <c r="Q215" i="192" l="1"/>
  <c r="AA15" i="127" l="1"/>
  <c r="AA21" i="127"/>
  <c r="AA29" i="127" l="1"/>
  <c r="AA33" i="127" s="1"/>
  <c r="Q217" i="141" l="1"/>
  <c r="W15" i="127" l="1"/>
  <c r="W21" i="127" l="1"/>
  <c r="W29" i="127" s="1"/>
  <c r="W33" i="127" s="1"/>
  <c r="AB9" i="158" l="1"/>
  <c r="AB8" i="158"/>
  <c r="H20" i="128" l="1"/>
  <c r="I20" i="128"/>
  <c r="G20" i="128"/>
  <c r="F20" i="128"/>
  <c r="E26" i="188" l="1"/>
  <c r="E24" i="188" l="1"/>
  <c r="F24" i="188" s="1"/>
  <c r="F36" i="188" s="1"/>
  <c r="E25" i="188"/>
  <c r="F25" i="188" s="1"/>
  <c r="F37" i="188" s="1"/>
  <c r="F40" i="188" s="1"/>
  <c r="F39" i="188" l="1"/>
  <c r="AE9" i="141" l="1"/>
  <c r="AE9" i="192"/>
  <c r="AE8" i="192"/>
  <c r="AE8" i="141"/>
  <c r="Y8" i="158" l="1"/>
  <c r="AH8" i="158" s="1"/>
  <c r="AE8" i="158"/>
  <c r="Y9" i="158"/>
  <c r="AH9" i="158" s="1"/>
  <c r="AE9" i="158"/>
  <c r="L86" i="158"/>
  <c r="N86" i="158" s="1"/>
  <c r="L12" i="158"/>
  <c r="N12" i="158" s="1"/>
  <c r="L37" i="158"/>
  <c r="P39" i="193" s="1"/>
  <c r="L95" i="158"/>
  <c r="P97" i="193" s="1"/>
  <c r="L188" i="158"/>
  <c r="N188" i="158" s="1"/>
  <c r="L41" i="158"/>
  <c r="P43" i="193" s="1"/>
  <c r="L60" i="158"/>
  <c r="N60" i="158" s="1"/>
  <c r="L127" i="158"/>
  <c r="N127" i="158" s="1"/>
  <c r="L126" i="158"/>
  <c r="N126" i="158" s="1"/>
  <c r="L207" i="158"/>
  <c r="N207" i="158" s="1"/>
  <c r="L107" i="158"/>
  <c r="N107" i="158" s="1"/>
  <c r="L13" i="158"/>
  <c r="N13" i="158" s="1"/>
  <c r="L189" i="158"/>
  <c r="N189" i="158" s="1"/>
  <c r="L163" i="158"/>
  <c r="N163" i="158" s="1"/>
  <c r="L109" i="158"/>
  <c r="N109" i="158" s="1"/>
  <c r="L111" i="158"/>
  <c r="N111" i="158" s="1"/>
  <c r="L182" i="158"/>
  <c r="N182" i="158" s="1"/>
  <c r="L204" i="158"/>
  <c r="N204" i="158" s="1"/>
  <c r="L18" i="158"/>
  <c r="N18" i="158" s="1"/>
  <c r="L159" i="158"/>
  <c r="N159" i="158" s="1"/>
  <c r="L45" i="158"/>
  <c r="N45" i="158" s="1"/>
  <c r="L167" i="158"/>
  <c r="N167" i="158" s="1"/>
  <c r="L119" i="158"/>
  <c r="N119" i="158" s="1"/>
  <c r="L208" i="158"/>
  <c r="N208" i="158" s="1"/>
  <c r="L102" i="158"/>
  <c r="N102" i="158" s="1"/>
  <c r="L115" i="158"/>
  <c r="N115" i="158" s="1"/>
  <c r="L64" i="158"/>
  <c r="N64" i="158" s="1"/>
  <c r="L91" i="158"/>
  <c r="P93" i="193" s="1"/>
  <c r="L166" i="158"/>
  <c r="N166" i="158" s="1"/>
  <c r="L202" i="158"/>
  <c r="N202" i="158" s="1"/>
  <c r="L59" i="158"/>
  <c r="N59" i="158" s="1"/>
  <c r="L98" i="158"/>
  <c r="P100" i="193" s="1"/>
  <c r="L33" i="158"/>
  <c r="P35" i="193" s="1"/>
  <c r="L24" i="158"/>
  <c r="N24" i="158" s="1"/>
  <c r="L125" i="158"/>
  <c r="N125" i="158" s="1"/>
  <c r="L81" i="158"/>
  <c r="N81" i="158" s="1"/>
  <c r="L120" i="158"/>
  <c r="N120" i="158" s="1"/>
  <c r="L131" i="158"/>
  <c r="N131" i="158" s="1"/>
  <c r="L186" i="158"/>
  <c r="N186" i="158" s="1"/>
  <c r="L26" i="158"/>
  <c r="N26" i="158" s="1"/>
  <c r="L46" i="158"/>
  <c r="N46" i="158" s="1"/>
  <c r="L142" i="158"/>
  <c r="N142" i="158" s="1"/>
  <c r="L90" i="158"/>
  <c r="P92" i="193" s="1"/>
  <c r="L148" i="158"/>
  <c r="N148" i="158" s="1"/>
  <c r="L197" i="158"/>
  <c r="N197" i="158" s="1"/>
  <c r="L28" i="158"/>
  <c r="N28" i="158" s="1"/>
  <c r="L118" i="158"/>
  <c r="N118" i="158" s="1"/>
  <c r="L27" i="158"/>
  <c r="N27" i="158" s="1"/>
  <c r="L47" i="158"/>
  <c r="N47" i="158" s="1"/>
  <c r="L65" i="158"/>
  <c r="N65" i="158" s="1"/>
  <c r="L14" i="158"/>
  <c r="N14" i="158" s="1"/>
  <c r="L201" i="158"/>
  <c r="N201" i="158" s="1"/>
  <c r="L39" i="158"/>
  <c r="P41" i="193" s="1"/>
  <c r="L63" i="158"/>
  <c r="N63" i="158" s="1"/>
  <c r="L174" i="158"/>
  <c r="N174" i="158" s="1"/>
  <c r="L74" i="158"/>
  <c r="N74" i="158" s="1"/>
  <c r="L152" i="158"/>
  <c r="N152" i="158" s="1"/>
  <c r="L17" i="158"/>
  <c r="N17" i="158" s="1"/>
  <c r="L141" i="158"/>
  <c r="N141" i="158" s="1"/>
  <c r="L16" i="158"/>
  <c r="N16" i="158" s="1"/>
  <c r="L124" i="158"/>
  <c r="N124" i="158" s="1"/>
  <c r="L66" i="158"/>
  <c r="N66" i="158" s="1"/>
  <c r="L85" i="158"/>
  <c r="N85" i="158" s="1"/>
  <c r="L209" i="158"/>
  <c r="N209" i="158" s="1"/>
  <c r="L35" i="158"/>
  <c r="P37" i="193" s="1"/>
  <c r="L164" i="158"/>
  <c r="N164" i="158" s="1"/>
  <c r="L145" i="158"/>
  <c r="N145" i="158" s="1"/>
  <c r="L57" i="158"/>
  <c r="N57" i="158" s="1"/>
  <c r="L156" i="158"/>
  <c r="N156" i="158" s="1"/>
  <c r="L22" i="158"/>
  <c r="N22" i="158" s="1"/>
  <c r="L146" i="158"/>
  <c r="N146" i="158" s="1"/>
  <c r="L92" i="158"/>
  <c r="P94" i="193" s="1"/>
  <c r="L187" i="158"/>
  <c r="N187" i="158" s="1"/>
  <c r="L73" i="158"/>
  <c r="N73" i="158" s="1"/>
  <c r="L135" i="158"/>
  <c r="N135" i="158" s="1"/>
  <c r="L130" i="158"/>
  <c r="N130" i="158" s="1"/>
  <c r="L134" i="158"/>
  <c r="N134" i="158" s="1"/>
  <c r="L19" i="158"/>
  <c r="N19" i="158" s="1"/>
  <c r="L93" i="158"/>
  <c r="P95" i="193" s="1"/>
  <c r="L137" i="158"/>
  <c r="N137" i="158" s="1"/>
  <c r="L140" i="158"/>
  <c r="N140" i="158" s="1"/>
  <c r="L161" i="158"/>
  <c r="N161" i="158" s="1"/>
  <c r="L114" i="158"/>
  <c r="N114" i="158" s="1"/>
  <c r="L51" i="158"/>
  <c r="N51" i="158" s="1"/>
  <c r="L199" i="158"/>
  <c r="N199" i="158" s="1"/>
  <c r="L173" i="158"/>
  <c r="N173" i="158" s="1"/>
  <c r="L106" i="158"/>
  <c r="N106" i="158" s="1"/>
  <c r="L52" i="158"/>
  <c r="N52" i="158" s="1"/>
  <c r="L162" i="158"/>
  <c r="N162" i="158" s="1"/>
  <c r="L181" i="158"/>
  <c r="N181" i="158" s="1"/>
  <c r="L103" i="158"/>
  <c r="N103" i="158" s="1"/>
  <c r="L191" i="158"/>
  <c r="N191" i="158" s="1"/>
  <c r="L49" i="158"/>
  <c r="N49" i="158" s="1"/>
  <c r="L99" i="158"/>
  <c r="P101" i="193" s="1"/>
  <c r="L25" i="158"/>
  <c r="N25" i="158" s="1"/>
  <c r="L88" i="158"/>
  <c r="N88" i="158" s="1"/>
  <c r="L108" i="158"/>
  <c r="N108" i="158" s="1"/>
  <c r="L178" i="158"/>
  <c r="N178" i="158" s="1"/>
  <c r="L165" i="158"/>
  <c r="N165" i="158" s="1"/>
  <c r="L29" i="158"/>
  <c r="N29" i="158" s="1"/>
  <c r="L87" i="158"/>
  <c r="N87" i="158" s="1"/>
  <c r="L54" i="158"/>
  <c r="N54" i="158" s="1"/>
  <c r="L112" i="158"/>
  <c r="N112" i="158" s="1"/>
  <c r="L121" i="158"/>
  <c r="N121" i="158" s="1"/>
  <c r="L184" i="158"/>
  <c r="N184" i="158" s="1"/>
  <c r="L31" i="158"/>
  <c r="N31" i="158" s="1"/>
  <c r="L147" i="158"/>
  <c r="N147" i="158" s="1"/>
  <c r="L200" i="158"/>
  <c r="N200" i="158" s="1"/>
  <c r="L122" i="158"/>
  <c r="N122" i="158" s="1"/>
  <c r="L136" i="158"/>
  <c r="N136" i="158" s="1"/>
  <c r="L206" i="158"/>
  <c r="N206" i="158" s="1"/>
  <c r="L143" i="158"/>
  <c r="N143" i="158" s="1"/>
  <c r="L83" i="158"/>
  <c r="N83" i="158" s="1"/>
  <c r="L105" i="158"/>
  <c r="N105" i="158" s="1"/>
  <c r="L80" i="158"/>
  <c r="N80" i="158" s="1"/>
  <c r="L79" i="158"/>
  <c r="N79" i="158" s="1"/>
  <c r="L154" i="158"/>
  <c r="N154" i="158" s="1"/>
  <c r="L153" i="158"/>
  <c r="N153" i="158" s="1"/>
  <c r="L67" i="158"/>
  <c r="N67" i="158" s="1"/>
  <c r="L23" i="158"/>
  <c r="N23" i="158" s="1"/>
  <c r="L48" i="158"/>
  <c r="N48" i="158" s="1"/>
  <c r="L116" i="158"/>
  <c r="N116" i="158" s="1"/>
  <c r="L96" i="158"/>
  <c r="P98" i="193" s="1"/>
  <c r="L133" i="158"/>
  <c r="N133" i="158" s="1"/>
  <c r="L168" i="158"/>
  <c r="N168" i="158" s="1"/>
  <c r="L70" i="158"/>
  <c r="N70" i="158" s="1"/>
  <c r="L101" i="158"/>
  <c r="N101" i="158" s="1"/>
  <c r="L38" i="158"/>
  <c r="P40" i="193" s="1"/>
  <c r="L144" i="158"/>
  <c r="N144" i="158" s="1"/>
  <c r="L205" i="158"/>
  <c r="N205" i="158" s="1"/>
  <c r="L198" i="158"/>
  <c r="N198" i="158" s="1"/>
  <c r="L76" i="158"/>
  <c r="N76" i="158" s="1"/>
  <c r="H54" i="158"/>
  <c r="J54" i="158" s="1"/>
  <c r="H155" i="158"/>
  <c r="J155" i="158" s="1"/>
  <c r="H55" i="158"/>
  <c r="J55" i="158" s="1"/>
  <c r="H149" i="158"/>
  <c r="J149" i="158" s="1"/>
  <c r="H64" i="158"/>
  <c r="J64" i="158" s="1"/>
  <c r="H109" i="158"/>
  <c r="J109" i="158" s="1"/>
  <c r="H23" i="158"/>
  <c r="J23" i="158" s="1"/>
  <c r="H209" i="158"/>
  <c r="J209" i="158" s="1"/>
  <c r="H141" i="158"/>
  <c r="J141" i="158" s="1"/>
  <c r="H153" i="158"/>
  <c r="J153" i="158" s="1"/>
  <c r="H13" i="158"/>
  <c r="J13" i="158" s="1"/>
  <c r="H174" i="158"/>
  <c r="J174" i="158" s="1"/>
  <c r="H124" i="158"/>
  <c r="J124" i="158" s="1"/>
  <c r="H31" i="158"/>
  <c r="J31" i="158" s="1"/>
  <c r="H178" i="158"/>
  <c r="J178" i="158" s="1"/>
  <c r="H107" i="158"/>
  <c r="J107" i="158" s="1"/>
  <c r="H120" i="158"/>
  <c r="J120" i="158" s="1"/>
  <c r="H103" i="158"/>
  <c r="J103" i="158" s="1"/>
  <c r="H97" i="158"/>
  <c r="O99" i="193" s="1"/>
  <c r="H69" i="158"/>
  <c r="J69" i="158" s="1"/>
  <c r="H42" i="158"/>
  <c r="O44" i="193" s="1"/>
  <c r="H59" i="158"/>
  <c r="J59" i="158" s="1"/>
  <c r="H116" i="158"/>
  <c r="J116" i="158" s="1"/>
  <c r="H199" i="158"/>
  <c r="J199" i="158" s="1"/>
  <c r="H70" i="158"/>
  <c r="J70" i="158" s="1"/>
  <c r="H19" i="158"/>
  <c r="J19" i="158" s="1"/>
  <c r="H48" i="158"/>
  <c r="J48" i="158" s="1"/>
  <c r="H16" i="158"/>
  <c r="J16" i="158" s="1"/>
  <c r="H81" i="158"/>
  <c r="J81" i="158" s="1"/>
  <c r="H94" i="158"/>
  <c r="O96" i="193" s="1"/>
  <c r="H79" i="158"/>
  <c r="J79" i="158" s="1"/>
  <c r="H138" i="158"/>
  <c r="J138" i="158" s="1"/>
  <c r="H51" i="158"/>
  <c r="J51" i="158" s="1"/>
  <c r="H146" i="158"/>
  <c r="J146" i="158" s="1"/>
  <c r="H182" i="158"/>
  <c r="J182" i="158" s="1"/>
  <c r="H25" i="158"/>
  <c r="J25" i="158" s="1"/>
  <c r="H29" i="158"/>
  <c r="J29" i="158" s="1"/>
  <c r="H26" i="158"/>
  <c r="J26" i="158" s="1"/>
  <c r="H186" i="158"/>
  <c r="J186" i="158" s="1"/>
  <c r="H96" i="158"/>
  <c r="O98" i="193" s="1"/>
  <c r="H188" i="158"/>
  <c r="J188" i="158" s="1"/>
  <c r="H39" i="158"/>
  <c r="O41" i="193" s="1"/>
  <c r="H71" i="158"/>
  <c r="J71" i="158" s="1"/>
  <c r="H56" i="158"/>
  <c r="J56" i="158" s="1"/>
  <c r="H101" i="158"/>
  <c r="J101" i="158" s="1"/>
  <c r="H162" i="158"/>
  <c r="J162" i="158" s="1"/>
  <c r="H133" i="158"/>
  <c r="J133" i="158" s="1"/>
  <c r="H52" i="158"/>
  <c r="J52" i="158" s="1"/>
  <c r="H33" i="158"/>
  <c r="O35" i="193" s="1"/>
  <c r="H92" i="158"/>
  <c r="O94" i="193" s="1"/>
  <c r="H38" i="158"/>
  <c r="O40" i="193" s="1"/>
  <c r="H173" i="158"/>
  <c r="J173" i="158" s="1"/>
  <c r="H205" i="158"/>
  <c r="J205" i="158" s="1"/>
  <c r="H27" i="158"/>
  <c r="J27" i="158" s="1"/>
  <c r="H82" i="158"/>
  <c r="J82" i="158" s="1"/>
  <c r="H156" i="158"/>
  <c r="J156" i="158" s="1"/>
  <c r="H180" i="158"/>
  <c r="J180" i="158" s="1"/>
  <c r="H187" i="158"/>
  <c r="J187" i="158" s="1"/>
  <c r="H24" i="158"/>
  <c r="J24" i="158" s="1"/>
  <c r="H204" i="158"/>
  <c r="J204" i="158" s="1"/>
  <c r="H148" i="158"/>
  <c r="J148" i="158" s="1"/>
  <c r="H126" i="158"/>
  <c r="J126" i="158" s="1"/>
  <c r="H115" i="158"/>
  <c r="J115" i="158" s="1"/>
  <c r="H50" i="158"/>
  <c r="J50" i="158" s="1"/>
  <c r="H65" i="158"/>
  <c r="J65" i="158" s="1"/>
  <c r="H30" i="158"/>
  <c r="J30" i="158" s="1"/>
  <c r="H77" i="158"/>
  <c r="J77" i="158" s="1"/>
  <c r="H45" i="158"/>
  <c r="J45" i="158" s="1"/>
  <c r="H125" i="158"/>
  <c r="J125" i="158" s="1"/>
  <c r="H176" i="158"/>
  <c r="J176" i="158" s="1"/>
  <c r="H161" i="158"/>
  <c r="J161" i="158" s="1"/>
  <c r="H168" i="158"/>
  <c r="J168" i="158" s="1"/>
  <c r="H49" i="158"/>
  <c r="J49" i="158" s="1"/>
  <c r="H36" i="158"/>
  <c r="O38" i="193" s="1"/>
  <c r="H86" i="158"/>
  <c r="J86" i="158" s="1"/>
  <c r="H67" i="158"/>
  <c r="J67" i="158" s="1"/>
  <c r="H104" i="158"/>
  <c r="J104" i="158" s="1"/>
  <c r="H111" i="158"/>
  <c r="J111" i="158" s="1"/>
  <c r="H75" i="158"/>
  <c r="J75" i="158" s="1"/>
  <c r="H12" i="158"/>
  <c r="J12" i="158" s="1"/>
  <c r="H123" i="158"/>
  <c r="J123" i="158" s="1"/>
  <c r="H46" i="158"/>
  <c r="J46" i="158" s="1"/>
  <c r="H198" i="158"/>
  <c r="J198" i="158" s="1"/>
  <c r="H68" i="158"/>
  <c r="J68" i="158" s="1"/>
  <c r="H80" i="158"/>
  <c r="J80" i="158" s="1"/>
  <c r="H18" i="158"/>
  <c r="J18" i="158" s="1"/>
  <c r="H137" i="158"/>
  <c r="J137" i="158" s="1"/>
  <c r="H208" i="158"/>
  <c r="J208" i="158" s="1"/>
  <c r="H57" i="158"/>
  <c r="J57" i="158" s="1"/>
  <c r="H95" i="158"/>
  <c r="O97" i="193" s="1"/>
  <c r="H112" i="158"/>
  <c r="J112" i="158" s="1"/>
  <c r="H136" i="158"/>
  <c r="J136" i="158" s="1"/>
  <c r="H135" i="158"/>
  <c r="J135" i="158" s="1"/>
  <c r="H164" i="158"/>
  <c r="J164" i="158" s="1"/>
  <c r="H159" i="158"/>
  <c r="J159" i="158" s="1"/>
  <c r="H66" i="158"/>
  <c r="J66" i="158" s="1"/>
  <c r="H58" i="158"/>
  <c r="J58" i="158" s="1"/>
  <c r="H34" i="158"/>
  <c r="O36" i="193" s="1"/>
  <c r="H163" i="158"/>
  <c r="J163" i="158" s="1"/>
  <c r="H166" i="158"/>
  <c r="J166" i="158" s="1"/>
  <c r="H197" i="158"/>
  <c r="J197" i="158" s="1"/>
  <c r="H73" i="158"/>
  <c r="J73" i="158" s="1"/>
  <c r="H181" i="158"/>
  <c r="J181" i="158" s="1"/>
  <c r="H144" i="158"/>
  <c r="J144" i="158" s="1"/>
  <c r="H22" i="158"/>
  <c r="J22" i="158" s="1"/>
  <c r="H85" i="158"/>
  <c r="J85" i="158" s="1"/>
  <c r="H143" i="158"/>
  <c r="J143" i="158" s="1"/>
  <c r="H90" i="158"/>
  <c r="O92" i="193" s="1"/>
  <c r="H102" i="158"/>
  <c r="J102" i="158" s="1"/>
  <c r="H121" i="158"/>
  <c r="J121" i="158" s="1"/>
  <c r="H83" i="158"/>
  <c r="J83" i="158" s="1"/>
  <c r="H206" i="158"/>
  <c r="J206" i="158" s="1"/>
  <c r="H118" i="158"/>
  <c r="J118" i="158" s="1"/>
  <c r="H140" i="158"/>
  <c r="J140" i="158" s="1"/>
  <c r="H74" i="158"/>
  <c r="J74" i="158" s="1"/>
  <c r="H132" i="158"/>
  <c r="J132" i="158" s="1"/>
  <c r="H191" i="158"/>
  <c r="J191" i="158" s="1"/>
  <c r="H131" i="158"/>
  <c r="J131" i="158" s="1"/>
  <c r="H203" i="158"/>
  <c r="J203" i="158" s="1"/>
  <c r="H35" i="158"/>
  <c r="O37" i="193" s="1"/>
  <c r="H14" i="158"/>
  <c r="J14" i="158" s="1"/>
  <c r="H189" i="158"/>
  <c r="J189" i="158" s="1"/>
  <c r="H114" i="158"/>
  <c r="J114" i="158" s="1"/>
  <c r="H175" i="158"/>
  <c r="J175" i="158" s="1"/>
  <c r="H196" i="158"/>
  <c r="J196" i="158" s="1"/>
  <c r="H28" i="158"/>
  <c r="J28" i="158" s="1"/>
  <c r="H105" i="158"/>
  <c r="J105" i="158" s="1"/>
  <c r="H106" i="158"/>
  <c r="J106" i="158" s="1"/>
  <c r="H184" i="158"/>
  <c r="J184" i="158" s="1"/>
  <c r="H99" i="158"/>
  <c r="O101" i="193" s="1"/>
  <c r="H177" i="158"/>
  <c r="J177" i="158" s="1"/>
  <c r="H76" i="158"/>
  <c r="J76" i="158" s="1"/>
  <c r="H10" i="158"/>
  <c r="J10" i="158" s="1"/>
  <c r="H41" i="158"/>
  <c r="O43" i="193" s="1"/>
  <c r="H170" i="158"/>
  <c r="J170" i="158" s="1"/>
  <c r="H87" i="158"/>
  <c r="J87" i="158" s="1"/>
  <c r="H37" i="158"/>
  <c r="O39" i="193" s="1"/>
  <c r="H207" i="158"/>
  <c r="J207" i="158" s="1"/>
  <c r="H91" i="158"/>
  <c r="O93" i="193" s="1"/>
  <c r="H192" i="158"/>
  <c r="J192" i="158" s="1"/>
  <c r="H200" i="158"/>
  <c r="J200" i="158" s="1"/>
  <c r="H183" i="158"/>
  <c r="J183" i="158" s="1"/>
  <c r="H145" i="158"/>
  <c r="J145" i="158" s="1"/>
  <c r="H93" i="158"/>
  <c r="O95" i="193" s="1"/>
  <c r="H17" i="158"/>
  <c r="J17" i="158" s="1"/>
  <c r="H84" i="158"/>
  <c r="J84" i="158" s="1"/>
  <c r="H142" i="158"/>
  <c r="J142" i="158" s="1"/>
  <c r="H165" i="158"/>
  <c r="J165" i="158" s="1"/>
  <c r="H108" i="158"/>
  <c r="J108" i="158" s="1"/>
  <c r="H40" i="158"/>
  <c r="O42" i="193" s="1"/>
  <c r="H167" i="158"/>
  <c r="J167" i="158" s="1"/>
  <c r="H122" i="158"/>
  <c r="J122" i="158" s="1"/>
  <c r="H63" i="158"/>
  <c r="J63" i="158" s="1"/>
  <c r="H202" i="158"/>
  <c r="J202" i="158" s="1"/>
  <c r="H195" i="158"/>
  <c r="J195" i="158" s="1"/>
  <c r="H169" i="158"/>
  <c r="J169" i="158" s="1"/>
  <c r="H60" i="158"/>
  <c r="J60" i="158" s="1"/>
  <c r="H113" i="158"/>
  <c r="J113" i="158" s="1"/>
  <c r="H147" i="158"/>
  <c r="J147" i="158" s="1"/>
  <c r="H201" i="158"/>
  <c r="J201" i="158" s="1"/>
  <c r="H194" i="158"/>
  <c r="J194" i="158" s="1"/>
  <c r="H119" i="158"/>
  <c r="J119" i="158" s="1"/>
  <c r="H212" i="158"/>
  <c r="I212" i="158" s="1"/>
  <c r="H127" i="158"/>
  <c r="J127" i="158" s="1"/>
  <c r="H152" i="158"/>
  <c r="J152" i="158" s="1"/>
  <c r="H98" i="158"/>
  <c r="O100" i="193" s="1"/>
  <c r="H157" i="158"/>
  <c r="J157" i="158" s="1"/>
  <c r="H134" i="158"/>
  <c r="J134" i="158" s="1"/>
  <c r="H47" i="158"/>
  <c r="J47" i="158" s="1"/>
  <c r="H154" i="158"/>
  <c r="J154" i="158" s="1"/>
  <c r="H88" i="158"/>
  <c r="J88" i="158" s="1"/>
  <c r="H130" i="158"/>
  <c r="J130" i="158" s="1"/>
  <c r="L113" i="158" l="1"/>
  <c r="N113" i="158" s="1"/>
  <c r="L58" i="158"/>
  <c r="N58" i="158" s="1"/>
  <c r="L203" i="158"/>
  <c r="N203" i="158" s="1"/>
  <c r="L30" i="158"/>
  <c r="N30" i="158" s="1"/>
  <c r="L34" i="158"/>
  <c r="P36" i="193" s="1"/>
  <c r="L176" i="158"/>
  <c r="N176" i="158" s="1"/>
  <c r="L155" i="158"/>
  <c r="N155" i="158" s="1"/>
  <c r="L169" i="158"/>
  <c r="N169" i="158" s="1"/>
  <c r="L196" i="158"/>
  <c r="N196" i="158" s="1"/>
  <c r="L138" i="158"/>
  <c r="N138" i="158" s="1"/>
  <c r="L123" i="158"/>
  <c r="N123" i="158" s="1"/>
  <c r="L192" i="158"/>
  <c r="N192" i="158" s="1"/>
  <c r="P194" i="193" s="1"/>
  <c r="L175" i="158"/>
  <c r="N175" i="158" s="1"/>
  <c r="M175" i="158" s="1"/>
  <c r="L10" i="158"/>
  <c r="N10" i="158" s="1"/>
  <c r="P12" i="193" s="1"/>
  <c r="L132" i="158"/>
  <c r="N132" i="158" s="1"/>
  <c r="P134" i="193" s="1"/>
  <c r="L68" i="158"/>
  <c r="N68" i="158" s="1"/>
  <c r="M68" i="158" s="1"/>
  <c r="L157" i="158"/>
  <c r="N157" i="158" s="1"/>
  <c r="P159" i="193" s="1"/>
  <c r="L194" i="158"/>
  <c r="N194" i="158" s="1"/>
  <c r="P196" i="193" s="1"/>
  <c r="L36" i="158"/>
  <c r="P38" i="193" s="1"/>
  <c r="L149" i="158"/>
  <c r="N149" i="158" s="1"/>
  <c r="P151" i="193" s="1"/>
  <c r="L69" i="158"/>
  <c r="N69" i="158" s="1"/>
  <c r="P71" i="193" s="1"/>
  <c r="L71" i="158"/>
  <c r="N71" i="158" s="1"/>
  <c r="P73" i="193" s="1"/>
  <c r="L84" i="158"/>
  <c r="N84" i="158" s="1"/>
  <c r="P86" i="193" s="1"/>
  <c r="L180" i="158"/>
  <c r="N180" i="158" s="1"/>
  <c r="M180" i="158" s="1"/>
  <c r="L42" i="158"/>
  <c r="P44" i="193" s="1"/>
  <c r="L97" i="158"/>
  <c r="P99" i="193" s="1"/>
  <c r="L94" i="158"/>
  <c r="P96" i="193" s="1"/>
  <c r="L82" i="158"/>
  <c r="N82" i="158" s="1"/>
  <c r="P84" i="193" s="1"/>
  <c r="L183" i="158"/>
  <c r="N183" i="158" s="1"/>
  <c r="P185" i="193" s="1"/>
  <c r="L195" i="158"/>
  <c r="N195" i="158" s="1"/>
  <c r="M195" i="158" s="1"/>
  <c r="L55" i="158"/>
  <c r="N55" i="158" s="1"/>
  <c r="L40" i="158"/>
  <c r="P42" i="193" s="1"/>
  <c r="L56" i="158"/>
  <c r="N56" i="158" s="1"/>
  <c r="P58" i="193" s="1"/>
  <c r="L75" i="158"/>
  <c r="N75" i="158" s="1"/>
  <c r="M75" i="158" s="1"/>
  <c r="L212" i="158"/>
  <c r="M212" i="158" s="1"/>
  <c r="N212" i="158" s="1"/>
  <c r="P214" i="193" s="1"/>
  <c r="L50" i="158"/>
  <c r="N50" i="158" s="1"/>
  <c r="M50" i="158" s="1"/>
  <c r="L170" i="158"/>
  <c r="N170" i="158" s="1"/>
  <c r="P172" i="193" s="1"/>
  <c r="L77" i="158"/>
  <c r="N77" i="158" s="1"/>
  <c r="M77" i="158" s="1"/>
  <c r="L177" i="158"/>
  <c r="N177" i="158" s="1"/>
  <c r="P179" i="193" s="1"/>
  <c r="L104" i="158"/>
  <c r="N104" i="158" s="1"/>
  <c r="M104" i="158" s="1"/>
  <c r="O19" i="193"/>
  <c r="I17" i="158"/>
  <c r="O60" i="193"/>
  <c r="I58" i="158"/>
  <c r="I51" i="158"/>
  <c r="O53" i="193"/>
  <c r="M118" i="158"/>
  <c r="P120" i="193"/>
  <c r="O115" i="193"/>
  <c r="I113" i="158"/>
  <c r="J212" i="158"/>
  <c r="O214" i="193" s="1"/>
  <c r="AI17" i="182"/>
  <c r="AL17" i="182" s="1"/>
  <c r="I154" i="158"/>
  <c r="O156" i="193"/>
  <c r="O121" i="193"/>
  <c r="I119" i="158"/>
  <c r="I202" i="158"/>
  <c r="O204" i="193"/>
  <c r="I84" i="158"/>
  <c r="O86" i="193"/>
  <c r="I207" i="158"/>
  <c r="O209" i="193"/>
  <c r="O191" i="193"/>
  <c r="I189" i="158"/>
  <c r="O142" i="193"/>
  <c r="I140" i="158"/>
  <c r="I85" i="158"/>
  <c r="O87" i="193"/>
  <c r="O48" i="193"/>
  <c r="I46" i="158"/>
  <c r="I30" i="158"/>
  <c r="O32" i="193"/>
  <c r="O189" i="193"/>
  <c r="I187" i="158"/>
  <c r="O148" i="193"/>
  <c r="I146" i="158"/>
  <c r="I19" i="158"/>
  <c r="O21" i="193"/>
  <c r="I103" i="158"/>
  <c r="O105" i="193"/>
  <c r="I153" i="158"/>
  <c r="O155" i="193"/>
  <c r="I155" i="158"/>
  <c r="O157" i="193"/>
  <c r="P25" i="193"/>
  <c r="M23" i="158"/>
  <c r="M143" i="158"/>
  <c r="P145" i="193"/>
  <c r="P123" i="193"/>
  <c r="M121" i="158"/>
  <c r="M88" i="158"/>
  <c r="P90" i="193"/>
  <c r="P54" i="193"/>
  <c r="M52" i="158"/>
  <c r="M137" i="158"/>
  <c r="P139" i="193"/>
  <c r="P211" i="193"/>
  <c r="M209" i="158"/>
  <c r="P76" i="193"/>
  <c r="M74" i="158"/>
  <c r="P29" i="193"/>
  <c r="M27" i="158"/>
  <c r="P150" i="193"/>
  <c r="M148" i="158"/>
  <c r="M81" i="158"/>
  <c r="P83" i="193"/>
  <c r="P104" i="193"/>
  <c r="M102" i="158"/>
  <c r="M18" i="158"/>
  <c r="P20" i="193"/>
  <c r="M58" i="158"/>
  <c r="P60" i="193"/>
  <c r="M207" i="158"/>
  <c r="P209" i="193"/>
  <c r="I22" i="158"/>
  <c r="O24" i="193"/>
  <c r="P103" i="193"/>
  <c r="M101" i="158"/>
  <c r="P108" i="193"/>
  <c r="M106" i="158"/>
  <c r="I134" i="158"/>
  <c r="O136" i="193"/>
  <c r="O203" i="193"/>
  <c r="I201" i="158"/>
  <c r="O124" i="193"/>
  <c r="I122" i="158"/>
  <c r="I87" i="158"/>
  <c r="O89" i="193"/>
  <c r="O108" i="193"/>
  <c r="I106" i="158"/>
  <c r="I206" i="158"/>
  <c r="O208" i="193"/>
  <c r="O146" i="193"/>
  <c r="I144" i="158"/>
  <c r="I66" i="158"/>
  <c r="O68" i="193"/>
  <c r="O210" i="193"/>
  <c r="I208" i="158"/>
  <c r="I12" i="158"/>
  <c r="O14" i="193"/>
  <c r="O170" i="193"/>
  <c r="I168" i="158"/>
  <c r="O52" i="193"/>
  <c r="I50" i="158"/>
  <c r="I156" i="158"/>
  <c r="O158" i="193"/>
  <c r="O54" i="193"/>
  <c r="I52" i="158"/>
  <c r="O140" i="193"/>
  <c r="I138" i="158"/>
  <c r="O201" i="193"/>
  <c r="I199" i="158"/>
  <c r="O109" i="193"/>
  <c r="I107" i="158"/>
  <c r="I209" i="158"/>
  <c r="O211" i="193"/>
  <c r="P72" i="193"/>
  <c r="M70" i="158"/>
  <c r="M153" i="158"/>
  <c r="P155" i="193"/>
  <c r="P138" i="193"/>
  <c r="M136" i="158"/>
  <c r="M54" i="158"/>
  <c r="P56" i="193"/>
  <c r="M173" i="158"/>
  <c r="P175" i="193"/>
  <c r="P21" i="193"/>
  <c r="M19" i="158"/>
  <c r="M22" i="158"/>
  <c r="P24" i="193"/>
  <c r="M66" i="158"/>
  <c r="P68" i="193"/>
  <c r="M63" i="158"/>
  <c r="P65" i="193"/>
  <c r="P30" i="193"/>
  <c r="M28" i="158"/>
  <c r="M142" i="158"/>
  <c r="P144" i="193"/>
  <c r="M24" i="158"/>
  <c r="P26" i="193"/>
  <c r="P168" i="193"/>
  <c r="M166" i="158"/>
  <c r="P32" i="193"/>
  <c r="M30" i="158"/>
  <c r="I14" i="158"/>
  <c r="O16" i="193"/>
  <c r="O51" i="193"/>
  <c r="I49" i="158"/>
  <c r="I188" i="158"/>
  <c r="O190" i="193"/>
  <c r="O143" i="193"/>
  <c r="I141" i="158"/>
  <c r="P114" i="193"/>
  <c r="M112" i="158"/>
  <c r="O159" i="193"/>
  <c r="I157" i="158"/>
  <c r="I167" i="158"/>
  <c r="O169" i="193"/>
  <c r="O147" i="193"/>
  <c r="I145" i="158"/>
  <c r="I170" i="158"/>
  <c r="O172" i="193"/>
  <c r="I105" i="158"/>
  <c r="O107" i="193"/>
  <c r="O205" i="193"/>
  <c r="I203" i="158"/>
  <c r="I83" i="158"/>
  <c r="O85" i="193"/>
  <c r="I181" i="158"/>
  <c r="O183" i="193"/>
  <c r="I159" i="158"/>
  <c r="O161" i="193"/>
  <c r="I137" i="158"/>
  <c r="O139" i="193"/>
  <c r="I75" i="158"/>
  <c r="O77" i="193"/>
  <c r="O163" i="193"/>
  <c r="I161" i="158"/>
  <c r="O117" i="193"/>
  <c r="I115" i="158"/>
  <c r="O84" i="193"/>
  <c r="I82" i="158"/>
  <c r="I133" i="158"/>
  <c r="O135" i="193"/>
  <c r="O188" i="193"/>
  <c r="I186" i="158"/>
  <c r="I79" i="158"/>
  <c r="O81" i="193"/>
  <c r="I116" i="158"/>
  <c r="O118" i="193"/>
  <c r="O180" i="193"/>
  <c r="I178" i="158"/>
  <c r="O25" i="193"/>
  <c r="I23" i="158"/>
  <c r="P170" i="193"/>
  <c r="M168" i="158"/>
  <c r="P156" i="193"/>
  <c r="M154" i="158"/>
  <c r="P124" i="193"/>
  <c r="M122" i="158"/>
  <c r="P89" i="193"/>
  <c r="M87" i="158"/>
  <c r="P51" i="193"/>
  <c r="M49" i="158"/>
  <c r="P201" i="193"/>
  <c r="M199" i="158"/>
  <c r="M134" i="158"/>
  <c r="P136" i="193"/>
  <c r="M156" i="158"/>
  <c r="P158" i="193"/>
  <c r="M124" i="158"/>
  <c r="P126" i="193"/>
  <c r="M197" i="158"/>
  <c r="P199" i="193"/>
  <c r="M46" i="158"/>
  <c r="P48" i="193"/>
  <c r="M208" i="158"/>
  <c r="P210" i="193"/>
  <c r="M204" i="158"/>
  <c r="P206" i="193"/>
  <c r="M111" i="158"/>
  <c r="P113" i="193"/>
  <c r="I63" i="158"/>
  <c r="O65" i="193"/>
  <c r="I123" i="158"/>
  <c r="O125" i="193"/>
  <c r="O30" i="193"/>
  <c r="I28" i="158"/>
  <c r="I131" i="158"/>
  <c r="O133" i="193"/>
  <c r="O123" i="193"/>
  <c r="I121" i="158"/>
  <c r="I73" i="158"/>
  <c r="O75" i="193"/>
  <c r="O166" i="193"/>
  <c r="I164" i="158"/>
  <c r="O20" i="193"/>
  <c r="I18" i="158"/>
  <c r="O113" i="193"/>
  <c r="I111" i="158"/>
  <c r="I176" i="158"/>
  <c r="O178" i="193"/>
  <c r="I126" i="158"/>
  <c r="O128" i="193"/>
  <c r="I27" i="158"/>
  <c r="O29" i="193"/>
  <c r="I162" i="158"/>
  <c r="O164" i="193"/>
  <c r="O28" i="193"/>
  <c r="I26" i="158"/>
  <c r="I59" i="158"/>
  <c r="O61" i="193"/>
  <c r="I31" i="158"/>
  <c r="O33" i="193"/>
  <c r="O111" i="193"/>
  <c r="I109" i="158"/>
  <c r="M76" i="158"/>
  <c r="P78" i="193"/>
  <c r="M133" i="158"/>
  <c r="P135" i="193"/>
  <c r="M79" i="158"/>
  <c r="P81" i="193"/>
  <c r="P202" i="193"/>
  <c r="M200" i="158"/>
  <c r="P31" i="193"/>
  <c r="M29" i="158"/>
  <c r="P193" i="193"/>
  <c r="M191" i="158"/>
  <c r="P53" i="193"/>
  <c r="M51" i="158"/>
  <c r="M130" i="158"/>
  <c r="P132" i="193"/>
  <c r="P59" i="193"/>
  <c r="M57" i="158"/>
  <c r="M16" i="158"/>
  <c r="P18" i="193"/>
  <c r="M201" i="158"/>
  <c r="P203" i="193"/>
  <c r="P28" i="193"/>
  <c r="M26" i="158"/>
  <c r="M64" i="158"/>
  <c r="P66" i="193"/>
  <c r="P121" i="193"/>
  <c r="M119" i="158"/>
  <c r="P178" i="193"/>
  <c r="M176" i="158"/>
  <c r="M163" i="158"/>
  <c r="P165" i="193"/>
  <c r="P129" i="193"/>
  <c r="M127" i="158"/>
  <c r="M12" i="158"/>
  <c r="P14" i="193"/>
  <c r="O49" i="193"/>
  <c r="I47" i="158"/>
  <c r="I118" i="158"/>
  <c r="O120" i="193"/>
  <c r="I65" i="158"/>
  <c r="O67" i="193"/>
  <c r="O72" i="193"/>
  <c r="I70" i="158"/>
  <c r="P69" i="193"/>
  <c r="M67" i="158"/>
  <c r="M85" i="158"/>
  <c r="P87" i="193"/>
  <c r="M174" i="158"/>
  <c r="P176" i="193"/>
  <c r="P128" i="193"/>
  <c r="M126" i="158"/>
  <c r="O185" i="193"/>
  <c r="I183" i="158"/>
  <c r="I152" i="158"/>
  <c r="O154" i="193"/>
  <c r="I60" i="158"/>
  <c r="O62" i="193"/>
  <c r="I108" i="158"/>
  <c r="O110" i="193"/>
  <c r="I200" i="158"/>
  <c r="O202" i="193"/>
  <c r="I10" i="158"/>
  <c r="O12" i="193"/>
  <c r="O198" i="193"/>
  <c r="I196" i="158"/>
  <c r="I191" i="158"/>
  <c r="O193" i="193"/>
  <c r="I102" i="158"/>
  <c r="O104" i="193"/>
  <c r="I197" i="158"/>
  <c r="O199" i="193"/>
  <c r="I135" i="158"/>
  <c r="O137" i="193"/>
  <c r="I80" i="158"/>
  <c r="O82" i="193"/>
  <c r="O106" i="193"/>
  <c r="I104" i="158"/>
  <c r="O127" i="193"/>
  <c r="I125" i="158"/>
  <c r="O150" i="193"/>
  <c r="I148" i="158"/>
  <c r="I205" i="158"/>
  <c r="O207" i="193"/>
  <c r="O103" i="193"/>
  <c r="I101" i="158"/>
  <c r="O31" i="193"/>
  <c r="I29" i="158"/>
  <c r="I81" i="158"/>
  <c r="O83" i="193"/>
  <c r="I124" i="158"/>
  <c r="O126" i="193"/>
  <c r="O66" i="193"/>
  <c r="I64" i="158"/>
  <c r="M198" i="158"/>
  <c r="P200" i="193"/>
  <c r="M80" i="158"/>
  <c r="P82" i="193"/>
  <c r="P149" i="193"/>
  <c r="M147" i="158"/>
  <c r="P167" i="193"/>
  <c r="M165" i="158"/>
  <c r="M103" i="158"/>
  <c r="P105" i="193"/>
  <c r="P116" i="193"/>
  <c r="M114" i="158"/>
  <c r="P137" i="193"/>
  <c r="M135" i="158"/>
  <c r="P147" i="193"/>
  <c r="M145" i="158"/>
  <c r="P143" i="193"/>
  <c r="M141" i="158"/>
  <c r="M14" i="158"/>
  <c r="P16" i="193"/>
  <c r="M55" i="158"/>
  <c r="P57" i="193"/>
  <c r="M186" i="158"/>
  <c r="P188" i="193"/>
  <c r="M138" i="158"/>
  <c r="P140" i="193"/>
  <c r="P169" i="193"/>
  <c r="M167" i="158"/>
  <c r="M155" i="158"/>
  <c r="P157" i="193"/>
  <c r="P191" i="193"/>
  <c r="M189" i="158"/>
  <c r="M60" i="158"/>
  <c r="P62" i="193"/>
  <c r="M86" i="158"/>
  <c r="P88" i="193"/>
  <c r="I184" i="158"/>
  <c r="O186" i="193"/>
  <c r="I180" i="158"/>
  <c r="O182" i="193"/>
  <c r="I54" i="158"/>
  <c r="O56" i="193"/>
  <c r="P27" i="193"/>
  <c r="M25" i="158"/>
  <c r="I130" i="158"/>
  <c r="O132" i="193"/>
  <c r="I127" i="158"/>
  <c r="O129" i="193"/>
  <c r="O171" i="193"/>
  <c r="I169" i="158"/>
  <c r="I165" i="158"/>
  <c r="O167" i="193"/>
  <c r="O194" i="193"/>
  <c r="I192" i="158"/>
  <c r="O78" i="193"/>
  <c r="I76" i="158"/>
  <c r="O177" i="193"/>
  <c r="I175" i="158"/>
  <c r="I132" i="158"/>
  <c r="O134" i="193"/>
  <c r="I166" i="158"/>
  <c r="O168" i="193"/>
  <c r="I136" i="158"/>
  <c r="O138" i="193"/>
  <c r="O70" i="193"/>
  <c r="I68" i="158"/>
  <c r="I67" i="158"/>
  <c r="O69" i="193"/>
  <c r="I45" i="158"/>
  <c r="O47" i="193"/>
  <c r="O206" i="193"/>
  <c r="I204" i="158"/>
  <c r="O175" i="193"/>
  <c r="I173" i="158"/>
  <c r="I56" i="158"/>
  <c r="O58" i="193"/>
  <c r="I25" i="158"/>
  <c r="O27" i="193"/>
  <c r="O18" i="193"/>
  <c r="I16" i="158"/>
  <c r="O71" i="193"/>
  <c r="I69" i="158"/>
  <c r="I174" i="158"/>
  <c r="O176" i="193"/>
  <c r="O151" i="193"/>
  <c r="I149" i="158"/>
  <c r="M205" i="158"/>
  <c r="P207" i="193"/>
  <c r="P118" i="193"/>
  <c r="M116" i="158"/>
  <c r="P107" i="193"/>
  <c r="M105" i="158"/>
  <c r="M31" i="158"/>
  <c r="P33" i="193"/>
  <c r="P180" i="193"/>
  <c r="M178" i="158"/>
  <c r="P183" i="193"/>
  <c r="M181" i="158"/>
  <c r="M161" i="158"/>
  <c r="P163" i="193"/>
  <c r="M73" i="158"/>
  <c r="P75" i="193"/>
  <c r="M164" i="158"/>
  <c r="P166" i="193"/>
  <c r="P19" i="193"/>
  <c r="M17" i="158"/>
  <c r="P67" i="193"/>
  <c r="M65" i="158"/>
  <c r="P198" i="193"/>
  <c r="M196" i="158"/>
  <c r="M131" i="158"/>
  <c r="P133" i="193"/>
  <c r="P61" i="193"/>
  <c r="M59" i="158"/>
  <c r="M45" i="158"/>
  <c r="P47" i="193"/>
  <c r="P184" i="193"/>
  <c r="M182" i="158"/>
  <c r="P171" i="193"/>
  <c r="M169" i="158"/>
  <c r="P15" i="193"/>
  <c r="M13" i="158"/>
  <c r="I194" i="158"/>
  <c r="O196" i="193"/>
  <c r="O59" i="193"/>
  <c r="I57" i="158"/>
  <c r="I120" i="158"/>
  <c r="O122" i="193"/>
  <c r="P208" i="193"/>
  <c r="M206" i="158"/>
  <c r="P148" i="193"/>
  <c r="M146" i="158"/>
  <c r="M125" i="158"/>
  <c r="P127" i="193"/>
  <c r="P205" i="193"/>
  <c r="M203" i="158"/>
  <c r="I147" i="158"/>
  <c r="O149" i="193"/>
  <c r="O90" i="193"/>
  <c r="I88" i="158"/>
  <c r="I195" i="158"/>
  <c r="O197" i="193"/>
  <c r="I142" i="158"/>
  <c r="O144" i="193"/>
  <c r="I177" i="158"/>
  <c r="O179" i="193"/>
  <c r="I114" i="158"/>
  <c r="O116" i="193"/>
  <c r="O76" i="193"/>
  <c r="I74" i="158"/>
  <c r="O145" i="193"/>
  <c r="I143" i="158"/>
  <c r="I163" i="158"/>
  <c r="O165" i="193"/>
  <c r="O114" i="193"/>
  <c r="I112" i="158"/>
  <c r="I198" i="158"/>
  <c r="O200" i="193"/>
  <c r="I86" i="158"/>
  <c r="O88" i="193"/>
  <c r="O79" i="193"/>
  <c r="I77" i="158"/>
  <c r="I24" i="158"/>
  <c r="O26" i="193"/>
  <c r="O73" i="193"/>
  <c r="I71" i="158"/>
  <c r="I182" i="158"/>
  <c r="O184" i="193"/>
  <c r="O50" i="193"/>
  <c r="I48" i="158"/>
  <c r="O15" i="193"/>
  <c r="I13" i="158"/>
  <c r="I55" i="158"/>
  <c r="O57" i="193"/>
  <c r="P146" i="193"/>
  <c r="M144" i="158"/>
  <c r="P50" i="193"/>
  <c r="M48" i="158"/>
  <c r="P85" i="193"/>
  <c r="M83" i="158"/>
  <c r="P186" i="193"/>
  <c r="M184" i="158"/>
  <c r="M108" i="158"/>
  <c r="P110" i="193"/>
  <c r="P164" i="193"/>
  <c r="M162" i="158"/>
  <c r="M140" i="158"/>
  <c r="P142" i="193"/>
  <c r="M187" i="158"/>
  <c r="P189" i="193"/>
  <c r="P154" i="193"/>
  <c r="M152" i="158"/>
  <c r="P49" i="193"/>
  <c r="M47" i="158"/>
  <c r="M120" i="158"/>
  <c r="P122" i="193"/>
  <c r="M202" i="158"/>
  <c r="P204" i="193"/>
  <c r="M115" i="158"/>
  <c r="P117" i="193"/>
  <c r="M159" i="158"/>
  <c r="P161" i="193"/>
  <c r="P115" i="193"/>
  <c r="M113" i="158"/>
  <c r="M123" i="158"/>
  <c r="P125" i="193"/>
  <c r="M109" i="158"/>
  <c r="P111" i="193"/>
  <c r="M107" i="158"/>
  <c r="P109" i="193"/>
  <c r="M188" i="158"/>
  <c r="P190" i="193"/>
  <c r="M192" i="158" l="1"/>
  <c r="P177" i="193"/>
  <c r="M132" i="158"/>
  <c r="M10" i="158"/>
  <c r="P70" i="193"/>
  <c r="AJ17" i="182"/>
  <c r="AM17" i="182" s="1"/>
  <c r="M157" i="158"/>
  <c r="P182" i="193"/>
  <c r="M71" i="158"/>
  <c r="M84" i="158"/>
  <c r="M149" i="158"/>
  <c r="AJ15" i="182" s="1"/>
  <c r="AM15" i="182" s="1"/>
  <c r="M177" i="158"/>
  <c r="P52" i="193"/>
  <c r="M194" i="158"/>
  <c r="M82" i="158"/>
  <c r="M69" i="158"/>
  <c r="AJ14" i="182" s="1"/>
  <c r="AM14" i="182" s="1"/>
  <c r="P197" i="193"/>
  <c r="M183" i="158"/>
  <c r="AJ18" i="182" s="1"/>
  <c r="AM18" i="182" s="1"/>
  <c r="P77" i="193"/>
  <c r="M56" i="158"/>
  <c r="M215" i="158" s="1"/>
  <c r="P79" i="193"/>
  <c r="M170" i="158"/>
  <c r="P106" i="193"/>
  <c r="AI16" i="182"/>
  <c r="AL16" i="182" s="1"/>
  <c r="AI18" i="182"/>
  <c r="AL18" i="182" s="1"/>
  <c r="AI14" i="182"/>
  <c r="AL14" i="182" s="1"/>
  <c r="AJ11" i="182"/>
  <c r="AI13" i="182"/>
  <c r="AL13" i="182" s="1"/>
  <c r="AI15" i="182"/>
  <c r="AL15" i="182" s="1"/>
  <c r="AJ12" i="182"/>
  <c r="AM12" i="182" s="1"/>
  <c r="AI12" i="182"/>
  <c r="AL12" i="182" s="1"/>
  <c r="AI11" i="182"/>
  <c r="I215" i="158"/>
  <c r="AJ16" i="182" l="1"/>
  <c r="AM16" i="182" s="1"/>
  <c r="AJ13" i="182"/>
  <c r="AM13" i="182" s="1"/>
  <c r="AM11" i="182"/>
  <c r="AJ20" i="182"/>
  <c r="AJ21" i="182" s="1"/>
  <c r="AI20" i="182"/>
  <c r="AI21" i="182" s="1"/>
  <c r="AL11" i="182"/>
  <c r="C25" i="128" l="1"/>
  <c r="C24" i="128" l="1"/>
  <c r="C23" i="128" l="1"/>
  <c r="C18" i="189"/>
  <c r="D18" i="189" s="1"/>
  <c r="E18" i="189" s="1"/>
  <c r="C35" i="189" l="1"/>
  <c r="F13" i="189"/>
  <c r="C19" i="189"/>
  <c r="F9" i="189"/>
  <c r="C12" i="128"/>
  <c r="F8" i="189"/>
  <c r="F12" i="189"/>
  <c r="F15" i="189"/>
  <c r="C36" i="189"/>
  <c r="C20" i="189"/>
  <c r="D20" i="189" s="1"/>
  <c r="E20" i="189" s="1"/>
  <c r="C22" i="189" l="1"/>
  <c r="C23" i="189" s="1"/>
  <c r="D19" i="189"/>
  <c r="D22" i="189" s="1"/>
  <c r="D23" i="189" s="1"/>
  <c r="C37" i="189"/>
  <c r="E19" i="189" l="1"/>
  <c r="E22" i="189" s="1"/>
  <c r="E23" i="189" s="1"/>
  <c r="D47" i="183"/>
  <c r="D24" i="189"/>
  <c r="E14" i="146" s="1"/>
  <c r="D25" i="189"/>
  <c r="C24" i="189"/>
  <c r="C25" i="189"/>
  <c r="D39" i="183" l="1"/>
  <c r="C26" i="189"/>
  <c r="F14" i="146"/>
  <c r="H14" i="146"/>
  <c r="R14" i="146"/>
  <c r="C28" i="189"/>
  <c r="F11" i="181" s="1"/>
  <c r="D26" i="189"/>
  <c r="D49" i="183"/>
  <c r="D50" i="183"/>
  <c r="D51" i="183" s="1"/>
  <c r="E25" i="189"/>
  <c r="D55" i="183"/>
  <c r="E24" i="189"/>
  <c r="E18" i="146" s="1"/>
  <c r="F18" i="146" l="1"/>
  <c r="H18" i="146"/>
  <c r="R18" i="146"/>
  <c r="D57" i="183"/>
  <c r="D58" i="183"/>
  <c r="D59" i="183" s="1"/>
  <c r="E26" i="189"/>
  <c r="C29" i="189"/>
  <c r="F12" i="181" s="1"/>
  <c r="V14" i="146"/>
  <c r="T14" i="146"/>
  <c r="X14" i="146" s="1"/>
  <c r="U14" i="146"/>
  <c r="Y14" i="146" s="1"/>
  <c r="S14" i="146"/>
  <c r="W14" i="146" s="1"/>
  <c r="I14" i="146"/>
  <c r="I21" i="157"/>
  <c r="Z14" i="146" l="1"/>
  <c r="AB14" i="146" s="1"/>
  <c r="E61" i="182"/>
  <c r="F61" i="182" s="1"/>
  <c r="L21" i="157"/>
  <c r="M21" i="157" s="1"/>
  <c r="J21" i="157"/>
  <c r="J14" i="146"/>
  <c r="L14" i="146" s="1"/>
  <c r="K14" i="146"/>
  <c r="M14" i="146" s="1"/>
  <c r="AA14" i="146"/>
  <c r="AC14" i="146" s="1"/>
  <c r="U18" i="146"/>
  <c r="Y18" i="146" s="1"/>
  <c r="T18" i="146"/>
  <c r="X18" i="146" s="1"/>
  <c r="V18" i="146"/>
  <c r="I35" i="157"/>
  <c r="S18" i="146"/>
  <c r="W18" i="146" s="1"/>
  <c r="I18" i="146"/>
  <c r="J18" i="146" l="1"/>
  <c r="L18" i="146" s="1"/>
  <c r="K18" i="146"/>
  <c r="M18" i="146" s="1"/>
  <c r="E89" i="182"/>
  <c r="F89" i="182" s="1"/>
  <c r="L35" i="157"/>
  <c r="M35" i="157" s="1"/>
  <c r="J35" i="157"/>
  <c r="Z18" i="146"/>
  <c r="AB18" i="146" s="1"/>
  <c r="AA18" i="146"/>
  <c r="AC18" i="146" s="1"/>
  <c r="E17" i="128" l="1"/>
  <c r="E20" i="128" s="1"/>
  <c r="C13" i="128" l="1"/>
  <c r="K17" i="128" l="1"/>
  <c r="K20" i="128" s="1"/>
  <c r="J17" i="128" l="1"/>
  <c r="J20" i="128" s="1"/>
  <c r="C26" i="128" l="1"/>
  <c r="F30" i="128"/>
  <c r="C14" i="128" l="1"/>
  <c r="H30" i="128" l="1"/>
  <c r="I30" i="128"/>
  <c r="C29" i="128" l="1"/>
  <c r="G30" i="128"/>
  <c r="C15" i="128" l="1"/>
  <c r="C27" i="128"/>
  <c r="K30" i="128" s="1"/>
  <c r="J30" i="128" l="1"/>
  <c r="E30" i="128"/>
  <c r="D30" i="128" l="1"/>
  <c r="C28" i="128"/>
  <c r="C30" i="128" s="1"/>
  <c r="J31" i="128" l="1"/>
  <c r="F31" i="128"/>
  <c r="I31" i="128"/>
  <c r="H31" i="128"/>
  <c r="G31" i="128"/>
  <c r="K31" i="128"/>
  <c r="D31" i="128"/>
  <c r="E31" i="128"/>
  <c r="C16" i="128" l="1"/>
  <c r="D17" i="128"/>
  <c r="D20" i="128" l="1"/>
  <c r="C17" i="128"/>
  <c r="C20" i="128" l="1"/>
  <c r="F32" i="128" l="1"/>
  <c r="F33" i="128" s="1"/>
  <c r="F35" i="128" s="1"/>
  <c r="K32" i="128"/>
  <c r="K33" i="128" s="1"/>
  <c r="K35" i="128" s="1"/>
  <c r="H32" i="128"/>
  <c r="H33" i="128" s="1"/>
  <c r="H35" i="128" s="1"/>
  <c r="E32" i="128"/>
  <c r="E33" i="128" s="1"/>
  <c r="E35" i="128" s="1"/>
  <c r="G32" i="128"/>
  <c r="G33" i="128" s="1"/>
  <c r="G35" i="128" s="1"/>
  <c r="J32" i="128"/>
  <c r="J33" i="128" s="1"/>
  <c r="J35" i="128" s="1"/>
  <c r="I32" i="128"/>
  <c r="I33" i="128" s="1"/>
  <c r="I35" i="128" s="1"/>
  <c r="D32" i="128"/>
  <c r="D33" i="128" s="1"/>
  <c r="C33" i="128" l="1"/>
  <c r="D35" i="128"/>
  <c r="C35" i="128" s="1"/>
  <c r="D36" i="128" s="1"/>
  <c r="J36" i="128"/>
  <c r="G36" i="128"/>
  <c r="E36" i="128"/>
  <c r="H36" i="128"/>
  <c r="K36" i="128"/>
  <c r="F36" i="128"/>
  <c r="I36" i="128"/>
  <c r="I39" i="128" l="1"/>
  <c r="I37" i="128"/>
  <c r="F39" i="128"/>
  <c r="F37" i="128"/>
  <c r="K39" i="128"/>
  <c r="K37" i="128"/>
  <c r="H39" i="128"/>
  <c r="H37" i="128"/>
  <c r="E39" i="128"/>
  <c r="E37" i="128"/>
  <c r="G39" i="128"/>
  <c r="G37" i="128"/>
  <c r="J39" i="128"/>
  <c r="J37" i="128"/>
  <c r="D39" i="128"/>
  <c r="D37" i="128"/>
  <c r="C41" i="128" l="1"/>
  <c r="G41" i="128" l="1"/>
  <c r="G42" i="128" s="1"/>
  <c r="G43" i="128" s="1"/>
  <c r="G45" i="128" s="1"/>
  <c r="F41" i="128"/>
  <c r="F42" i="128" s="1"/>
  <c r="F43" i="128" s="1"/>
  <c r="F45" i="128" s="1"/>
  <c r="I41" i="128"/>
  <c r="I42" i="128" s="1"/>
  <c r="I43" i="128" s="1"/>
  <c r="I45" i="128" s="1"/>
  <c r="H41" i="128"/>
  <c r="H42" i="128" s="1"/>
  <c r="H43" i="128" s="1"/>
  <c r="H45" i="128" s="1"/>
  <c r="E41" i="128"/>
  <c r="E42" i="128" s="1"/>
  <c r="E43" i="128" s="1"/>
  <c r="E45" i="128" s="1"/>
  <c r="J41" i="128"/>
  <c r="J42" i="128" s="1"/>
  <c r="J43" i="128" s="1"/>
  <c r="J45" i="128" s="1"/>
  <c r="E7" i="54" s="1"/>
  <c r="K41" i="128"/>
  <c r="K42" i="128" s="1"/>
  <c r="K43" i="128" s="1"/>
  <c r="K45" i="128" s="1"/>
  <c r="D41" i="128"/>
  <c r="D42" i="128" s="1"/>
  <c r="C42" i="128" l="1"/>
  <c r="D43" i="128"/>
  <c r="S10" i="43"/>
  <c r="S12" i="43"/>
  <c r="S19" i="43"/>
  <c r="S16" i="43"/>
  <c r="S17" i="43"/>
  <c r="S14" i="43"/>
  <c r="S15" i="43"/>
  <c r="S18" i="43"/>
  <c r="S20" i="43"/>
  <c r="S11" i="43"/>
  <c r="S9" i="43"/>
  <c r="S13" i="43"/>
  <c r="S22" i="43" l="1"/>
  <c r="S21" i="43"/>
  <c r="C43" i="128"/>
  <c r="D45" i="128"/>
  <c r="C45" i="128" s="1"/>
  <c r="N19" i="182" l="1"/>
  <c r="L19" i="182" s="1"/>
  <c r="C22" i="181" s="1"/>
  <c r="N15" i="182"/>
  <c r="N18" i="182"/>
  <c r="N17" i="182"/>
  <c r="N14" i="182"/>
  <c r="N11" i="182"/>
  <c r="N13" i="182"/>
  <c r="N12" i="182"/>
  <c r="N16" i="182"/>
  <c r="D94" i="182" l="1"/>
  <c r="L13" i="182"/>
  <c r="C12" i="181" s="1"/>
  <c r="L12" i="182"/>
  <c r="C11" i="181" s="1"/>
  <c r="D66" i="182"/>
  <c r="L17" i="182"/>
  <c r="C20" i="181" s="1"/>
  <c r="D226" i="182"/>
  <c r="L16" i="182"/>
  <c r="C19" i="181" s="1"/>
  <c r="D216" i="182"/>
  <c r="D44" i="182"/>
  <c r="L11" i="182"/>
  <c r="D156" i="182"/>
  <c r="L14" i="182"/>
  <c r="D274" i="182"/>
  <c r="L18" i="182"/>
  <c r="C21" i="181" s="1"/>
  <c r="D185" i="182"/>
  <c r="L15" i="182"/>
  <c r="C185" i="182" l="1"/>
  <c r="D186" i="182"/>
  <c r="D15" i="182" s="1"/>
  <c r="C274" i="182"/>
  <c r="D275" i="182"/>
  <c r="D18" i="182" s="1"/>
  <c r="C156" i="182"/>
  <c r="D157" i="182"/>
  <c r="D14" i="182" s="1"/>
  <c r="D217" i="182"/>
  <c r="D16" i="182" s="1"/>
  <c r="C216" i="182"/>
  <c r="L20" i="182"/>
  <c r="C44" i="182"/>
  <c r="D45" i="182"/>
  <c r="D11" i="182" s="1"/>
  <c r="C226" i="182"/>
  <c r="D227" i="182"/>
  <c r="D17" i="182" s="1"/>
  <c r="C66" i="182"/>
  <c r="D67" i="182"/>
  <c r="D12" i="182" s="1"/>
  <c r="C94" i="182"/>
  <c r="D95" i="182"/>
  <c r="D13" i="182" s="1"/>
  <c r="D20" i="182" l="1"/>
  <c r="D21" i="127" l="1"/>
  <c r="E21" i="127" l="1"/>
  <c r="D15" i="127"/>
  <c r="D29" i="127" s="1"/>
  <c r="D33" i="127" s="1"/>
  <c r="E15" i="127" l="1"/>
  <c r="E29" i="127" s="1"/>
  <c r="E33" i="127" s="1"/>
  <c r="G9" i="127" s="1"/>
  <c r="I33" i="127" l="1"/>
  <c r="G19" i="127"/>
  <c r="G23" i="127"/>
  <c r="G27" i="127"/>
  <c r="G12" i="127"/>
  <c r="G20" i="127"/>
  <c r="G14" i="127"/>
  <c r="G18" i="127"/>
  <c r="G13" i="127"/>
  <c r="G33" i="127" l="1"/>
  <c r="F36" i="127" s="1"/>
  <c r="Y8" i="192" l="1"/>
  <c r="AB8" i="192"/>
  <c r="Y9" i="192" l="1"/>
  <c r="AB9" i="192"/>
  <c r="AH8" i="192"/>
  <c r="H58" i="192"/>
  <c r="J58" i="192" s="1"/>
  <c r="H111" i="192"/>
  <c r="J111" i="192" s="1"/>
  <c r="H123" i="192"/>
  <c r="J123" i="192" s="1"/>
  <c r="H115" i="192"/>
  <c r="J115" i="192" s="1"/>
  <c r="H108" i="192"/>
  <c r="J108" i="192" s="1"/>
  <c r="H65" i="192"/>
  <c r="J65" i="192" s="1"/>
  <c r="H19" i="192"/>
  <c r="J19" i="192" s="1"/>
  <c r="H126" i="192"/>
  <c r="J126" i="192" s="1"/>
  <c r="H176" i="192"/>
  <c r="J176" i="192" s="1"/>
  <c r="H113" i="192"/>
  <c r="J113" i="192" s="1"/>
  <c r="H182" i="192"/>
  <c r="J182" i="192" s="1"/>
  <c r="H205" i="192"/>
  <c r="J205" i="192" s="1"/>
  <c r="H197" i="192"/>
  <c r="J197" i="192" s="1"/>
  <c r="H56" i="192"/>
  <c r="J56" i="192" s="1"/>
  <c r="H162" i="192"/>
  <c r="J162" i="192" s="1"/>
  <c r="H75" i="192"/>
  <c r="J75" i="192" s="1"/>
  <c r="H12" i="192"/>
  <c r="J12" i="192" s="1"/>
  <c r="H125" i="192"/>
  <c r="J125" i="192" s="1"/>
  <c r="H67" i="192"/>
  <c r="J67" i="192" s="1"/>
  <c r="H31" i="192"/>
  <c r="J31" i="192" s="1"/>
  <c r="H22" i="192"/>
  <c r="J22" i="192" s="1"/>
  <c r="H77" i="192"/>
  <c r="J77" i="192" s="1"/>
  <c r="H154" i="192"/>
  <c r="J154" i="192" s="1"/>
  <c r="H42" i="192"/>
  <c r="AA44" i="193" s="1"/>
  <c r="H33" i="192"/>
  <c r="AA35" i="193" s="1"/>
  <c r="H134" i="192"/>
  <c r="J134" i="192" s="1"/>
  <c r="H92" i="192"/>
  <c r="AA94" i="193" s="1"/>
  <c r="H192" i="192"/>
  <c r="J192" i="192" s="1"/>
  <c r="H142" i="192"/>
  <c r="J142" i="192" s="1"/>
  <c r="H189" i="192"/>
  <c r="J189" i="192" s="1"/>
  <c r="H164" i="192"/>
  <c r="J164" i="192" s="1"/>
  <c r="H121" i="192"/>
  <c r="J121" i="192" s="1"/>
  <c r="H109" i="192"/>
  <c r="J109" i="192" s="1"/>
  <c r="H133" i="192"/>
  <c r="J133" i="192" s="1"/>
  <c r="H71" i="192"/>
  <c r="J71" i="192" s="1"/>
  <c r="H10" i="192"/>
  <c r="J10" i="192" s="1"/>
  <c r="H36" i="192"/>
  <c r="AA38" i="193" s="1"/>
  <c r="H209" i="192"/>
  <c r="J209" i="192" s="1"/>
  <c r="H49" i="192"/>
  <c r="J49" i="192" s="1"/>
  <c r="H177" i="192"/>
  <c r="J177" i="192" s="1"/>
  <c r="H148" i="192"/>
  <c r="J148" i="192" s="1"/>
  <c r="H196" i="192"/>
  <c r="J196" i="192" s="1"/>
  <c r="H127" i="192"/>
  <c r="J127" i="192" s="1"/>
  <c r="H13" i="192"/>
  <c r="J13" i="192" s="1"/>
  <c r="H107" i="192"/>
  <c r="J107" i="192" s="1"/>
  <c r="H212" i="192"/>
  <c r="I212" i="192" s="1"/>
  <c r="H87" i="192"/>
  <c r="J87" i="192" s="1"/>
  <c r="H38" i="192"/>
  <c r="AA40" i="193" s="1"/>
  <c r="H149" i="192"/>
  <c r="J149" i="192" s="1"/>
  <c r="H23" i="192"/>
  <c r="J23" i="192" s="1"/>
  <c r="H202" i="192"/>
  <c r="J202" i="192" s="1"/>
  <c r="H170" i="192"/>
  <c r="J170" i="192" s="1"/>
  <c r="H191" i="192"/>
  <c r="J191" i="192" s="1"/>
  <c r="H180" i="192"/>
  <c r="J180" i="192" s="1"/>
  <c r="H140" i="192"/>
  <c r="J140" i="192" s="1"/>
  <c r="H200" i="192"/>
  <c r="J200" i="192" s="1"/>
  <c r="H119" i="192"/>
  <c r="J119" i="192" s="1"/>
  <c r="H178" i="192"/>
  <c r="J178" i="192" s="1"/>
  <c r="H152" i="192"/>
  <c r="J152" i="192" s="1"/>
  <c r="H46" i="192"/>
  <c r="J46" i="192" s="1"/>
  <c r="H138" i="192"/>
  <c r="J138" i="192" s="1"/>
  <c r="H45" i="192"/>
  <c r="J45" i="192" s="1"/>
  <c r="H168" i="192"/>
  <c r="J168" i="192" s="1"/>
  <c r="H16" i="192"/>
  <c r="J16" i="192" s="1"/>
  <c r="H47" i="192"/>
  <c r="J47" i="192" s="1"/>
  <c r="H187" i="192"/>
  <c r="J187" i="192" s="1"/>
  <c r="H135" i="192"/>
  <c r="J135" i="192" s="1"/>
  <c r="H59" i="192"/>
  <c r="J59" i="192" s="1"/>
  <c r="H66" i="192"/>
  <c r="J66" i="192" s="1"/>
  <c r="H52" i="192"/>
  <c r="J52" i="192" s="1"/>
  <c r="H90" i="192"/>
  <c r="AA92" i="193" s="1"/>
  <c r="H81" i="192"/>
  <c r="J81" i="192" s="1"/>
  <c r="H143" i="192"/>
  <c r="J143" i="192" s="1"/>
  <c r="H167" i="192"/>
  <c r="J167" i="192" s="1"/>
  <c r="H104" i="192"/>
  <c r="J104" i="192" s="1"/>
  <c r="H99" i="192"/>
  <c r="AA101" i="193" s="1"/>
  <c r="H165" i="192"/>
  <c r="J165" i="192" s="1"/>
  <c r="H74" i="192"/>
  <c r="J74" i="192" s="1"/>
  <c r="H124" i="192"/>
  <c r="J124" i="192" s="1"/>
  <c r="H161" i="192"/>
  <c r="J161" i="192" s="1"/>
  <c r="H184" i="192"/>
  <c r="J184" i="192" s="1"/>
  <c r="H50" i="192"/>
  <c r="J50" i="192" s="1"/>
  <c r="H156" i="192"/>
  <c r="J156" i="192" s="1"/>
  <c r="H198" i="192"/>
  <c r="J198" i="192" s="1"/>
  <c r="H188" i="192"/>
  <c r="J188" i="192" s="1"/>
  <c r="H173" i="192"/>
  <c r="J173" i="192" s="1"/>
  <c r="H132" i="192"/>
  <c r="J132" i="192" s="1"/>
  <c r="H29" i="192"/>
  <c r="J29" i="192" s="1"/>
  <c r="H146" i="192"/>
  <c r="J146" i="192" s="1"/>
  <c r="H101" i="192"/>
  <c r="J101" i="192" s="1"/>
  <c r="H94" i="192"/>
  <c r="AA96" i="193" s="1"/>
  <c r="H207" i="192"/>
  <c r="J207" i="192" s="1"/>
  <c r="H54" i="192"/>
  <c r="J54" i="192" s="1"/>
  <c r="H57" i="192"/>
  <c r="J57" i="192" s="1"/>
  <c r="H39" i="192"/>
  <c r="AA41" i="193" s="1"/>
  <c r="H98" i="192"/>
  <c r="AA100" i="193" s="1"/>
  <c r="H153" i="192"/>
  <c r="J153" i="192" s="1"/>
  <c r="H41" i="192"/>
  <c r="AA43" i="193" s="1"/>
  <c r="H96" i="192"/>
  <c r="AA98" i="193" s="1"/>
  <c r="H76" i="192"/>
  <c r="J76" i="192" s="1"/>
  <c r="H79" i="192"/>
  <c r="J79" i="192" s="1"/>
  <c r="H169" i="192"/>
  <c r="J169" i="192" s="1"/>
  <c r="H97" i="192"/>
  <c r="AA99" i="193" s="1"/>
  <c r="H70" i="192"/>
  <c r="J70" i="192" s="1"/>
  <c r="H35" i="192"/>
  <c r="AA37" i="193" s="1"/>
  <c r="H48" i="192"/>
  <c r="J48" i="192" s="1"/>
  <c r="H201" i="192"/>
  <c r="J201" i="192" s="1"/>
  <c r="H166" i="192"/>
  <c r="J166" i="192" s="1"/>
  <c r="H163" i="192"/>
  <c r="J163" i="192" s="1"/>
  <c r="H24" i="192"/>
  <c r="J24" i="192" s="1"/>
  <c r="H130" i="192"/>
  <c r="J130" i="192" s="1"/>
  <c r="H84" i="192"/>
  <c r="J84" i="192" s="1"/>
  <c r="H25" i="192"/>
  <c r="J25" i="192" s="1"/>
  <c r="H93" i="192"/>
  <c r="AA95" i="193" s="1"/>
  <c r="H199" i="192"/>
  <c r="J199" i="192" s="1"/>
  <c r="H73" i="192"/>
  <c r="J73" i="192" s="1"/>
  <c r="H136" i="192"/>
  <c r="J136" i="192" s="1"/>
  <c r="H155" i="192"/>
  <c r="J155" i="192" s="1"/>
  <c r="H83" i="192"/>
  <c r="J83" i="192" s="1"/>
  <c r="H86" i="192"/>
  <c r="J86" i="192" s="1"/>
  <c r="H157" i="192"/>
  <c r="J157" i="192" s="1"/>
  <c r="H105" i="192"/>
  <c r="J105" i="192" s="1"/>
  <c r="H194" i="192"/>
  <c r="J194" i="192" s="1"/>
  <c r="H28" i="192"/>
  <c r="J28" i="192" s="1"/>
  <c r="H64" i="192"/>
  <c r="J64" i="192" s="1"/>
  <c r="H122" i="192"/>
  <c r="J122" i="192" s="1"/>
  <c r="H106" i="192"/>
  <c r="J106" i="192" s="1"/>
  <c r="H203" i="192"/>
  <c r="J203" i="192" s="1"/>
  <c r="H118" i="192"/>
  <c r="J118" i="192" s="1"/>
  <c r="H30" i="192"/>
  <c r="J30" i="192" s="1"/>
  <c r="H181" i="192"/>
  <c r="J181" i="192" s="1"/>
  <c r="H183" i="192"/>
  <c r="J183" i="192" s="1"/>
  <c r="H80" i="192"/>
  <c r="J80" i="192" s="1"/>
  <c r="H27" i="192"/>
  <c r="J27" i="192" s="1"/>
  <c r="H141" i="192"/>
  <c r="J141" i="192" s="1"/>
  <c r="H103" i="192"/>
  <c r="J103" i="192" s="1"/>
  <c r="H68" i="192"/>
  <c r="J68" i="192" s="1"/>
  <c r="H85" i="192"/>
  <c r="J85" i="192" s="1"/>
  <c r="H144" i="192"/>
  <c r="J144" i="192" s="1"/>
  <c r="H18" i="192"/>
  <c r="J18" i="192" s="1"/>
  <c r="H82" i="192"/>
  <c r="J82" i="192" s="1"/>
  <c r="H60" i="192"/>
  <c r="J60" i="192" s="1"/>
  <c r="H120" i="192"/>
  <c r="J120" i="192" s="1"/>
  <c r="H174" i="192"/>
  <c r="J174" i="192" s="1"/>
  <c r="H34" i="192"/>
  <c r="AA36" i="193" s="1"/>
  <c r="H63" i="192"/>
  <c r="J63" i="192" s="1"/>
  <c r="H40" i="192"/>
  <c r="AA42" i="193" s="1"/>
  <c r="H116" i="192"/>
  <c r="J116" i="192" s="1"/>
  <c r="H206" i="192"/>
  <c r="J206" i="192" s="1"/>
  <c r="H69" i="192"/>
  <c r="J69" i="192" s="1"/>
  <c r="H137" i="192"/>
  <c r="J137" i="192" s="1"/>
  <c r="H55" i="192"/>
  <c r="J55" i="192" s="1"/>
  <c r="H208" i="192"/>
  <c r="J208" i="192" s="1"/>
  <c r="H91" i="192"/>
  <c r="AA93" i="193" s="1"/>
  <c r="H195" i="192"/>
  <c r="J195" i="192" s="1"/>
  <c r="H95" i="192"/>
  <c r="AA97" i="193" s="1"/>
  <c r="H114" i="192"/>
  <c r="J114" i="192" s="1"/>
  <c r="H147" i="192"/>
  <c r="J147" i="192" s="1"/>
  <c r="H112" i="192"/>
  <c r="J112" i="192" s="1"/>
  <c r="H14" i="192"/>
  <c r="J14" i="192" s="1"/>
  <c r="H102" i="192"/>
  <c r="J102" i="192" s="1"/>
  <c r="H131" i="192"/>
  <c r="J131" i="192" s="1"/>
  <c r="H88" i="192"/>
  <c r="J88" i="192" s="1"/>
  <c r="H37" i="192"/>
  <c r="AA39" i="193" s="1"/>
  <c r="H204" i="192"/>
  <c r="J204" i="192" s="1"/>
  <c r="H51" i="192"/>
  <c r="J51" i="192" s="1"/>
  <c r="H186" i="192"/>
  <c r="J186" i="192" s="1"/>
  <c r="H26" i="192"/>
  <c r="J26" i="192" s="1"/>
  <c r="H145" i="192"/>
  <c r="J145" i="192" s="1"/>
  <c r="H175" i="192"/>
  <c r="J175" i="192" s="1"/>
  <c r="H159" i="192"/>
  <c r="J159" i="192" s="1"/>
  <c r="H17" i="192"/>
  <c r="J17" i="192" s="1"/>
  <c r="AA155" i="193" l="1"/>
  <c r="I153" i="192"/>
  <c r="AA75" i="193"/>
  <c r="I73" i="192"/>
  <c r="AA59" i="193"/>
  <c r="I57" i="192"/>
  <c r="I109" i="192"/>
  <c r="AA111" i="193"/>
  <c r="AA185" i="193"/>
  <c r="I183" i="192"/>
  <c r="I30" i="192"/>
  <c r="AA32" i="193"/>
  <c r="AA103" i="193"/>
  <c r="I101" i="192"/>
  <c r="I52" i="192"/>
  <c r="AA54" i="193"/>
  <c r="I23" i="192"/>
  <c r="AA25" i="193"/>
  <c r="I189" i="192"/>
  <c r="AA191" i="193"/>
  <c r="I113" i="192"/>
  <c r="AA115" i="193"/>
  <c r="I199" i="192"/>
  <c r="AA201" i="193"/>
  <c r="I80" i="192"/>
  <c r="AA82" i="193"/>
  <c r="AA57" i="193"/>
  <c r="I55" i="192"/>
  <c r="I130" i="192"/>
  <c r="AA132" i="193"/>
  <c r="I142" i="192"/>
  <c r="AA144" i="193"/>
  <c r="AA134" i="193"/>
  <c r="I132" i="192"/>
  <c r="I135" i="192"/>
  <c r="AA137" i="193"/>
  <c r="I87" i="192"/>
  <c r="AA89" i="193"/>
  <c r="AA21" i="193"/>
  <c r="I19" i="192"/>
  <c r="I119" i="192"/>
  <c r="AA121" i="193"/>
  <c r="I162" i="192"/>
  <c r="AA164" i="193"/>
  <c r="AA193" i="193"/>
  <c r="I191" i="192"/>
  <c r="I182" i="192"/>
  <c r="AA184" i="193"/>
  <c r="I118" i="192"/>
  <c r="AA120" i="193"/>
  <c r="I166" i="192"/>
  <c r="AA168" i="193"/>
  <c r="AA175" i="193"/>
  <c r="I173" i="192"/>
  <c r="I187" i="192"/>
  <c r="AA189" i="193"/>
  <c r="J212" i="192"/>
  <c r="AC17" i="182"/>
  <c r="AF17" i="182" s="1"/>
  <c r="I134" i="192"/>
  <c r="AA136" i="193"/>
  <c r="AA67" i="193"/>
  <c r="I65" i="192"/>
  <c r="I136" i="192"/>
  <c r="AA138" i="193"/>
  <c r="I140" i="192"/>
  <c r="AA142" i="193"/>
  <c r="AA199" i="193"/>
  <c r="I197" i="192"/>
  <c r="I164" i="192"/>
  <c r="AA166" i="193"/>
  <c r="AA68" i="193"/>
  <c r="I66" i="192"/>
  <c r="I116" i="192"/>
  <c r="AA118" i="193"/>
  <c r="AA190" i="193"/>
  <c r="I188" i="192"/>
  <c r="AA49" i="193"/>
  <c r="I47" i="192"/>
  <c r="AA109" i="193"/>
  <c r="I107" i="192"/>
  <c r="AA110" i="193"/>
  <c r="I108" i="192"/>
  <c r="AA70" i="193"/>
  <c r="I68" i="192"/>
  <c r="AA73" i="193"/>
  <c r="I71" i="192"/>
  <c r="I208" i="192"/>
  <c r="AA210" i="193"/>
  <c r="AA86" i="193"/>
  <c r="I84" i="192"/>
  <c r="I163" i="192"/>
  <c r="AA165" i="193"/>
  <c r="I26" i="192"/>
  <c r="AA28" i="193"/>
  <c r="AA18" i="193"/>
  <c r="I16" i="192"/>
  <c r="AA15" i="193"/>
  <c r="I13" i="192"/>
  <c r="AA117" i="193"/>
  <c r="I115" i="192"/>
  <c r="AA202" i="193"/>
  <c r="I200" i="192"/>
  <c r="I27" i="192"/>
  <c r="AA29" i="193"/>
  <c r="AA27" i="193"/>
  <c r="I25" i="192"/>
  <c r="I17" i="192"/>
  <c r="AA19" i="193"/>
  <c r="AA204" i="193"/>
  <c r="I202" i="192"/>
  <c r="AA151" i="193"/>
  <c r="I149" i="192"/>
  <c r="AA205" i="193"/>
  <c r="I203" i="192"/>
  <c r="I186" i="192"/>
  <c r="AA188" i="193"/>
  <c r="AA206" i="193"/>
  <c r="I204" i="192"/>
  <c r="I174" i="192"/>
  <c r="AA176" i="193"/>
  <c r="AA122" i="193"/>
  <c r="I120" i="192"/>
  <c r="I194" i="192"/>
  <c r="AA196" i="193"/>
  <c r="I156" i="192"/>
  <c r="AA158" i="193"/>
  <c r="I168" i="192"/>
  <c r="AA170" i="193"/>
  <c r="AA129" i="193"/>
  <c r="I127" i="192"/>
  <c r="I154" i="192"/>
  <c r="AA156" i="193"/>
  <c r="AA125" i="193"/>
  <c r="I123" i="192"/>
  <c r="AA77" i="193"/>
  <c r="I75" i="192"/>
  <c r="I133" i="192"/>
  <c r="AA135" i="193"/>
  <c r="AA209" i="193"/>
  <c r="I207" i="192"/>
  <c r="AA139" i="193"/>
  <c r="I137" i="192"/>
  <c r="AA148" i="193"/>
  <c r="I146" i="192"/>
  <c r="AA31" i="193"/>
  <c r="I29" i="192"/>
  <c r="I105" i="192"/>
  <c r="AA107" i="193"/>
  <c r="I169" i="192"/>
  <c r="AA171" i="193"/>
  <c r="I50" i="192"/>
  <c r="AA52" i="193"/>
  <c r="I45" i="192"/>
  <c r="AA47" i="193"/>
  <c r="AA198" i="193"/>
  <c r="I196" i="192"/>
  <c r="AA79" i="193"/>
  <c r="I77" i="192"/>
  <c r="AA113" i="193"/>
  <c r="I111" i="192"/>
  <c r="I10" i="192"/>
  <c r="AA12" i="193"/>
  <c r="AA83" i="193"/>
  <c r="I81" i="192"/>
  <c r="I206" i="192"/>
  <c r="AA208" i="193"/>
  <c r="AA50" i="193"/>
  <c r="I48" i="192"/>
  <c r="AA30" i="193"/>
  <c r="I28" i="192"/>
  <c r="AA84" i="193"/>
  <c r="I82" i="192"/>
  <c r="AA159" i="193"/>
  <c r="I157" i="192"/>
  <c r="AA81" i="193"/>
  <c r="I79" i="192"/>
  <c r="AA186" i="193"/>
  <c r="I184" i="192"/>
  <c r="I138" i="192"/>
  <c r="AA140" i="193"/>
  <c r="AA150" i="193"/>
  <c r="I148" i="192"/>
  <c r="AA24" i="193"/>
  <c r="I22" i="192"/>
  <c r="AA60" i="193"/>
  <c r="I58" i="192"/>
  <c r="I103" i="192"/>
  <c r="AA105" i="193"/>
  <c r="I195" i="192"/>
  <c r="AA197" i="193"/>
  <c r="AA58" i="193"/>
  <c r="I56" i="192"/>
  <c r="AA207" i="193"/>
  <c r="I205" i="192"/>
  <c r="AA177" i="193"/>
  <c r="I175" i="192"/>
  <c r="I126" i="192"/>
  <c r="AA128" i="193"/>
  <c r="AA53" i="193"/>
  <c r="I51" i="192"/>
  <c r="AA20" i="193"/>
  <c r="I18" i="192"/>
  <c r="I86" i="192"/>
  <c r="AA88" i="193"/>
  <c r="AA78" i="193"/>
  <c r="I76" i="192"/>
  <c r="AA163" i="193"/>
  <c r="I161" i="192"/>
  <c r="AA48" i="193"/>
  <c r="I46" i="192"/>
  <c r="AA179" i="193"/>
  <c r="I177" i="192"/>
  <c r="AA33" i="193"/>
  <c r="I31" i="192"/>
  <c r="AA116" i="193"/>
  <c r="I114" i="192"/>
  <c r="AA167" i="193"/>
  <c r="I165" i="192"/>
  <c r="AA106" i="193"/>
  <c r="I104" i="192"/>
  <c r="AA169" i="193"/>
  <c r="I167" i="192"/>
  <c r="I54" i="192"/>
  <c r="AA56" i="193"/>
  <c r="AA172" i="193"/>
  <c r="I170" i="192"/>
  <c r="I159" i="192"/>
  <c r="AA161" i="193"/>
  <c r="I69" i="192"/>
  <c r="AA71" i="193"/>
  <c r="AA178" i="193"/>
  <c r="I176" i="192"/>
  <c r="I59" i="192"/>
  <c r="AA61" i="193"/>
  <c r="AA203" i="193"/>
  <c r="I201" i="192"/>
  <c r="I122" i="192"/>
  <c r="AA124" i="193"/>
  <c r="I198" i="192"/>
  <c r="AA200" i="193"/>
  <c r="I60" i="192"/>
  <c r="AA62" i="193"/>
  <c r="AA16" i="193"/>
  <c r="I14" i="192"/>
  <c r="I112" i="192"/>
  <c r="AA114" i="193"/>
  <c r="I144" i="192"/>
  <c r="AA146" i="193"/>
  <c r="I83" i="192"/>
  <c r="AA85" i="193"/>
  <c r="I124" i="192"/>
  <c r="AA126" i="193"/>
  <c r="AA154" i="193"/>
  <c r="I152" i="192"/>
  <c r="I49" i="192"/>
  <c r="AA51" i="193"/>
  <c r="AA69" i="193"/>
  <c r="I67" i="192"/>
  <c r="AA14" i="193"/>
  <c r="I12" i="192"/>
  <c r="AA143" i="193"/>
  <c r="I141" i="192"/>
  <c r="AA182" i="193"/>
  <c r="I180" i="192"/>
  <c r="AA145" i="193"/>
  <c r="I143" i="192"/>
  <c r="AA123" i="193"/>
  <c r="I121" i="192"/>
  <c r="I181" i="192"/>
  <c r="AA183" i="193"/>
  <c r="AA26" i="193"/>
  <c r="I24" i="192"/>
  <c r="AA147" i="193"/>
  <c r="I145" i="192"/>
  <c r="AA194" i="193"/>
  <c r="I192" i="192"/>
  <c r="I106" i="192"/>
  <c r="AA108" i="193"/>
  <c r="I63" i="192"/>
  <c r="AA65" i="193"/>
  <c r="I64" i="192"/>
  <c r="AA66" i="193"/>
  <c r="AA72" i="193"/>
  <c r="I70" i="192"/>
  <c r="I88" i="192"/>
  <c r="AA90" i="193"/>
  <c r="I131" i="192"/>
  <c r="AA133" i="193"/>
  <c r="AA104" i="193"/>
  <c r="I102" i="192"/>
  <c r="AA149" i="193"/>
  <c r="I147" i="192"/>
  <c r="I85" i="192"/>
  <c r="AA87" i="193"/>
  <c r="AA157" i="193"/>
  <c r="I155" i="192"/>
  <c r="AA76" i="193"/>
  <c r="I74" i="192"/>
  <c r="AA180" i="193"/>
  <c r="I178" i="192"/>
  <c r="I209" i="192"/>
  <c r="AA211" i="193"/>
  <c r="I125" i="192"/>
  <c r="AA127" i="193"/>
  <c r="AH9" i="192"/>
  <c r="L27" i="192"/>
  <c r="N27" i="192" s="1"/>
  <c r="L84" i="192"/>
  <c r="N84" i="192" s="1"/>
  <c r="L159" i="192"/>
  <c r="N159" i="192" s="1"/>
  <c r="L87" i="192"/>
  <c r="N87" i="192" s="1"/>
  <c r="L112" i="192"/>
  <c r="N112" i="192" s="1"/>
  <c r="L157" i="192"/>
  <c r="N157" i="192" s="1"/>
  <c r="L123" i="192"/>
  <c r="N123" i="192" s="1"/>
  <c r="L165" i="192"/>
  <c r="N165" i="192" s="1"/>
  <c r="L70" i="192"/>
  <c r="N70" i="192" s="1"/>
  <c r="L23" i="192"/>
  <c r="N23" i="192" s="1"/>
  <c r="L76" i="192"/>
  <c r="N76" i="192" s="1"/>
  <c r="L114" i="192"/>
  <c r="N114" i="192" s="1"/>
  <c r="L136" i="192"/>
  <c r="N136" i="192" s="1"/>
  <c r="L132" i="192"/>
  <c r="N132" i="192" s="1"/>
  <c r="L183" i="192"/>
  <c r="N183" i="192" s="1"/>
  <c r="L97" i="192"/>
  <c r="AB99" i="193" s="1"/>
  <c r="L79" i="192"/>
  <c r="N79" i="192" s="1"/>
  <c r="L33" i="192"/>
  <c r="AB35" i="193" s="1"/>
  <c r="L103" i="192"/>
  <c r="N103" i="192" s="1"/>
  <c r="L56" i="192"/>
  <c r="N56" i="192" s="1"/>
  <c r="L25" i="192"/>
  <c r="N25" i="192" s="1"/>
  <c r="L207" i="192"/>
  <c r="N207" i="192" s="1"/>
  <c r="L186" i="192"/>
  <c r="N186" i="192" s="1"/>
  <c r="L93" i="192"/>
  <c r="AB95" i="193" s="1"/>
  <c r="L51" i="192"/>
  <c r="N51" i="192" s="1"/>
  <c r="L153" i="192"/>
  <c r="N153" i="192" s="1"/>
  <c r="L68" i="192"/>
  <c r="N68" i="192" s="1"/>
  <c r="L137" i="192"/>
  <c r="N137" i="192" s="1"/>
  <c r="L182" i="192"/>
  <c r="N182" i="192" s="1"/>
  <c r="L194" i="192"/>
  <c r="N194" i="192" s="1"/>
  <c r="L119" i="192"/>
  <c r="N119" i="192" s="1"/>
  <c r="L85" i="192"/>
  <c r="N85" i="192" s="1"/>
  <c r="L178" i="192"/>
  <c r="N178" i="192" s="1"/>
  <c r="L102" i="192"/>
  <c r="N102" i="192" s="1"/>
  <c r="L180" i="192"/>
  <c r="N180" i="192" s="1"/>
  <c r="L88" i="192"/>
  <c r="N88" i="192" s="1"/>
  <c r="L48" i="192"/>
  <c r="N48" i="192" s="1"/>
  <c r="L173" i="192"/>
  <c r="N173" i="192" s="1"/>
  <c r="L46" i="192"/>
  <c r="N46" i="192" s="1"/>
  <c r="L83" i="192"/>
  <c r="N83" i="192" s="1"/>
  <c r="L73" i="192"/>
  <c r="N73" i="192" s="1"/>
  <c r="L106" i="192"/>
  <c r="N106" i="192" s="1"/>
  <c r="L122" i="192"/>
  <c r="N122" i="192" s="1"/>
  <c r="L118" i="192"/>
  <c r="N118" i="192" s="1"/>
  <c r="L145" i="192"/>
  <c r="N145" i="192" s="1"/>
  <c r="L154" i="192"/>
  <c r="N154" i="192" s="1"/>
  <c r="L148" i="192"/>
  <c r="N148" i="192" s="1"/>
  <c r="L66" i="192"/>
  <c r="N66" i="192" s="1"/>
  <c r="L34" i="192"/>
  <c r="AB36" i="193" s="1"/>
  <c r="L156" i="192"/>
  <c r="N156" i="192" s="1"/>
  <c r="L35" i="192"/>
  <c r="AB37" i="193" s="1"/>
  <c r="L63" i="192"/>
  <c r="N63" i="192" s="1"/>
  <c r="L124" i="192"/>
  <c r="N124" i="192" s="1"/>
  <c r="L175" i="192"/>
  <c r="N175" i="192" s="1"/>
  <c r="L192" i="192"/>
  <c r="N192" i="192" s="1"/>
  <c r="L177" i="192"/>
  <c r="N177" i="192" s="1"/>
  <c r="L135" i="192"/>
  <c r="N135" i="192" s="1"/>
  <c r="L115" i="192"/>
  <c r="N115" i="192" s="1"/>
  <c r="L143" i="192"/>
  <c r="N143" i="192" s="1"/>
  <c r="L55" i="192"/>
  <c r="N55" i="192" s="1"/>
  <c r="L201" i="192"/>
  <c r="N201" i="192" s="1"/>
  <c r="L120" i="192"/>
  <c r="N120" i="192" s="1"/>
  <c r="L99" i="192"/>
  <c r="AB101" i="193" s="1"/>
  <c r="L206" i="192"/>
  <c r="N206" i="192" s="1"/>
  <c r="L146" i="192"/>
  <c r="N146" i="192" s="1"/>
  <c r="L49" i="192"/>
  <c r="N49" i="192" s="1"/>
  <c r="L134" i="192"/>
  <c r="N134" i="192" s="1"/>
  <c r="L29" i="192"/>
  <c r="N29" i="192" s="1"/>
  <c r="L127" i="192"/>
  <c r="N127" i="192" s="1"/>
  <c r="L16" i="192"/>
  <c r="N16" i="192" s="1"/>
  <c r="L161" i="192"/>
  <c r="N161" i="192" s="1"/>
  <c r="L109" i="192"/>
  <c r="N109" i="192" s="1"/>
  <c r="L19" i="192"/>
  <c r="N19" i="192" s="1"/>
  <c r="L144" i="192"/>
  <c r="N144" i="192" s="1"/>
  <c r="L31" i="192"/>
  <c r="N31" i="192" s="1"/>
  <c r="L147" i="192"/>
  <c r="N147" i="192" s="1"/>
  <c r="L107" i="192"/>
  <c r="N107" i="192" s="1"/>
  <c r="L208" i="192"/>
  <c r="N208" i="192" s="1"/>
  <c r="L60" i="192"/>
  <c r="N60" i="192" s="1"/>
  <c r="L64" i="192"/>
  <c r="N64" i="192" s="1"/>
  <c r="L195" i="192"/>
  <c r="N195" i="192" s="1"/>
  <c r="L75" i="192"/>
  <c r="N75" i="192" s="1"/>
  <c r="L125" i="192"/>
  <c r="N125" i="192" s="1"/>
  <c r="L39" i="192"/>
  <c r="AB41" i="193" s="1"/>
  <c r="L105" i="192"/>
  <c r="N105" i="192" s="1"/>
  <c r="L47" i="192"/>
  <c r="N47" i="192" s="1"/>
  <c r="L74" i="192"/>
  <c r="N74" i="192" s="1"/>
  <c r="L184" i="192"/>
  <c r="N184" i="192" s="1"/>
  <c r="L10" i="192"/>
  <c r="N10" i="192" s="1"/>
  <c r="L71" i="192"/>
  <c r="N71" i="192" s="1"/>
  <c r="L98" i="192"/>
  <c r="AB100" i="193" s="1"/>
  <c r="L40" i="192"/>
  <c r="AB42" i="193" s="1"/>
  <c r="L86" i="192"/>
  <c r="N86" i="192" s="1"/>
  <c r="L168" i="192"/>
  <c r="N168" i="192" s="1"/>
  <c r="L91" i="192"/>
  <c r="AB93" i="193" s="1"/>
  <c r="L162" i="192"/>
  <c r="N162" i="192" s="1"/>
  <c r="L30" i="192"/>
  <c r="N30" i="192" s="1"/>
  <c r="L28" i="192"/>
  <c r="N28" i="192" s="1"/>
  <c r="L155" i="192"/>
  <c r="N155" i="192" s="1"/>
  <c r="L138" i="192"/>
  <c r="N138" i="192" s="1"/>
  <c r="L95" i="192"/>
  <c r="AB97" i="193" s="1"/>
  <c r="L141" i="192"/>
  <c r="N141" i="192" s="1"/>
  <c r="L203" i="192"/>
  <c r="N203" i="192" s="1"/>
  <c r="L149" i="192"/>
  <c r="N149" i="192" s="1"/>
  <c r="L50" i="192"/>
  <c r="N50" i="192" s="1"/>
  <c r="L209" i="192"/>
  <c r="N209" i="192" s="1"/>
  <c r="L188" i="192"/>
  <c r="N188" i="192" s="1"/>
  <c r="L111" i="192"/>
  <c r="N111" i="192" s="1"/>
  <c r="L152" i="192"/>
  <c r="N152" i="192" s="1"/>
  <c r="L41" i="192"/>
  <c r="AB43" i="193" s="1"/>
  <c r="L24" i="192"/>
  <c r="N24" i="192" s="1"/>
  <c r="L133" i="192"/>
  <c r="N133" i="192" s="1"/>
  <c r="L212" i="192"/>
  <c r="M212" i="192" s="1"/>
  <c r="L170" i="192"/>
  <c r="N170" i="192" s="1"/>
  <c r="L181" i="192"/>
  <c r="N181" i="192" s="1"/>
  <c r="L205" i="192"/>
  <c r="N205" i="192" s="1"/>
  <c r="L202" i="192"/>
  <c r="N202" i="192" s="1"/>
  <c r="L90" i="192"/>
  <c r="AB92" i="193" s="1"/>
  <c r="L12" i="192"/>
  <c r="N12" i="192" s="1"/>
  <c r="L82" i="192"/>
  <c r="N82" i="192" s="1"/>
  <c r="L54" i="192"/>
  <c r="N54" i="192" s="1"/>
  <c r="L140" i="192"/>
  <c r="N140" i="192" s="1"/>
  <c r="L18" i="192"/>
  <c r="N18" i="192" s="1"/>
  <c r="L52" i="192"/>
  <c r="N52" i="192" s="1"/>
  <c r="L104" i="192"/>
  <c r="N104" i="192" s="1"/>
  <c r="L176" i="192"/>
  <c r="N176" i="192" s="1"/>
  <c r="L130" i="192"/>
  <c r="N130" i="192" s="1"/>
  <c r="L37" i="192"/>
  <c r="AB39" i="193" s="1"/>
  <c r="L94" i="192"/>
  <c r="AB96" i="193" s="1"/>
  <c r="L58" i="192"/>
  <c r="N58" i="192" s="1"/>
  <c r="L57" i="192"/>
  <c r="N57" i="192" s="1"/>
  <c r="L36" i="192"/>
  <c r="AB38" i="193" s="1"/>
  <c r="L166" i="192"/>
  <c r="N166" i="192" s="1"/>
  <c r="L164" i="192"/>
  <c r="N164" i="192" s="1"/>
  <c r="L77" i="192"/>
  <c r="N77" i="192" s="1"/>
  <c r="L113" i="192"/>
  <c r="N113" i="192" s="1"/>
  <c r="L67" i="192"/>
  <c r="N67" i="192" s="1"/>
  <c r="L38" i="192"/>
  <c r="AB40" i="193" s="1"/>
  <c r="L142" i="192"/>
  <c r="N142" i="192" s="1"/>
  <c r="L45" i="192"/>
  <c r="N45" i="192" s="1"/>
  <c r="L169" i="192"/>
  <c r="N169" i="192" s="1"/>
  <c r="L14" i="192"/>
  <c r="N14" i="192" s="1"/>
  <c r="L199" i="192"/>
  <c r="N199" i="192" s="1"/>
  <c r="L108" i="192"/>
  <c r="N108" i="192" s="1"/>
  <c r="L101" i="192"/>
  <c r="N101" i="192" s="1"/>
  <c r="L189" i="192"/>
  <c r="N189" i="192" s="1"/>
  <c r="L65" i="192"/>
  <c r="N65" i="192" s="1"/>
  <c r="L81" i="192"/>
  <c r="N81" i="192" s="1"/>
  <c r="L200" i="192"/>
  <c r="N200" i="192" s="1"/>
  <c r="L92" i="192"/>
  <c r="AB94" i="193" s="1"/>
  <c r="L80" i="192"/>
  <c r="N80" i="192" s="1"/>
  <c r="L13" i="192"/>
  <c r="N13" i="192" s="1"/>
  <c r="L191" i="192"/>
  <c r="N191" i="192" s="1"/>
  <c r="L26" i="192"/>
  <c r="N26" i="192" s="1"/>
  <c r="L163" i="192"/>
  <c r="N163" i="192" s="1"/>
  <c r="L59" i="192"/>
  <c r="N59" i="192" s="1"/>
  <c r="L198" i="192"/>
  <c r="N198" i="192" s="1"/>
  <c r="L121" i="192"/>
  <c r="N121" i="192" s="1"/>
  <c r="L167" i="192"/>
  <c r="N167" i="192" s="1"/>
  <c r="L126" i="192"/>
  <c r="N126" i="192" s="1"/>
  <c r="L196" i="192"/>
  <c r="N196" i="192" s="1"/>
  <c r="L96" i="192"/>
  <c r="AB98" i="193" s="1"/>
  <c r="L197" i="192"/>
  <c r="N197" i="192" s="1"/>
  <c r="L116" i="192"/>
  <c r="N116" i="192" s="1"/>
  <c r="L42" i="192"/>
  <c r="AB44" i="193" s="1"/>
  <c r="L131" i="192"/>
  <c r="N131" i="192" s="1"/>
  <c r="L204" i="192"/>
  <c r="N204" i="192" s="1"/>
  <c r="L17" i="192"/>
  <c r="N17" i="192" s="1"/>
  <c r="L187" i="192"/>
  <c r="N187" i="192" s="1"/>
  <c r="L174" i="192"/>
  <c r="N174" i="192" s="1"/>
  <c r="L22" i="192"/>
  <c r="N22" i="192" s="1"/>
  <c r="L69" i="192"/>
  <c r="N69" i="192" s="1"/>
  <c r="AC16" i="182" l="1"/>
  <c r="AF16" i="182" s="1"/>
  <c r="M108" i="192"/>
  <c r="AB110" i="193"/>
  <c r="M87" i="192"/>
  <c r="AB89" i="193"/>
  <c r="AB201" i="193"/>
  <c r="M199" i="192"/>
  <c r="M186" i="192"/>
  <c r="AB188" i="193"/>
  <c r="AB209" i="193"/>
  <c r="M207" i="192"/>
  <c r="AC14" i="182"/>
  <c r="AF14" i="182" s="1"/>
  <c r="M126" i="192"/>
  <c r="AB128" i="193"/>
  <c r="AB145" i="193"/>
  <c r="M143" i="192"/>
  <c r="M121" i="192"/>
  <c r="AB123" i="193"/>
  <c r="M28" i="192"/>
  <c r="AB30" i="193"/>
  <c r="AB210" i="193"/>
  <c r="M208" i="192"/>
  <c r="AB117" i="193"/>
  <c r="M115" i="192"/>
  <c r="AB175" i="193"/>
  <c r="M173" i="192"/>
  <c r="AC12" i="182"/>
  <c r="AF12" i="182" s="1"/>
  <c r="M198" i="192"/>
  <c r="AB200" i="193"/>
  <c r="AB69" i="193"/>
  <c r="M67" i="192"/>
  <c r="AB204" i="193"/>
  <c r="M202" i="192"/>
  <c r="AB32" i="193"/>
  <c r="M30" i="192"/>
  <c r="AB109" i="193"/>
  <c r="M107" i="192"/>
  <c r="M135" i="192"/>
  <c r="AB137" i="193"/>
  <c r="AB50" i="193"/>
  <c r="M48" i="192"/>
  <c r="AB81" i="193"/>
  <c r="M79" i="192"/>
  <c r="AB208" i="193"/>
  <c r="M206" i="192"/>
  <c r="AB161" i="193"/>
  <c r="M159" i="192"/>
  <c r="M106" i="192"/>
  <c r="AB108" i="193"/>
  <c r="AB27" i="193"/>
  <c r="M25" i="192"/>
  <c r="M12" i="192"/>
  <c r="AB14" i="193"/>
  <c r="AB207" i="193"/>
  <c r="M205" i="192"/>
  <c r="AB33" i="193"/>
  <c r="M31" i="192"/>
  <c r="M170" i="192"/>
  <c r="AB172" i="193"/>
  <c r="AB170" i="193"/>
  <c r="M168" i="192"/>
  <c r="AB146" i="193"/>
  <c r="M144" i="192"/>
  <c r="AB177" i="193"/>
  <c r="M175" i="192"/>
  <c r="M102" i="192"/>
  <c r="AB104" i="193"/>
  <c r="AB134" i="193"/>
  <c r="M132" i="192"/>
  <c r="M149" i="192"/>
  <c r="AB151" i="193"/>
  <c r="M18" i="192"/>
  <c r="AB20" i="193"/>
  <c r="AB16" i="193"/>
  <c r="M14" i="192"/>
  <c r="AB197" i="193"/>
  <c r="M195" i="192"/>
  <c r="M55" i="192"/>
  <c r="AB57" i="193"/>
  <c r="AB179" i="193"/>
  <c r="M177" i="192"/>
  <c r="M181" i="192"/>
  <c r="AB183" i="193"/>
  <c r="AB88" i="193"/>
  <c r="M86" i="192"/>
  <c r="M19" i="192"/>
  <c r="AB21" i="193"/>
  <c r="M124" i="192"/>
  <c r="AB126" i="193"/>
  <c r="AB180" i="193"/>
  <c r="M178" i="192"/>
  <c r="AB138" i="193"/>
  <c r="M136" i="192"/>
  <c r="AB124" i="193"/>
  <c r="M122" i="192"/>
  <c r="M120" i="192"/>
  <c r="AB122" i="193"/>
  <c r="M201" i="192"/>
  <c r="AB203" i="193"/>
  <c r="M60" i="192"/>
  <c r="AB62" i="193"/>
  <c r="AB61" i="193"/>
  <c r="M59" i="192"/>
  <c r="AB165" i="193"/>
  <c r="M163" i="192"/>
  <c r="M109" i="192"/>
  <c r="AB111" i="193"/>
  <c r="AB65" i="193"/>
  <c r="M63" i="192"/>
  <c r="AB87" i="193"/>
  <c r="M85" i="192"/>
  <c r="M114" i="192"/>
  <c r="AB116" i="193"/>
  <c r="AC13" i="182"/>
  <c r="AF13" i="182" s="1"/>
  <c r="M203" i="192"/>
  <c r="AB205" i="193"/>
  <c r="AB198" i="193"/>
  <c r="M196" i="192"/>
  <c r="AB47" i="193"/>
  <c r="M45" i="192"/>
  <c r="M142" i="192"/>
  <c r="AB144" i="193"/>
  <c r="AB194" i="193"/>
  <c r="M192" i="192"/>
  <c r="AB163" i="193"/>
  <c r="M161" i="192"/>
  <c r="AB121" i="193"/>
  <c r="M119" i="192"/>
  <c r="AB78" i="193"/>
  <c r="M76" i="192"/>
  <c r="M52" i="192"/>
  <c r="AB54" i="193"/>
  <c r="M54" i="192"/>
  <c r="AB56" i="193"/>
  <c r="AB85" i="193"/>
  <c r="M83" i="192"/>
  <c r="AB164" i="193"/>
  <c r="M162" i="192"/>
  <c r="AB193" i="193"/>
  <c r="M191" i="192"/>
  <c r="AB82" i="193"/>
  <c r="M80" i="192"/>
  <c r="AB60" i="193"/>
  <c r="M58" i="192"/>
  <c r="AB73" i="193"/>
  <c r="M71" i="192"/>
  <c r="M16" i="192"/>
  <c r="AB18" i="193"/>
  <c r="AB158" i="193"/>
  <c r="M156" i="192"/>
  <c r="AB196" i="193"/>
  <c r="M194" i="192"/>
  <c r="AB25" i="193"/>
  <c r="M23" i="192"/>
  <c r="AB143" i="193"/>
  <c r="M141" i="192"/>
  <c r="M82" i="192"/>
  <c r="AB84" i="193"/>
  <c r="M133" i="192"/>
  <c r="AB135" i="193"/>
  <c r="AB189" i="193"/>
  <c r="M187" i="192"/>
  <c r="AB154" i="193"/>
  <c r="M152" i="192"/>
  <c r="M10" i="192"/>
  <c r="AB12" i="193"/>
  <c r="M127" i="192"/>
  <c r="AB129" i="193"/>
  <c r="M182" i="192"/>
  <c r="AB184" i="193"/>
  <c r="M70" i="192"/>
  <c r="AB72" i="193"/>
  <c r="AA214" i="193"/>
  <c r="AB169" i="193"/>
  <c r="M167" i="192"/>
  <c r="M113" i="192"/>
  <c r="AB115" i="193"/>
  <c r="AB79" i="193"/>
  <c r="M77" i="192"/>
  <c r="M164" i="192"/>
  <c r="AB166" i="193"/>
  <c r="M69" i="192"/>
  <c r="AB71" i="193"/>
  <c r="M22" i="192"/>
  <c r="AB24" i="193"/>
  <c r="M81" i="192"/>
  <c r="AB83" i="193"/>
  <c r="AB113" i="193"/>
  <c r="M111" i="192"/>
  <c r="M184" i="192"/>
  <c r="AB186" i="193"/>
  <c r="M29" i="192"/>
  <c r="AB31" i="193"/>
  <c r="AB68" i="193"/>
  <c r="M66" i="192"/>
  <c r="AB139" i="193"/>
  <c r="M137" i="192"/>
  <c r="M165" i="192"/>
  <c r="AB167" i="193"/>
  <c r="I215" i="192"/>
  <c r="AC11" i="182"/>
  <c r="AB77" i="193"/>
  <c r="M75" i="192"/>
  <c r="AB58" i="193"/>
  <c r="M56" i="192"/>
  <c r="M147" i="192"/>
  <c r="AB149" i="193"/>
  <c r="M183" i="192"/>
  <c r="AB185" i="193"/>
  <c r="AD17" i="182"/>
  <c r="AG17" i="182" s="1"/>
  <c r="N212" i="192"/>
  <c r="M57" i="192"/>
  <c r="AB59" i="193"/>
  <c r="M65" i="192"/>
  <c r="AB67" i="193"/>
  <c r="AB190" i="193"/>
  <c r="M188" i="192"/>
  <c r="AB76" i="193"/>
  <c r="M74" i="192"/>
  <c r="M134" i="192"/>
  <c r="AB136" i="193"/>
  <c r="M148" i="192"/>
  <c r="AB150" i="193"/>
  <c r="AB70" i="193"/>
  <c r="M68" i="192"/>
  <c r="AB125" i="193"/>
  <c r="M123" i="192"/>
  <c r="AC15" i="182"/>
  <c r="AF15" i="182" s="1"/>
  <c r="AB118" i="193"/>
  <c r="M116" i="192"/>
  <c r="M125" i="192"/>
  <c r="AB127" i="193"/>
  <c r="M84" i="192"/>
  <c r="AB86" i="193"/>
  <c r="AB75" i="193"/>
  <c r="M73" i="192"/>
  <c r="M64" i="192"/>
  <c r="AB66" i="193"/>
  <c r="AB48" i="193"/>
  <c r="M46" i="192"/>
  <c r="AB90" i="193"/>
  <c r="M88" i="192"/>
  <c r="AB182" i="193"/>
  <c r="M180" i="192"/>
  <c r="M26" i="192"/>
  <c r="AB28" i="193"/>
  <c r="M166" i="192"/>
  <c r="AB168" i="193"/>
  <c r="M200" i="192"/>
  <c r="AB202" i="193"/>
  <c r="AB206" i="193"/>
  <c r="M204" i="192"/>
  <c r="AB133" i="193"/>
  <c r="M131" i="192"/>
  <c r="AB191" i="193"/>
  <c r="M189" i="192"/>
  <c r="M176" i="192"/>
  <c r="AB178" i="193"/>
  <c r="AB211" i="193"/>
  <c r="M209" i="192"/>
  <c r="AB49" i="193"/>
  <c r="M47" i="192"/>
  <c r="AB51" i="193"/>
  <c r="M49" i="192"/>
  <c r="AB156" i="193"/>
  <c r="M154" i="192"/>
  <c r="AB155" i="193"/>
  <c r="M153" i="192"/>
  <c r="M157" i="192"/>
  <c r="AB159" i="193"/>
  <c r="AB120" i="193"/>
  <c r="M118" i="192"/>
  <c r="AC18" i="182"/>
  <c r="AF18" i="182" s="1"/>
  <c r="M197" i="192"/>
  <c r="AB199" i="193"/>
  <c r="M140" i="192"/>
  <c r="AB142" i="193"/>
  <c r="AB171" i="193"/>
  <c r="M169" i="192"/>
  <c r="M27" i="192"/>
  <c r="AB29" i="193"/>
  <c r="M138" i="192"/>
  <c r="AB140" i="193"/>
  <c r="M155" i="192"/>
  <c r="AB157" i="193"/>
  <c r="M103" i="192"/>
  <c r="AB105" i="193"/>
  <c r="M13" i="192"/>
  <c r="AB15" i="193"/>
  <c r="M24" i="192"/>
  <c r="AB26" i="193"/>
  <c r="M174" i="192"/>
  <c r="AB176" i="193"/>
  <c r="AB19" i="193"/>
  <c r="M17" i="192"/>
  <c r="M130" i="192"/>
  <c r="AB132" i="193"/>
  <c r="M101" i="192"/>
  <c r="AB103" i="193"/>
  <c r="AB106" i="193"/>
  <c r="M104" i="192"/>
  <c r="M50" i="192"/>
  <c r="AB52" i="193"/>
  <c r="AB107" i="193"/>
  <c r="M105" i="192"/>
  <c r="AB148" i="193"/>
  <c r="M146" i="192"/>
  <c r="AB147" i="193"/>
  <c r="M145" i="192"/>
  <c r="AB53" i="193"/>
  <c r="M51" i="192"/>
  <c r="M112" i="192"/>
  <c r="AB114" i="193"/>
  <c r="AD14" i="182" l="1"/>
  <c r="AG14" i="182" s="1"/>
  <c r="AD13" i="182"/>
  <c r="AG13" i="182" s="1"/>
  <c r="AD12" i="182"/>
  <c r="AG12" i="182" s="1"/>
  <c r="AD11" i="182"/>
  <c r="M215" i="192"/>
  <c r="AB214" i="193"/>
  <c r="AD15" i="182"/>
  <c r="AG15" i="182" s="1"/>
  <c r="AC20" i="182"/>
  <c r="AC21" i="182" s="1"/>
  <c r="AF11" i="182"/>
  <c r="AD18" i="182"/>
  <c r="AG18" i="182" s="1"/>
  <c r="AD16" i="182"/>
  <c r="AG16" i="182" s="1"/>
  <c r="AG11" i="182" l="1"/>
  <c r="AD20" i="182"/>
  <c r="AD21" i="182" s="1"/>
  <c r="I25" i="127" l="1"/>
  <c r="K25" i="127"/>
  <c r="I31" i="127" l="1"/>
  <c r="K31" i="127"/>
  <c r="S15" i="127" l="1"/>
  <c r="S21" i="127" l="1"/>
  <c r="S29" i="127" l="1"/>
  <c r="S33" i="127" s="1"/>
  <c r="T33" i="127" l="1"/>
  <c r="W9" i="141"/>
  <c r="Z15" i="127" l="1"/>
  <c r="Y15" i="127"/>
  <c r="Y9" i="141"/>
  <c r="AB9" i="141"/>
  <c r="W8" i="141"/>
  <c r="Z21" i="127" l="1"/>
  <c r="Y21" i="127"/>
  <c r="Y29" i="127" s="1"/>
  <c r="Y33" i="127" s="1"/>
  <c r="Z29" i="127"/>
  <c r="Z33" i="127" s="1"/>
  <c r="AH9" i="141"/>
  <c r="L205" i="141"/>
  <c r="N205" i="141" s="1"/>
  <c r="L95" i="141"/>
  <c r="X95" i="193" s="1"/>
  <c r="L43" i="141"/>
  <c r="X43" i="193" s="1"/>
  <c r="L165" i="141"/>
  <c r="N165" i="141" s="1"/>
  <c r="L92" i="141"/>
  <c r="X92" i="193" s="1"/>
  <c r="L140" i="141"/>
  <c r="N140" i="141" s="1"/>
  <c r="L96" i="141"/>
  <c r="X96" i="193" s="1"/>
  <c r="L182" i="141"/>
  <c r="N182" i="141" s="1"/>
  <c r="L120" i="141"/>
  <c r="N120" i="141" s="1"/>
  <c r="L207" i="141"/>
  <c r="N207" i="141" s="1"/>
  <c r="L38" i="141"/>
  <c r="X38" i="193" s="1"/>
  <c r="L188" i="141"/>
  <c r="N188" i="141" s="1"/>
  <c r="L150" i="141"/>
  <c r="N150" i="141" s="1"/>
  <c r="L143" i="141"/>
  <c r="N143" i="141" s="1"/>
  <c r="L57" i="141"/>
  <c r="N57" i="141" s="1"/>
  <c r="L129" i="141"/>
  <c r="N129" i="141" s="1"/>
  <c r="L183" i="141"/>
  <c r="N183" i="141" s="1"/>
  <c r="L171" i="141"/>
  <c r="N171" i="141" s="1"/>
  <c r="L136" i="141"/>
  <c r="N136" i="141" s="1"/>
  <c r="L138" i="141"/>
  <c r="N138" i="141" s="1"/>
  <c r="L149" i="141"/>
  <c r="N149" i="141" s="1"/>
  <c r="L111" i="141"/>
  <c r="N111" i="141" s="1"/>
  <c r="L81" i="141"/>
  <c r="N81" i="141" s="1"/>
  <c r="L132" i="141"/>
  <c r="N132" i="141" s="1"/>
  <c r="L151" i="141"/>
  <c r="N151" i="141" s="1"/>
  <c r="L194" i="141"/>
  <c r="N194" i="141" s="1"/>
  <c r="L206" i="141"/>
  <c r="N206" i="141" s="1"/>
  <c r="L29" i="141"/>
  <c r="N29" i="141" s="1"/>
  <c r="L70" i="141"/>
  <c r="N70" i="141" s="1"/>
  <c r="L62" i="141"/>
  <c r="N62" i="141" s="1"/>
  <c r="L42" i="141"/>
  <c r="X42" i="193" s="1"/>
  <c r="L77" i="141"/>
  <c r="N77" i="141" s="1"/>
  <c r="L200" i="141"/>
  <c r="N200" i="141" s="1"/>
  <c r="L185" i="141"/>
  <c r="N185" i="141" s="1"/>
  <c r="L30" i="141"/>
  <c r="N30" i="141" s="1"/>
  <c r="L190" i="141"/>
  <c r="N190" i="141" s="1"/>
  <c r="L93" i="141"/>
  <c r="X93" i="193" s="1"/>
  <c r="L197" i="141"/>
  <c r="N197" i="141" s="1"/>
  <c r="L79" i="141"/>
  <c r="N79" i="141" s="1"/>
  <c r="L94" i="141"/>
  <c r="X94" i="193" s="1"/>
  <c r="L101" i="141"/>
  <c r="X101" i="193" s="1"/>
  <c r="L135" i="141"/>
  <c r="N135" i="141" s="1"/>
  <c r="L116" i="141"/>
  <c r="N116" i="141" s="1"/>
  <c r="L36" i="141"/>
  <c r="X36" i="193" s="1"/>
  <c r="L44" i="141"/>
  <c r="X44" i="193" s="1"/>
  <c r="L50" i="141"/>
  <c r="N50" i="141" s="1"/>
  <c r="L104" i="141"/>
  <c r="N104" i="141" s="1"/>
  <c r="L172" i="141"/>
  <c r="N172" i="141" s="1"/>
  <c r="L145" i="141"/>
  <c r="N145" i="141" s="1"/>
  <c r="L15" i="141"/>
  <c r="N15" i="141" s="1"/>
  <c r="L123" i="141"/>
  <c r="N123" i="141" s="1"/>
  <c r="L133" i="141"/>
  <c r="N133" i="141" s="1"/>
  <c r="L198" i="141"/>
  <c r="N198" i="141" s="1"/>
  <c r="L122" i="141"/>
  <c r="N122" i="141" s="1"/>
  <c r="L47" i="141"/>
  <c r="N47" i="141" s="1"/>
  <c r="L56" i="141"/>
  <c r="N56" i="141" s="1"/>
  <c r="L54" i="141"/>
  <c r="N54" i="141" s="1"/>
  <c r="L89" i="141"/>
  <c r="N89" i="141" s="1"/>
  <c r="L73" i="141"/>
  <c r="N73" i="141" s="1"/>
  <c r="L82" i="141"/>
  <c r="N82" i="141" s="1"/>
  <c r="L193" i="141"/>
  <c r="N193" i="141" s="1"/>
  <c r="L68" i="141"/>
  <c r="N68" i="141" s="1"/>
  <c r="L146" i="141"/>
  <c r="N146" i="141" s="1"/>
  <c r="L211" i="141"/>
  <c r="N211" i="141" s="1"/>
  <c r="L69" i="141"/>
  <c r="N69" i="141" s="1"/>
  <c r="L142" i="141"/>
  <c r="N142" i="141" s="1"/>
  <c r="L33" i="141"/>
  <c r="N33" i="141" s="1"/>
  <c r="L124" i="141"/>
  <c r="N124" i="141" s="1"/>
  <c r="L71" i="141"/>
  <c r="N71" i="141" s="1"/>
  <c r="L66" i="141"/>
  <c r="N66" i="141" s="1"/>
  <c r="L209" i="141"/>
  <c r="N209" i="141" s="1"/>
  <c r="L134" i="141"/>
  <c r="N134" i="141" s="1"/>
  <c r="L26" i="141"/>
  <c r="N26" i="141" s="1"/>
  <c r="L83" i="141"/>
  <c r="N83" i="141" s="1"/>
  <c r="L58" i="141"/>
  <c r="N58" i="141" s="1"/>
  <c r="L125" i="141"/>
  <c r="N125" i="141" s="1"/>
  <c r="L191" i="141"/>
  <c r="N191" i="141" s="1"/>
  <c r="L179" i="141"/>
  <c r="N179" i="141" s="1"/>
  <c r="L184" i="141"/>
  <c r="N184" i="141" s="1"/>
  <c r="L214" i="141"/>
  <c r="M214" i="141" s="1"/>
  <c r="L90" i="141"/>
  <c r="N90" i="141" s="1"/>
  <c r="L139" i="141"/>
  <c r="N139" i="141" s="1"/>
  <c r="L168" i="141"/>
  <c r="N168" i="141" s="1"/>
  <c r="L164" i="141"/>
  <c r="N164" i="141" s="1"/>
  <c r="L67" i="141"/>
  <c r="N67" i="141" s="1"/>
  <c r="L40" i="141"/>
  <c r="X40" i="193" s="1"/>
  <c r="L59" i="141"/>
  <c r="N59" i="141" s="1"/>
  <c r="L105" i="141"/>
  <c r="N105" i="141" s="1"/>
  <c r="L210" i="141"/>
  <c r="N210" i="141" s="1"/>
  <c r="L25" i="141"/>
  <c r="N25" i="141" s="1"/>
  <c r="L75" i="141"/>
  <c r="N75" i="141" s="1"/>
  <c r="L147" i="141"/>
  <c r="N147" i="141" s="1"/>
  <c r="L204" i="141"/>
  <c r="N204" i="141" s="1"/>
  <c r="L20" i="141"/>
  <c r="N20" i="141" s="1"/>
  <c r="L175" i="141"/>
  <c r="N175" i="141" s="1"/>
  <c r="L107" i="141"/>
  <c r="N107" i="141" s="1"/>
  <c r="L178" i="141"/>
  <c r="N178" i="141" s="1"/>
  <c r="L196" i="141"/>
  <c r="N196" i="141" s="1"/>
  <c r="L49" i="141"/>
  <c r="N49" i="141" s="1"/>
  <c r="L176" i="141"/>
  <c r="N176" i="141" s="1"/>
  <c r="L113" i="141"/>
  <c r="N113" i="141" s="1"/>
  <c r="L118" i="141"/>
  <c r="N118" i="141" s="1"/>
  <c r="L28" i="141"/>
  <c r="N28" i="141" s="1"/>
  <c r="L115" i="141"/>
  <c r="N115" i="141" s="1"/>
  <c r="L128" i="141"/>
  <c r="N128" i="141" s="1"/>
  <c r="L16" i="141"/>
  <c r="N16" i="141" s="1"/>
  <c r="L60" i="141"/>
  <c r="N60" i="141" s="1"/>
  <c r="L32" i="141"/>
  <c r="N32" i="141" s="1"/>
  <c r="L85" i="141"/>
  <c r="N85" i="141" s="1"/>
  <c r="L51" i="141"/>
  <c r="N51" i="141" s="1"/>
  <c r="L159" i="141"/>
  <c r="N159" i="141" s="1"/>
  <c r="L157" i="141"/>
  <c r="N157" i="141" s="1"/>
  <c r="L31" i="141"/>
  <c r="N31" i="141" s="1"/>
  <c r="L41" i="141"/>
  <c r="X41" i="193" s="1"/>
  <c r="L167" i="141"/>
  <c r="N167" i="141" s="1"/>
  <c r="L144" i="141"/>
  <c r="N144" i="141" s="1"/>
  <c r="L170" i="141"/>
  <c r="N170" i="141" s="1"/>
  <c r="L158" i="141"/>
  <c r="N158" i="141" s="1"/>
  <c r="L166" i="141"/>
  <c r="N166" i="141" s="1"/>
  <c r="L21" i="141"/>
  <c r="N21" i="141" s="1"/>
  <c r="L18" i="141"/>
  <c r="N18" i="141" s="1"/>
  <c r="L110" i="141"/>
  <c r="N110" i="141" s="1"/>
  <c r="L169" i="141"/>
  <c r="N169" i="141" s="1"/>
  <c r="L86" i="141"/>
  <c r="N86" i="141" s="1"/>
  <c r="L61" i="141"/>
  <c r="N61" i="141" s="1"/>
  <c r="L87" i="141"/>
  <c r="N87" i="141" s="1"/>
  <c r="L154" i="141"/>
  <c r="N154" i="141" s="1"/>
  <c r="L103" i="141"/>
  <c r="N103" i="141" s="1"/>
  <c r="L84" i="141"/>
  <c r="N84" i="141" s="1"/>
  <c r="L117" i="141"/>
  <c r="N117" i="141" s="1"/>
  <c r="L137" i="141"/>
  <c r="N137" i="141" s="1"/>
  <c r="L148" i="141"/>
  <c r="N148" i="141" s="1"/>
  <c r="L14" i="141"/>
  <c r="N14" i="141" s="1"/>
  <c r="L208" i="141"/>
  <c r="N208" i="141" s="1"/>
  <c r="L203" i="141"/>
  <c r="N203" i="141" s="1"/>
  <c r="L106" i="141"/>
  <c r="N106" i="141" s="1"/>
  <c r="L78" i="141"/>
  <c r="N78" i="141" s="1"/>
  <c r="L180" i="141"/>
  <c r="N180" i="141" s="1"/>
  <c r="L127" i="141"/>
  <c r="N127" i="141" s="1"/>
  <c r="L39" i="141"/>
  <c r="X39" i="193" s="1"/>
  <c r="L88" i="141"/>
  <c r="N88" i="141" s="1"/>
  <c r="L114" i="141"/>
  <c r="N114" i="141" s="1"/>
  <c r="L76" i="141"/>
  <c r="N76" i="141" s="1"/>
  <c r="L109" i="141"/>
  <c r="N109" i="141" s="1"/>
  <c r="L27" i="141"/>
  <c r="N27" i="141" s="1"/>
  <c r="L53" i="141"/>
  <c r="N53" i="141" s="1"/>
  <c r="L199" i="141"/>
  <c r="N199" i="141" s="1"/>
  <c r="L163" i="141"/>
  <c r="N163" i="141" s="1"/>
  <c r="L121" i="141"/>
  <c r="N121" i="141" s="1"/>
  <c r="L19" i="141"/>
  <c r="N19" i="141" s="1"/>
  <c r="L126" i="141"/>
  <c r="N126" i="141" s="1"/>
  <c r="L12" i="141"/>
  <c r="N12" i="141" s="1"/>
  <c r="L37" i="141"/>
  <c r="X37" i="193" s="1"/>
  <c r="L201" i="141"/>
  <c r="N201" i="141" s="1"/>
  <c r="L65" i="141"/>
  <c r="N65" i="141" s="1"/>
  <c r="L108" i="141"/>
  <c r="N108" i="141" s="1"/>
  <c r="L186" i="141"/>
  <c r="N186" i="141" s="1"/>
  <c r="L98" i="141"/>
  <c r="X98" i="193" s="1"/>
  <c r="L155" i="141"/>
  <c r="N155" i="141" s="1"/>
  <c r="L189" i="141"/>
  <c r="N189" i="141" s="1"/>
  <c r="L52" i="141"/>
  <c r="N52" i="141" s="1"/>
  <c r="L161" i="141"/>
  <c r="N161" i="141" s="1"/>
  <c r="L202" i="141"/>
  <c r="N202" i="141" s="1"/>
  <c r="L72" i="141"/>
  <c r="N72" i="141" s="1"/>
  <c r="L97" i="141"/>
  <c r="X97" i="193" s="1"/>
  <c r="L100" i="141"/>
  <c r="X100" i="193" s="1"/>
  <c r="L177" i="141"/>
  <c r="N177" i="141" s="1"/>
  <c r="L99" i="141"/>
  <c r="X99" i="193" s="1"/>
  <c r="L35" i="141"/>
  <c r="X35" i="193" s="1"/>
  <c r="L156" i="141"/>
  <c r="N156" i="141" s="1"/>
  <c r="L48" i="141"/>
  <c r="N48" i="141" s="1"/>
  <c r="L24" i="141"/>
  <c r="N24" i="141" s="1"/>
  <c r="Y8" i="141"/>
  <c r="AB8" i="141"/>
  <c r="M191" i="141" l="1"/>
  <c r="X191" i="193"/>
  <c r="M129" i="141"/>
  <c r="X129" i="193"/>
  <c r="M65" i="141"/>
  <c r="X65" i="193"/>
  <c r="M122" i="141"/>
  <c r="X122" i="193"/>
  <c r="X26" i="193"/>
  <c r="M26" i="141"/>
  <c r="X133" i="193"/>
  <c r="M133" i="141"/>
  <c r="M156" i="141"/>
  <c r="X156" i="193"/>
  <c r="M117" i="141"/>
  <c r="X117" i="193"/>
  <c r="X51" i="193"/>
  <c r="M51" i="141"/>
  <c r="M25" i="141"/>
  <c r="X25" i="193"/>
  <c r="M66" i="141"/>
  <c r="X66" i="193"/>
  <c r="X15" i="193"/>
  <c r="M15" i="141"/>
  <c r="M62" i="141"/>
  <c r="X62" i="193"/>
  <c r="M207" i="141"/>
  <c r="X207" i="193"/>
  <c r="M107" i="141"/>
  <c r="X107" i="193"/>
  <c r="X208" i="193"/>
  <c r="M208" i="141"/>
  <c r="M12" i="141"/>
  <c r="X12" i="193"/>
  <c r="X120" i="193"/>
  <c r="M120" i="141"/>
  <c r="M154" i="141"/>
  <c r="X154" i="193"/>
  <c r="M60" i="141"/>
  <c r="X60" i="193"/>
  <c r="M59" i="141"/>
  <c r="X59" i="193"/>
  <c r="X33" i="193"/>
  <c r="M33" i="141"/>
  <c r="X104" i="193"/>
  <c r="M104" i="141"/>
  <c r="X206" i="193"/>
  <c r="M206" i="141"/>
  <c r="X170" i="193"/>
  <c r="M170" i="141"/>
  <c r="X144" i="193"/>
  <c r="M144" i="141"/>
  <c r="M58" i="141"/>
  <c r="X58" i="193"/>
  <c r="M143" i="141"/>
  <c r="X143" i="193"/>
  <c r="M134" i="141"/>
  <c r="X134" i="193"/>
  <c r="M48" i="141"/>
  <c r="X48" i="193"/>
  <c r="X145" i="193"/>
  <c r="M145" i="141"/>
  <c r="M163" i="141"/>
  <c r="X163" i="193"/>
  <c r="X87" i="193"/>
  <c r="M87" i="141"/>
  <c r="X16" i="193"/>
  <c r="M16" i="141"/>
  <c r="M142" i="141"/>
  <c r="X142" i="193"/>
  <c r="X50" i="193"/>
  <c r="M50" i="141"/>
  <c r="M194" i="141"/>
  <c r="X194" i="193"/>
  <c r="X140" i="193"/>
  <c r="M140" i="141"/>
  <c r="M78" i="141"/>
  <c r="X78" i="193"/>
  <c r="X106" i="193"/>
  <c r="M106" i="141"/>
  <c r="M203" i="141"/>
  <c r="X203" i="193"/>
  <c r="M20" i="141"/>
  <c r="X20" i="193"/>
  <c r="M150" i="141"/>
  <c r="X150" i="193"/>
  <c r="M159" i="141"/>
  <c r="X159" i="193"/>
  <c r="X210" i="193"/>
  <c r="M210" i="141"/>
  <c r="M103" i="141"/>
  <c r="X103" i="193"/>
  <c r="X128" i="193"/>
  <c r="M128" i="141"/>
  <c r="X67" i="193"/>
  <c r="M67" i="141"/>
  <c r="X69" i="193"/>
  <c r="M69" i="141"/>
  <c r="M151" i="141"/>
  <c r="X151" i="193"/>
  <c r="X186" i="193"/>
  <c r="M186" i="141"/>
  <c r="X108" i="193"/>
  <c r="M108" i="141"/>
  <c r="M30" i="141"/>
  <c r="X30" i="193"/>
  <c r="M204" i="141"/>
  <c r="X204" i="193"/>
  <c r="X24" i="193"/>
  <c r="M24" i="141"/>
  <c r="X209" i="193"/>
  <c r="M209" i="141"/>
  <c r="M121" i="141"/>
  <c r="X121" i="193"/>
  <c r="X115" i="193"/>
  <c r="M115" i="141"/>
  <c r="M164" i="141"/>
  <c r="X164" i="193"/>
  <c r="X211" i="193"/>
  <c r="M211" i="141"/>
  <c r="X132" i="193"/>
  <c r="M132" i="141"/>
  <c r="X165" i="193"/>
  <c r="M165" i="141"/>
  <c r="H214" i="141"/>
  <c r="I214" i="141" s="1"/>
  <c r="H197" i="141"/>
  <c r="J197" i="141" s="1"/>
  <c r="H180" i="141"/>
  <c r="J180" i="141" s="1"/>
  <c r="H76" i="141"/>
  <c r="J76" i="141" s="1"/>
  <c r="H49" i="141"/>
  <c r="J49" i="141" s="1"/>
  <c r="H155" i="141"/>
  <c r="J155" i="141" s="1"/>
  <c r="H29" i="141"/>
  <c r="J29" i="141" s="1"/>
  <c r="H204" i="141"/>
  <c r="J204" i="141" s="1"/>
  <c r="H57" i="141"/>
  <c r="J57" i="141" s="1"/>
  <c r="H65" i="141"/>
  <c r="J65" i="141" s="1"/>
  <c r="H209" i="141"/>
  <c r="J209" i="141" s="1"/>
  <c r="H35" i="141"/>
  <c r="W35" i="193" s="1"/>
  <c r="H132" i="141"/>
  <c r="J132" i="141" s="1"/>
  <c r="H136" i="141"/>
  <c r="J136" i="141" s="1"/>
  <c r="H175" i="141"/>
  <c r="J175" i="141" s="1"/>
  <c r="H66" i="141"/>
  <c r="J66" i="141" s="1"/>
  <c r="H135" i="141"/>
  <c r="J135" i="141" s="1"/>
  <c r="H114" i="141"/>
  <c r="J114" i="141" s="1"/>
  <c r="H127" i="141"/>
  <c r="J127" i="141" s="1"/>
  <c r="H156" i="141"/>
  <c r="J156" i="141" s="1"/>
  <c r="H99" i="141"/>
  <c r="W99" i="193" s="1"/>
  <c r="H198" i="141"/>
  <c r="J198" i="141" s="1"/>
  <c r="H189" i="141"/>
  <c r="J189" i="141" s="1"/>
  <c r="H149" i="141"/>
  <c r="J149" i="141" s="1"/>
  <c r="H157" i="141"/>
  <c r="J157" i="141" s="1"/>
  <c r="H28" i="141"/>
  <c r="J28" i="141" s="1"/>
  <c r="H118" i="141"/>
  <c r="J118" i="141" s="1"/>
  <c r="H107" i="141"/>
  <c r="J107" i="141" s="1"/>
  <c r="H25" i="141"/>
  <c r="J25" i="141" s="1"/>
  <c r="H41" i="141"/>
  <c r="W41" i="193" s="1"/>
  <c r="H30" i="141"/>
  <c r="J30" i="141" s="1"/>
  <c r="H188" i="141"/>
  <c r="J188" i="141" s="1"/>
  <c r="H171" i="141"/>
  <c r="J171" i="141" s="1"/>
  <c r="H140" i="141"/>
  <c r="J140" i="141" s="1"/>
  <c r="H97" i="141"/>
  <c r="W97" i="193" s="1"/>
  <c r="H125" i="141"/>
  <c r="J125" i="141" s="1"/>
  <c r="H37" i="141"/>
  <c r="W37" i="193" s="1"/>
  <c r="H52" i="141"/>
  <c r="J52" i="141" s="1"/>
  <c r="H33" i="141"/>
  <c r="J33" i="141" s="1"/>
  <c r="H145" i="141"/>
  <c r="J145" i="141" s="1"/>
  <c r="H117" i="141"/>
  <c r="J117" i="141" s="1"/>
  <c r="H77" i="141"/>
  <c r="J77" i="141" s="1"/>
  <c r="H50" i="141"/>
  <c r="J50" i="141" s="1"/>
  <c r="H194" i="141"/>
  <c r="J194" i="141" s="1"/>
  <c r="H60" i="141"/>
  <c r="J60" i="141" s="1"/>
  <c r="H94" i="141"/>
  <c r="W94" i="193" s="1"/>
  <c r="H142" i="141"/>
  <c r="J142" i="141" s="1"/>
  <c r="H103" i="141"/>
  <c r="J103" i="141" s="1"/>
  <c r="H138" i="141"/>
  <c r="J138" i="141" s="1"/>
  <c r="H19" i="141"/>
  <c r="J19" i="141" s="1"/>
  <c r="H201" i="141"/>
  <c r="J201" i="141" s="1"/>
  <c r="H85" i="141"/>
  <c r="J85" i="141" s="1"/>
  <c r="H168" i="141"/>
  <c r="J168" i="141" s="1"/>
  <c r="H210" i="141"/>
  <c r="J210" i="141" s="1"/>
  <c r="H143" i="141"/>
  <c r="J143" i="141" s="1"/>
  <c r="H72" i="141"/>
  <c r="J72" i="141" s="1"/>
  <c r="H196" i="141"/>
  <c r="J196" i="141" s="1"/>
  <c r="H26" i="141"/>
  <c r="J26" i="141" s="1"/>
  <c r="H191" i="141"/>
  <c r="J191" i="141" s="1"/>
  <c r="H44" i="141"/>
  <c r="W44" i="193" s="1"/>
  <c r="H68" i="141"/>
  <c r="J68" i="141" s="1"/>
  <c r="H205" i="141"/>
  <c r="J205" i="141" s="1"/>
  <c r="H211" i="141"/>
  <c r="J211" i="141" s="1"/>
  <c r="H116" i="141"/>
  <c r="J116" i="141" s="1"/>
  <c r="H83" i="141"/>
  <c r="J83" i="141" s="1"/>
  <c r="H182" i="141"/>
  <c r="J182" i="141" s="1"/>
  <c r="H115" i="141"/>
  <c r="J115" i="141" s="1"/>
  <c r="H202" i="141"/>
  <c r="J202" i="141" s="1"/>
  <c r="H39" i="141"/>
  <c r="W39" i="193" s="1"/>
  <c r="H176" i="141"/>
  <c r="J176" i="141" s="1"/>
  <c r="H16" i="141"/>
  <c r="J16" i="141" s="1"/>
  <c r="H184" i="141"/>
  <c r="J184" i="141" s="1"/>
  <c r="H38" i="141"/>
  <c r="W38" i="193" s="1"/>
  <c r="H56" i="141"/>
  <c r="J56" i="141" s="1"/>
  <c r="H51" i="141"/>
  <c r="J51" i="141" s="1"/>
  <c r="H43" i="141"/>
  <c r="W43" i="193" s="1"/>
  <c r="H42" i="141"/>
  <c r="W42" i="193" s="1"/>
  <c r="H82" i="141"/>
  <c r="J82" i="141" s="1"/>
  <c r="H154" i="141"/>
  <c r="J154" i="141" s="1"/>
  <c r="H32" i="141"/>
  <c r="J32" i="141" s="1"/>
  <c r="H15" i="141"/>
  <c r="J15" i="141" s="1"/>
  <c r="H151" i="141"/>
  <c r="J151" i="141" s="1"/>
  <c r="H200" i="141"/>
  <c r="J200" i="141" s="1"/>
  <c r="H111" i="141"/>
  <c r="J111" i="141" s="1"/>
  <c r="H133" i="141"/>
  <c r="J133" i="141" s="1"/>
  <c r="H158" i="141"/>
  <c r="J158" i="141" s="1"/>
  <c r="H109" i="141"/>
  <c r="J109" i="141" s="1"/>
  <c r="H69" i="141"/>
  <c r="J69" i="141" s="1"/>
  <c r="H58" i="141"/>
  <c r="J58" i="141" s="1"/>
  <c r="H165" i="141"/>
  <c r="J165" i="141" s="1"/>
  <c r="H95" i="141"/>
  <c r="W95" i="193" s="1"/>
  <c r="H161" i="141"/>
  <c r="J161" i="141" s="1"/>
  <c r="H78" i="141"/>
  <c r="J78" i="141" s="1"/>
  <c r="H73" i="141"/>
  <c r="J73" i="141" s="1"/>
  <c r="H190" i="141"/>
  <c r="J190" i="141" s="1"/>
  <c r="H71" i="141"/>
  <c r="J71" i="141" s="1"/>
  <c r="H144" i="141"/>
  <c r="J144" i="141" s="1"/>
  <c r="H120" i="141"/>
  <c r="J120" i="141" s="1"/>
  <c r="H179" i="141"/>
  <c r="J179" i="141" s="1"/>
  <c r="H164" i="141"/>
  <c r="J164" i="141" s="1"/>
  <c r="H47" i="141"/>
  <c r="J47" i="141" s="1"/>
  <c r="H172" i="141"/>
  <c r="J172" i="141" s="1"/>
  <c r="H67" i="141"/>
  <c r="J67" i="141" s="1"/>
  <c r="H75" i="141"/>
  <c r="J75" i="141" s="1"/>
  <c r="H90" i="141"/>
  <c r="J90" i="141" s="1"/>
  <c r="H101" i="141"/>
  <c r="W101" i="193" s="1"/>
  <c r="H206" i="141"/>
  <c r="J206" i="141" s="1"/>
  <c r="H81" i="141"/>
  <c r="J81" i="141" s="1"/>
  <c r="H178" i="141"/>
  <c r="J178" i="141" s="1"/>
  <c r="H61" i="141"/>
  <c r="J61" i="141" s="1"/>
  <c r="H147" i="141"/>
  <c r="J147" i="141" s="1"/>
  <c r="H208" i="141"/>
  <c r="J208" i="141" s="1"/>
  <c r="H70" i="141"/>
  <c r="J70" i="141" s="1"/>
  <c r="H128" i="141"/>
  <c r="J128" i="141" s="1"/>
  <c r="H193" i="141"/>
  <c r="J193" i="141" s="1"/>
  <c r="H98" i="141"/>
  <c r="W98" i="193" s="1"/>
  <c r="H54" i="141"/>
  <c r="J54" i="141" s="1"/>
  <c r="H123" i="141"/>
  <c r="J123" i="141" s="1"/>
  <c r="H24" i="141"/>
  <c r="J24" i="141" s="1"/>
  <c r="H185" i="141"/>
  <c r="J185" i="141" s="1"/>
  <c r="H207" i="141"/>
  <c r="J207" i="141" s="1"/>
  <c r="H186" i="141"/>
  <c r="J186" i="141" s="1"/>
  <c r="H89" i="141"/>
  <c r="J89" i="141" s="1"/>
  <c r="H166" i="141"/>
  <c r="J166" i="141" s="1"/>
  <c r="H177" i="141"/>
  <c r="J177" i="141" s="1"/>
  <c r="H124" i="141"/>
  <c r="J124" i="141" s="1"/>
  <c r="H36" i="141"/>
  <c r="W36" i="193" s="1"/>
  <c r="H183" i="141"/>
  <c r="J183" i="141" s="1"/>
  <c r="H27" i="141"/>
  <c r="J27" i="141" s="1"/>
  <c r="H146" i="141"/>
  <c r="J146" i="141" s="1"/>
  <c r="H31" i="141"/>
  <c r="J31" i="141" s="1"/>
  <c r="H100" i="141"/>
  <c r="W100" i="193" s="1"/>
  <c r="H167" i="141"/>
  <c r="J167" i="141" s="1"/>
  <c r="H163" i="141"/>
  <c r="J163" i="141" s="1"/>
  <c r="H139" i="141"/>
  <c r="J139" i="141" s="1"/>
  <c r="H21" i="141"/>
  <c r="J21" i="141" s="1"/>
  <c r="H20" i="141"/>
  <c r="J20" i="141" s="1"/>
  <c r="H59" i="141"/>
  <c r="J59" i="141" s="1"/>
  <c r="H84" i="141"/>
  <c r="J84" i="141" s="1"/>
  <c r="H93" i="141"/>
  <c r="W93" i="193" s="1"/>
  <c r="H121" i="141"/>
  <c r="J121" i="141" s="1"/>
  <c r="H106" i="141"/>
  <c r="J106" i="141" s="1"/>
  <c r="H88" i="141"/>
  <c r="J88" i="141" s="1"/>
  <c r="H122" i="141"/>
  <c r="J122" i="141" s="1"/>
  <c r="H137" i="141"/>
  <c r="J137" i="141" s="1"/>
  <c r="H203" i="141"/>
  <c r="J203" i="141" s="1"/>
  <c r="H12" i="141"/>
  <c r="J12" i="141" s="1"/>
  <c r="H48" i="141"/>
  <c r="J48" i="141" s="1"/>
  <c r="H40" i="141"/>
  <c r="W40" i="193" s="1"/>
  <c r="H159" i="141"/>
  <c r="J159" i="141" s="1"/>
  <c r="H87" i="141"/>
  <c r="J87" i="141" s="1"/>
  <c r="H92" i="141"/>
  <c r="W92" i="193" s="1"/>
  <c r="H108" i="141"/>
  <c r="J108" i="141" s="1"/>
  <c r="H104" i="141"/>
  <c r="J104" i="141" s="1"/>
  <c r="H148" i="141"/>
  <c r="J148" i="141" s="1"/>
  <c r="H150" i="141"/>
  <c r="J150" i="141" s="1"/>
  <c r="H199" i="141"/>
  <c r="J199" i="141" s="1"/>
  <c r="H170" i="141"/>
  <c r="J170" i="141" s="1"/>
  <c r="AH8" i="141"/>
  <c r="H62" i="141"/>
  <c r="J62" i="141" s="1"/>
  <c r="H53" i="141"/>
  <c r="J53" i="141" s="1"/>
  <c r="H134" i="141"/>
  <c r="J134" i="141" s="1"/>
  <c r="H86" i="141"/>
  <c r="J86" i="141" s="1"/>
  <c r="H14" i="141"/>
  <c r="J14" i="141" s="1"/>
  <c r="H105" i="141"/>
  <c r="J105" i="141" s="1"/>
  <c r="H18" i="141"/>
  <c r="J18" i="141" s="1"/>
  <c r="H129" i="141"/>
  <c r="J129" i="141" s="1"/>
  <c r="H110" i="141"/>
  <c r="J110" i="141" s="1"/>
  <c r="H169" i="141"/>
  <c r="J169" i="141" s="1"/>
  <c r="H79" i="141"/>
  <c r="J79" i="141" s="1"/>
  <c r="H113" i="141"/>
  <c r="J113" i="141" s="1"/>
  <c r="H96" i="141"/>
  <c r="W96" i="193" s="1"/>
  <c r="H126" i="141"/>
  <c r="J126" i="141" s="1"/>
  <c r="M167" i="141"/>
  <c r="X167" i="193"/>
  <c r="M201" i="141"/>
  <c r="X201" i="193"/>
  <c r="M31" i="141"/>
  <c r="X31" i="193"/>
  <c r="X148" i="193"/>
  <c r="M148" i="141"/>
  <c r="M123" i="141"/>
  <c r="X123" i="193"/>
  <c r="X182" i="193"/>
  <c r="M182" i="141"/>
  <c r="M61" i="141"/>
  <c r="X61" i="193"/>
  <c r="X76" i="193"/>
  <c r="M76" i="141"/>
  <c r="X169" i="193"/>
  <c r="M169" i="141"/>
  <c r="M28" i="141"/>
  <c r="X28" i="193"/>
  <c r="X168" i="193"/>
  <c r="M168" i="141"/>
  <c r="X146" i="193"/>
  <c r="M146" i="141"/>
  <c r="M116" i="141"/>
  <c r="X116" i="193"/>
  <c r="M81" i="141"/>
  <c r="X81" i="193"/>
  <c r="X183" i="193"/>
  <c r="M183" i="141"/>
  <c r="X175" i="193"/>
  <c r="M175" i="141"/>
  <c r="M157" i="141"/>
  <c r="X157" i="193"/>
  <c r="X75" i="193"/>
  <c r="M75" i="141"/>
  <c r="X71" i="193"/>
  <c r="M71" i="141"/>
  <c r="M105" i="141"/>
  <c r="X105" i="193"/>
  <c r="X177" i="193"/>
  <c r="M177" i="141"/>
  <c r="M27" i="141"/>
  <c r="X27" i="193"/>
  <c r="M161" i="141"/>
  <c r="X161" i="193"/>
  <c r="X114" i="193"/>
  <c r="M114" i="141"/>
  <c r="M110" i="141"/>
  <c r="X110" i="193"/>
  <c r="M118" i="141"/>
  <c r="X118" i="193"/>
  <c r="X139" i="193"/>
  <c r="M139" i="141"/>
  <c r="M68" i="141"/>
  <c r="X68" i="193"/>
  <c r="M135" i="141"/>
  <c r="X135" i="193"/>
  <c r="X111" i="193"/>
  <c r="M111" i="141"/>
  <c r="X190" i="193"/>
  <c r="M190" i="141"/>
  <c r="M14" i="141"/>
  <c r="X14" i="193"/>
  <c r="M147" i="141"/>
  <c r="X147" i="193"/>
  <c r="X84" i="193"/>
  <c r="M84" i="141"/>
  <c r="M124" i="141"/>
  <c r="X124" i="193"/>
  <c r="X72" i="193"/>
  <c r="M72" i="141"/>
  <c r="X52" i="193"/>
  <c r="M52" i="141"/>
  <c r="X88" i="193"/>
  <c r="M88" i="141"/>
  <c r="M18" i="141"/>
  <c r="X18" i="193"/>
  <c r="M113" i="141"/>
  <c r="X113" i="193"/>
  <c r="M90" i="141"/>
  <c r="X90" i="193"/>
  <c r="M193" i="141"/>
  <c r="X193" i="193"/>
  <c r="X149" i="193"/>
  <c r="M149" i="141"/>
  <c r="X205" i="193"/>
  <c r="M205" i="141"/>
  <c r="X125" i="193"/>
  <c r="M125" i="141"/>
  <c r="X185" i="193"/>
  <c r="M185" i="141"/>
  <c r="M126" i="141"/>
  <c r="X126" i="193"/>
  <c r="M32" i="141"/>
  <c r="X32" i="193"/>
  <c r="X199" i="193"/>
  <c r="M199" i="141"/>
  <c r="M189" i="141"/>
  <c r="X189" i="193"/>
  <c r="M21" i="141"/>
  <c r="X21" i="193"/>
  <c r="M176" i="141"/>
  <c r="X176" i="193"/>
  <c r="N214" i="141"/>
  <c r="X214" i="193" s="1"/>
  <c r="AV17" i="182"/>
  <c r="AY17" i="182" s="1"/>
  <c r="X82" i="193"/>
  <c r="M82" i="141"/>
  <c r="X138" i="193"/>
  <c r="M138" i="141"/>
  <c r="X178" i="193"/>
  <c r="M178" i="141"/>
  <c r="X57" i="193"/>
  <c r="M57" i="141"/>
  <c r="X200" i="193"/>
  <c r="M200" i="141"/>
  <c r="X77" i="193"/>
  <c r="M77" i="141"/>
  <c r="M70" i="141"/>
  <c r="X70" i="193"/>
  <c r="X172" i="193"/>
  <c r="M172" i="141"/>
  <c r="M53" i="141"/>
  <c r="X53" i="193"/>
  <c r="X109" i="193"/>
  <c r="M109" i="141"/>
  <c r="M202" i="141"/>
  <c r="X202" i="193"/>
  <c r="M155" i="141"/>
  <c r="X155" i="193"/>
  <c r="M127" i="141"/>
  <c r="X127" i="193"/>
  <c r="M166" i="141"/>
  <c r="X166" i="193"/>
  <c r="X49" i="193"/>
  <c r="M49" i="141"/>
  <c r="X184" i="193"/>
  <c r="M184" i="141"/>
  <c r="X73" i="193"/>
  <c r="M73" i="141"/>
  <c r="X79" i="193"/>
  <c r="M79" i="141"/>
  <c r="M136" i="141"/>
  <c r="X136" i="193"/>
  <c r="X54" i="193"/>
  <c r="M54" i="141"/>
  <c r="X56" i="193"/>
  <c r="M56" i="141"/>
  <c r="M47" i="141"/>
  <c r="X47" i="193"/>
  <c r="X83" i="193"/>
  <c r="M83" i="141"/>
  <c r="X198" i="193"/>
  <c r="M198" i="141"/>
  <c r="X188" i="193"/>
  <c r="M188" i="141"/>
  <c r="X137" i="193"/>
  <c r="M137" i="141"/>
  <c r="X19" i="193"/>
  <c r="M19" i="141"/>
  <c r="X85" i="193"/>
  <c r="M85" i="141"/>
  <c r="M29" i="141"/>
  <c r="X29" i="193"/>
  <c r="X86" i="193"/>
  <c r="M86" i="141"/>
  <c r="M180" i="141"/>
  <c r="X180" i="193"/>
  <c r="M158" i="141"/>
  <c r="X158" i="193"/>
  <c r="M196" i="141"/>
  <c r="X196" i="193"/>
  <c r="M179" i="141"/>
  <c r="X179" i="193"/>
  <c r="X89" i="193"/>
  <c r="M89" i="141"/>
  <c r="X197" i="193"/>
  <c r="M197" i="141"/>
  <c r="X171" i="193"/>
  <c r="M171" i="141"/>
  <c r="W72" i="193" l="1"/>
  <c r="I72" i="141"/>
  <c r="I193" i="141"/>
  <c r="W193" i="193"/>
  <c r="W128" i="193"/>
  <c r="I128" i="141"/>
  <c r="I108" i="141"/>
  <c r="W108" i="193"/>
  <c r="AV16" i="182"/>
  <c r="AY16" i="182" s="1"/>
  <c r="W31" i="193"/>
  <c r="I31" i="141"/>
  <c r="W79" i="193"/>
  <c r="I79" i="141"/>
  <c r="W159" i="193"/>
  <c r="I159" i="141"/>
  <c r="W146" i="193"/>
  <c r="I146" i="141"/>
  <c r="I61" i="141"/>
  <c r="W61" i="193"/>
  <c r="I165" i="141"/>
  <c r="W165" i="193"/>
  <c r="W176" i="193"/>
  <c r="I176" i="141"/>
  <c r="I19" i="141"/>
  <c r="W19" i="193"/>
  <c r="I65" i="141"/>
  <c r="W65" i="193"/>
  <c r="W169" i="193"/>
  <c r="I169" i="141"/>
  <c r="W27" i="193"/>
  <c r="I27" i="141"/>
  <c r="I178" i="141"/>
  <c r="W178" i="193"/>
  <c r="I58" i="141"/>
  <c r="W58" i="193"/>
  <c r="I138" i="141"/>
  <c r="W138" i="193"/>
  <c r="W25" i="193"/>
  <c r="I25" i="141"/>
  <c r="W57" i="193"/>
  <c r="I57" i="141"/>
  <c r="AV11" i="182"/>
  <c r="M217" i="141"/>
  <c r="I139" i="141"/>
  <c r="W139" i="193"/>
  <c r="I70" i="141"/>
  <c r="W70" i="193"/>
  <c r="W109" i="193"/>
  <c r="I109" i="141"/>
  <c r="I115" i="141"/>
  <c r="W115" i="193"/>
  <c r="W18" i="193"/>
  <c r="I18" i="141"/>
  <c r="W203" i="193"/>
  <c r="I203" i="141"/>
  <c r="I124" i="141"/>
  <c r="W124" i="193"/>
  <c r="W158" i="193"/>
  <c r="I158" i="141"/>
  <c r="W182" i="193"/>
  <c r="I182" i="141"/>
  <c r="I28" i="141"/>
  <c r="W28" i="193"/>
  <c r="I155" i="141"/>
  <c r="W155" i="193"/>
  <c r="AV12" i="182"/>
  <c r="AY12" i="182" s="1"/>
  <c r="I51" i="141"/>
  <c r="W51" i="193"/>
  <c r="W30" i="193"/>
  <c r="I30" i="141"/>
  <c r="I110" i="141"/>
  <c r="W110" i="193"/>
  <c r="I142" i="141"/>
  <c r="W142" i="193"/>
  <c r="AV18" i="182"/>
  <c r="AY18" i="182" s="1"/>
  <c r="I105" i="141"/>
  <c r="W105" i="193"/>
  <c r="I137" i="141"/>
  <c r="W137" i="193"/>
  <c r="I177" i="141"/>
  <c r="W177" i="193"/>
  <c r="I90" i="141"/>
  <c r="W90" i="193"/>
  <c r="I133" i="141"/>
  <c r="W133" i="193"/>
  <c r="I83" i="141"/>
  <c r="W83" i="193"/>
  <c r="I60" i="141"/>
  <c r="W60" i="193"/>
  <c r="W157" i="193"/>
  <c r="I157" i="141"/>
  <c r="W49" i="193"/>
  <c r="I49" i="141"/>
  <c r="W66" i="193"/>
  <c r="I66" i="141"/>
  <c r="I136" i="141"/>
  <c r="W136" i="193"/>
  <c r="W168" i="193"/>
  <c r="I168" i="141"/>
  <c r="W188" i="193"/>
  <c r="I188" i="141"/>
  <c r="I113" i="141"/>
  <c r="W113" i="193"/>
  <c r="W29" i="193"/>
  <c r="I29" i="141"/>
  <c r="I14" i="141"/>
  <c r="W14" i="193"/>
  <c r="W122" i="193"/>
  <c r="I122" i="141"/>
  <c r="I166" i="141"/>
  <c r="W166" i="193"/>
  <c r="W75" i="193"/>
  <c r="I75" i="141"/>
  <c r="W111" i="193"/>
  <c r="I111" i="141"/>
  <c r="I116" i="141"/>
  <c r="W116" i="193"/>
  <c r="W194" i="193"/>
  <c r="I194" i="141"/>
  <c r="I149" i="141"/>
  <c r="W149" i="193"/>
  <c r="W76" i="193"/>
  <c r="I76" i="141"/>
  <c r="I143" i="141"/>
  <c r="W143" i="193"/>
  <c r="I132" i="141"/>
  <c r="W132" i="193"/>
  <c r="W161" i="193"/>
  <c r="I161" i="141"/>
  <c r="I204" i="141"/>
  <c r="W204" i="193"/>
  <c r="I12" i="141"/>
  <c r="W12" i="193"/>
  <c r="W118" i="193"/>
  <c r="I118" i="141"/>
  <c r="I88" i="141"/>
  <c r="W88" i="193"/>
  <c r="I89" i="141"/>
  <c r="W89" i="193"/>
  <c r="I67" i="141"/>
  <c r="W67" i="193"/>
  <c r="W200" i="193"/>
  <c r="I200" i="141"/>
  <c r="W211" i="193"/>
  <c r="I211" i="141"/>
  <c r="I50" i="141"/>
  <c r="W50" i="193"/>
  <c r="W189" i="193"/>
  <c r="I189" i="141"/>
  <c r="I180" i="141"/>
  <c r="W180" i="193"/>
  <c r="W210" i="193"/>
  <c r="I210" i="141"/>
  <c r="W85" i="193"/>
  <c r="I85" i="141"/>
  <c r="I209" i="141"/>
  <c r="W209" i="193"/>
  <c r="I103" i="141"/>
  <c r="W103" i="193"/>
  <c r="I206" i="141"/>
  <c r="W206" i="193"/>
  <c r="I134" i="141"/>
  <c r="W134" i="193"/>
  <c r="I106" i="141"/>
  <c r="W106" i="193"/>
  <c r="I186" i="141"/>
  <c r="W186" i="193"/>
  <c r="I172" i="141"/>
  <c r="W172" i="193"/>
  <c r="W151" i="193"/>
  <c r="I151" i="141"/>
  <c r="W205" i="193"/>
  <c r="I205" i="141"/>
  <c r="W77" i="193"/>
  <c r="I77" i="141"/>
  <c r="I198" i="141"/>
  <c r="W198" i="193"/>
  <c r="I197" i="141"/>
  <c r="W197" i="193"/>
  <c r="I125" i="141"/>
  <c r="W125" i="193"/>
  <c r="W175" i="193"/>
  <c r="I175" i="141"/>
  <c r="W140" i="193"/>
  <c r="I140" i="141"/>
  <c r="W107" i="193"/>
  <c r="I107" i="141"/>
  <c r="I129" i="141"/>
  <c r="W129" i="193"/>
  <c r="I53" i="141"/>
  <c r="W53" i="193"/>
  <c r="W121" i="193"/>
  <c r="I121" i="141"/>
  <c r="W207" i="193"/>
  <c r="I207" i="141"/>
  <c r="I47" i="141"/>
  <c r="W47" i="193"/>
  <c r="I15" i="141"/>
  <c r="W15" i="193"/>
  <c r="W68" i="193"/>
  <c r="I68" i="141"/>
  <c r="I117" i="141"/>
  <c r="W117" i="193"/>
  <c r="AU17" i="182"/>
  <c r="AX17" i="182" s="1"/>
  <c r="J214" i="141"/>
  <c r="W214" i="193" s="1"/>
  <c r="AV14" i="182"/>
  <c r="AY14" i="182" s="1"/>
  <c r="W21" i="193"/>
  <c r="I21" i="141"/>
  <c r="I73" i="141"/>
  <c r="W73" i="193"/>
  <c r="I171" i="141"/>
  <c r="W171" i="193"/>
  <c r="W201" i="193"/>
  <c r="I201" i="141"/>
  <c r="W69" i="193"/>
  <c r="I69" i="141"/>
  <c r="I62" i="141"/>
  <c r="W62" i="193"/>
  <c r="I185" i="141"/>
  <c r="W185" i="193"/>
  <c r="W164" i="193"/>
  <c r="I164" i="141"/>
  <c r="W32" i="193"/>
  <c r="I32" i="141"/>
  <c r="I145" i="141"/>
  <c r="W145" i="193"/>
  <c r="I156" i="141"/>
  <c r="W156" i="193"/>
  <c r="W71" i="193"/>
  <c r="I71" i="141"/>
  <c r="W56" i="193"/>
  <c r="I56" i="141"/>
  <c r="W48" i="193"/>
  <c r="I48" i="141"/>
  <c r="I84" i="141"/>
  <c r="W84" i="193"/>
  <c r="I24" i="141"/>
  <c r="W24" i="193"/>
  <c r="W179" i="193"/>
  <c r="I179" i="141"/>
  <c r="W154" i="193"/>
  <c r="I154" i="141"/>
  <c r="I191" i="141"/>
  <c r="W191" i="193"/>
  <c r="W33" i="193"/>
  <c r="I33" i="141"/>
  <c r="W127" i="193"/>
  <c r="I127" i="141"/>
  <c r="W150" i="193"/>
  <c r="I150" i="141"/>
  <c r="I148" i="141"/>
  <c r="W148" i="193"/>
  <c r="W163" i="193"/>
  <c r="I163" i="141"/>
  <c r="W167" i="193"/>
  <c r="I167" i="141"/>
  <c r="I184" i="141"/>
  <c r="W184" i="193"/>
  <c r="I147" i="141"/>
  <c r="W147" i="193"/>
  <c r="I183" i="141"/>
  <c r="W183" i="193"/>
  <c r="I202" i="141"/>
  <c r="W202" i="193"/>
  <c r="I86" i="141"/>
  <c r="W86" i="193"/>
  <c r="I170" i="141"/>
  <c r="W170" i="193"/>
  <c r="W59" i="193"/>
  <c r="I59" i="141"/>
  <c r="I123" i="141"/>
  <c r="W123" i="193"/>
  <c r="W120" i="193"/>
  <c r="I120" i="141"/>
  <c r="W82" i="193"/>
  <c r="I82" i="141"/>
  <c r="W26" i="193"/>
  <c r="I26" i="141"/>
  <c r="I52" i="141"/>
  <c r="W52" i="193"/>
  <c r="W114" i="193"/>
  <c r="I114" i="141"/>
  <c r="AV15" i="182"/>
  <c r="AY15" i="182" s="1"/>
  <c r="W190" i="193"/>
  <c r="I190" i="141"/>
  <c r="I104" i="141"/>
  <c r="W104" i="193"/>
  <c r="W126" i="193"/>
  <c r="I126" i="141"/>
  <c r="W78" i="193"/>
  <c r="I78" i="141"/>
  <c r="I208" i="141"/>
  <c r="W208" i="193"/>
  <c r="I87" i="141"/>
  <c r="W87" i="193"/>
  <c r="I16" i="141"/>
  <c r="W16" i="193"/>
  <c r="W81" i="193"/>
  <c r="I81" i="141"/>
  <c r="AV13" i="182"/>
  <c r="AY13" i="182" s="1"/>
  <c r="W199" i="193"/>
  <c r="I199" i="141"/>
  <c r="W20" i="193"/>
  <c r="I20" i="141"/>
  <c r="W54" i="193"/>
  <c r="I54" i="141"/>
  <c r="I144" i="141"/>
  <c r="W144" i="193"/>
  <c r="W196" i="193"/>
  <c r="I196" i="141"/>
  <c r="W135" i="193"/>
  <c r="I135" i="141"/>
  <c r="AU15" i="182" l="1"/>
  <c r="AX15" i="182" s="1"/>
  <c r="AU14" i="182"/>
  <c r="AX14" i="182" s="1"/>
  <c r="AU11" i="182"/>
  <c r="I217" i="141"/>
  <c r="AU18" i="182"/>
  <c r="AX18" i="182" s="1"/>
  <c r="AU13" i="182"/>
  <c r="AX13" i="182" s="1"/>
  <c r="AU16" i="182"/>
  <c r="AX16" i="182" s="1"/>
  <c r="AY11" i="182"/>
  <c r="AV20" i="182"/>
  <c r="AV21" i="182" s="1"/>
  <c r="AU12" i="182"/>
  <c r="AX12" i="182" s="1"/>
  <c r="AU20" i="182" l="1"/>
  <c r="AU21" i="182" s="1"/>
  <c r="AX11" i="182"/>
  <c r="I14" i="127" l="1"/>
  <c r="J14" i="127" s="1"/>
  <c r="K14" i="127" s="1"/>
  <c r="I13" i="127"/>
  <c r="J13" i="127" s="1"/>
  <c r="K13" i="127" s="1"/>
  <c r="I9" i="127"/>
  <c r="J9" i="127" s="1"/>
  <c r="K9" i="127" s="1"/>
  <c r="I20" i="127"/>
  <c r="J20" i="127" s="1"/>
  <c r="K20" i="127" s="1"/>
  <c r="I19" i="127"/>
  <c r="J19" i="127" s="1"/>
  <c r="K19" i="127" s="1"/>
  <c r="I18" i="127"/>
  <c r="J18" i="127" s="1"/>
  <c r="I23" i="127"/>
  <c r="J23" i="127" s="1"/>
  <c r="K23" i="127" s="1"/>
  <c r="I12" i="127"/>
  <c r="J12" i="127" s="1"/>
  <c r="I27" i="127"/>
  <c r="M22" i="182" l="1"/>
  <c r="C48" i="128"/>
  <c r="J27" i="127"/>
  <c r="J15" i="127"/>
  <c r="K12" i="127"/>
  <c r="K15" i="127" s="1"/>
  <c r="J21" i="127"/>
  <c r="K18" i="127"/>
  <c r="K21" i="127" s="1"/>
  <c r="G48" i="128" l="1"/>
  <c r="G49" i="128" s="1"/>
  <c r="G51" i="128" s="1"/>
  <c r="K48" i="128"/>
  <c r="K49" i="128" s="1"/>
  <c r="K51" i="128" s="1"/>
  <c r="D113" i="183" s="1"/>
  <c r="F48" i="128"/>
  <c r="F49" i="128" s="1"/>
  <c r="F51" i="128" s="1"/>
  <c r="J48" i="128"/>
  <c r="J49" i="128" s="1"/>
  <c r="J51" i="128" s="1"/>
  <c r="I48" i="128"/>
  <c r="I49" i="128" s="1"/>
  <c r="I51" i="128" s="1"/>
  <c r="D48" i="128"/>
  <c r="D49" i="128" s="1"/>
  <c r="H48" i="128"/>
  <c r="H49" i="128" s="1"/>
  <c r="H51" i="128" s="1"/>
  <c r="D114" i="183" s="1"/>
  <c r="E48" i="128"/>
  <c r="E49" i="128" s="1"/>
  <c r="E51" i="128" s="1"/>
  <c r="J29" i="127"/>
  <c r="K27" i="127"/>
  <c r="N22" i="182"/>
  <c r="N23" i="182" s="1"/>
  <c r="N24" i="182" s="1"/>
  <c r="M23" i="182"/>
  <c r="H44" i="182"/>
  <c r="H94" i="182" l="1"/>
  <c r="F94" i="182" s="1"/>
  <c r="E94" i="182" s="1"/>
  <c r="H216" i="182"/>
  <c r="F216" i="182" s="1"/>
  <c r="E216" i="182" s="1"/>
  <c r="H226" i="182"/>
  <c r="F226" i="182" s="1"/>
  <c r="E226" i="182" s="1"/>
  <c r="H66" i="182"/>
  <c r="F66" i="182" s="1"/>
  <c r="E66" i="182" s="1"/>
  <c r="H274" i="182"/>
  <c r="F274" i="182" s="1"/>
  <c r="E274" i="182" s="1"/>
  <c r="H185" i="182"/>
  <c r="F185" i="182" s="1"/>
  <c r="E185" i="182" s="1"/>
  <c r="H156" i="182"/>
  <c r="F156" i="182" s="1"/>
  <c r="F44" i="182"/>
  <c r="L23" i="182"/>
  <c r="M24" i="182"/>
  <c r="L24" i="182" s="1"/>
  <c r="I29" i="127"/>
  <c r="J33" i="127"/>
  <c r="D115" i="183"/>
  <c r="D117" i="183" s="1"/>
  <c r="K29" i="127"/>
  <c r="K33" i="127" s="1"/>
  <c r="M27" i="127"/>
  <c r="C33" i="189"/>
  <c r="D12" i="183"/>
  <c r="D14" i="183" s="1"/>
  <c r="D23" i="183" s="1"/>
  <c r="D25" i="183" s="1"/>
  <c r="D26" i="183" s="1"/>
  <c r="D51" i="128"/>
  <c r="C49" i="128"/>
  <c r="D76" i="183"/>
  <c r="D77" i="183" s="1"/>
  <c r="D79" i="183" s="1"/>
  <c r="D80" i="183" s="1"/>
  <c r="R203" i="187" s="1"/>
  <c r="D66" i="183"/>
  <c r="D67" i="183" s="1"/>
  <c r="D69" i="183" s="1"/>
  <c r="D93" i="183"/>
  <c r="D83" i="183"/>
  <c r="D103" i="183"/>
  <c r="D46" i="183"/>
  <c r="D38" i="183"/>
  <c r="D40" i="183" s="1"/>
  <c r="D42" i="183" s="1"/>
  <c r="D43" i="183" s="1"/>
  <c r="D54" i="183"/>
  <c r="D104" i="183"/>
  <c r="D84" i="183"/>
  <c r="D94" i="183"/>
  <c r="C51" i="128" l="1"/>
  <c r="D11" i="183"/>
  <c r="D15" i="183" s="1"/>
  <c r="D29" i="183" s="1"/>
  <c r="C32" i="189"/>
  <c r="C34" i="189" s="1"/>
  <c r="C38" i="189" s="1"/>
  <c r="E156" i="182"/>
  <c r="T48" i="187"/>
  <c r="T141" i="187"/>
  <c r="T90" i="187"/>
  <c r="T170" i="187"/>
  <c r="T46" i="187"/>
  <c r="T83" i="187"/>
  <c r="T174" i="187"/>
  <c r="T96" i="187"/>
  <c r="T30" i="187"/>
  <c r="T16" i="187"/>
  <c r="T97" i="187"/>
  <c r="T172" i="187"/>
  <c r="T27" i="187"/>
  <c r="T94" i="187"/>
  <c r="T175" i="187"/>
  <c r="T22" i="187"/>
  <c r="T199" i="187"/>
  <c r="T87" i="187"/>
  <c r="T54" i="187"/>
  <c r="T59" i="187"/>
  <c r="T118" i="187"/>
  <c r="T98" i="187"/>
  <c r="T82" i="187"/>
  <c r="T134" i="187"/>
  <c r="T26" i="187"/>
  <c r="T196" i="187"/>
  <c r="T36" i="187"/>
  <c r="T138" i="187"/>
  <c r="T195" i="187"/>
  <c r="T44" i="187"/>
  <c r="T146" i="187"/>
  <c r="T15" i="187"/>
  <c r="T189" i="187"/>
  <c r="T183" i="187"/>
  <c r="T33" i="187"/>
  <c r="T142" i="187"/>
  <c r="T109" i="187"/>
  <c r="T173" i="187"/>
  <c r="T89" i="187"/>
  <c r="T58" i="187"/>
  <c r="T74" i="187"/>
  <c r="T200" i="187"/>
  <c r="T114" i="187"/>
  <c r="T198" i="187"/>
  <c r="T181" i="187"/>
  <c r="T72" i="187"/>
  <c r="T131" i="187"/>
  <c r="T179" i="187"/>
  <c r="T203" i="187"/>
  <c r="T14" i="187"/>
  <c r="T190" i="187"/>
  <c r="T63" i="187"/>
  <c r="T23" i="187"/>
  <c r="T28" i="187"/>
  <c r="T52" i="187"/>
  <c r="T162" i="187"/>
  <c r="T41" i="187"/>
  <c r="T91" i="187"/>
  <c r="T21" i="187"/>
  <c r="T149" i="187"/>
  <c r="T107" i="187"/>
  <c r="T145" i="187"/>
  <c r="T166" i="187"/>
  <c r="T150" i="187"/>
  <c r="T12" i="187"/>
  <c r="T104" i="187"/>
  <c r="T186" i="187"/>
  <c r="T75" i="187"/>
  <c r="T61" i="187"/>
  <c r="T147" i="187"/>
  <c r="T127" i="187"/>
  <c r="T62" i="187"/>
  <c r="T79" i="187"/>
  <c r="T45" i="187"/>
  <c r="T101" i="187"/>
  <c r="T77" i="187"/>
  <c r="T51" i="187"/>
  <c r="T32" i="187"/>
  <c r="T11" i="187"/>
  <c r="T70" i="187"/>
  <c r="T50" i="187"/>
  <c r="T132" i="187"/>
  <c r="T187" i="187"/>
  <c r="T76" i="187"/>
  <c r="T194" i="187"/>
  <c r="T201" i="187"/>
  <c r="T25" i="187"/>
  <c r="T137" i="187"/>
  <c r="T8" i="187"/>
  <c r="T184" i="187"/>
  <c r="T157" i="187"/>
  <c r="T64" i="187"/>
  <c r="T56" i="187"/>
  <c r="T42" i="187"/>
  <c r="T116" i="187"/>
  <c r="T100" i="187"/>
  <c r="T117" i="187"/>
  <c r="T19" i="187"/>
  <c r="T86" i="187"/>
  <c r="T129" i="187"/>
  <c r="T208" i="187"/>
  <c r="T111" i="187"/>
  <c r="T191" i="187"/>
  <c r="T24" i="187"/>
  <c r="T136" i="187"/>
  <c r="T115" i="187"/>
  <c r="T125" i="187"/>
  <c r="T163" i="187"/>
  <c r="T128" i="187"/>
  <c r="T120" i="187"/>
  <c r="T68" i="187"/>
  <c r="T139" i="187"/>
  <c r="T106" i="187"/>
  <c r="T37" i="187"/>
  <c r="T34" i="187"/>
  <c r="T205" i="187"/>
  <c r="T188" i="187"/>
  <c r="T178" i="187"/>
  <c r="T124" i="187"/>
  <c r="T161" i="187"/>
  <c r="T85" i="187"/>
  <c r="T60" i="187"/>
  <c r="T167" i="187"/>
  <c r="T69" i="187"/>
  <c r="T140" i="187"/>
  <c r="T206" i="187"/>
  <c r="T168" i="187"/>
  <c r="T65" i="187"/>
  <c r="T176" i="187"/>
  <c r="T55" i="187"/>
  <c r="T10" i="187"/>
  <c r="T103" i="187"/>
  <c r="T119" i="187"/>
  <c r="T38" i="187"/>
  <c r="T197" i="187"/>
  <c r="T108" i="187"/>
  <c r="T156" i="187"/>
  <c r="T159" i="187"/>
  <c r="T113" i="187"/>
  <c r="T192" i="187"/>
  <c r="T88" i="187"/>
  <c r="T17" i="187"/>
  <c r="T154" i="187"/>
  <c r="T143" i="187"/>
  <c r="T193" i="187"/>
  <c r="T122" i="187"/>
  <c r="T78" i="187"/>
  <c r="T93" i="187"/>
  <c r="T121" i="187"/>
  <c r="T99" i="187"/>
  <c r="T71" i="187"/>
  <c r="T43" i="187"/>
  <c r="T158" i="187"/>
  <c r="T165" i="187"/>
  <c r="T20" i="187"/>
  <c r="T31" i="187"/>
  <c r="T110" i="187"/>
  <c r="T152" i="187"/>
  <c r="T47" i="187"/>
  <c r="T180" i="187"/>
  <c r="T92" i="187"/>
  <c r="T102" i="187"/>
  <c r="T39" i="187"/>
  <c r="T169" i="187"/>
  <c r="T130" i="187"/>
  <c r="T160" i="187"/>
  <c r="T148" i="187"/>
  <c r="T80" i="187"/>
  <c r="T66" i="187"/>
  <c r="T35" i="187"/>
  <c r="T53" i="187"/>
  <c r="T155" i="187"/>
  <c r="T135" i="187"/>
  <c r="T126" i="187"/>
  <c r="T81" i="187"/>
  <c r="F22" i="182"/>
  <c r="O27" i="127"/>
  <c r="E44" i="182"/>
  <c r="H212" i="72"/>
  <c r="W203" i="187"/>
  <c r="Q136" i="187"/>
  <c r="H142" i="66" s="1"/>
  <c r="Q128" i="187"/>
  <c r="H134" i="66" s="1"/>
  <c r="Q113" i="187"/>
  <c r="Q126" i="187"/>
  <c r="H132" i="66" s="1"/>
  <c r="Q41" i="187"/>
  <c r="H45" i="66" s="1"/>
  <c r="Q149" i="187"/>
  <c r="Q68" i="187"/>
  <c r="Q25" i="187"/>
  <c r="H28" i="66" s="1"/>
  <c r="Q179" i="187"/>
  <c r="Q184" i="187"/>
  <c r="Q106" i="187"/>
  <c r="Q81" i="187"/>
  <c r="Q43" i="187"/>
  <c r="H47" i="66" s="1"/>
  <c r="Q163" i="187"/>
  <c r="Q189" i="187"/>
  <c r="Q8" i="187"/>
  <c r="H10" i="66" s="1"/>
  <c r="Q190" i="187"/>
  <c r="Q79" i="187"/>
  <c r="Q142" i="187"/>
  <c r="H148" i="66" s="1"/>
  <c r="Q143" i="187"/>
  <c r="H149" i="66" s="1"/>
  <c r="Q137" i="187"/>
  <c r="H143" i="66" s="1"/>
  <c r="Q44" i="187"/>
  <c r="H48" i="66" s="1"/>
  <c r="Q54" i="187"/>
  <c r="H58" i="66" s="1"/>
  <c r="Q96" i="187"/>
  <c r="Q98" i="187"/>
  <c r="Q166" i="187"/>
  <c r="Q130" i="187"/>
  <c r="H136" i="66" s="1"/>
  <c r="Q76" i="187"/>
  <c r="Q196" i="187"/>
  <c r="Q19" i="187"/>
  <c r="H22" i="66" s="1"/>
  <c r="Q62" i="187"/>
  <c r="Q145" i="187"/>
  <c r="Q139" i="187"/>
  <c r="H145" i="66" s="1"/>
  <c r="Q181" i="187"/>
  <c r="Q75" i="187"/>
  <c r="Q16" i="187"/>
  <c r="H18" i="66" s="1"/>
  <c r="Q39" i="187"/>
  <c r="H42" i="66" s="1"/>
  <c r="Q178" i="187"/>
  <c r="Q158" i="187"/>
  <c r="Q125" i="187"/>
  <c r="H131" i="66" s="1"/>
  <c r="Q108" i="187"/>
  <c r="Q124" i="187"/>
  <c r="H130" i="66" s="1"/>
  <c r="Q94" i="187"/>
  <c r="Q148" i="187"/>
  <c r="Q37" i="187"/>
  <c r="H40" i="66" s="1"/>
  <c r="Q147" i="187"/>
  <c r="Q65" i="187"/>
  <c r="Q46" i="187"/>
  <c r="H50" i="66" s="1"/>
  <c r="Q71" i="187"/>
  <c r="Q107" i="187"/>
  <c r="Q103" i="187"/>
  <c r="Q74" i="187"/>
  <c r="Q48" i="187"/>
  <c r="H52" i="66" s="1"/>
  <c r="Q23" i="187"/>
  <c r="H26" i="66" s="1"/>
  <c r="Q58" i="187"/>
  <c r="Q195" i="187"/>
  <c r="Q52" i="187"/>
  <c r="H56" i="66" s="1"/>
  <c r="Q59" i="187"/>
  <c r="Q78" i="187"/>
  <c r="Q99" i="187"/>
  <c r="Q91" i="187"/>
  <c r="Q170" i="187"/>
  <c r="Q160" i="187"/>
  <c r="Q134" i="187"/>
  <c r="H140" i="66" s="1"/>
  <c r="Q11" i="187"/>
  <c r="Q122" i="187"/>
  <c r="Q191" i="187"/>
  <c r="Q88" i="187"/>
  <c r="Q188" i="187"/>
  <c r="Q115" i="187"/>
  <c r="Q150" i="187"/>
  <c r="Q127" i="187"/>
  <c r="H133" i="66" s="1"/>
  <c r="Q77" i="187"/>
  <c r="Q14" i="187"/>
  <c r="H16" i="66" s="1"/>
  <c r="Q180" i="187"/>
  <c r="Q183" i="187"/>
  <c r="Q66" i="187"/>
  <c r="Q10" i="187"/>
  <c r="Q116" i="187"/>
  <c r="Q154" i="187"/>
  <c r="Q61" i="187"/>
  <c r="Q187" i="187"/>
  <c r="Q118" i="187"/>
  <c r="Q100" i="187"/>
  <c r="Q162" i="187"/>
  <c r="Q157" i="187"/>
  <c r="Q86" i="187"/>
  <c r="Q186" i="187"/>
  <c r="Q36" i="187"/>
  <c r="H39" i="66" s="1"/>
  <c r="Q175" i="187"/>
  <c r="Q135" i="187"/>
  <c r="H141" i="66" s="1"/>
  <c r="Q33" i="187"/>
  <c r="H36" i="66" s="1"/>
  <c r="Q64" i="187"/>
  <c r="Q82" i="187"/>
  <c r="Q156" i="187"/>
  <c r="Q109" i="187"/>
  <c r="Q114" i="187"/>
  <c r="Q140" i="187"/>
  <c r="H146" i="66" s="1"/>
  <c r="Q53" i="187"/>
  <c r="H57" i="66" s="1"/>
  <c r="Q50" i="187"/>
  <c r="H54" i="66" s="1"/>
  <c r="Q24" i="187"/>
  <c r="H27" i="66" s="1"/>
  <c r="Q22" i="187"/>
  <c r="H25" i="66" s="1"/>
  <c r="Q161" i="187"/>
  <c r="Q97" i="187"/>
  <c r="Q131" i="187"/>
  <c r="H137" i="66" s="1"/>
  <c r="Q93" i="187"/>
  <c r="Q194" i="187"/>
  <c r="Q38" i="187"/>
  <c r="H41" i="66" s="1"/>
  <c r="Q200" i="187"/>
  <c r="Q34" i="187"/>
  <c r="H37" i="66" s="1"/>
  <c r="Q197" i="187"/>
  <c r="Q51" i="187"/>
  <c r="H55" i="66" s="1"/>
  <c r="Q203" i="187"/>
  <c r="H212" i="66" s="1"/>
  <c r="Q193" i="187"/>
  <c r="Q26" i="187"/>
  <c r="H29" i="66" s="1"/>
  <c r="Q168" i="187"/>
  <c r="Q21" i="187"/>
  <c r="H24" i="66" s="1"/>
  <c r="Q169" i="187"/>
  <c r="Q35" i="187"/>
  <c r="H38" i="66" s="1"/>
  <c r="Q146" i="187"/>
  <c r="Q198" i="187"/>
  <c r="Q172" i="187"/>
  <c r="Q17" i="187"/>
  <c r="H19" i="66" s="1"/>
  <c r="Q42" i="187"/>
  <c r="H46" i="66" s="1"/>
  <c r="Q141" i="187"/>
  <c r="H147" i="66" s="1"/>
  <c r="Q110" i="187"/>
  <c r="Q104" i="187"/>
  <c r="Q129" i="187"/>
  <c r="H135" i="66" s="1"/>
  <c r="Q159" i="187"/>
  <c r="Q152" i="187"/>
  <c r="Q199" i="187"/>
  <c r="Q121" i="187"/>
  <c r="Q32" i="187"/>
  <c r="H35" i="66" s="1"/>
  <c r="Q90" i="187"/>
  <c r="Q80" i="187"/>
  <c r="Q56" i="187"/>
  <c r="H60" i="66" s="1"/>
  <c r="Q20" i="187"/>
  <c r="H23" i="66" s="1"/>
  <c r="Q174" i="187"/>
  <c r="Q119" i="187"/>
  <c r="Q102" i="187"/>
  <c r="Q72" i="187"/>
  <c r="Q201" i="187"/>
  <c r="Q55" i="187"/>
  <c r="H59" i="66" s="1"/>
  <c r="Q120" i="187"/>
  <c r="Q208" i="187"/>
  <c r="Q27" i="187"/>
  <c r="H30" i="66" s="1"/>
  <c r="Q83" i="187"/>
  <c r="Q28" i="187"/>
  <c r="H31" i="66" s="1"/>
  <c r="Q89" i="187"/>
  <c r="Q87" i="187"/>
  <c r="Q70" i="187"/>
  <c r="Q132" i="187"/>
  <c r="H138" i="66" s="1"/>
  <c r="Q45" i="187"/>
  <c r="H49" i="66" s="1"/>
  <c r="Q192" i="187"/>
  <c r="Q117" i="187"/>
  <c r="Q165" i="187"/>
  <c r="Q15" i="187"/>
  <c r="H17" i="66" s="1"/>
  <c r="Q92" i="187"/>
  <c r="Q63" i="187"/>
  <c r="Q176" i="187"/>
  <c r="Q47" i="187"/>
  <c r="H51" i="66" s="1"/>
  <c r="Q101" i="187"/>
  <c r="Q167" i="187"/>
  <c r="Q206" i="187"/>
  <c r="Q60" i="187"/>
  <c r="Q69" i="187"/>
  <c r="Q155" i="187"/>
  <c r="Q12" i="187"/>
  <c r="Q138" i="187"/>
  <c r="H144" i="66" s="1"/>
  <c r="Q205" i="187"/>
  <c r="Q173" i="187"/>
  <c r="Q30" i="187"/>
  <c r="H33" i="66" s="1"/>
  <c r="Q85" i="187"/>
  <c r="Q111" i="187"/>
  <c r="Q31" i="187"/>
  <c r="H34" i="66" s="1"/>
  <c r="D105" i="183"/>
  <c r="D107" i="183" s="1"/>
  <c r="D109" i="183" s="1"/>
  <c r="D110" i="183" s="1"/>
  <c r="D95" i="183"/>
  <c r="D97" i="183" s="1"/>
  <c r="D99" i="183" s="1"/>
  <c r="D100" i="183" s="1"/>
  <c r="P205" i="187"/>
  <c r="P208" i="187"/>
  <c r="P206" i="187"/>
  <c r="D85" i="183"/>
  <c r="D87" i="183" s="1"/>
  <c r="D89" i="183" s="1"/>
  <c r="D90" i="183" s="1"/>
  <c r="S203" i="187" s="1"/>
  <c r="R61" i="187"/>
  <c r="R30" i="187"/>
  <c r="R140" i="187"/>
  <c r="R141" i="187"/>
  <c r="R44" i="187"/>
  <c r="R197" i="187"/>
  <c r="R111" i="187"/>
  <c r="R55" i="187"/>
  <c r="R70" i="187"/>
  <c r="R63" i="187"/>
  <c r="R163" i="187"/>
  <c r="R56" i="187"/>
  <c r="R139" i="187"/>
  <c r="R65" i="187"/>
  <c r="R34" i="187"/>
  <c r="R23" i="187"/>
  <c r="R145" i="187"/>
  <c r="R130" i="187"/>
  <c r="R187" i="187"/>
  <c r="R179" i="187"/>
  <c r="R124" i="187"/>
  <c r="R42" i="187"/>
  <c r="R159" i="187"/>
  <c r="R64" i="187"/>
  <c r="R48" i="187"/>
  <c r="R160" i="187"/>
  <c r="R16" i="187"/>
  <c r="R89" i="187"/>
  <c r="R54" i="187"/>
  <c r="R190" i="187"/>
  <c r="R154" i="187"/>
  <c r="R8" i="187"/>
  <c r="R118" i="187"/>
  <c r="R46" i="187"/>
  <c r="R191" i="187"/>
  <c r="R178" i="187"/>
  <c r="R22" i="187"/>
  <c r="R83" i="187"/>
  <c r="R128" i="187"/>
  <c r="R15" i="187"/>
  <c r="R165" i="187"/>
  <c r="R36" i="187"/>
  <c r="R157" i="187"/>
  <c r="R94" i="187"/>
  <c r="R102" i="187"/>
  <c r="R155" i="187"/>
  <c r="R68" i="187"/>
  <c r="R71" i="187"/>
  <c r="R136" i="187"/>
  <c r="R69" i="187"/>
  <c r="R50" i="187"/>
  <c r="R96" i="187"/>
  <c r="R208" i="187"/>
  <c r="R135" i="187"/>
  <c r="R27" i="187"/>
  <c r="R82" i="187"/>
  <c r="R183" i="187"/>
  <c r="R72" i="187"/>
  <c r="R43" i="187"/>
  <c r="R26" i="187"/>
  <c r="R106" i="187"/>
  <c r="R52" i="187"/>
  <c r="R143" i="187"/>
  <c r="R205" i="187"/>
  <c r="R86" i="187"/>
  <c r="R51" i="187"/>
  <c r="R80" i="187"/>
  <c r="R78" i="187"/>
  <c r="R39" i="187"/>
  <c r="R158" i="187"/>
  <c r="R117" i="187"/>
  <c r="R60" i="187"/>
  <c r="R122" i="187"/>
  <c r="R147" i="187"/>
  <c r="R119" i="187"/>
  <c r="R100" i="187"/>
  <c r="R188" i="187"/>
  <c r="R184" i="187"/>
  <c r="R116" i="187"/>
  <c r="R200" i="187"/>
  <c r="R199" i="187"/>
  <c r="R31" i="187"/>
  <c r="R101" i="187"/>
  <c r="R156" i="187"/>
  <c r="R174" i="187"/>
  <c r="R132" i="187"/>
  <c r="R149" i="187"/>
  <c r="R114" i="187"/>
  <c r="R125" i="187"/>
  <c r="R129" i="187"/>
  <c r="R168" i="187"/>
  <c r="R21" i="187"/>
  <c r="R107" i="187"/>
  <c r="R196" i="187"/>
  <c r="R81" i="187"/>
  <c r="R104" i="187"/>
  <c r="R161" i="187"/>
  <c r="R173" i="187"/>
  <c r="R93" i="187"/>
  <c r="R162" i="187"/>
  <c r="R59" i="187"/>
  <c r="R181" i="187"/>
  <c r="R152" i="187"/>
  <c r="R172" i="187"/>
  <c r="R166" i="187"/>
  <c r="R126" i="187"/>
  <c r="R167" i="187"/>
  <c r="R35" i="187"/>
  <c r="R120" i="187"/>
  <c r="R10" i="187"/>
  <c r="R20" i="187"/>
  <c r="R12" i="187"/>
  <c r="R150" i="187"/>
  <c r="R87" i="187"/>
  <c r="R47" i="187"/>
  <c r="R17" i="187"/>
  <c r="R142" i="187"/>
  <c r="R110" i="187"/>
  <c r="R198" i="187"/>
  <c r="R37" i="187"/>
  <c r="R175" i="187"/>
  <c r="R206" i="187"/>
  <c r="R45" i="187"/>
  <c r="R189" i="187"/>
  <c r="R109" i="187"/>
  <c r="R113" i="187"/>
  <c r="R103" i="187"/>
  <c r="R180" i="187"/>
  <c r="R131" i="187"/>
  <c r="R75" i="187"/>
  <c r="R169" i="187"/>
  <c r="R186" i="187"/>
  <c r="R193" i="187"/>
  <c r="R19" i="187"/>
  <c r="R62" i="187"/>
  <c r="R85" i="187"/>
  <c r="R25" i="187"/>
  <c r="R146" i="187"/>
  <c r="R90" i="187"/>
  <c r="R88" i="187"/>
  <c r="R77" i="187"/>
  <c r="R148" i="187"/>
  <c r="R108" i="187"/>
  <c r="R14" i="187"/>
  <c r="R192" i="187"/>
  <c r="R194" i="187"/>
  <c r="R11" i="187"/>
  <c r="R38" i="187"/>
  <c r="R170" i="187"/>
  <c r="R127" i="187"/>
  <c r="R195" i="187"/>
  <c r="R76" i="187"/>
  <c r="R79" i="187"/>
  <c r="R91" i="187"/>
  <c r="R137" i="187"/>
  <c r="R138" i="187"/>
  <c r="R41" i="187"/>
  <c r="R97" i="187"/>
  <c r="R32" i="187"/>
  <c r="R201" i="187"/>
  <c r="R99" i="187"/>
  <c r="R98" i="187"/>
  <c r="R176" i="187"/>
  <c r="R121" i="187"/>
  <c r="R92" i="187"/>
  <c r="R115" i="187"/>
  <c r="R33" i="187"/>
  <c r="R134" i="187"/>
  <c r="R74" i="187"/>
  <c r="R66" i="187"/>
  <c r="R28" i="187"/>
  <c r="R58" i="187"/>
  <c r="R53" i="187"/>
  <c r="R24" i="187"/>
  <c r="H112" i="72" l="1"/>
  <c r="W107" i="187"/>
  <c r="H200" i="66"/>
  <c r="V192" i="187"/>
  <c r="V163" i="187"/>
  <c r="H170" i="66"/>
  <c r="H183" i="68"/>
  <c r="Y175" i="187"/>
  <c r="H194" i="72"/>
  <c r="W186" i="187"/>
  <c r="W56" i="187"/>
  <c r="H60" i="72"/>
  <c r="H173" i="68"/>
  <c r="Y165" i="187"/>
  <c r="H191" i="68"/>
  <c r="Y183" i="187"/>
  <c r="H177" i="72"/>
  <c r="W169" i="187"/>
  <c r="V74" i="187"/>
  <c r="H79" i="66"/>
  <c r="H26" i="68"/>
  <c r="Y23" i="187"/>
  <c r="W75" i="187"/>
  <c r="H80" i="72"/>
  <c r="H165" i="72"/>
  <c r="W158" i="187"/>
  <c r="H198" i="72"/>
  <c r="W190" i="187"/>
  <c r="V70" i="187"/>
  <c r="H75" i="66"/>
  <c r="V103" i="187"/>
  <c r="H108" i="66"/>
  <c r="Y43" i="187"/>
  <c r="H47" i="68"/>
  <c r="Y15" i="187"/>
  <c r="H17" i="68"/>
  <c r="W125" i="187"/>
  <c r="H131" i="72"/>
  <c r="V205" i="187"/>
  <c r="H214" i="66"/>
  <c r="Y190" i="187"/>
  <c r="H198" i="68"/>
  <c r="W114" i="187"/>
  <c r="H119" i="72"/>
  <c r="W89" i="187"/>
  <c r="H94" i="72"/>
  <c r="H94" i="66"/>
  <c r="V89" i="187"/>
  <c r="H76" i="66"/>
  <c r="V71" i="187"/>
  <c r="H18" i="68"/>
  <c r="Y16" i="187"/>
  <c r="H36" i="72"/>
  <c r="W33" i="187"/>
  <c r="H13" i="72"/>
  <c r="W11" i="187"/>
  <c r="H108" i="72"/>
  <c r="W103" i="187"/>
  <c r="W167" i="187"/>
  <c r="H175" i="72"/>
  <c r="H156" i="72"/>
  <c r="W149" i="187"/>
  <c r="H85" i="72"/>
  <c r="W80" i="187"/>
  <c r="W68" i="187"/>
  <c r="H73" i="72"/>
  <c r="H18" i="72"/>
  <c r="W16" i="187"/>
  <c r="H116" i="72"/>
  <c r="W111" i="187"/>
  <c r="H14" i="66"/>
  <c r="V12" i="187"/>
  <c r="H194" i="66"/>
  <c r="V186" i="187"/>
  <c r="V88" i="187"/>
  <c r="H93" i="66"/>
  <c r="V76" i="187"/>
  <c r="H81" i="66"/>
  <c r="H71" i="68"/>
  <c r="Y66" i="187"/>
  <c r="H126" i="68"/>
  <c r="Y121" i="187"/>
  <c r="Y176" i="187"/>
  <c r="H184" i="68"/>
  <c r="Y128" i="187"/>
  <c r="H134" i="68"/>
  <c r="H10" i="68"/>
  <c r="Y8" i="187"/>
  <c r="H66" i="68"/>
  <c r="Y61" i="187"/>
  <c r="H212" i="68"/>
  <c r="Y203" i="187"/>
  <c r="H203" i="68"/>
  <c r="Y195" i="187"/>
  <c r="H33" i="68"/>
  <c r="Y30" i="187"/>
  <c r="W115" i="187"/>
  <c r="H120" i="72"/>
  <c r="H202" i="72"/>
  <c r="W194" i="187"/>
  <c r="W113" i="187"/>
  <c r="H118" i="72"/>
  <c r="H132" i="72"/>
  <c r="W126" i="187"/>
  <c r="H138" i="72"/>
  <c r="W132" i="187"/>
  <c r="H55" i="72"/>
  <c r="W51" i="187"/>
  <c r="H162" i="72"/>
  <c r="W155" i="187"/>
  <c r="H167" i="72"/>
  <c r="W160" i="187"/>
  <c r="H205" i="72"/>
  <c r="W197" i="187"/>
  <c r="H162" i="66"/>
  <c r="V155" i="187"/>
  <c r="H88" i="66"/>
  <c r="V83" i="187"/>
  <c r="H109" i="66"/>
  <c r="V104" i="187"/>
  <c r="V194" i="187"/>
  <c r="H202" i="66"/>
  <c r="H91" i="66"/>
  <c r="V86" i="187"/>
  <c r="H199" i="66"/>
  <c r="V191" i="187"/>
  <c r="H70" i="66"/>
  <c r="V65" i="187"/>
  <c r="H73" i="66"/>
  <c r="V68" i="187"/>
  <c r="Y80" i="187"/>
  <c r="H85" i="68"/>
  <c r="H98" i="68"/>
  <c r="Y93" i="187"/>
  <c r="Y65" i="187"/>
  <c r="H70" i="68"/>
  <c r="Y163" i="187"/>
  <c r="H170" i="68"/>
  <c r="Y137" i="187"/>
  <c r="H143" i="68"/>
  <c r="H80" i="68"/>
  <c r="Y75" i="187"/>
  <c r="Y179" i="187"/>
  <c r="H187" i="68"/>
  <c r="H144" i="68"/>
  <c r="Y138" i="187"/>
  <c r="Y96" i="187"/>
  <c r="H101" i="68"/>
  <c r="H23" i="68"/>
  <c r="Y20" i="187"/>
  <c r="W60" i="187"/>
  <c r="H65" i="72"/>
  <c r="Y38" i="187"/>
  <c r="H41" i="68"/>
  <c r="W28" i="187"/>
  <c r="H31" i="72"/>
  <c r="H152" i="66"/>
  <c r="V145" i="187"/>
  <c r="H69" i="68"/>
  <c r="Y64" i="187"/>
  <c r="V87" i="187"/>
  <c r="H92" i="66"/>
  <c r="Y55" i="187"/>
  <c r="H59" i="68"/>
  <c r="W48" i="187"/>
  <c r="H52" i="72"/>
  <c r="H28" i="68"/>
  <c r="Y25" i="187"/>
  <c r="H180" i="72"/>
  <c r="W172" i="187"/>
  <c r="V98" i="187"/>
  <c r="H103" i="66"/>
  <c r="H167" i="68"/>
  <c r="Y160" i="187"/>
  <c r="W176" i="187"/>
  <c r="H184" i="72"/>
  <c r="W108" i="187"/>
  <c r="H113" i="72"/>
  <c r="H49" i="72"/>
  <c r="W45" i="187"/>
  <c r="H159" i="72"/>
  <c r="W152" i="187"/>
  <c r="H106" i="72"/>
  <c r="W101" i="187"/>
  <c r="W143" i="187"/>
  <c r="H149" i="72"/>
  <c r="W157" i="187"/>
  <c r="H164" i="72"/>
  <c r="H166" i="72"/>
  <c r="W159" i="187"/>
  <c r="H146" i="72"/>
  <c r="W140" i="187"/>
  <c r="V206" i="187"/>
  <c r="H215" i="66"/>
  <c r="H125" i="66"/>
  <c r="V120" i="187"/>
  <c r="H102" i="66"/>
  <c r="V97" i="187"/>
  <c r="H105" i="66"/>
  <c r="V100" i="187"/>
  <c r="H155" i="66"/>
  <c r="V148" i="187"/>
  <c r="H101" i="66"/>
  <c r="V96" i="187"/>
  <c r="H136" i="68"/>
  <c r="Y130" i="187"/>
  <c r="H201" i="68"/>
  <c r="Y193" i="187"/>
  <c r="H146" i="68"/>
  <c r="Y140" i="187"/>
  <c r="Y136" i="187"/>
  <c r="H142" i="68"/>
  <c r="H202" i="68"/>
  <c r="Y194" i="187"/>
  <c r="H14" i="68"/>
  <c r="Y12" i="187"/>
  <c r="H189" i="68"/>
  <c r="Y181" i="187"/>
  <c r="H29" i="68"/>
  <c r="Y26" i="187"/>
  <c r="H50" i="68"/>
  <c r="Y46" i="187"/>
  <c r="Y42" i="187"/>
  <c r="H46" i="68"/>
  <c r="H67" i="66"/>
  <c r="V62" i="187"/>
  <c r="W120" i="187"/>
  <c r="H125" i="72"/>
  <c r="H73" i="68"/>
  <c r="Y68" i="187"/>
  <c r="H41" i="72"/>
  <c r="W38" i="187"/>
  <c r="H187" i="66"/>
  <c r="V179" i="187"/>
  <c r="W174" i="187"/>
  <c r="H182" i="72"/>
  <c r="H194" i="68"/>
  <c r="Y186" i="187"/>
  <c r="W189" i="187"/>
  <c r="H197" i="72"/>
  <c r="W64" i="187"/>
  <c r="H69" i="72"/>
  <c r="V162" i="187"/>
  <c r="H169" i="66"/>
  <c r="H103" i="72"/>
  <c r="W98" i="187"/>
  <c r="W148" i="187"/>
  <c r="H155" i="72"/>
  <c r="H215" i="72"/>
  <c r="W206" i="187"/>
  <c r="W181" i="187"/>
  <c r="H189" i="72"/>
  <c r="W31" i="187"/>
  <c r="H34" i="72"/>
  <c r="H56" i="72"/>
  <c r="W52" i="187"/>
  <c r="H39" i="72"/>
  <c r="W36" i="187"/>
  <c r="W42" i="187"/>
  <c r="H46" i="72"/>
  <c r="H33" i="72"/>
  <c r="W30" i="187"/>
  <c r="V167" i="187"/>
  <c r="H175" i="66"/>
  <c r="H168" i="66"/>
  <c r="V161" i="187"/>
  <c r="H123" i="66"/>
  <c r="V118" i="187"/>
  <c r="H167" i="66"/>
  <c r="V160" i="187"/>
  <c r="H99" i="66"/>
  <c r="V94" i="187"/>
  <c r="V113" i="187"/>
  <c r="H118" i="66"/>
  <c r="H177" i="68"/>
  <c r="Y169" i="187"/>
  <c r="H149" i="68"/>
  <c r="Y143" i="187"/>
  <c r="Y69" i="187"/>
  <c r="H74" i="68"/>
  <c r="Y24" i="187"/>
  <c r="H27" i="68"/>
  <c r="H81" i="68"/>
  <c r="Y76" i="187"/>
  <c r="Y150" i="187"/>
  <c r="H157" i="68"/>
  <c r="H206" i="68"/>
  <c r="Y198" i="187"/>
  <c r="H140" i="68"/>
  <c r="Y134" i="187"/>
  <c r="Y170" i="187"/>
  <c r="H178" i="68"/>
  <c r="H157" i="72"/>
  <c r="W150" i="187"/>
  <c r="Y116" i="187"/>
  <c r="H121" i="68"/>
  <c r="W96" i="187"/>
  <c r="H101" i="72"/>
  <c r="H82" i="66"/>
  <c r="V77" i="187"/>
  <c r="H176" i="72"/>
  <c r="W168" i="187"/>
  <c r="H60" i="68"/>
  <c r="Y56" i="187"/>
  <c r="W74" i="187"/>
  <c r="H79" i="72"/>
  <c r="Y157" i="187"/>
  <c r="H164" i="68"/>
  <c r="H208" i="66"/>
  <c r="V200" i="187"/>
  <c r="Y125" i="187"/>
  <c r="H131" i="68"/>
  <c r="H126" i="72"/>
  <c r="W121" i="187"/>
  <c r="Y206" i="187"/>
  <c r="H215" i="68"/>
  <c r="H104" i="72"/>
  <c r="W99" i="187"/>
  <c r="W77" i="187"/>
  <c r="H82" i="72"/>
  <c r="H183" i="72"/>
  <c r="W175" i="187"/>
  <c r="H64" i="72"/>
  <c r="W59" i="187"/>
  <c r="W199" i="187"/>
  <c r="H207" i="72"/>
  <c r="W106" i="187"/>
  <c r="H111" i="72"/>
  <c r="W165" i="187"/>
  <c r="H173" i="72"/>
  <c r="H130" i="72"/>
  <c r="W124" i="187"/>
  <c r="W61" i="187"/>
  <c r="H66" i="72"/>
  <c r="H106" i="66"/>
  <c r="V101" i="187"/>
  <c r="V201" i="187"/>
  <c r="H209" i="66"/>
  <c r="V172" i="187"/>
  <c r="H180" i="66"/>
  <c r="V187" i="187"/>
  <c r="H195" i="66"/>
  <c r="V170" i="187"/>
  <c r="H178" i="66"/>
  <c r="H42" i="68"/>
  <c r="Y39" i="187"/>
  <c r="Y154" i="187"/>
  <c r="H161" i="68"/>
  <c r="Y167" i="187"/>
  <c r="H175" i="68"/>
  <c r="H199" i="68"/>
  <c r="Y191" i="187"/>
  <c r="H195" i="68"/>
  <c r="Y187" i="187"/>
  <c r="Y166" i="187"/>
  <c r="H174" i="68"/>
  <c r="Y114" i="187"/>
  <c r="H119" i="68"/>
  <c r="H87" i="68"/>
  <c r="Y82" i="187"/>
  <c r="H95" i="68"/>
  <c r="Y90" i="187"/>
  <c r="H84" i="72"/>
  <c r="W79" i="187"/>
  <c r="H106" i="68"/>
  <c r="Y101" i="187"/>
  <c r="W12" i="187"/>
  <c r="H14" i="72"/>
  <c r="V64" i="187"/>
  <c r="H69" i="66"/>
  <c r="W195" i="187"/>
  <c r="H203" i="72"/>
  <c r="H84" i="68"/>
  <c r="Y79" i="187"/>
  <c r="W127" i="187"/>
  <c r="H133" i="72"/>
  <c r="V197" i="187"/>
  <c r="H205" i="66"/>
  <c r="H42" i="72"/>
  <c r="W39" i="187"/>
  <c r="Y127" i="187"/>
  <c r="H133" i="68"/>
  <c r="H83" i="72"/>
  <c r="W78" i="187"/>
  <c r="V196" i="187"/>
  <c r="H204" i="66"/>
  <c r="W166" i="187"/>
  <c r="H174" i="72"/>
  <c r="H137" i="68"/>
  <c r="Y131" i="187"/>
  <c r="W14" i="187"/>
  <c r="H16" i="72"/>
  <c r="W141" i="187"/>
  <c r="H147" i="72"/>
  <c r="V11" i="187"/>
  <c r="H13" i="66"/>
  <c r="Y122" i="187"/>
  <c r="H127" i="68"/>
  <c r="W88" i="187"/>
  <c r="H93" i="72"/>
  <c r="W26" i="187"/>
  <c r="H29" i="72"/>
  <c r="H17" i="72"/>
  <c r="W15" i="187"/>
  <c r="H187" i="72"/>
  <c r="W179" i="187"/>
  <c r="X203" i="187"/>
  <c r="F212" i="70"/>
  <c r="H77" i="66"/>
  <c r="V72" i="187"/>
  <c r="V198" i="187"/>
  <c r="H206" i="66"/>
  <c r="V61" i="187"/>
  <c r="H66" i="66"/>
  <c r="V91" i="187"/>
  <c r="H96" i="66"/>
  <c r="H113" i="66"/>
  <c r="V108" i="187"/>
  <c r="Y102" i="187"/>
  <c r="H107" i="68"/>
  <c r="Y17" i="187"/>
  <c r="H19" i="68"/>
  <c r="Y60" i="187"/>
  <c r="H65" i="68"/>
  <c r="H116" i="68"/>
  <c r="Y111" i="187"/>
  <c r="H138" i="68"/>
  <c r="Y132" i="187"/>
  <c r="Y145" i="187"/>
  <c r="H152" i="68"/>
  <c r="H208" i="68"/>
  <c r="Y200" i="187"/>
  <c r="Y98" i="187"/>
  <c r="H103" i="68"/>
  <c r="Y141" i="187"/>
  <c r="H147" i="68"/>
  <c r="H95" i="66"/>
  <c r="V90" i="187"/>
  <c r="Y126" i="187"/>
  <c r="H132" i="68"/>
  <c r="H141" i="68"/>
  <c r="Y135" i="187"/>
  <c r="H108" i="68"/>
  <c r="Y103" i="187"/>
  <c r="H112" i="66"/>
  <c r="V107" i="187"/>
  <c r="W35" i="187"/>
  <c r="H38" i="72"/>
  <c r="H192" i="68"/>
  <c r="Y184" i="187"/>
  <c r="H114" i="72"/>
  <c r="W109" i="187"/>
  <c r="Y148" i="187"/>
  <c r="H155" i="68"/>
  <c r="W156" i="187"/>
  <c r="H163" i="72"/>
  <c r="H77" i="68"/>
  <c r="Y72" i="187"/>
  <c r="H35" i="72"/>
  <c r="W32" i="187"/>
  <c r="H95" i="72"/>
  <c r="W90" i="187"/>
  <c r="W198" i="187"/>
  <c r="H206" i="72"/>
  <c r="H98" i="72"/>
  <c r="W93" i="187"/>
  <c r="W116" i="187"/>
  <c r="H121" i="72"/>
  <c r="H47" i="72"/>
  <c r="W43" i="187"/>
  <c r="W128" i="187"/>
  <c r="H134" i="72"/>
  <c r="H195" i="72"/>
  <c r="W187" i="187"/>
  <c r="U206" i="187"/>
  <c r="H215" i="67"/>
  <c r="V176" i="187"/>
  <c r="H184" i="66"/>
  <c r="V102" i="187"/>
  <c r="H107" i="66"/>
  <c r="V146" i="187"/>
  <c r="H153" i="66"/>
  <c r="V154" i="187"/>
  <c r="H161" i="66"/>
  <c r="H104" i="66"/>
  <c r="V99" i="187"/>
  <c r="I212" i="72"/>
  <c r="H214" i="193" s="1"/>
  <c r="AD203" i="187"/>
  <c r="AJ203" i="187"/>
  <c r="H97" i="68"/>
  <c r="Y92" i="187"/>
  <c r="Y88" i="187"/>
  <c r="H93" i="68"/>
  <c r="H90" i="68"/>
  <c r="Y85" i="187"/>
  <c r="Y208" i="187"/>
  <c r="H217" i="68"/>
  <c r="Y50" i="187"/>
  <c r="H54" i="68"/>
  <c r="Y107" i="187"/>
  <c r="H112" i="68"/>
  <c r="H79" i="68"/>
  <c r="Y74" i="187"/>
  <c r="H123" i="68"/>
  <c r="Y118" i="187"/>
  <c r="H52" i="68"/>
  <c r="Y48" i="187"/>
  <c r="V82" i="187"/>
  <c r="H87" i="66"/>
  <c r="Y37" i="187"/>
  <c r="H40" i="68"/>
  <c r="Y139" i="187"/>
  <c r="H145" i="68"/>
  <c r="W170" i="187"/>
  <c r="H178" i="72"/>
  <c r="Y53" i="187"/>
  <c r="H57" i="68"/>
  <c r="H125" i="68"/>
  <c r="Y120" i="187"/>
  <c r="H200" i="72"/>
  <c r="W192" i="187"/>
  <c r="Y78" i="187"/>
  <c r="H83" i="68"/>
  <c r="H217" i="66"/>
  <c r="V208" i="187"/>
  <c r="H120" i="68"/>
  <c r="Y115" i="187"/>
  <c r="W97" i="187"/>
  <c r="H102" i="72"/>
  <c r="H153" i="72"/>
  <c r="W146" i="187"/>
  <c r="W110" i="187"/>
  <c r="H115" i="72"/>
  <c r="H181" i="72"/>
  <c r="W173" i="187"/>
  <c r="H192" i="72"/>
  <c r="W184" i="187"/>
  <c r="H77" i="72"/>
  <c r="W72" i="187"/>
  <c r="H88" i="72"/>
  <c r="W83" i="187"/>
  <c r="W130" i="187"/>
  <c r="H136" i="72"/>
  <c r="U208" i="187"/>
  <c r="H217" i="67"/>
  <c r="H68" i="66"/>
  <c r="V63" i="187"/>
  <c r="V119" i="187"/>
  <c r="H124" i="66"/>
  <c r="H121" i="66"/>
  <c r="V116" i="187"/>
  <c r="V78" i="187"/>
  <c r="H83" i="66"/>
  <c r="V158" i="187"/>
  <c r="H165" i="66"/>
  <c r="Y180" i="187"/>
  <c r="H188" i="68"/>
  <c r="H200" i="68"/>
  <c r="Y192" i="187"/>
  <c r="H168" i="68"/>
  <c r="Y161" i="187"/>
  <c r="Y129" i="187"/>
  <c r="H135" i="68"/>
  <c r="Y70" i="187"/>
  <c r="H75" i="68"/>
  <c r="H156" i="68"/>
  <c r="Y149" i="187"/>
  <c r="H63" i="68"/>
  <c r="Y58" i="187"/>
  <c r="Y59" i="187"/>
  <c r="H64" i="68"/>
  <c r="W208" i="187"/>
  <c r="H217" i="72"/>
  <c r="Y28" i="187"/>
  <c r="H31" i="68"/>
  <c r="H126" i="66"/>
  <c r="V121" i="187"/>
  <c r="Y62" i="187"/>
  <c r="H67" i="68"/>
  <c r="H75" i="72"/>
  <c r="W70" i="187"/>
  <c r="H154" i="68"/>
  <c r="Y147" i="187"/>
  <c r="H48" i="72"/>
  <c r="W44" i="187"/>
  <c r="Y83" i="187"/>
  <c r="H88" i="68"/>
  <c r="W37" i="187"/>
  <c r="H40" i="72"/>
  <c r="W41" i="187"/>
  <c r="H45" i="72"/>
  <c r="W25" i="187"/>
  <c r="H28" i="72"/>
  <c r="W142" i="187"/>
  <c r="H148" i="72"/>
  <c r="H168" i="72"/>
  <c r="W161" i="187"/>
  <c r="H196" i="72"/>
  <c r="W188" i="187"/>
  <c r="W183" i="187"/>
  <c r="H191" i="72"/>
  <c r="W22" i="187"/>
  <c r="H25" i="72"/>
  <c r="W145" i="187"/>
  <c r="H152" i="72"/>
  <c r="H214" i="67"/>
  <c r="U205" i="187"/>
  <c r="H97" i="66"/>
  <c r="V92" i="187"/>
  <c r="H182" i="66"/>
  <c r="V174" i="187"/>
  <c r="H177" i="66"/>
  <c r="V169" i="187"/>
  <c r="V10" i="187"/>
  <c r="H12" i="66"/>
  <c r="V59" i="187"/>
  <c r="H64" i="66"/>
  <c r="H186" i="66"/>
  <c r="V178" i="187"/>
  <c r="V79" i="187"/>
  <c r="H84" i="66"/>
  <c r="Y47" i="187"/>
  <c r="H51" i="68"/>
  <c r="H118" i="68"/>
  <c r="Y113" i="187"/>
  <c r="Y124" i="187"/>
  <c r="H130" i="68"/>
  <c r="H91" i="68"/>
  <c r="Y86" i="187"/>
  <c r="H13" i="68"/>
  <c r="Y11" i="187"/>
  <c r="Y21" i="187"/>
  <c r="H24" i="68"/>
  <c r="H94" i="68"/>
  <c r="Y89" i="187"/>
  <c r="H58" i="68"/>
  <c r="Y54" i="187"/>
  <c r="H205" i="68"/>
  <c r="Y197" i="187"/>
  <c r="W58" i="187"/>
  <c r="H63" i="72"/>
  <c r="Y119" i="187"/>
  <c r="H124" i="68"/>
  <c r="V106" i="187"/>
  <c r="H111" i="66"/>
  <c r="Y10" i="187"/>
  <c r="H12" i="68"/>
  <c r="Y99" i="187"/>
  <c r="H104" i="68"/>
  <c r="Y168" i="187"/>
  <c r="H176" i="68"/>
  <c r="H99" i="72"/>
  <c r="W94" i="187"/>
  <c r="H109" i="68"/>
  <c r="Y104" i="187"/>
  <c r="W200" i="187"/>
  <c r="H208" i="72"/>
  <c r="H90" i="72"/>
  <c r="W85" i="187"/>
  <c r="W104" i="187"/>
  <c r="H109" i="72"/>
  <c r="H105" i="72"/>
  <c r="W100" i="187"/>
  <c r="H87" i="72"/>
  <c r="W82" i="187"/>
  <c r="H186" i="72"/>
  <c r="W178" i="187"/>
  <c r="W23" i="187"/>
  <c r="H26" i="72"/>
  <c r="S54" i="187"/>
  <c r="S124" i="187"/>
  <c r="S23" i="187"/>
  <c r="S142" i="187"/>
  <c r="S109" i="187"/>
  <c r="S87" i="187"/>
  <c r="S100" i="187"/>
  <c r="S70" i="187"/>
  <c r="S33" i="187"/>
  <c r="S59" i="187"/>
  <c r="S50" i="187"/>
  <c r="S143" i="187"/>
  <c r="S135" i="187"/>
  <c r="S118" i="187"/>
  <c r="S75" i="187"/>
  <c r="S127" i="187"/>
  <c r="S56" i="187"/>
  <c r="S139" i="187"/>
  <c r="S81" i="187"/>
  <c r="S63" i="187"/>
  <c r="S99" i="187"/>
  <c r="S45" i="187"/>
  <c r="S31" i="187"/>
  <c r="S68" i="187"/>
  <c r="S116" i="187"/>
  <c r="S94" i="187"/>
  <c r="S130" i="187"/>
  <c r="S44" i="187"/>
  <c r="S110" i="187"/>
  <c r="S69" i="187"/>
  <c r="S71" i="187"/>
  <c r="S91" i="187"/>
  <c r="S58" i="187"/>
  <c r="S24" i="187"/>
  <c r="S128" i="187"/>
  <c r="S64" i="187"/>
  <c r="S104" i="187"/>
  <c r="S77" i="187"/>
  <c r="S8" i="187"/>
  <c r="S141" i="187"/>
  <c r="S132" i="187"/>
  <c r="S113" i="187"/>
  <c r="S125" i="187"/>
  <c r="S19" i="187"/>
  <c r="S38" i="187"/>
  <c r="S82" i="187"/>
  <c r="S48" i="187"/>
  <c r="S136" i="187"/>
  <c r="S115" i="187"/>
  <c r="S66" i="187"/>
  <c r="S46" i="187"/>
  <c r="S62" i="187"/>
  <c r="S34" i="187"/>
  <c r="S137" i="187"/>
  <c r="S88" i="187"/>
  <c r="S36" i="187"/>
  <c r="S14" i="187"/>
  <c r="S12" i="187"/>
  <c r="S120" i="187"/>
  <c r="S47" i="187"/>
  <c r="S43" i="187"/>
  <c r="S140" i="187"/>
  <c r="S131" i="187"/>
  <c r="S60" i="187"/>
  <c r="S27" i="187"/>
  <c r="S106" i="187"/>
  <c r="S20" i="187"/>
  <c r="S96" i="187"/>
  <c r="S111" i="187"/>
  <c r="S126" i="187"/>
  <c r="S89" i="187"/>
  <c r="S107" i="187"/>
  <c r="S30" i="187"/>
  <c r="S108" i="187"/>
  <c r="S129" i="187"/>
  <c r="S11" i="187"/>
  <c r="S74" i="187"/>
  <c r="S119" i="187"/>
  <c r="S37" i="187"/>
  <c r="S78" i="187"/>
  <c r="S114" i="187"/>
  <c r="S76" i="187"/>
  <c r="S22" i="187"/>
  <c r="S85" i="187"/>
  <c r="S92" i="187"/>
  <c r="S17" i="187"/>
  <c r="S103" i="187"/>
  <c r="S35" i="187"/>
  <c r="S79" i="187"/>
  <c r="S25" i="187"/>
  <c r="S102" i="187"/>
  <c r="S32" i="187"/>
  <c r="S53" i="187"/>
  <c r="S52" i="187"/>
  <c r="S15" i="187"/>
  <c r="S28" i="187"/>
  <c r="S10" i="187"/>
  <c r="S72" i="187"/>
  <c r="S134" i="187"/>
  <c r="S21" i="187"/>
  <c r="S83" i="187"/>
  <c r="S121" i="187"/>
  <c r="S16" i="187"/>
  <c r="S122" i="187"/>
  <c r="S93" i="187"/>
  <c r="S51" i="187"/>
  <c r="S90" i="187"/>
  <c r="S65" i="187"/>
  <c r="S97" i="187"/>
  <c r="S61" i="187"/>
  <c r="S39" i="187"/>
  <c r="S117" i="187"/>
  <c r="S101" i="187"/>
  <c r="S86" i="187"/>
  <c r="S80" i="187"/>
  <c r="S42" i="187"/>
  <c r="S55" i="187"/>
  <c r="S98" i="187"/>
  <c r="S138" i="187"/>
  <c r="S26" i="187"/>
  <c r="S41" i="187"/>
  <c r="H119" i="66"/>
  <c r="V114" i="187"/>
  <c r="V66" i="187"/>
  <c r="H71" i="66"/>
  <c r="V190" i="187"/>
  <c r="H198" i="66"/>
  <c r="Y152" i="187"/>
  <c r="H159" i="68"/>
  <c r="Y159" i="187"/>
  <c r="H166" i="68"/>
  <c r="H186" i="68"/>
  <c r="Y178" i="187"/>
  <c r="Y19" i="187"/>
  <c r="H22" i="68"/>
  <c r="Y32" i="187"/>
  <c r="H35" i="68"/>
  <c r="Y91" i="187"/>
  <c r="H96" i="68"/>
  <c r="H181" i="68"/>
  <c r="Y173" i="187"/>
  <c r="Y87" i="187"/>
  <c r="H92" i="68"/>
  <c r="C44" i="189"/>
  <c r="E12" i="181" s="1"/>
  <c r="C39" i="189"/>
  <c r="C40" i="189"/>
  <c r="C43" i="189"/>
  <c r="E11" i="181" s="1"/>
  <c r="D30" i="183"/>
  <c r="H57" i="72"/>
  <c r="W53" i="187"/>
  <c r="W118" i="187"/>
  <c r="H123" i="72"/>
  <c r="H86" i="68"/>
  <c r="Y81" i="187"/>
  <c r="Y52" i="187"/>
  <c r="H56" i="68"/>
  <c r="W21" i="187"/>
  <c r="H24" i="72"/>
  <c r="H49" i="68"/>
  <c r="Y45" i="187"/>
  <c r="H54" i="72"/>
  <c r="W50" i="187"/>
  <c r="Y158" i="187"/>
  <c r="H165" i="68"/>
  <c r="Y27" i="187"/>
  <c r="H30" i="68"/>
  <c r="H12" i="72"/>
  <c r="W10" i="187"/>
  <c r="W63" i="187"/>
  <c r="H68" i="72"/>
  <c r="V150" i="187"/>
  <c r="H157" i="66"/>
  <c r="Y63" i="187"/>
  <c r="H68" i="68"/>
  <c r="W136" i="187"/>
  <c r="H142" i="72"/>
  <c r="H159" i="66"/>
  <c r="V152" i="187"/>
  <c r="V184" i="187"/>
  <c r="H192" i="66"/>
  <c r="H153" i="68"/>
  <c r="Y146" i="187"/>
  <c r="H140" i="72"/>
  <c r="W134" i="187"/>
  <c r="Y35" i="187"/>
  <c r="H38" i="68"/>
  <c r="Y44" i="187"/>
  <c r="H48" i="68"/>
  <c r="H97" i="72"/>
  <c r="W92" i="187"/>
  <c r="W86" i="187"/>
  <c r="H91" i="72"/>
  <c r="V69" i="187"/>
  <c r="H74" i="66"/>
  <c r="V110" i="187"/>
  <c r="H115" i="66"/>
  <c r="H164" i="66"/>
  <c r="V157" i="187"/>
  <c r="H174" i="66"/>
  <c r="V166" i="187"/>
  <c r="Y174" i="187"/>
  <c r="H182" i="68"/>
  <c r="W205" i="187"/>
  <c r="H214" i="72"/>
  <c r="H209" i="68"/>
  <c r="Y201" i="187"/>
  <c r="H169" i="72"/>
  <c r="W162" i="187"/>
  <c r="H144" i="72"/>
  <c r="W138" i="187"/>
  <c r="W137" i="187"/>
  <c r="H143" i="72"/>
  <c r="H67" i="72"/>
  <c r="W62" i="187"/>
  <c r="W47" i="187"/>
  <c r="H51" i="72"/>
  <c r="H86" i="72"/>
  <c r="W81" i="187"/>
  <c r="W119" i="187"/>
  <c r="H124" i="72"/>
  <c r="H30" i="72"/>
  <c r="W27" i="187"/>
  <c r="W191" i="187"/>
  <c r="H199" i="72"/>
  <c r="H37" i="72"/>
  <c r="W34" i="187"/>
  <c r="S188" i="187"/>
  <c r="S169" i="187"/>
  <c r="S197" i="187"/>
  <c r="S147" i="187"/>
  <c r="S162" i="187"/>
  <c r="S180" i="187"/>
  <c r="S161" i="187"/>
  <c r="S186" i="187"/>
  <c r="S205" i="187"/>
  <c r="S168" i="187"/>
  <c r="S155" i="187"/>
  <c r="S157" i="187"/>
  <c r="S181" i="187"/>
  <c r="S172" i="187"/>
  <c r="S196" i="187"/>
  <c r="S195" i="187"/>
  <c r="S179" i="187"/>
  <c r="S163" i="187"/>
  <c r="S190" i="187"/>
  <c r="S159" i="187"/>
  <c r="S192" i="187"/>
  <c r="S146" i="187"/>
  <c r="S178" i="187"/>
  <c r="S152" i="187"/>
  <c r="S167" i="187"/>
  <c r="S156" i="187"/>
  <c r="S198" i="187"/>
  <c r="S173" i="187"/>
  <c r="S183" i="187"/>
  <c r="S199" i="187"/>
  <c r="S194" i="187"/>
  <c r="S191" i="187"/>
  <c r="S160" i="187"/>
  <c r="S166" i="187"/>
  <c r="S165" i="187"/>
  <c r="S189" i="187"/>
  <c r="S174" i="187"/>
  <c r="S206" i="187"/>
  <c r="S170" i="187"/>
  <c r="S149" i="187"/>
  <c r="S184" i="187"/>
  <c r="S145" i="187"/>
  <c r="S148" i="187"/>
  <c r="S150" i="187"/>
  <c r="S175" i="187"/>
  <c r="S176" i="187"/>
  <c r="S193" i="187"/>
  <c r="S201" i="187"/>
  <c r="S208" i="187"/>
  <c r="S154" i="187"/>
  <c r="S158" i="187"/>
  <c r="S187" i="187"/>
  <c r="S200" i="187"/>
  <c r="H173" i="66"/>
  <c r="V165" i="187"/>
  <c r="V168" i="187"/>
  <c r="H176" i="66"/>
  <c r="H114" i="66"/>
  <c r="V109" i="187"/>
  <c r="V183" i="187"/>
  <c r="H191" i="66"/>
  <c r="V195" i="187"/>
  <c r="H203" i="66"/>
  <c r="Y110" i="187"/>
  <c r="H115" i="68"/>
  <c r="H163" i="68"/>
  <c r="Y156" i="187"/>
  <c r="H196" i="68"/>
  <c r="Y188" i="187"/>
  <c r="H122" i="68"/>
  <c r="Y117" i="187"/>
  <c r="Y51" i="187"/>
  <c r="H55" i="68"/>
  <c r="Y41" i="187"/>
  <c r="H45" i="68"/>
  <c r="Y109" i="187"/>
  <c r="H114" i="68"/>
  <c r="Y199" i="187"/>
  <c r="H207" i="68"/>
  <c r="H201" i="72"/>
  <c r="W193" i="187"/>
  <c r="W122" i="187"/>
  <c r="H127" i="72"/>
  <c r="H145" i="72"/>
  <c r="W139" i="187"/>
  <c r="H116" i="66"/>
  <c r="V111" i="187"/>
  <c r="V193" i="187"/>
  <c r="H201" i="66"/>
  <c r="V181" i="187"/>
  <c r="H189" i="66"/>
  <c r="Y34" i="187"/>
  <c r="H37" i="68"/>
  <c r="H36" i="68"/>
  <c r="Y33" i="187"/>
  <c r="H81" i="72"/>
  <c r="W76" i="187"/>
  <c r="W8" i="187"/>
  <c r="H10" i="72"/>
  <c r="H90" i="66"/>
  <c r="V85" i="187"/>
  <c r="H99" i="68"/>
  <c r="Y94" i="187"/>
  <c r="H23" i="72"/>
  <c r="W20" i="187"/>
  <c r="W117" i="187"/>
  <c r="H122" i="72"/>
  <c r="H161" i="72"/>
  <c r="W154" i="187"/>
  <c r="H170" i="72"/>
  <c r="W163" i="187"/>
  <c r="H86" i="66"/>
  <c r="V81" i="187"/>
  <c r="H111" i="68"/>
  <c r="Y106" i="187"/>
  <c r="H197" i="68"/>
  <c r="Y189" i="187"/>
  <c r="W66" i="187"/>
  <c r="H71" i="72"/>
  <c r="H135" i="72"/>
  <c r="W129" i="187"/>
  <c r="H74" i="72"/>
  <c r="W69" i="187"/>
  <c r="V173" i="187"/>
  <c r="H181" i="66"/>
  <c r="V199" i="187"/>
  <c r="H207" i="66"/>
  <c r="Y155" i="187"/>
  <c r="H162" i="68"/>
  <c r="H180" i="68"/>
  <c r="Y172" i="187"/>
  <c r="H137" i="72"/>
  <c r="W131" i="187"/>
  <c r="W54" i="187"/>
  <c r="H58" i="72"/>
  <c r="H183" i="66"/>
  <c r="V175" i="187"/>
  <c r="H120" i="66"/>
  <c r="V115" i="187"/>
  <c r="Y71" i="187"/>
  <c r="H76" i="68"/>
  <c r="H102" i="68"/>
  <c r="Y97" i="187"/>
  <c r="H188" i="72"/>
  <c r="W180" i="187"/>
  <c r="H76" i="72"/>
  <c r="W71" i="187"/>
  <c r="W55" i="187"/>
  <c r="H59" i="72"/>
  <c r="H166" i="66"/>
  <c r="V159" i="187"/>
  <c r="V188" i="187"/>
  <c r="H196" i="66"/>
  <c r="Y14" i="187"/>
  <c r="H16" i="68"/>
  <c r="W102" i="187"/>
  <c r="H107" i="72"/>
  <c r="V93" i="187"/>
  <c r="H98" i="66"/>
  <c r="V122" i="187"/>
  <c r="H127" i="66"/>
  <c r="V147" i="187"/>
  <c r="H154" i="66"/>
  <c r="H156" i="66"/>
  <c r="V149" i="187"/>
  <c r="Y36" i="187"/>
  <c r="H39" i="68"/>
  <c r="H65" i="66"/>
  <c r="V60" i="187"/>
  <c r="Y196" i="187"/>
  <c r="H204" i="68"/>
  <c r="H209" i="72"/>
  <c r="W201" i="187"/>
  <c r="H19" i="72"/>
  <c r="W17" i="187"/>
  <c r="H27" i="72"/>
  <c r="W24" i="187"/>
  <c r="H96" i="72"/>
  <c r="W91" i="187"/>
  <c r="H22" i="72"/>
  <c r="W19" i="187"/>
  <c r="H92" i="72"/>
  <c r="W87" i="187"/>
  <c r="W196" i="187"/>
  <c r="H204" i="72"/>
  <c r="W147" i="187"/>
  <c r="H154" i="72"/>
  <c r="H141" i="72"/>
  <c r="W135" i="187"/>
  <c r="H50" i="72"/>
  <c r="W46" i="187"/>
  <c r="H70" i="72"/>
  <c r="W65" i="187"/>
  <c r="V117" i="187"/>
  <c r="H122" i="66"/>
  <c r="H85" i="66"/>
  <c r="V80" i="187"/>
  <c r="H163" i="66"/>
  <c r="V156" i="187"/>
  <c r="V180" i="187"/>
  <c r="H188" i="66"/>
  <c r="H63" i="66"/>
  <c r="V58" i="187"/>
  <c r="V75" i="187"/>
  <c r="H80" i="66"/>
  <c r="H197" i="66"/>
  <c r="V189" i="187"/>
  <c r="H34" i="68"/>
  <c r="Y31" i="187"/>
  <c r="H113" i="68"/>
  <c r="Y108" i="187"/>
  <c r="H214" i="68"/>
  <c r="Y205" i="187"/>
  <c r="Y100" i="187"/>
  <c r="H105" i="68"/>
  <c r="H82" i="68"/>
  <c r="Y77" i="187"/>
  <c r="Y162" i="187"/>
  <c r="H169" i="68"/>
  <c r="Y142" i="187"/>
  <c r="H148" i="68"/>
  <c r="Y22" i="187"/>
  <c r="H25" i="68"/>
  <c r="Z203" i="187" l="1"/>
  <c r="F154" i="70"/>
  <c r="X147" i="187"/>
  <c r="I166" i="68"/>
  <c r="J168" i="193" s="1"/>
  <c r="AF159" i="187"/>
  <c r="AL159" i="187"/>
  <c r="AR159" i="187" s="1"/>
  <c r="X69" i="187"/>
  <c r="F74" i="70"/>
  <c r="AJ45" i="187"/>
  <c r="AD45" i="187"/>
  <c r="I49" i="72"/>
  <c r="H51" i="193" s="1"/>
  <c r="AJ63" i="187"/>
  <c r="AP63" i="187" s="1"/>
  <c r="I68" i="72"/>
  <c r="H70" i="193" s="1"/>
  <c r="AD63" i="187"/>
  <c r="X97" i="187"/>
  <c r="F102" i="70"/>
  <c r="X110" i="187"/>
  <c r="F115" i="70"/>
  <c r="I197" i="72"/>
  <c r="H199" i="193" s="1"/>
  <c r="AD189" i="187"/>
  <c r="AJ189" i="187"/>
  <c r="AP189" i="187" s="1"/>
  <c r="AC74" i="187"/>
  <c r="I79" i="66"/>
  <c r="G81" i="193" s="1"/>
  <c r="AI74" i="187"/>
  <c r="AO74" i="187" s="1"/>
  <c r="I127" i="72"/>
  <c r="H129" i="193" s="1"/>
  <c r="AD122" i="187"/>
  <c r="AJ122" i="187"/>
  <c r="AP122" i="187" s="1"/>
  <c r="F153" i="70"/>
  <c r="X146" i="187"/>
  <c r="I159" i="68"/>
  <c r="J161" i="193" s="1"/>
  <c r="AL152" i="187"/>
  <c r="AR152" i="187" s="1"/>
  <c r="AF152" i="187"/>
  <c r="X35" i="187"/>
  <c r="Z35" i="187" s="1"/>
  <c r="F38" i="70"/>
  <c r="X44" i="187"/>
  <c r="F48" i="70"/>
  <c r="X70" i="187"/>
  <c r="F75" i="70"/>
  <c r="AI121" i="187"/>
  <c r="AC121" i="187"/>
  <c r="I126" i="66"/>
  <c r="G128" i="193" s="1"/>
  <c r="AI90" i="187"/>
  <c r="AO90" i="187" s="1"/>
  <c r="AC90" i="187"/>
  <c r="I95" i="66" s="1"/>
  <c r="G97" i="193" s="1"/>
  <c r="AC97" i="187"/>
  <c r="AI97" i="187"/>
  <c r="I102" i="66"/>
  <c r="G104" i="193" s="1"/>
  <c r="I152" i="66"/>
  <c r="G154" i="193" s="1"/>
  <c r="AC145" i="187"/>
  <c r="AI145" i="187"/>
  <c r="AO145" i="187" s="1"/>
  <c r="AD103" i="187"/>
  <c r="I108" i="72"/>
  <c r="H110" i="193" s="1"/>
  <c r="AJ103" i="187"/>
  <c r="AP103" i="187" s="1"/>
  <c r="I22" i="72"/>
  <c r="H24" i="193" s="1"/>
  <c r="AJ19" i="187"/>
  <c r="AD19" i="187"/>
  <c r="AJ193" i="187"/>
  <c r="AP193" i="187" s="1"/>
  <c r="AD193" i="187"/>
  <c r="I201" i="72"/>
  <c r="H203" i="193" s="1"/>
  <c r="F200" i="70"/>
  <c r="X192" i="187"/>
  <c r="AL44" i="187"/>
  <c r="AR44" i="187" s="1"/>
  <c r="I48" i="68"/>
  <c r="J50" i="193" s="1"/>
  <c r="AF44" i="187"/>
  <c r="F52" i="70"/>
  <c r="X48" i="187"/>
  <c r="I217" i="68"/>
  <c r="J219" i="193" s="1"/>
  <c r="AL208" i="187"/>
  <c r="AR208" i="187" s="1"/>
  <c r="AF208" i="187"/>
  <c r="AC197" i="187"/>
  <c r="I205" i="66"/>
  <c r="G207" i="193" s="1"/>
  <c r="AI197" i="187"/>
  <c r="AO197" i="187" s="1"/>
  <c r="AD125" i="187"/>
  <c r="AJ125" i="187"/>
  <c r="I131" i="72"/>
  <c r="H133" i="193" s="1"/>
  <c r="AL71" i="187"/>
  <c r="AR71" i="187" s="1"/>
  <c r="AF71" i="187"/>
  <c r="I76" i="68"/>
  <c r="J78" i="193" s="1"/>
  <c r="AC183" i="187"/>
  <c r="I191" i="66"/>
  <c r="G193" i="193" s="1"/>
  <c r="AI183" i="187"/>
  <c r="AO183" i="187" s="1"/>
  <c r="AJ34" i="187"/>
  <c r="AD34" i="187"/>
  <c r="AC190" i="187"/>
  <c r="I198" i="66"/>
  <c r="G200" i="193" s="1"/>
  <c r="AI190" i="187"/>
  <c r="AO190" i="187" s="1"/>
  <c r="X106" i="187"/>
  <c r="F111" i="70"/>
  <c r="X87" i="187"/>
  <c r="F92" i="70"/>
  <c r="AF89" i="187"/>
  <c r="I94" i="68" s="1"/>
  <c r="J96" i="193" s="1"/>
  <c r="AL89" i="187"/>
  <c r="AR89" i="187" s="1"/>
  <c r="AD173" i="187"/>
  <c r="I181" i="72"/>
  <c r="H183" i="193" s="1"/>
  <c r="AJ173" i="187"/>
  <c r="AP173" i="187" s="1"/>
  <c r="AL85" i="187"/>
  <c r="AR85" i="187" s="1"/>
  <c r="AF85" i="187"/>
  <c r="I90" i="68" s="1"/>
  <c r="J92" i="193" s="1"/>
  <c r="I106" i="66"/>
  <c r="G108" i="193" s="1"/>
  <c r="AC101" i="187"/>
  <c r="AI101" i="187"/>
  <c r="AF30" i="187"/>
  <c r="I33" i="68" s="1"/>
  <c r="J35" i="193" s="1"/>
  <c r="AL30" i="187"/>
  <c r="AR30" i="187" s="1"/>
  <c r="AD91" i="187"/>
  <c r="I96" i="72" s="1"/>
  <c r="H98" i="193" s="1"/>
  <c r="AJ91" i="187"/>
  <c r="AP91" i="187" s="1"/>
  <c r="X170" i="187"/>
  <c r="F178" i="70"/>
  <c r="AF35" i="187"/>
  <c r="I38" i="68" s="1"/>
  <c r="J40" i="193" s="1"/>
  <c r="AL35" i="187"/>
  <c r="AR35" i="187" s="1"/>
  <c r="X92" i="187"/>
  <c r="F97" i="70"/>
  <c r="AJ142" i="187"/>
  <c r="AD142" i="187"/>
  <c r="I148" i="72"/>
  <c r="H150" i="193" s="1"/>
  <c r="I31" i="68"/>
  <c r="J33" i="193" s="1"/>
  <c r="AL28" i="187"/>
  <c r="AR28" i="187" s="1"/>
  <c r="AF28" i="187"/>
  <c r="I165" i="66"/>
  <c r="G167" i="193" s="1"/>
  <c r="AC158" i="187"/>
  <c r="AI158" i="187"/>
  <c r="AO158" i="187" s="1"/>
  <c r="AJ170" i="187"/>
  <c r="AP170" i="187" s="1"/>
  <c r="AD170" i="187"/>
  <c r="I178" i="72"/>
  <c r="H180" i="193" s="1"/>
  <c r="I215" i="67"/>
  <c r="F217" i="193" s="1"/>
  <c r="AB206" i="187"/>
  <c r="AH206" i="187"/>
  <c r="AD156" i="187"/>
  <c r="AJ156" i="187"/>
  <c r="AP156" i="187" s="1"/>
  <c r="I163" i="72"/>
  <c r="H165" i="193" s="1"/>
  <c r="I147" i="68"/>
  <c r="J149" i="193" s="1"/>
  <c r="AL141" i="187"/>
  <c r="AR141" i="187" s="1"/>
  <c r="AF141" i="187"/>
  <c r="AC91" i="187"/>
  <c r="I96" i="66" s="1"/>
  <c r="G98" i="193" s="1"/>
  <c r="AI91" i="187"/>
  <c r="AO91" i="187" s="1"/>
  <c r="AI11" i="187"/>
  <c r="AC11" i="187"/>
  <c r="I13" i="66"/>
  <c r="G15" i="193" s="1"/>
  <c r="AJ127" i="187"/>
  <c r="I133" i="72"/>
  <c r="H135" i="193" s="1"/>
  <c r="AD127" i="187"/>
  <c r="I174" i="68"/>
  <c r="J176" i="193" s="1"/>
  <c r="AF166" i="187"/>
  <c r="AL166" i="187"/>
  <c r="AR166" i="187" s="1"/>
  <c r="AF116" i="187"/>
  <c r="I121" i="68"/>
  <c r="J123" i="193" s="1"/>
  <c r="AL116" i="187"/>
  <c r="AR116" i="187" s="1"/>
  <c r="AJ174" i="187"/>
  <c r="AP174" i="187" s="1"/>
  <c r="I182" i="72"/>
  <c r="H184" i="193" s="1"/>
  <c r="AD174" i="187"/>
  <c r="AD176" i="187"/>
  <c r="I184" i="72"/>
  <c r="H186" i="193" s="1"/>
  <c r="AJ176" i="187"/>
  <c r="AP176" i="187" s="1"/>
  <c r="AD28" i="187"/>
  <c r="AJ28" i="187"/>
  <c r="I31" i="72"/>
  <c r="H33" i="193" s="1"/>
  <c r="I70" i="68"/>
  <c r="J72" i="193" s="1"/>
  <c r="AF65" i="187"/>
  <c r="AL65" i="187"/>
  <c r="AR65" i="187" s="1"/>
  <c r="AC88" i="187"/>
  <c r="I93" i="66" s="1"/>
  <c r="G95" i="193" s="1"/>
  <c r="AI88" i="187"/>
  <c r="AO88" i="187" s="1"/>
  <c r="I17" i="68"/>
  <c r="J19" i="193" s="1"/>
  <c r="AF15" i="187"/>
  <c r="AL15" i="187"/>
  <c r="AR15" i="187" s="1"/>
  <c r="AF162" i="187"/>
  <c r="AL162" i="187"/>
  <c r="AR162" i="187" s="1"/>
  <c r="I169" i="68"/>
  <c r="J171" i="193" s="1"/>
  <c r="AC93" i="187"/>
  <c r="I98" i="66" s="1"/>
  <c r="G100" i="193" s="1"/>
  <c r="AI93" i="187"/>
  <c r="AO93" i="187" s="1"/>
  <c r="AD66" i="187"/>
  <c r="I71" i="72"/>
  <c r="H73" i="193" s="1"/>
  <c r="AJ66" i="187"/>
  <c r="AP66" i="187" s="1"/>
  <c r="AJ8" i="187"/>
  <c r="AD8" i="187"/>
  <c r="I10" i="72"/>
  <c r="H12" i="193" s="1"/>
  <c r="AL199" i="187"/>
  <c r="AR199" i="187" s="1"/>
  <c r="AF199" i="187"/>
  <c r="I207" i="68"/>
  <c r="J209" i="193" s="1"/>
  <c r="X206" i="187"/>
  <c r="Z206" i="187" s="1"/>
  <c r="F215" i="70"/>
  <c r="F170" i="70"/>
  <c r="X163" i="187"/>
  <c r="I140" i="72"/>
  <c r="H142" i="193" s="1"/>
  <c r="AD134" i="187"/>
  <c r="AJ134" i="187"/>
  <c r="I71" i="66"/>
  <c r="G73" i="193" s="1"/>
  <c r="AC66" i="187"/>
  <c r="AI66" i="187"/>
  <c r="AO66" i="187" s="1"/>
  <c r="F127" i="70"/>
  <c r="X122" i="187"/>
  <c r="X85" i="187"/>
  <c r="F90" i="70"/>
  <c r="F65" i="70"/>
  <c r="X60" i="187"/>
  <c r="X19" i="187"/>
  <c r="F22" i="70"/>
  <c r="F73" i="70"/>
  <c r="X68" i="187"/>
  <c r="F148" i="70"/>
  <c r="X142" i="187"/>
  <c r="Z142" i="187" s="1"/>
  <c r="AJ94" i="187"/>
  <c r="AP94" i="187" s="1"/>
  <c r="AD94" i="187"/>
  <c r="I99" i="72" s="1"/>
  <c r="H101" i="193" s="1"/>
  <c r="I177" i="66"/>
  <c r="G179" i="193" s="1"/>
  <c r="AC169" i="187"/>
  <c r="AI169" i="187"/>
  <c r="AO169" i="187" s="1"/>
  <c r="I195" i="72"/>
  <c r="H197" i="193" s="1"/>
  <c r="AJ187" i="187"/>
  <c r="AP187" i="187" s="1"/>
  <c r="AD187" i="187"/>
  <c r="I84" i="68"/>
  <c r="J86" i="193" s="1"/>
  <c r="AL79" i="187"/>
  <c r="AR79" i="187" s="1"/>
  <c r="AF79" i="187"/>
  <c r="AF187" i="187"/>
  <c r="AL187" i="187"/>
  <c r="AR187" i="187" s="1"/>
  <c r="I195" i="68"/>
  <c r="J197" i="193" s="1"/>
  <c r="AJ121" i="187"/>
  <c r="AP121" i="187" s="1"/>
  <c r="I126" i="72"/>
  <c r="H128" i="193" s="1"/>
  <c r="AD121" i="187"/>
  <c r="I157" i="72"/>
  <c r="H159" i="193" s="1"/>
  <c r="AD150" i="187"/>
  <c r="AJ150" i="187"/>
  <c r="AP150" i="187" s="1"/>
  <c r="I187" i="66"/>
  <c r="G189" i="193" s="1"/>
  <c r="AI179" i="187"/>
  <c r="AO179" i="187" s="1"/>
  <c r="AC179" i="187"/>
  <c r="AL194" i="187"/>
  <c r="AR194" i="187" s="1"/>
  <c r="I202" i="68"/>
  <c r="J204" i="193" s="1"/>
  <c r="AF194" i="187"/>
  <c r="I167" i="68"/>
  <c r="J169" i="193" s="1"/>
  <c r="AL160" i="187"/>
  <c r="AR160" i="187" s="1"/>
  <c r="AF160" i="187"/>
  <c r="AF93" i="187"/>
  <c r="I98" i="68" s="1"/>
  <c r="J100" i="193" s="1"/>
  <c r="AL93" i="187"/>
  <c r="AR93" i="187" s="1"/>
  <c r="AJ197" i="187"/>
  <c r="AP197" i="187" s="1"/>
  <c r="AD197" i="187"/>
  <c r="I205" i="72"/>
  <c r="H207" i="193" s="1"/>
  <c r="AF195" i="187"/>
  <c r="I203" i="68"/>
  <c r="J205" i="193" s="1"/>
  <c r="AL195" i="187"/>
  <c r="AR195" i="187" s="1"/>
  <c r="AC186" i="187"/>
  <c r="AI186" i="187"/>
  <c r="AO186" i="187" s="1"/>
  <c r="I194" i="66"/>
  <c r="G196" i="193" s="1"/>
  <c r="AJ33" i="187"/>
  <c r="AD33" i="187"/>
  <c r="AL165" i="187"/>
  <c r="AR165" i="187" s="1"/>
  <c r="AF165" i="187"/>
  <c r="I173" i="68"/>
  <c r="J175" i="193" s="1"/>
  <c r="AL77" i="187"/>
  <c r="AR77" i="187" s="1"/>
  <c r="I82" i="68"/>
  <c r="J84" i="193" s="1"/>
  <c r="AF77" i="187"/>
  <c r="AI80" i="187"/>
  <c r="AO80" i="187" s="1"/>
  <c r="I85" i="66"/>
  <c r="G87" i="193" s="1"/>
  <c r="AC80" i="187"/>
  <c r="I27" i="72"/>
  <c r="H29" i="193" s="1"/>
  <c r="AJ24" i="187"/>
  <c r="AD24" i="187"/>
  <c r="AI175" i="187"/>
  <c r="AO175" i="187" s="1"/>
  <c r="I183" i="66"/>
  <c r="G185" i="193" s="1"/>
  <c r="AC175" i="187"/>
  <c r="I197" i="68"/>
  <c r="J199" i="193" s="1"/>
  <c r="AF189" i="187"/>
  <c r="AL189" i="187"/>
  <c r="AR189" i="187" s="1"/>
  <c r="AD76" i="187"/>
  <c r="AJ76" i="187"/>
  <c r="AP76" i="187" s="1"/>
  <c r="I81" i="72"/>
  <c r="H83" i="193" s="1"/>
  <c r="F182" i="70"/>
  <c r="X174" i="187"/>
  <c r="F187" i="70"/>
  <c r="X179" i="187"/>
  <c r="AD191" i="187"/>
  <c r="AJ191" i="187"/>
  <c r="AP191" i="187" s="1"/>
  <c r="I199" i="72"/>
  <c r="H201" i="193" s="1"/>
  <c r="AJ205" i="187"/>
  <c r="AP205" i="187" s="1"/>
  <c r="I214" i="72"/>
  <c r="H216" i="193" s="1"/>
  <c r="AD205" i="187"/>
  <c r="I165" i="68"/>
  <c r="J167" i="193" s="1"/>
  <c r="AL158" i="187"/>
  <c r="AR158" i="187" s="1"/>
  <c r="AF158" i="187"/>
  <c r="AI114" i="187"/>
  <c r="I119" i="66"/>
  <c r="G121" i="193" s="1"/>
  <c r="AC114" i="187"/>
  <c r="F18" i="70"/>
  <c r="X16" i="187"/>
  <c r="Z16" i="187" s="1"/>
  <c r="X22" i="187"/>
  <c r="Z22" i="187" s="1"/>
  <c r="F25" i="70"/>
  <c r="F137" i="70"/>
  <c r="X131" i="187"/>
  <c r="F131" i="70"/>
  <c r="X125" i="187"/>
  <c r="Z125" i="187" s="1"/>
  <c r="F34" i="70"/>
  <c r="X31" i="187"/>
  <c r="X23" i="187"/>
  <c r="Z23" i="187" s="1"/>
  <c r="F26" i="70"/>
  <c r="I24" i="68"/>
  <c r="J26" i="193" s="1"/>
  <c r="AL21" i="187"/>
  <c r="AR21" i="187" s="1"/>
  <c r="AF21" i="187"/>
  <c r="I28" i="72"/>
  <c r="H30" i="193" s="1"/>
  <c r="AD25" i="187"/>
  <c r="AJ25" i="187"/>
  <c r="I217" i="72"/>
  <c r="H219" i="193" s="1"/>
  <c r="AJ208" i="187"/>
  <c r="AP208" i="187" s="1"/>
  <c r="AD208" i="187"/>
  <c r="I83" i="66"/>
  <c r="G85" i="193" s="1"/>
  <c r="AI78" i="187"/>
  <c r="AO78" i="187" s="1"/>
  <c r="AC78" i="187"/>
  <c r="I115" i="72"/>
  <c r="H117" i="193" s="1"/>
  <c r="AJ110" i="187"/>
  <c r="AP110" i="187" s="1"/>
  <c r="AD110" i="187"/>
  <c r="AF139" i="187"/>
  <c r="AL139" i="187"/>
  <c r="AR139" i="187" s="1"/>
  <c r="I145" i="68"/>
  <c r="J147" i="193" s="1"/>
  <c r="AF88" i="187"/>
  <c r="I93" i="68" s="1"/>
  <c r="J95" i="193" s="1"/>
  <c r="AL88" i="187"/>
  <c r="AR88" i="187" s="1"/>
  <c r="I155" i="68"/>
  <c r="J157" i="193" s="1"/>
  <c r="AL148" i="187"/>
  <c r="AR148" i="187" s="1"/>
  <c r="AF148" i="187"/>
  <c r="AL98" i="187"/>
  <c r="AR98" i="187" s="1"/>
  <c r="I103" i="68"/>
  <c r="J105" i="193" s="1"/>
  <c r="AF98" i="187"/>
  <c r="I66" i="66"/>
  <c r="G68" i="193" s="1"/>
  <c r="AI61" i="187"/>
  <c r="AO61" i="187" s="1"/>
  <c r="AC61" i="187"/>
  <c r="AD141" i="187"/>
  <c r="AJ141" i="187"/>
  <c r="I147" i="72"/>
  <c r="H149" i="193" s="1"/>
  <c r="I66" i="72"/>
  <c r="H68" i="193" s="1"/>
  <c r="AD61" i="187"/>
  <c r="AJ61" i="187"/>
  <c r="AP61" i="187" s="1"/>
  <c r="AI113" i="187"/>
  <c r="I118" i="66"/>
  <c r="G120" i="193" s="1"/>
  <c r="AC113" i="187"/>
  <c r="AJ31" i="187"/>
  <c r="AD31" i="187"/>
  <c r="I215" i="66"/>
  <c r="G217" i="193" s="1"/>
  <c r="AI206" i="187"/>
  <c r="AO206" i="187" s="1"/>
  <c r="AC206" i="187"/>
  <c r="AF38" i="187"/>
  <c r="I41" i="68" s="1"/>
  <c r="J43" i="193" s="1"/>
  <c r="AL38" i="187"/>
  <c r="AR38" i="187" s="1"/>
  <c r="AL43" i="187"/>
  <c r="AR43" i="187" s="1"/>
  <c r="I47" i="68"/>
  <c r="J49" i="193" s="1"/>
  <c r="AF43" i="187"/>
  <c r="AI77" i="187"/>
  <c r="AO77" i="187" s="1"/>
  <c r="AC77" i="187"/>
  <c r="I82" i="66"/>
  <c r="G84" i="193" s="1"/>
  <c r="I74" i="72"/>
  <c r="H76" i="193" s="1"/>
  <c r="AD69" i="187"/>
  <c r="AJ69" i="187"/>
  <c r="AP69" i="187" s="1"/>
  <c r="AL137" i="187"/>
  <c r="AR137" i="187" s="1"/>
  <c r="I143" i="68"/>
  <c r="J145" i="193" s="1"/>
  <c r="AF137" i="187"/>
  <c r="AC147" i="187"/>
  <c r="I154" i="66"/>
  <c r="G156" i="193" s="1"/>
  <c r="AI147" i="187"/>
  <c r="AO147" i="187" s="1"/>
  <c r="AL72" i="187"/>
  <c r="AR72" i="187" s="1"/>
  <c r="I77" i="68"/>
  <c r="J79" i="193" s="1"/>
  <c r="AF72" i="187"/>
  <c r="AL12" i="187"/>
  <c r="AR12" i="187" s="1"/>
  <c r="I14" i="68"/>
  <c r="J16" i="193" s="1"/>
  <c r="AF12" i="187"/>
  <c r="F130" i="70"/>
  <c r="X124" i="187"/>
  <c r="Z124" i="187" s="1"/>
  <c r="AF16" i="187"/>
  <c r="I18" i="68"/>
  <c r="J20" i="193" s="1"/>
  <c r="AL16" i="187"/>
  <c r="AR16" i="187" s="1"/>
  <c r="AF106" i="187"/>
  <c r="I111" i="68"/>
  <c r="J113" i="193" s="1"/>
  <c r="AL106" i="187"/>
  <c r="AR106" i="187" s="1"/>
  <c r="F45" i="70"/>
  <c r="X41" i="187"/>
  <c r="AD41" i="187"/>
  <c r="I45" i="72"/>
  <c r="H47" i="193" s="1"/>
  <c r="AJ41" i="187"/>
  <c r="I178" i="68"/>
  <c r="J180" i="193" s="1"/>
  <c r="AF170" i="187"/>
  <c r="AL170" i="187"/>
  <c r="AR170" i="187" s="1"/>
  <c r="AJ60" i="187"/>
  <c r="AP60" i="187" s="1"/>
  <c r="AD60" i="187"/>
  <c r="I65" i="72"/>
  <c r="H67" i="193" s="1"/>
  <c r="AC117" i="187"/>
  <c r="AI117" i="187"/>
  <c r="I122" i="66"/>
  <c r="G124" i="193" s="1"/>
  <c r="I16" i="68"/>
  <c r="J18" i="193" s="1"/>
  <c r="AF14" i="187"/>
  <c r="AL14" i="187"/>
  <c r="AR14" i="187" s="1"/>
  <c r="AJ54" i="187"/>
  <c r="I58" i="72"/>
  <c r="H60" i="193" s="1"/>
  <c r="AD54" i="187"/>
  <c r="AF41" i="187"/>
  <c r="I45" i="68"/>
  <c r="J47" i="193" s="1"/>
  <c r="AL41" i="187"/>
  <c r="AR41" i="187" s="1"/>
  <c r="F174" i="70"/>
  <c r="X166" i="187"/>
  <c r="F180" i="70"/>
  <c r="X172" i="187"/>
  <c r="AC166" i="187"/>
  <c r="I174" i="66"/>
  <c r="G176" i="193" s="1"/>
  <c r="AI166" i="187"/>
  <c r="AO166" i="187" s="1"/>
  <c r="AF45" i="187"/>
  <c r="AL45" i="187"/>
  <c r="AR45" i="187" s="1"/>
  <c r="I49" i="68"/>
  <c r="J51" i="193" s="1"/>
  <c r="X26" i="187"/>
  <c r="Z26" i="187" s="1"/>
  <c r="F29" i="70"/>
  <c r="X21" i="187"/>
  <c r="Z21" i="187" s="1"/>
  <c r="F24" i="70"/>
  <c r="F83" i="70"/>
  <c r="X78" i="187"/>
  <c r="X47" i="187"/>
  <c r="Z47" i="187" s="1"/>
  <c r="F51" i="70"/>
  <c r="F147" i="70"/>
  <c r="X141" i="187"/>
  <c r="F68" i="70"/>
  <c r="X63" i="187"/>
  <c r="AF86" i="187"/>
  <c r="I91" i="68" s="1"/>
  <c r="J93" i="193" s="1"/>
  <c r="AL86" i="187"/>
  <c r="AR86" i="187" s="1"/>
  <c r="AC92" i="187"/>
  <c r="I97" i="66" s="1"/>
  <c r="G99" i="193" s="1"/>
  <c r="AI92" i="187"/>
  <c r="AO92" i="187" s="1"/>
  <c r="AF58" i="187"/>
  <c r="AL58" i="187"/>
  <c r="AR58" i="187" s="1"/>
  <c r="I63" i="68"/>
  <c r="J65" i="193" s="1"/>
  <c r="AD43" i="187"/>
  <c r="AJ43" i="187"/>
  <c r="I47" i="72"/>
  <c r="H49" i="193" s="1"/>
  <c r="I192" i="68"/>
  <c r="J194" i="193" s="1"/>
  <c r="AF184" i="187"/>
  <c r="AL184" i="187"/>
  <c r="AR184" i="187" s="1"/>
  <c r="I77" i="66"/>
  <c r="G79" i="193" s="1"/>
  <c r="AI72" i="187"/>
  <c r="AO72" i="187" s="1"/>
  <c r="AC72" i="187"/>
  <c r="AL131" i="187"/>
  <c r="AR131" i="187" s="1"/>
  <c r="I137" i="68"/>
  <c r="J139" i="193" s="1"/>
  <c r="AF131" i="187"/>
  <c r="AC200" i="187"/>
  <c r="AI200" i="187"/>
  <c r="AO200" i="187" s="1"/>
  <c r="I208" i="66"/>
  <c r="G210" i="193" s="1"/>
  <c r="AL134" i="187"/>
  <c r="AR134" i="187" s="1"/>
  <c r="AF134" i="187"/>
  <c r="I140" i="68"/>
  <c r="J142" i="193" s="1"/>
  <c r="AI160" i="187"/>
  <c r="AO160" i="187" s="1"/>
  <c r="AC160" i="187"/>
  <c r="I167" i="66"/>
  <c r="G169" i="193" s="1"/>
  <c r="AJ206" i="187"/>
  <c r="AP206" i="187" s="1"/>
  <c r="AD206" i="187"/>
  <c r="I215" i="72"/>
  <c r="H217" i="193" s="1"/>
  <c r="AL68" i="187"/>
  <c r="AR68" i="187" s="1"/>
  <c r="AF68" i="187"/>
  <c r="I73" i="68"/>
  <c r="J75" i="193" s="1"/>
  <c r="AL140" i="187"/>
  <c r="AR140" i="187" s="1"/>
  <c r="AF140" i="187"/>
  <c r="I146" i="68"/>
  <c r="J148" i="193" s="1"/>
  <c r="AD159" i="187"/>
  <c r="I166" i="72"/>
  <c r="H168" i="193" s="1"/>
  <c r="AJ159" i="187"/>
  <c r="AP159" i="187" s="1"/>
  <c r="I180" i="72"/>
  <c r="H182" i="193" s="1"/>
  <c r="AJ172" i="187"/>
  <c r="AP172" i="187" s="1"/>
  <c r="AD172" i="187"/>
  <c r="AF20" i="187"/>
  <c r="I23" i="68"/>
  <c r="J25" i="193" s="1"/>
  <c r="AL20" i="187"/>
  <c r="AR20" i="187" s="1"/>
  <c r="AI68" i="187"/>
  <c r="AO68" i="187" s="1"/>
  <c r="I73" i="66"/>
  <c r="G75" i="193" s="1"/>
  <c r="AC68" i="187"/>
  <c r="I162" i="72"/>
  <c r="H164" i="193" s="1"/>
  <c r="AJ155" i="187"/>
  <c r="AP155" i="187" s="1"/>
  <c r="AD155" i="187"/>
  <c r="AF61" i="187"/>
  <c r="I66" i="68"/>
  <c r="J68" i="193" s="1"/>
  <c r="AL61" i="187"/>
  <c r="AR61" i="187" s="1"/>
  <c r="I116" i="72"/>
  <c r="H118" i="193" s="1"/>
  <c r="AD111" i="187"/>
  <c r="AJ111" i="187"/>
  <c r="AP111" i="187" s="1"/>
  <c r="AC71" i="187"/>
  <c r="AI71" i="187"/>
  <c r="AO71" i="187" s="1"/>
  <c r="I76" i="66"/>
  <c r="G78" i="193" s="1"/>
  <c r="AJ186" i="187"/>
  <c r="AP186" i="187" s="1"/>
  <c r="AD186" i="187"/>
  <c r="I194" i="72"/>
  <c r="H196" i="193" s="1"/>
  <c r="AD72" i="187"/>
  <c r="AJ72" i="187"/>
  <c r="AP72" i="187" s="1"/>
  <c r="I77" i="72"/>
  <c r="H79" i="193" s="1"/>
  <c r="AL22" i="187"/>
  <c r="AR22" i="187" s="1"/>
  <c r="I25" i="68"/>
  <c r="J27" i="193" s="1"/>
  <c r="AF22" i="187"/>
  <c r="I113" i="66"/>
  <c r="G115" i="193" s="1"/>
  <c r="AC108" i="187"/>
  <c r="AI108" i="187"/>
  <c r="AD108" i="187"/>
  <c r="I113" i="72"/>
  <c r="H115" i="193" s="1"/>
  <c r="AJ108" i="187"/>
  <c r="AP108" i="187" s="1"/>
  <c r="AC120" i="187"/>
  <c r="I125" i="66"/>
  <c r="G127" i="193" s="1"/>
  <c r="AI120" i="187"/>
  <c r="AC10" i="187"/>
  <c r="AI10" i="187"/>
  <c r="I12" i="66"/>
  <c r="G14" i="193" s="1"/>
  <c r="I176" i="66"/>
  <c r="G178" i="193" s="1"/>
  <c r="AI168" i="187"/>
  <c r="AO168" i="187" s="1"/>
  <c r="AC168" i="187"/>
  <c r="AD160" i="187"/>
  <c r="AJ160" i="187"/>
  <c r="AP160" i="187" s="1"/>
  <c r="I167" i="72"/>
  <c r="H169" i="193" s="1"/>
  <c r="F104" i="70"/>
  <c r="X99" i="187"/>
  <c r="Z99" i="187" s="1"/>
  <c r="AF37" i="187"/>
  <c r="I40" i="68" s="1"/>
  <c r="J42" i="193" s="1"/>
  <c r="AL37" i="187"/>
  <c r="AR37" i="187" s="1"/>
  <c r="I16" i="72"/>
  <c r="H18" i="193" s="1"/>
  <c r="AJ14" i="187"/>
  <c r="AD14" i="187"/>
  <c r="I103" i="66"/>
  <c r="G105" i="193" s="1"/>
  <c r="AI98" i="187"/>
  <c r="AC98" i="187"/>
  <c r="I209" i="72"/>
  <c r="H211" i="193" s="1"/>
  <c r="AJ201" i="187"/>
  <c r="AP201" i="187" s="1"/>
  <c r="AD201" i="187"/>
  <c r="AJ131" i="187"/>
  <c r="I137" i="72"/>
  <c r="H139" i="193" s="1"/>
  <c r="AD131" i="187"/>
  <c r="AC81" i="187"/>
  <c r="AI81" i="187"/>
  <c r="AO81" i="187" s="1"/>
  <c r="I86" i="66"/>
  <c r="G88" i="193" s="1"/>
  <c r="F208" i="70"/>
  <c r="X200" i="187"/>
  <c r="F167" i="70"/>
  <c r="X160" i="187"/>
  <c r="X181" i="187"/>
  <c r="F189" i="70"/>
  <c r="AJ119" i="187"/>
  <c r="AP119" i="187" s="1"/>
  <c r="I124" i="72"/>
  <c r="H126" i="193" s="1"/>
  <c r="AD119" i="187"/>
  <c r="AC184" i="187"/>
  <c r="AI184" i="187"/>
  <c r="AO184" i="187" s="1"/>
  <c r="I192" i="66"/>
  <c r="G194" i="193" s="1"/>
  <c r="X138" i="187"/>
  <c r="Z138" i="187" s="1"/>
  <c r="F144" i="70"/>
  <c r="F140" i="70"/>
  <c r="X134" i="187"/>
  <c r="Z134" i="187" s="1"/>
  <c r="X37" i="187"/>
  <c r="F40" i="70"/>
  <c r="X120" i="187"/>
  <c r="F125" i="70"/>
  <c r="F10" i="70"/>
  <c r="X8" i="187"/>
  <c r="Z8" i="187" s="1"/>
  <c r="X81" i="187"/>
  <c r="F86" i="70"/>
  <c r="AJ23" i="187"/>
  <c r="I26" i="72"/>
  <c r="H28" i="193" s="1"/>
  <c r="AD23" i="187"/>
  <c r="I104" i="68"/>
  <c r="J106" i="193" s="1"/>
  <c r="AF99" i="187"/>
  <c r="AL99" i="187"/>
  <c r="AR99" i="187" s="1"/>
  <c r="AD37" i="187"/>
  <c r="AJ37" i="187"/>
  <c r="AI119" i="187"/>
  <c r="AC119" i="187"/>
  <c r="I124" i="66"/>
  <c r="G126" i="193" s="1"/>
  <c r="AD97" i="187"/>
  <c r="AJ97" i="187"/>
  <c r="AP97" i="187" s="1"/>
  <c r="I102" i="72"/>
  <c r="H104" i="193" s="1"/>
  <c r="AI82" i="187"/>
  <c r="AO82" i="187" s="1"/>
  <c r="AC82" i="187"/>
  <c r="I87" i="66"/>
  <c r="G89" i="193" s="1"/>
  <c r="AP203" i="187"/>
  <c r="G20" i="181" s="1"/>
  <c r="AL145" i="187"/>
  <c r="AR145" i="187" s="1"/>
  <c r="AF145" i="187"/>
  <c r="I152" i="68"/>
  <c r="J154" i="193" s="1"/>
  <c r="AC64" i="187"/>
  <c r="I69" i="66"/>
  <c r="G71" i="193" s="1"/>
  <c r="AI64" i="187"/>
  <c r="AO64" i="187" s="1"/>
  <c r="AF167" i="187"/>
  <c r="I175" i="68"/>
  <c r="J177" i="193" s="1"/>
  <c r="AL167" i="187"/>
  <c r="AR167" i="187" s="1"/>
  <c r="AD165" i="187"/>
  <c r="AJ165" i="187"/>
  <c r="AP165" i="187" s="1"/>
  <c r="I173" i="72"/>
  <c r="H175" i="193" s="1"/>
  <c r="I75" i="66"/>
  <c r="G77" i="193" s="1"/>
  <c r="AI70" i="187"/>
  <c r="AO70" i="187" s="1"/>
  <c r="AC70" i="187"/>
  <c r="I87" i="68"/>
  <c r="J89" i="193" s="1"/>
  <c r="AL82" i="187"/>
  <c r="AR82" i="187" s="1"/>
  <c r="AF82" i="187"/>
  <c r="I170" i="68"/>
  <c r="J172" i="193" s="1"/>
  <c r="AL163" i="187"/>
  <c r="AR163" i="187" s="1"/>
  <c r="AF163" i="187"/>
  <c r="I209" i="68"/>
  <c r="J211" i="193" s="1"/>
  <c r="AL201" i="187"/>
  <c r="AR201" i="187" s="1"/>
  <c r="AF201" i="187"/>
  <c r="F114" i="70"/>
  <c r="X109" i="187"/>
  <c r="AF11" i="187"/>
  <c r="AL11" i="187"/>
  <c r="AR11" i="187" s="1"/>
  <c r="I13" i="68"/>
  <c r="J15" i="193" s="1"/>
  <c r="I212" i="68"/>
  <c r="J214" i="193" s="1"/>
  <c r="AL203" i="187"/>
  <c r="AR203" i="187" s="1"/>
  <c r="I20" i="181" s="1"/>
  <c r="AF203" i="187"/>
  <c r="AI188" i="187"/>
  <c r="AO188" i="187" s="1"/>
  <c r="AC188" i="187"/>
  <c r="I196" i="66"/>
  <c r="G198" i="193" s="1"/>
  <c r="AF34" i="187"/>
  <c r="I37" i="68" s="1"/>
  <c r="J39" i="193" s="1"/>
  <c r="AL34" i="187"/>
  <c r="AR34" i="187" s="1"/>
  <c r="AL51" i="187"/>
  <c r="AR51" i="187" s="1"/>
  <c r="AF51" i="187"/>
  <c r="I55" i="68"/>
  <c r="J57" i="193" s="1"/>
  <c r="X187" i="187"/>
  <c r="F195" i="70"/>
  <c r="X191" i="187"/>
  <c r="F199" i="70"/>
  <c r="F164" i="70"/>
  <c r="X157" i="187"/>
  <c r="AD81" i="187"/>
  <c r="I86" i="72"/>
  <c r="H88" i="193" s="1"/>
  <c r="AJ81" i="187"/>
  <c r="AP81" i="187" s="1"/>
  <c r="AC157" i="187"/>
  <c r="AI157" i="187"/>
  <c r="AO157" i="187" s="1"/>
  <c r="I164" i="66"/>
  <c r="G166" i="193" s="1"/>
  <c r="AI152" i="187"/>
  <c r="AO152" i="187" s="1"/>
  <c r="AC152" i="187"/>
  <c r="I159" i="66"/>
  <c r="G161" i="193" s="1"/>
  <c r="AF91" i="187"/>
  <c r="I96" i="68" s="1"/>
  <c r="J98" i="193" s="1"/>
  <c r="AL91" i="187"/>
  <c r="AR91" i="187" s="1"/>
  <c r="F103" i="70"/>
  <c r="X98" i="187"/>
  <c r="X72" i="187"/>
  <c r="F77" i="70"/>
  <c r="F124" i="70"/>
  <c r="X119" i="187"/>
  <c r="F14" i="70"/>
  <c r="X12" i="187"/>
  <c r="Z12" i="187" s="1"/>
  <c r="F82" i="70"/>
  <c r="X77" i="187"/>
  <c r="F145" i="70"/>
  <c r="X139" i="187"/>
  <c r="Z139" i="187" s="1"/>
  <c r="AJ178" i="187"/>
  <c r="AP178" i="187" s="1"/>
  <c r="I186" i="72"/>
  <c r="H188" i="193" s="1"/>
  <c r="AD178" i="187"/>
  <c r="AH205" i="187"/>
  <c r="I214" i="67"/>
  <c r="F216" i="193" s="1"/>
  <c r="AB205" i="187"/>
  <c r="I156" i="68"/>
  <c r="J158" i="193" s="1"/>
  <c r="AL149" i="187"/>
  <c r="AR149" i="187" s="1"/>
  <c r="AF149" i="187"/>
  <c r="AI63" i="187"/>
  <c r="AO63" i="187" s="1"/>
  <c r="AC63" i="187"/>
  <c r="I68" i="66"/>
  <c r="G70" i="193" s="1"/>
  <c r="I120" i="68"/>
  <c r="J122" i="193" s="1"/>
  <c r="AF115" i="187"/>
  <c r="AL115" i="187"/>
  <c r="AR115" i="187" s="1"/>
  <c r="AF48" i="187"/>
  <c r="I52" i="68"/>
  <c r="J54" i="193" s="1"/>
  <c r="AL48" i="187"/>
  <c r="AR48" i="187" s="1"/>
  <c r="I138" i="68"/>
  <c r="J140" i="193" s="1"/>
  <c r="AL132" i="187"/>
  <c r="AR132" i="187" s="1"/>
  <c r="AF132" i="187"/>
  <c r="AF198" i="187"/>
  <c r="AL198" i="187"/>
  <c r="AR198" i="187" s="1"/>
  <c r="I206" i="68"/>
  <c r="J208" i="193" s="1"/>
  <c r="AC118" i="187"/>
  <c r="I123" i="66"/>
  <c r="G125" i="193" s="1"/>
  <c r="AI118" i="187"/>
  <c r="I201" i="68"/>
  <c r="J203" i="193" s="1"/>
  <c r="AF193" i="187"/>
  <c r="AL193" i="187"/>
  <c r="AR193" i="187" s="1"/>
  <c r="I28" i="68"/>
  <c r="J30" i="193" s="1"/>
  <c r="AF25" i="187"/>
  <c r="AL25" i="187"/>
  <c r="AR25" i="187" s="1"/>
  <c r="I70" i="66"/>
  <c r="G72" i="193" s="1"/>
  <c r="AC65" i="187"/>
  <c r="AI65" i="187"/>
  <c r="AO65" i="187" s="1"/>
  <c r="AJ51" i="187"/>
  <c r="AD51" i="187"/>
  <c r="I55" i="72"/>
  <c r="H57" i="193" s="1"/>
  <c r="AL8" i="187"/>
  <c r="I10" i="68"/>
  <c r="J12" i="193" s="1"/>
  <c r="AF8" i="187"/>
  <c r="I18" i="72"/>
  <c r="H20" i="193" s="1"/>
  <c r="AJ16" i="187"/>
  <c r="AD16" i="187"/>
  <c r="AC89" i="187"/>
  <c r="I94" i="66" s="1"/>
  <c r="G96" i="193" s="1"/>
  <c r="AI89" i="187"/>
  <c r="AO89" i="187" s="1"/>
  <c r="I198" i="72"/>
  <c r="H200" i="193" s="1"/>
  <c r="AD190" i="187"/>
  <c r="AJ190" i="187"/>
  <c r="AP190" i="187" s="1"/>
  <c r="I183" i="68"/>
  <c r="J185" i="193" s="1"/>
  <c r="AF175" i="187"/>
  <c r="AL175" i="187"/>
  <c r="AR175" i="187" s="1"/>
  <c r="AJ87" i="187"/>
  <c r="AP87" i="187" s="1"/>
  <c r="AD87" i="187"/>
  <c r="I92" i="72" s="1"/>
  <c r="H94" i="193" s="1"/>
  <c r="AJ115" i="187"/>
  <c r="AP115" i="187" s="1"/>
  <c r="I120" i="72"/>
  <c r="H122" i="193" s="1"/>
  <c r="AD115" i="187"/>
  <c r="X116" i="187"/>
  <c r="F121" i="70"/>
  <c r="F118" i="70"/>
  <c r="X113" i="187"/>
  <c r="Z113" i="187" s="1"/>
  <c r="I14" i="66"/>
  <c r="G16" i="193" s="1"/>
  <c r="AI12" i="187"/>
  <c r="AC12" i="187"/>
  <c r="AL33" i="187"/>
  <c r="AR33" i="187" s="1"/>
  <c r="AF33" i="187"/>
  <c r="I36" i="68" s="1"/>
  <c r="J38" i="193" s="1"/>
  <c r="X83" i="187"/>
  <c r="F88" i="70"/>
  <c r="AF80" i="187"/>
  <c r="I85" i="68"/>
  <c r="J87" i="193" s="1"/>
  <c r="AL80" i="187"/>
  <c r="AR80" i="187" s="1"/>
  <c r="AC159" i="187"/>
  <c r="AI159" i="187"/>
  <c r="AO159" i="187" s="1"/>
  <c r="I166" i="66"/>
  <c r="G168" i="193" s="1"/>
  <c r="AL117" i="187"/>
  <c r="AR117" i="187" s="1"/>
  <c r="I122" i="68"/>
  <c r="J124" i="193" s="1"/>
  <c r="AF117" i="187"/>
  <c r="X158" i="187"/>
  <c r="F165" i="70"/>
  <c r="X194" i="187"/>
  <c r="F202" i="70"/>
  <c r="F162" i="70"/>
  <c r="X155" i="187"/>
  <c r="I24" i="72"/>
  <c r="H26" i="193" s="1"/>
  <c r="AD21" i="187"/>
  <c r="AJ21" i="187"/>
  <c r="X55" i="187"/>
  <c r="F59" i="70"/>
  <c r="X10" i="187"/>
  <c r="F12" i="70"/>
  <c r="F79" i="70"/>
  <c r="X74" i="187"/>
  <c r="F16" i="70"/>
  <c r="X14" i="187"/>
  <c r="X104" i="187"/>
  <c r="Z104" i="187" s="1"/>
  <c r="F109" i="70"/>
  <c r="F60" i="70"/>
  <c r="X56" i="187"/>
  <c r="Z56" i="187" s="1"/>
  <c r="I12" i="68"/>
  <c r="J14" i="193" s="1"/>
  <c r="AL10" i="187"/>
  <c r="AR10" i="187" s="1"/>
  <c r="AF10" i="187"/>
  <c r="AL124" i="187"/>
  <c r="AR124" i="187" s="1"/>
  <c r="AF124" i="187"/>
  <c r="I130" i="68"/>
  <c r="J132" i="193" s="1"/>
  <c r="I88" i="68"/>
  <c r="J90" i="193" s="1"/>
  <c r="AF83" i="187"/>
  <c r="AL83" i="187"/>
  <c r="AR83" i="187" s="1"/>
  <c r="AD116" i="187"/>
  <c r="I121" i="72"/>
  <c r="H123" i="193" s="1"/>
  <c r="AJ116" i="187"/>
  <c r="AP116" i="187" s="1"/>
  <c r="AJ35" i="187"/>
  <c r="AD35" i="187"/>
  <c r="G212" i="70"/>
  <c r="I214" i="193" s="1"/>
  <c r="AE203" i="187"/>
  <c r="AK203" i="187"/>
  <c r="AQ203" i="187" s="1"/>
  <c r="H20" i="181" s="1"/>
  <c r="AD166" i="187"/>
  <c r="I174" i="72"/>
  <c r="H176" i="193" s="1"/>
  <c r="AJ166" i="187"/>
  <c r="AP166" i="187" s="1"/>
  <c r="AD12" i="187"/>
  <c r="AJ12" i="187"/>
  <c r="AP12" i="187" s="1"/>
  <c r="I14" i="72"/>
  <c r="H16" i="193" s="1"/>
  <c r="AL154" i="187"/>
  <c r="AR154" i="187" s="1"/>
  <c r="AF154" i="187"/>
  <c r="I161" i="68"/>
  <c r="J163" i="193" s="1"/>
  <c r="AJ106" i="187"/>
  <c r="AP106" i="187" s="1"/>
  <c r="I111" i="72"/>
  <c r="H113" i="193" s="1"/>
  <c r="AD106" i="187"/>
  <c r="AF157" i="187"/>
  <c r="I164" i="68"/>
  <c r="J166" i="193" s="1"/>
  <c r="AL157" i="187"/>
  <c r="AR157" i="187" s="1"/>
  <c r="AD148" i="187"/>
  <c r="I155" i="72"/>
  <c r="H157" i="193" s="1"/>
  <c r="AJ148" i="187"/>
  <c r="AP148" i="187" s="1"/>
  <c r="AJ120" i="187"/>
  <c r="AP120" i="187" s="1"/>
  <c r="AD120" i="187"/>
  <c r="I125" i="72"/>
  <c r="H127" i="193" s="1"/>
  <c r="AJ157" i="187"/>
  <c r="AP157" i="187" s="1"/>
  <c r="I164" i="72"/>
  <c r="H166" i="193" s="1"/>
  <c r="AD157" i="187"/>
  <c r="AF96" i="187"/>
  <c r="I101" i="68"/>
  <c r="J103" i="193" s="1"/>
  <c r="AL96" i="187"/>
  <c r="AR96" i="187" s="1"/>
  <c r="I202" i="72"/>
  <c r="H204" i="193" s="1"/>
  <c r="AJ194" i="187"/>
  <c r="AP194" i="187" s="1"/>
  <c r="AD194" i="187"/>
  <c r="AD88" i="187"/>
  <c r="I93" i="72" s="1"/>
  <c r="H95" i="193" s="1"/>
  <c r="AJ88" i="187"/>
  <c r="AP88" i="187" s="1"/>
  <c r="AF186" i="187"/>
  <c r="AL186" i="187"/>
  <c r="AR186" i="187" s="1"/>
  <c r="I194" i="68"/>
  <c r="J196" i="193" s="1"/>
  <c r="I135" i="72"/>
  <c r="H137" i="193" s="1"/>
  <c r="AD129" i="187"/>
  <c r="AJ129" i="187"/>
  <c r="AJ11" i="187"/>
  <c r="AP11" i="187" s="1"/>
  <c r="AD11" i="187"/>
  <c r="I13" i="72"/>
  <c r="H15" i="193" s="1"/>
  <c r="AI115" i="187"/>
  <c r="AC115" i="187"/>
  <c r="I120" i="66"/>
  <c r="G122" i="193" s="1"/>
  <c r="AF27" i="187"/>
  <c r="I30" i="68"/>
  <c r="J32" i="193" s="1"/>
  <c r="AL27" i="187"/>
  <c r="AR27" i="187" s="1"/>
  <c r="X121" i="187"/>
  <c r="Z121" i="187" s="1"/>
  <c r="F126" i="70"/>
  <c r="I146" i="72"/>
  <c r="H148" i="193" s="1"/>
  <c r="AD140" i="187"/>
  <c r="AJ140" i="187"/>
  <c r="AL59" i="187"/>
  <c r="AR59" i="187" s="1"/>
  <c r="I64" i="68"/>
  <c r="J66" i="193" s="1"/>
  <c r="AF59" i="187"/>
  <c r="I204" i="68"/>
  <c r="J206" i="193" s="1"/>
  <c r="AF196" i="187"/>
  <c r="AL196" i="187"/>
  <c r="AR196" i="187" s="1"/>
  <c r="AI181" i="187"/>
  <c r="AO181" i="187" s="1"/>
  <c r="AC181" i="187"/>
  <c r="I189" i="66"/>
  <c r="G191" i="193" s="1"/>
  <c r="F161" i="70"/>
  <c r="X154" i="187"/>
  <c r="F207" i="70"/>
  <c r="X199" i="187"/>
  <c r="F176" i="70"/>
  <c r="X168" i="187"/>
  <c r="AF32" i="187"/>
  <c r="I35" i="68" s="1"/>
  <c r="J37" i="193" s="1"/>
  <c r="AL32" i="187"/>
  <c r="AR32" i="187" s="1"/>
  <c r="X42" i="187"/>
  <c r="Z42" i="187" s="1"/>
  <c r="F46" i="70"/>
  <c r="F31" i="70"/>
  <c r="X28" i="187"/>
  <c r="Z28" i="187" s="1"/>
  <c r="X11" i="187"/>
  <c r="F13" i="70"/>
  <c r="F39" i="70"/>
  <c r="X36" i="187"/>
  <c r="X64" i="187"/>
  <c r="F69" i="70"/>
  <c r="F133" i="70"/>
  <c r="X127" i="187"/>
  <c r="AJ82" i="187"/>
  <c r="AP82" i="187" s="1"/>
  <c r="I87" i="72"/>
  <c r="H89" i="193" s="1"/>
  <c r="AD82" i="187"/>
  <c r="AF113" i="187"/>
  <c r="I118" i="68"/>
  <c r="J120" i="193" s="1"/>
  <c r="AL113" i="187"/>
  <c r="AR113" i="187" s="1"/>
  <c r="AJ44" i="187"/>
  <c r="AD44" i="187"/>
  <c r="I48" i="72"/>
  <c r="H50" i="193" s="1"/>
  <c r="I217" i="66"/>
  <c r="G219" i="193" s="1"/>
  <c r="AC208" i="187"/>
  <c r="AI208" i="187"/>
  <c r="AO208" i="187" s="1"/>
  <c r="AF118" i="187"/>
  <c r="I123" i="68"/>
  <c r="J125" i="193" s="1"/>
  <c r="AL118" i="187"/>
  <c r="AR118" i="187" s="1"/>
  <c r="AI99" i="187"/>
  <c r="I104" i="66"/>
  <c r="G106" i="193" s="1"/>
  <c r="AC99" i="187"/>
  <c r="AJ93" i="187"/>
  <c r="AP93" i="187" s="1"/>
  <c r="AD93" i="187"/>
  <c r="I98" i="72" s="1"/>
  <c r="H100" i="193" s="1"/>
  <c r="AI107" i="187"/>
  <c r="AC107" i="187"/>
  <c r="I112" i="66"/>
  <c r="G114" i="193" s="1"/>
  <c r="I116" i="68"/>
  <c r="J118" i="193" s="1"/>
  <c r="AL111" i="187"/>
  <c r="AR111" i="187" s="1"/>
  <c r="AF111" i="187"/>
  <c r="AJ179" i="187"/>
  <c r="AP179" i="187" s="1"/>
  <c r="I187" i="72"/>
  <c r="H189" i="193" s="1"/>
  <c r="AD179" i="187"/>
  <c r="I106" i="68"/>
  <c r="J108" i="193" s="1"/>
  <c r="AF101" i="187"/>
  <c r="AL101" i="187"/>
  <c r="AR101" i="187" s="1"/>
  <c r="AL39" i="187"/>
  <c r="AR39" i="187" s="1"/>
  <c r="AF39" i="187"/>
  <c r="I42" i="68" s="1"/>
  <c r="J44" i="193" s="1"/>
  <c r="I168" i="66"/>
  <c r="G170" i="193" s="1"/>
  <c r="AC161" i="187"/>
  <c r="AI161" i="187"/>
  <c r="AO161" i="187" s="1"/>
  <c r="I103" i="72"/>
  <c r="H105" i="193" s="1"/>
  <c r="AJ98" i="187"/>
  <c r="AP98" i="187" s="1"/>
  <c r="AD98" i="187"/>
  <c r="I67" i="66"/>
  <c r="G69" i="193" s="1"/>
  <c r="AC62" i="187"/>
  <c r="AI62" i="187"/>
  <c r="AO62" i="187" s="1"/>
  <c r="AL130" i="187"/>
  <c r="AR130" i="187" s="1"/>
  <c r="AF130" i="187"/>
  <c r="I136" i="68"/>
  <c r="J138" i="193" s="1"/>
  <c r="AL138" i="187"/>
  <c r="AR138" i="187" s="1"/>
  <c r="I144" i="68"/>
  <c r="J146" i="193" s="1"/>
  <c r="AF138" i="187"/>
  <c r="AC191" i="187"/>
  <c r="AI191" i="187"/>
  <c r="AO191" i="187" s="1"/>
  <c r="I199" i="66"/>
  <c r="G201" i="193" s="1"/>
  <c r="I138" i="72"/>
  <c r="H140" i="193" s="1"/>
  <c r="AJ132" i="187"/>
  <c r="AD132" i="187"/>
  <c r="I165" i="72"/>
  <c r="H167" i="193" s="1"/>
  <c r="AJ158" i="187"/>
  <c r="AP158" i="187" s="1"/>
  <c r="AD158" i="187"/>
  <c r="I204" i="72"/>
  <c r="H206" i="193" s="1"/>
  <c r="AD196" i="187"/>
  <c r="AJ196" i="187"/>
  <c r="AP196" i="187" s="1"/>
  <c r="AD39" i="187"/>
  <c r="AJ39" i="187"/>
  <c r="AF94" i="187"/>
  <c r="I99" i="68" s="1"/>
  <c r="J101" i="193" s="1"/>
  <c r="AL94" i="187"/>
  <c r="AR94" i="187" s="1"/>
  <c r="I203" i="66"/>
  <c r="G205" i="193" s="1"/>
  <c r="AI195" i="187"/>
  <c r="AO195" i="187" s="1"/>
  <c r="AC195" i="187"/>
  <c r="AJ184" i="187"/>
  <c r="AP184" i="187" s="1"/>
  <c r="I192" i="72"/>
  <c r="H194" i="193" s="1"/>
  <c r="AD184" i="187"/>
  <c r="AI76" i="187"/>
  <c r="AO76" i="187" s="1"/>
  <c r="AC76" i="187"/>
  <c r="I81" i="66"/>
  <c r="G83" i="193" s="1"/>
  <c r="X82" i="187"/>
  <c r="F87" i="70"/>
  <c r="AI155" i="187"/>
  <c r="AO155" i="187" s="1"/>
  <c r="I162" i="66"/>
  <c r="G164" i="193" s="1"/>
  <c r="AC155" i="187"/>
  <c r="AI109" i="187"/>
  <c r="I114" i="66"/>
  <c r="G116" i="193" s="1"/>
  <c r="AC109" i="187"/>
  <c r="Z109" i="187"/>
  <c r="F30" i="70"/>
  <c r="X27" i="187"/>
  <c r="I54" i="72"/>
  <c r="H56" i="193" s="1"/>
  <c r="AJ50" i="187"/>
  <c r="AD50" i="187"/>
  <c r="F138" i="70"/>
  <c r="X132" i="187"/>
  <c r="AL31" i="187"/>
  <c r="AR31" i="187" s="1"/>
  <c r="AF31" i="187"/>
  <c r="I34" i="68" s="1"/>
  <c r="J36" i="193" s="1"/>
  <c r="AJ135" i="187"/>
  <c r="AD135" i="187"/>
  <c r="I141" i="72"/>
  <c r="H143" i="193" s="1"/>
  <c r="AI60" i="187"/>
  <c r="AO60" i="187" s="1"/>
  <c r="AC60" i="187"/>
  <c r="I65" i="66"/>
  <c r="G67" i="193" s="1"/>
  <c r="I161" i="72"/>
  <c r="H163" i="193" s="1"/>
  <c r="AD154" i="187"/>
  <c r="AJ154" i="187"/>
  <c r="AP154" i="187" s="1"/>
  <c r="I196" i="68"/>
  <c r="J198" i="193" s="1"/>
  <c r="AL188" i="187"/>
  <c r="AR188" i="187" s="1"/>
  <c r="AF188" i="187"/>
  <c r="X208" i="187"/>
  <c r="Z208" i="187" s="1"/>
  <c r="F217" i="70"/>
  <c r="F191" i="70"/>
  <c r="X183" i="187"/>
  <c r="X205" i="187"/>
  <c r="Z205" i="187" s="1"/>
  <c r="F214" i="70"/>
  <c r="AD47" i="187"/>
  <c r="AJ47" i="187"/>
  <c r="I51" i="72"/>
  <c r="H53" i="193" s="1"/>
  <c r="I115" i="66"/>
  <c r="G117" i="193" s="1"/>
  <c r="AI110" i="187"/>
  <c r="AC110" i="187"/>
  <c r="AD136" i="187"/>
  <c r="I142" i="72"/>
  <c r="H144" i="193" s="1"/>
  <c r="AJ136" i="187"/>
  <c r="AF52" i="187"/>
  <c r="AL52" i="187"/>
  <c r="AR52" i="187" s="1"/>
  <c r="I56" i="68"/>
  <c r="J58" i="193" s="1"/>
  <c r="X80" i="187"/>
  <c r="F85" i="70"/>
  <c r="X15" i="187"/>
  <c r="Z15" i="187" s="1"/>
  <c r="F17" i="70"/>
  <c r="F135" i="70"/>
  <c r="X129" i="187"/>
  <c r="X88" i="187"/>
  <c r="F93" i="70"/>
  <c r="X128" i="187"/>
  <c r="Z128" i="187" s="1"/>
  <c r="F134" i="70"/>
  <c r="X75" i="187"/>
  <c r="F80" i="70"/>
  <c r="AC106" i="187"/>
  <c r="I111" i="66"/>
  <c r="G113" i="193" s="1"/>
  <c r="AI106" i="187"/>
  <c r="Z106" i="187"/>
  <c r="AJ145" i="187"/>
  <c r="AP145" i="187" s="1"/>
  <c r="AD145" i="187"/>
  <c r="I152" i="72"/>
  <c r="H154" i="193" s="1"/>
  <c r="AL70" i="187"/>
  <c r="AR70" i="187" s="1"/>
  <c r="I75" i="68"/>
  <c r="J77" i="193" s="1"/>
  <c r="AF70" i="187"/>
  <c r="I217" i="67"/>
  <c r="F219" i="193" s="1"/>
  <c r="AH208" i="187"/>
  <c r="AB208" i="187"/>
  <c r="AC196" i="187"/>
  <c r="AI196" i="187"/>
  <c r="AO196" i="187" s="1"/>
  <c r="I204" i="66"/>
  <c r="G206" i="193" s="1"/>
  <c r="AJ199" i="187"/>
  <c r="AP199" i="187" s="1"/>
  <c r="AD199" i="187"/>
  <c r="I207" i="72"/>
  <c r="H209" i="193" s="1"/>
  <c r="AD74" i="187"/>
  <c r="I79" i="72"/>
  <c r="H81" i="193" s="1"/>
  <c r="AJ74" i="187"/>
  <c r="AP74" i="187" s="1"/>
  <c r="I157" i="68"/>
  <c r="J159" i="193" s="1"/>
  <c r="AF150" i="187"/>
  <c r="AL150" i="187"/>
  <c r="AR150" i="187" s="1"/>
  <c r="I149" i="72"/>
  <c r="H151" i="193" s="1"/>
  <c r="AD143" i="187"/>
  <c r="AJ143" i="187"/>
  <c r="AD48" i="187"/>
  <c r="I52" i="72"/>
  <c r="H54" i="193" s="1"/>
  <c r="AJ48" i="187"/>
  <c r="Z48" i="187"/>
  <c r="AF128" i="187"/>
  <c r="I134" i="68"/>
  <c r="J136" i="193" s="1"/>
  <c r="AL128" i="187"/>
  <c r="AR128" i="187" s="1"/>
  <c r="AD68" i="187"/>
  <c r="I73" i="72"/>
  <c r="H75" i="193" s="1"/>
  <c r="AJ68" i="187"/>
  <c r="AP68" i="187" s="1"/>
  <c r="AJ89" i="187"/>
  <c r="AP89" i="187" s="1"/>
  <c r="AD89" i="187"/>
  <c r="I94" i="72" s="1"/>
  <c r="H96" i="193" s="1"/>
  <c r="I170" i="66"/>
  <c r="G172" i="193" s="1"/>
  <c r="AI163" i="187"/>
  <c r="AO163" i="187" s="1"/>
  <c r="AC163" i="187"/>
  <c r="AL66" i="187"/>
  <c r="AR66" i="187" s="1"/>
  <c r="AF66" i="187"/>
  <c r="I71" i="68"/>
  <c r="J73" i="193" s="1"/>
  <c r="I132" i="68"/>
  <c r="J134" i="193" s="1"/>
  <c r="AL126" i="187"/>
  <c r="AR126" i="187" s="1"/>
  <c r="AF126" i="187"/>
  <c r="AL181" i="187"/>
  <c r="AR181" i="187" s="1"/>
  <c r="I189" i="68"/>
  <c r="J191" i="193" s="1"/>
  <c r="AF181" i="187"/>
  <c r="F166" i="70"/>
  <c r="X159" i="187"/>
  <c r="E17" i="146"/>
  <c r="E13" i="146"/>
  <c r="F119" i="70"/>
  <c r="X114" i="187"/>
  <c r="Z114" i="187" s="1"/>
  <c r="I60" i="72"/>
  <c r="H62" i="193" s="1"/>
  <c r="AJ56" i="187"/>
  <c r="AD56" i="187"/>
  <c r="AF205" i="187"/>
  <c r="I214" i="68"/>
  <c r="J216" i="193" s="1"/>
  <c r="AL205" i="187"/>
  <c r="AR205" i="187" s="1"/>
  <c r="AJ55" i="187"/>
  <c r="I59" i="72"/>
  <c r="H61" i="193" s="1"/>
  <c r="AD55" i="187"/>
  <c r="I162" i="68"/>
  <c r="J164" i="193" s="1"/>
  <c r="AL155" i="187"/>
  <c r="AR155" i="187" s="1"/>
  <c r="AF155" i="187"/>
  <c r="I201" i="66"/>
  <c r="G203" i="193" s="1"/>
  <c r="AI193" i="187"/>
  <c r="AO193" i="187" s="1"/>
  <c r="AC193" i="187"/>
  <c r="X201" i="187"/>
  <c r="F209" i="70"/>
  <c r="F181" i="70"/>
  <c r="X173" i="187"/>
  <c r="F194" i="70"/>
  <c r="X186" i="187"/>
  <c r="I67" i="72"/>
  <c r="H69" i="193" s="1"/>
  <c r="AD62" i="187"/>
  <c r="AJ62" i="187"/>
  <c r="AP62" i="187" s="1"/>
  <c r="AF81" i="187"/>
  <c r="I86" i="68"/>
  <c r="J88" i="193" s="1"/>
  <c r="AL81" i="187"/>
  <c r="AR81" i="187" s="1"/>
  <c r="AL19" i="187"/>
  <c r="AR19" i="187" s="1"/>
  <c r="I22" i="68"/>
  <c r="J24" i="193" s="1"/>
  <c r="AF19" i="187"/>
  <c r="X86" i="187"/>
  <c r="F91" i="70"/>
  <c r="X52" i="187"/>
  <c r="Z52" i="187" s="1"/>
  <c r="F56" i="70"/>
  <c r="X108" i="187"/>
  <c r="Z108" i="187" s="1"/>
  <c r="F113" i="70"/>
  <c r="F143" i="70"/>
  <c r="X137" i="187"/>
  <c r="F27" i="70"/>
  <c r="X24" i="187"/>
  <c r="X118" i="187"/>
  <c r="Z118" i="187" s="1"/>
  <c r="F123" i="70"/>
  <c r="AJ100" i="187"/>
  <c r="AP100" i="187" s="1"/>
  <c r="AD100" i="187"/>
  <c r="I105" i="72"/>
  <c r="H107" i="193" s="1"/>
  <c r="AL147" i="187"/>
  <c r="AR147" i="187" s="1"/>
  <c r="I154" i="68"/>
  <c r="J156" i="193" s="1"/>
  <c r="AF147" i="187"/>
  <c r="I79" i="68"/>
  <c r="J81" i="193" s="1"/>
  <c r="AL74" i="187"/>
  <c r="AR74" i="187" s="1"/>
  <c r="AF74" i="187"/>
  <c r="I108" i="68"/>
  <c r="J110" i="193" s="1"/>
  <c r="AF103" i="187"/>
  <c r="AL103" i="187"/>
  <c r="AR103" i="187" s="1"/>
  <c r="AJ15" i="187"/>
  <c r="AD15" i="187"/>
  <c r="I17" i="72"/>
  <c r="H19" i="193" s="1"/>
  <c r="I83" i="72"/>
  <c r="H85" i="193" s="1"/>
  <c r="AD78" i="187"/>
  <c r="AJ78" i="187"/>
  <c r="AP78" i="187" s="1"/>
  <c r="AJ79" i="187"/>
  <c r="AP79" i="187" s="1"/>
  <c r="I84" i="72"/>
  <c r="H86" i="193" s="1"/>
  <c r="AD79" i="187"/>
  <c r="I64" i="72"/>
  <c r="H66" i="193" s="1"/>
  <c r="AJ59" i="187"/>
  <c r="AP59" i="187" s="1"/>
  <c r="AD59" i="187"/>
  <c r="I60" i="68"/>
  <c r="J62" i="193" s="1"/>
  <c r="AL56" i="187"/>
  <c r="AR56" i="187" s="1"/>
  <c r="AF56" i="187"/>
  <c r="AF76" i="187"/>
  <c r="I81" i="68"/>
  <c r="J83" i="193" s="1"/>
  <c r="AL76" i="187"/>
  <c r="AR76" i="187" s="1"/>
  <c r="AI96" i="187"/>
  <c r="I101" i="66"/>
  <c r="G103" i="193" s="1"/>
  <c r="AC96" i="187"/>
  <c r="AD101" i="187"/>
  <c r="AJ101" i="187"/>
  <c r="AP101" i="187" s="1"/>
  <c r="I106" i="72"/>
  <c r="H108" i="193" s="1"/>
  <c r="AI86" i="187"/>
  <c r="AO86" i="187" s="1"/>
  <c r="AC86" i="187"/>
  <c r="I91" i="66" s="1"/>
  <c r="G93" i="193" s="1"/>
  <c r="AD126" i="187"/>
  <c r="I132" i="72"/>
  <c r="H134" i="193" s="1"/>
  <c r="AJ126" i="187"/>
  <c r="AJ80" i="187"/>
  <c r="AP80" i="187" s="1"/>
  <c r="I85" i="72"/>
  <c r="H87" i="193" s="1"/>
  <c r="AD80" i="187"/>
  <c r="AC192" i="187"/>
  <c r="I200" i="66"/>
  <c r="G202" i="193" s="1"/>
  <c r="AI192" i="187"/>
  <c r="AO192" i="187" s="1"/>
  <c r="F205" i="70"/>
  <c r="X197" i="187"/>
  <c r="F19" i="70"/>
  <c r="X17" i="187"/>
  <c r="F41" i="70"/>
  <c r="X38" i="187"/>
  <c r="Z38" i="187" s="1"/>
  <c r="X54" i="187"/>
  <c r="F58" i="70"/>
  <c r="I105" i="68"/>
  <c r="J107" i="193" s="1"/>
  <c r="AF100" i="187"/>
  <c r="AL100" i="187"/>
  <c r="AR100" i="187" s="1"/>
  <c r="AJ46" i="187"/>
  <c r="I50" i="72"/>
  <c r="H52" i="193" s="1"/>
  <c r="AD46" i="187"/>
  <c r="I116" i="66"/>
  <c r="G118" i="193" s="1"/>
  <c r="AC111" i="187"/>
  <c r="AI111" i="187"/>
  <c r="X198" i="187"/>
  <c r="F206" i="70"/>
  <c r="AI69" i="187"/>
  <c r="AO69" i="187" s="1"/>
  <c r="AC69" i="187"/>
  <c r="I74" i="66"/>
  <c r="G76" i="193" s="1"/>
  <c r="AF63" i="187"/>
  <c r="I68" i="68"/>
  <c r="J70" i="193" s="1"/>
  <c r="AL63" i="187"/>
  <c r="AR63" i="187" s="1"/>
  <c r="AL178" i="187"/>
  <c r="AR178" i="187" s="1"/>
  <c r="I186" i="68"/>
  <c r="J188" i="193" s="1"/>
  <c r="AF178" i="187"/>
  <c r="F106" i="70"/>
  <c r="X101" i="187"/>
  <c r="F57" i="70"/>
  <c r="X53" i="187"/>
  <c r="X30" i="187"/>
  <c r="F33" i="70"/>
  <c r="X34" i="187"/>
  <c r="F37" i="70"/>
  <c r="X58" i="187"/>
  <c r="F63" i="70"/>
  <c r="F141" i="70"/>
  <c r="X135" i="187"/>
  <c r="Z135" i="187" s="1"/>
  <c r="AL119" i="187"/>
  <c r="AR119" i="187" s="1"/>
  <c r="AF119" i="187"/>
  <c r="I124" i="68"/>
  <c r="J126" i="193" s="1"/>
  <c r="AL47" i="187"/>
  <c r="AR47" i="187" s="1"/>
  <c r="I51" i="68"/>
  <c r="J53" i="193" s="1"/>
  <c r="AF47" i="187"/>
  <c r="I25" i="72"/>
  <c r="H27" i="193" s="1"/>
  <c r="AJ22" i="187"/>
  <c r="AD22" i="187"/>
  <c r="I135" i="68"/>
  <c r="J137" i="193" s="1"/>
  <c r="AL129" i="187"/>
  <c r="AR129" i="187" s="1"/>
  <c r="AF129" i="187"/>
  <c r="AD130" i="187"/>
  <c r="I136" i="72"/>
  <c r="H138" i="193" s="1"/>
  <c r="AJ130" i="187"/>
  <c r="AF78" i="187"/>
  <c r="AL78" i="187"/>
  <c r="AR78" i="187" s="1"/>
  <c r="I83" i="68"/>
  <c r="J85" i="193" s="1"/>
  <c r="AI154" i="187"/>
  <c r="AO154" i="187" s="1"/>
  <c r="AC154" i="187"/>
  <c r="I161" i="66"/>
  <c r="G163" i="193" s="1"/>
  <c r="AJ198" i="187"/>
  <c r="AP198" i="187" s="1"/>
  <c r="AD198" i="187"/>
  <c r="I206" i="72"/>
  <c r="H208" i="193" s="1"/>
  <c r="AL60" i="187"/>
  <c r="AR60" i="187" s="1"/>
  <c r="AF60" i="187"/>
  <c r="I65" i="68"/>
  <c r="J67" i="193" s="1"/>
  <c r="I178" i="66"/>
  <c r="G180" i="193" s="1"/>
  <c r="AI170" i="187"/>
  <c r="AO170" i="187" s="1"/>
  <c r="AC170" i="187"/>
  <c r="AI167" i="187"/>
  <c r="AO167" i="187" s="1"/>
  <c r="AC167" i="187"/>
  <c r="I175" i="66"/>
  <c r="G177" i="193" s="1"/>
  <c r="AI162" i="187"/>
  <c r="AO162" i="187" s="1"/>
  <c r="I169" i="66"/>
  <c r="G171" i="193" s="1"/>
  <c r="AC162" i="187"/>
  <c r="I46" i="68"/>
  <c r="J48" i="193" s="1"/>
  <c r="AF42" i="187"/>
  <c r="AL42" i="187"/>
  <c r="AR42" i="187" s="1"/>
  <c r="I59" i="68"/>
  <c r="J61" i="193" s="1"/>
  <c r="AL55" i="187"/>
  <c r="AR55" i="187" s="1"/>
  <c r="AF55" i="187"/>
  <c r="AF179" i="187"/>
  <c r="I187" i="68"/>
  <c r="J189" i="193" s="1"/>
  <c r="AL179" i="187"/>
  <c r="AR179" i="187" s="1"/>
  <c r="I184" i="68"/>
  <c r="J186" i="193" s="1"/>
  <c r="AF176" i="187"/>
  <c r="AL176" i="187"/>
  <c r="AR176" i="187" s="1"/>
  <c r="AJ114" i="187"/>
  <c r="AP114" i="187" s="1"/>
  <c r="I119" i="72"/>
  <c r="H121" i="193" s="1"/>
  <c r="AD114" i="187"/>
  <c r="AD75" i="187"/>
  <c r="I80" i="72"/>
  <c r="H82" i="193" s="1"/>
  <c r="AJ75" i="187"/>
  <c r="AP75" i="187" s="1"/>
  <c r="AI173" i="187"/>
  <c r="AO173" i="187" s="1"/>
  <c r="AC173" i="187"/>
  <c r="I181" i="66"/>
  <c r="G183" i="193" s="1"/>
  <c r="I115" i="68"/>
  <c r="J117" i="193" s="1"/>
  <c r="AF110" i="187"/>
  <c r="AL110" i="187"/>
  <c r="AR110" i="187" s="1"/>
  <c r="X152" i="187"/>
  <c r="F159" i="70"/>
  <c r="AJ92" i="187"/>
  <c r="AP92" i="187" s="1"/>
  <c r="AD92" i="187"/>
  <c r="I97" i="72" s="1"/>
  <c r="H99" i="193" s="1"/>
  <c r="AJ53" i="187"/>
  <c r="AD53" i="187"/>
  <c r="I57" i="72"/>
  <c r="H59" i="193" s="1"/>
  <c r="F28" i="70"/>
  <c r="X25" i="187"/>
  <c r="X66" i="187"/>
  <c r="F71" i="70"/>
  <c r="AJ85" i="187"/>
  <c r="AP85" i="187" s="1"/>
  <c r="AD85" i="187"/>
  <c r="I90" i="72" s="1"/>
  <c r="H92" i="193" s="1"/>
  <c r="AI178" i="187"/>
  <c r="AO178" i="187" s="1"/>
  <c r="AC178" i="187"/>
  <c r="I186" i="66"/>
  <c r="G188" i="193" s="1"/>
  <c r="I200" i="68"/>
  <c r="J202" i="193" s="1"/>
  <c r="AL192" i="187"/>
  <c r="AR192" i="187" s="1"/>
  <c r="AF192" i="187"/>
  <c r="AC100" i="187"/>
  <c r="AI100" i="187"/>
  <c r="I105" i="66"/>
  <c r="G107" i="193" s="1"/>
  <c r="AF64" i="187"/>
  <c r="I69" i="68"/>
  <c r="J71" i="193" s="1"/>
  <c r="AL64" i="187"/>
  <c r="AR64" i="187" s="1"/>
  <c r="AC104" i="187"/>
  <c r="I109" i="66"/>
  <c r="G111" i="193" s="1"/>
  <c r="AI104" i="187"/>
  <c r="AC58" i="187"/>
  <c r="I63" i="66"/>
  <c r="G65" i="193" s="1"/>
  <c r="AI58" i="187"/>
  <c r="AO58" i="187" s="1"/>
  <c r="X148" i="187"/>
  <c r="F155" i="70"/>
  <c r="F116" i="70"/>
  <c r="X111" i="187"/>
  <c r="AF62" i="187"/>
  <c r="I67" i="68"/>
  <c r="J69" i="193" s="1"/>
  <c r="AL62" i="187"/>
  <c r="AR62" i="187" s="1"/>
  <c r="I107" i="66"/>
  <c r="G109" i="193" s="1"/>
  <c r="AI102" i="187"/>
  <c r="AC102" i="187"/>
  <c r="AC172" i="187"/>
  <c r="I180" i="66"/>
  <c r="G182" i="193" s="1"/>
  <c r="AI172" i="187"/>
  <c r="AO172" i="187" s="1"/>
  <c r="AI205" i="187"/>
  <c r="AO205" i="187" s="1"/>
  <c r="I214" i="66"/>
  <c r="G216" i="193" s="1"/>
  <c r="AC205" i="187"/>
  <c r="F177" i="70"/>
  <c r="X169" i="187"/>
  <c r="D32" i="183"/>
  <c r="D33" i="183"/>
  <c r="D34" i="183" s="1"/>
  <c r="X96" i="187"/>
  <c r="Z96" i="187" s="1"/>
  <c r="F101" i="70"/>
  <c r="AL54" i="187"/>
  <c r="AR54" i="187" s="1"/>
  <c r="AF54" i="187"/>
  <c r="I58" i="68"/>
  <c r="J60" i="193" s="1"/>
  <c r="AJ99" i="187"/>
  <c r="AP99" i="187" s="1"/>
  <c r="I104" i="72"/>
  <c r="H106" i="193" s="1"/>
  <c r="AD99" i="187"/>
  <c r="I149" i="68"/>
  <c r="J151" i="193" s="1"/>
  <c r="AF143" i="187"/>
  <c r="AL143" i="187"/>
  <c r="AR143" i="187" s="1"/>
  <c r="AC83" i="187"/>
  <c r="I88" i="66"/>
  <c r="G90" i="193" s="1"/>
  <c r="AI83" i="187"/>
  <c r="AO83" i="187" s="1"/>
  <c r="X188" i="187"/>
  <c r="F196" i="70"/>
  <c r="F108" i="70"/>
  <c r="X103" i="187"/>
  <c r="Z103" i="187" s="1"/>
  <c r="X100" i="187"/>
  <c r="F105" i="70"/>
  <c r="AI59" i="187"/>
  <c r="AO59" i="187" s="1"/>
  <c r="AC59" i="187"/>
  <c r="I64" i="66"/>
  <c r="G66" i="193" s="1"/>
  <c r="I188" i="68"/>
  <c r="J190" i="193" s="1"/>
  <c r="AF180" i="187"/>
  <c r="AL180" i="187"/>
  <c r="AR180" i="187" s="1"/>
  <c r="AL122" i="187"/>
  <c r="AR122" i="187" s="1"/>
  <c r="AF122" i="187"/>
  <c r="I127" i="68"/>
  <c r="J129" i="193" s="1"/>
  <c r="I209" i="66"/>
  <c r="G211" i="193" s="1"/>
  <c r="AC201" i="187"/>
  <c r="AI201" i="187"/>
  <c r="AO201" i="187" s="1"/>
  <c r="AD96" i="187"/>
  <c r="AJ96" i="187"/>
  <c r="AP96" i="187" s="1"/>
  <c r="I101" i="72"/>
  <c r="H103" i="193" s="1"/>
  <c r="AF142" i="187"/>
  <c r="I148" i="68"/>
  <c r="J150" i="193" s="1"/>
  <c r="AL142" i="187"/>
  <c r="AR142" i="187" s="1"/>
  <c r="I127" i="66"/>
  <c r="G129" i="193" s="1"/>
  <c r="AC122" i="187"/>
  <c r="AI122" i="187"/>
  <c r="X149" i="187"/>
  <c r="F156" i="70"/>
  <c r="F55" i="70"/>
  <c r="X51" i="187"/>
  <c r="I109" i="68"/>
  <c r="J111" i="193" s="1"/>
  <c r="AF104" i="187"/>
  <c r="AL104" i="187"/>
  <c r="AR104" i="187" s="1"/>
  <c r="AD52" i="187"/>
  <c r="I56" i="72"/>
  <c r="H58" i="193" s="1"/>
  <c r="AJ52" i="187"/>
  <c r="F98" i="70"/>
  <c r="X93" i="187"/>
  <c r="I114" i="68"/>
  <c r="J116" i="193" s="1"/>
  <c r="AF109" i="187"/>
  <c r="AL109" i="187"/>
  <c r="AR109" i="187" s="1"/>
  <c r="X195" i="187"/>
  <c r="F203" i="70"/>
  <c r="AF146" i="187"/>
  <c r="I153" i="68"/>
  <c r="J155" i="193" s="1"/>
  <c r="AL146" i="187"/>
  <c r="AR146" i="187" s="1"/>
  <c r="X76" i="187"/>
  <c r="F81" i="70"/>
  <c r="F49" i="70"/>
  <c r="X45" i="187"/>
  <c r="Z45" i="187" s="1"/>
  <c r="AC174" i="187"/>
  <c r="AI174" i="187"/>
  <c r="AO174" i="187" s="1"/>
  <c r="I182" i="66"/>
  <c r="G184" i="193" s="1"/>
  <c r="AI116" i="187"/>
  <c r="I121" i="66"/>
  <c r="G123" i="193" s="1"/>
  <c r="AC116" i="187"/>
  <c r="I208" i="68"/>
  <c r="J210" i="193" s="1"/>
  <c r="AL200" i="187"/>
  <c r="AR200" i="187" s="1"/>
  <c r="AF200" i="187"/>
  <c r="AL191" i="187"/>
  <c r="AR191" i="187" s="1"/>
  <c r="AF191" i="187"/>
  <c r="I199" i="68"/>
  <c r="J201" i="193" s="1"/>
  <c r="I130" i="72"/>
  <c r="H132" i="193" s="1"/>
  <c r="AJ124" i="187"/>
  <c r="AD124" i="187"/>
  <c r="AD38" i="187"/>
  <c r="AJ38" i="187"/>
  <c r="I19" i="72"/>
  <c r="H21" i="193" s="1"/>
  <c r="AD17" i="187"/>
  <c r="AJ17" i="187"/>
  <c r="X165" i="187"/>
  <c r="F173" i="70"/>
  <c r="X196" i="187"/>
  <c r="F204" i="70"/>
  <c r="I182" i="68"/>
  <c r="J184" i="193" s="1"/>
  <c r="AF174" i="187"/>
  <c r="AL174" i="187"/>
  <c r="AR174" i="187" s="1"/>
  <c r="AL173" i="187"/>
  <c r="AR173" i="187" s="1"/>
  <c r="AF173" i="187"/>
  <c r="I181" i="68"/>
  <c r="J183" i="193" s="1"/>
  <c r="X43" i="187"/>
  <c r="F47" i="70"/>
  <c r="AF168" i="187"/>
  <c r="I176" i="68"/>
  <c r="J178" i="193" s="1"/>
  <c r="AL168" i="187"/>
  <c r="AR168" i="187" s="1"/>
  <c r="AJ128" i="187"/>
  <c r="I134" i="72"/>
  <c r="H136" i="193" s="1"/>
  <c r="AD128" i="187"/>
  <c r="AI198" i="187"/>
  <c r="AO198" i="187" s="1"/>
  <c r="I206" i="66"/>
  <c r="G208" i="193" s="1"/>
  <c r="AC198" i="187"/>
  <c r="AJ195" i="187"/>
  <c r="AP195" i="187" s="1"/>
  <c r="AD195" i="187"/>
  <c r="I203" i="72"/>
  <c r="H205" i="193" s="1"/>
  <c r="AL125" i="187"/>
  <c r="AR125" i="187" s="1"/>
  <c r="AF125" i="187"/>
  <c r="I131" i="68"/>
  <c r="J133" i="193" s="1"/>
  <c r="AD181" i="187"/>
  <c r="I189" i="72"/>
  <c r="H191" i="193" s="1"/>
  <c r="AJ181" i="187"/>
  <c r="AP181" i="187" s="1"/>
  <c r="AF136" i="187"/>
  <c r="AL136" i="187"/>
  <c r="AR136" i="187" s="1"/>
  <c r="I142" i="68"/>
  <c r="J144" i="193" s="1"/>
  <c r="AL108" i="187"/>
  <c r="AR108" i="187" s="1"/>
  <c r="I113" i="68"/>
  <c r="J115" i="193" s="1"/>
  <c r="AF108" i="187"/>
  <c r="AL172" i="187"/>
  <c r="AR172" i="187" s="1"/>
  <c r="AF172" i="187"/>
  <c r="I180" i="68"/>
  <c r="J182" i="193" s="1"/>
  <c r="I197" i="66"/>
  <c r="G199" i="193" s="1"/>
  <c r="AI189" i="187"/>
  <c r="AO189" i="187" s="1"/>
  <c r="AC189" i="187"/>
  <c r="AL156" i="187"/>
  <c r="AR156" i="187" s="1"/>
  <c r="I163" i="68"/>
  <c r="J165" i="193" s="1"/>
  <c r="AF156" i="187"/>
  <c r="F201" i="70"/>
  <c r="X193" i="187"/>
  <c r="F168" i="70"/>
  <c r="X161" i="187"/>
  <c r="AF36" i="187"/>
  <c r="I39" i="68" s="1"/>
  <c r="J41" i="193" s="1"/>
  <c r="AL36" i="187"/>
  <c r="AR36" i="187" s="1"/>
  <c r="X180" i="187"/>
  <c r="F188" i="70"/>
  <c r="X117" i="187"/>
  <c r="Z117" i="187" s="1"/>
  <c r="F122" i="70"/>
  <c r="F35" i="70"/>
  <c r="X32" i="187"/>
  <c r="F112" i="70"/>
  <c r="X107" i="187"/>
  <c r="F67" i="70"/>
  <c r="X62" i="187"/>
  <c r="F149" i="70"/>
  <c r="X143" i="187"/>
  <c r="AJ70" i="187"/>
  <c r="AP70" i="187" s="1"/>
  <c r="I75" i="72"/>
  <c r="H77" i="193" s="1"/>
  <c r="AD70" i="187"/>
  <c r="I168" i="68"/>
  <c r="J170" i="193" s="1"/>
  <c r="AL161" i="187"/>
  <c r="AR161" i="187" s="1"/>
  <c r="AF161" i="187"/>
  <c r="I88" i="72"/>
  <c r="H90" i="193" s="1"/>
  <c r="AJ83" i="187"/>
  <c r="AP83" i="187" s="1"/>
  <c r="AD83" i="187"/>
  <c r="AJ192" i="187"/>
  <c r="AP192" i="187" s="1"/>
  <c r="AD192" i="187"/>
  <c r="I200" i="72"/>
  <c r="H202" i="193" s="1"/>
  <c r="AD90" i="187"/>
  <c r="I95" i="72" s="1"/>
  <c r="H97" i="193" s="1"/>
  <c r="AJ90" i="187"/>
  <c r="AP90" i="187" s="1"/>
  <c r="AL135" i="187"/>
  <c r="AR135" i="187" s="1"/>
  <c r="AF135" i="187"/>
  <c r="I141" i="68"/>
  <c r="J143" i="193" s="1"/>
  <c r="AL90" i="187"/>
  <c r="AR90" i="187" s="1"/>
  <c r="AF90" i="187"/>
  <c r="I95" i="68" s="1"/>
  <c r="J97" i="193" s="1"/>
  <c r="I183" i="72"/>
  <c r="H185" i="193" s="1"/>
  <c r="AJ175" i="187"/>
  <c r="AP175" i="187" s="1"/>
  <c r="AD175" i="187"/>
  <c r="I176" i="72"/>
  <c r="H178" i="193" s="1"/>
  <c r="AD168" i="187"/>
  <c r="AJ168" i="187"/>
  <c r="AP168" i="187" s="1"/>
  <c r="AJ30" i="187"/>
  <c r="AD30" i="187"/>
  <c r="AL46" i="187"/>
  <c r="AR46" i="187" s="1"/>
  <c r="AF46" i="187"/>
  <c r="I50" i="68"/>
  <c r="J52" i="193" s="1"/>
  <c r="AI148" i="187"/>
  <c r="AO148" i="187" s="1"/>
  <c r="I155" i="66"/>
  <c r="G157" i="193" s="1"/>
  <c r="AC148" i="187"/>
  <c r="AD152" i="187"/>
  <c r="AJ152" i="187"/>
  <c r="AP152" i="187" s="1"/>
  <c r="I159" i="72"/>
  <c r="H161" i="193" s="1"/>
  <c r="I80" i="68"/>
  <c r="J82" i="193" s="1"/>
  <c r="AF75" i="187"/>
  <c r="AL75" i="187"/>
  <c r="AR75" i="187" s="1"/>
  <c r="I126" i="68"/>
  <c r="J128" i="193" s="1"/>
  <c r="AF121" i="187"/>
  <c r="AL121" i="187"/>
  <c r="AR121" i="187" s="1"/>
  <c r="AD149" i="187"/>
  <c r="AJ149" i="187"/>
  <c r="AP149" i="187" s="1"/>
  <c r="I156" i="72"/>
  <c r="H158" i="193" s="1"/>
  <c r="I26" i="68"/>
  <c r="J28" i="193" s="1"/>
  <c r="AF23" i="187"/>
  <c r="AL23" i="187"/>
  <c r="AR23" i="187" s="1"/>
  <c r="AD107" i="187"/>
  <c r="AJ107" i="187"/>
  <c r="AP107" i="187" s="1"/>
  <c r="I112" i="72"/>
  <c r="H114" i="193" s="1"/>
  <c r="AC75" i="187"/>
  <c r="I80" i="66"/>
  <c r="G82" i="193" s="1"/>
  <c r="AI75" i="187"/>
  <c r="AO75" i="187" s="1"/>
  <c r="F157" i="70"/>
  <c r="X150" i="187"/>
  <c r="AD138" i="187"/>
  <c r="AJ138" i="187"/>
  <c r="I144" i="72"/>
  <c r="H146" i="193" s="1"/>
  <c r="X61" i="187"/>
  <c r="F66" i="70"/>
  <c r="X126" i="187"/>
  <c r="Z126" i="187" s="1"/>
  <c r="F132" i="70"/>
  <c r="F64" i="70"/>
  <c r="X59" i="187"/>
  <c r="AL197" i="187"/>
  <c r="AR197" i="187" s="1"/>
  <c r="I205" i="68"/>
  <c r="J207" i="193" s="1"/>
  <c r="AF197" i="187"/>
  <c r="AJ188" i="187"/>
  <c r="AP188" i="187" s="1"/>
  <c r="I196" i="72"/>
  <c r="H198" i="193" s="1"/>
  <c r="AD188" i="187"/>
  <c r="I125" i="68"/>
  <c r="J127" i="193" s="1"/>
  <c r="AL120" i="187"/>
  <c r="AR120" i="187" s="1"/>
  <c r="AF120" i="187"/>
  <c r="AJ32" i="187"/>
  <c r="AD32" i="187"/>
  <c r="Z32" i="187"/>
  <c r="I29" i="68"/>
  <c r="J31" i="193" s="1"/>
  <c r="AF26" i="187"/>
  <c r="AL26" i="187"/>
  <c r="AR26" i="187" s="1"/>
  <c r="AL97" i="187"/>
  <c r="AR97" i="187" s="1"/>
  <c r="I102" i="68"/>
  <c r="J104" i="193" s="1"/>
  <c r="AF97" i="187"/>
  <c r="F186" i="70"/>
  <c r="X178" i="187"/>
  <c r="X79" i="187"/>
  <c r="F84" i="70"/>
  <c r="F120" i="70"/>
  <c r="X115" i="187"/>
  <c r="Z115" i="187" s="1"/>
  <c r="X33" i="187"/>
  <c r="Z33" i="187" s="1"/>
  <c r="F36" i="70"/>
  <c r="I54" i="68"/>
  <c r="J56" i="193" s="1"/>
  <c r="AL50" i="187"/>
  <c r="AR50" i="187" s="1"/>
  <c r="AF50" i="187"/>
  <c r="AL102" i="187"/>
  <c r="AR102" i="187" s="1"/>
  <c r="I107" i="68"/>
  <c r="J109" i="193" s="1"/>
  <c r="AF102" i="187"/>
  <c r="I82" i="72"/>
  <c r="H84" i="193" s="1"/>
  <c r="AD77" i="187"/>
  <c r="AJ77" i="187"/>
  <c r="AP77" i="187" s="1"/>
  <c r="I74" i="68"/>
  <c r="J76" i="193" s="1"/>
  <c r="AL69" i="187"/>
  <c r="AR69" i="187" s="1"/>
  <c r="AF69" i="187"/>
  <c r="AD42" i="187"/>
  <c r="I46" i="72"/>
  <c r="H48" i="193" s="1"/>
  <c r="AJ42" i="187"/>
  <c r="AJ167" i="187"/>
  <c r="AP167" i="187" s="1"/>
  <c r="I175" i="72"/>
  <c r="H177" i="193" s="1"/>
  <c r="AD167" i="187"/>
  <c r="F152" i="70"/>
  <c r="X145" i="187"/>
  <c r="I169" i="72"/>
  <c r="H171" i="193" s="1"/>
  <c r="AJ162" i="187"/>
  <c r="AP162" i="187" s="1"/>
  <c r="AD162" i="187"/>
  <c r="I12" i="72"/>
  <c r="H14" i="193" s="1"/>
  <c r="AD10" i="187"/>
  <c r="AJ10" i="187"/>
  <c r="AP10" i="187" s="1"/>
  <c r="X65" i="187"/>
  <c r="F70" i="70"/>
  <c r="F142" i="70"/>
  <c r="X136" i="187"/>
  <c r="AJ161" i="187"/>
  <c r="AP161" i="187" s="1"/>
  <c r="I168" i="72"/>
  <c r="H170" i="193" s="1"/>
  <c r="AD161" i="187"/>
  <c r="AJ36" i="187"/>
  <c r="AD36" i="187"/>
  <c r="AJ169" i="187"/>
  <c r="AP169" i="187" s="1"/>
  <c r="AD169" i="187"/>
  <c r="I177" i="72"/>
  <c r="H179" i="193" s="1"/>
  <c r="AC85" i="187"/>
  <c r="I90" i="66" s="1"/>
  <c r="G92" i="193" s="1"/>
  <c r="AI85" i="187"/>
  <c r="AO85" i="187" s="1"/>
  <c r="F192" i="70"/>
  <c r="X184" i="187"/>
  <c r="X90" i="187"/>
  <c r="F95" i="70"/>
  <c r="X20" i="187"/>
  <c r="F23" i="70"/>
  <c r="F136" i="70"/>
  <c r="X130" i="187"/>
  <c r="I208" i="72"/>
  <c r="H210" i="193" s="1"/>
  <c r="AD200" i="187"/>
  <c r="AJ200" i="187"/>
  <c r="AP200" i="187" s="1"/>
  <c r="AL53" i="187"/>
  <c r="AR53" i="187" s="1"/>
  <c r="AF53" i="187"/>
  <c r="I57" i="68"/>
  <c r="J59" i="193" s="1"/>
  <c r="I184" i="66"/>
  <c r="G186" i="193" s="1"/>
  <c r="AI176" i="187"/>
  <c r="AO176" i="187" s="1"/>
  <c r="AC176" i="187"/>
  <c r="AF114" i="187"/>
  <c r="AL114" i="187"/>
  <c r="AR114" i="187" s="1"/>
  <c r="I119" i="68"/>
  <c r="J121" i="193" s="1"/>
  <c r="I188" i="66"/>
  <c r="G190" i="193" s="1"/>
  <c r="AI180" i="187"/>
  <c r="AO180" i="187" s="1"/>
  <c r="AC180" i="187"/>
  <c r="C41" i="189"/>
  <c r="D16" i="183"/>
  <c r="D17" i="183" s="1"/>
  <c r="D19" i="183" s="1"/>
  <c r="D20" i="183" s="1"/>
  <c r="F99" i="70"/>
  <c r="X94" i="187"/>
  <c r="I177" i="68"/>
  <c r="J179" i="193" s="1"/>
  <c r="AL169" i="187"/>
  <c r="AR169" i="187" s="1"/>
  <c r="AF169" i="187"/>
  <c r="I191" i="68"/>
  <c r="J193" i="193" s="1"/>
  <c r="AF183" i="187"/>
  <c r="AL183" i="187"/>
  <c r="AR183" i="187" s="1"/>
  <c r="I163" i="66"/>
  <c r="G165" i="193" s="1"/>
  <c r="AI156" i="187"/>
  <c r="AO156" i="187" s="1"/>
  <c r="AC156" i="187"/>
  <c r="X190" i="187"/>
  <c r="F198" i="70"/>
  <c r="AL206" i="187"/>
  <c r="AR206" i="187" s="1"/>
  <c r="I215" i="68"/>
  <c r="J217" i="193" s="1"/>
  <c r="AF206" i="187"/>
  <c r="I107" i="72"/>
  <c r="H109" i="193" s="1"/>
  <c r="AD102" i="187"/>
  <c r="AJ102" i="187"/>
  <c r="AP102" i="187" s="1"/>
  <c r="X189" i="187"/>
  <c r="F197" i="70"/>
  <c r="AJ27" i="187"/>
  <c r="AD27" i="187"/>
  <c r="I30" i="72"/>
  <c r="H32" i="193" s="1"/>
  <c r="AL87" i="187"/>
  <c r="AR87" i="187" s="1"/>
  <c r="AF87" i="187"/>
  <c r="I92" i="68" s="1"/>
  <c r="J94" i="193" s="1"/>
  <c r="X140" i="187"/>
  <c r="F146" i="70"/>
  <c r="AD146" i="187"/>
  <c r="AJ146" i="187"/>
  <c r="AP146" i="187" s="1"/>
  <c r="I153" i="72"/>
  <c r="H155" i="193" s="1"/>
  <c r="AL92" i="187"/>
  <c r="AR92" i="187" s="1"/>
  <c r="AF92" i="187"/>
  <c r="I97" i="68" s="1"/>
  <c r="J99" i="193" s="1"/>
  <c r="AD109" i="187"/>
  <c r="I114" i="72"/>
  <c r="H116" i="193" s="1"/>
  <c r="AJ109" i="187"/>
  <c r="AP109" i="187" s="1"/>
  <c r="AC94" i="187"/>
  <c r="I99" i="66" s="1"/>
  <c r="G101" i="193" s="1"/>
  <c r="AI94" i="187"/>
  <c r="AO94" i="187" s="1"/>
  <c r="AI165" i="187"/>
  <c r="AO165" i="187" s="1"/>
  <c r="AC165" i="187"/>
  <c r="I173" i="66"/>
  <c r="G175" i="193" s="1"/>
  <c r="AC103" i="187"/>
  <c r="I108" i="66"/>
  <c r="G110" i="193" s="1"/>
  <c r="AI103" i="187"/>
  <c r="AD65" i="187"/>
  <c r="I70" i="72"/>
  <c r="H72" i="193" s="1"/>
  <c r="AJ65" i="187"/>
  <c r="AP65" i="187" s="1"/>
  <c r="I170" i="72"/>
  <c r="H172" i="193" s="1"/>
  <c r="AD163" i="187"/>
  <c r="AJ163" i="187"/>
  <c r="AP163" i="187" s="1"/>
  <c r="AD71" i="187"/>
  <c r="AJ71" i="187"/>
  <c r="AP71" i="187" s="1"/>
  <c r="I76" i="72"/>
  <c r="H78" i="193" s="1"/>
  <c r="AJ147" i="187"/>
  <c r="AP147" i="187" s="1"/>
  <c r="AD147" i="187"/>
  <c r="I154" i="72"/>
  <c r="H156" i="193" s="1"/>
  <c r="AC199" i="187"/>
  <c r="I207" i="66"/>
  <c r="G209" i="193" s="1"/>
  <c r="AI199" i="187"/>
  <c r="AO199" i="187" s="1"/>
  <c r="AJ117" i="187"/>
  <c r="AP117" i="187" s="1"/>
  <c r="I122" i="72"/>
  <c r="H124" i="193" s="1"/>
  <c r="AD117" i="187"/>
  <c r="F184" i="70"/>
  <c r="X176" i="187"/>
  <c r="X156" i="187"/>
  <c r="F163" i="70"/>
  <c r="F96" i="70"/>
  <c r="X91" i="187"/>
  <c r="AC149" i="187"/>
  <c r="AI149" i="187"/>
  <c r="AO149" i="187" s="1"/>
  <c r="I156" i="66"/>
  <c r="G158" i="193" s="1"/>
  <c r="AD180" i="187"/>
  <c r="AJ180" i="187"/>
  <c r="AP180" i="187" s="1"/>
  <c r="I188" i="72"/>
  <c r="H190" i="193" s="1"/>
  <c r="AD20" i="187"/>
  <c r="AJ20" i="187"/>
  <c r="I23" i="72"/>
  <c r="H25" i="193" s="1"/>
  <c r="AD139" i="187"/>
  <c r="I145" i="72"/>
  <c r="H147" i="193" s="1"/>
  <c r="AJ139" i="187"/>
  <c r="X175" i="187"/>
  <c r="F183" i="70"/>
  <c r="F175" i="70"/>
  <c r="X167" i="187"/>
  <c r="F169" i="70"/>
  <c r="X162" i="187"/>
  <c r="I143" i="72"/>
  <c r="H145" i="193" s="1"/>
  <c r="AJ137" i="187"/>
  <c r="AD137" i="187"/>
  <c r="AJ86" i="187"/>
  <c r="AP86" i="187" s="1"/>
  <c r="AD86" i="187"/>
  <c r="I91" i="72" s="1"/>
  <c r="H93" i="193" s="1"/>
  <c r="AC150" i="187"/>
  <c r="I157" i="66"/>
  <c r="G159" i="193" s="1"/>
  <c r="AI150" i="187"/>
  <c r="AO150" i="187" s="1"/>
  <c r="AJ118" i="187"/>
  <c r="AP118" i="187" s="1"/>
  <c r="AD118" i="187"/>
  <c r="I123" i="72"/>
  <c r="H125" i="193" s="1"/>
  <c r="F42" i="70"/>
  <c r="X39" i="187"/>
  <c r="Z39" i="187" s="1"/>
  <c r="X102" i="187"/>
  <c r="F107" i="70"/>
  <c r="F94" i="70"/>
  <c r="X89" i="187"/>
  <c r="F50" i="70"/>
  <c r="X46" i="187"/>
  <c r="F76" i="70"/>
  <c r="X71" i="187"/>
  <c r="F54" i="70"/>
  <c r="X50" i="187"/>
  <c r="AJ104" i="187"/>
  <c r="AP104" i="187" s="1"/>
  <c r="AD104" i="187"/>
  <c r="I109" i="72"/>
  <c r="H111" i="193" s="1"/>
  <c r="I63" i="72"/>
  <c r="H65" i="193" s="1"/>
  <c r="AJ58" i="187"/>
  <c r="AP58" i="187" s="1"/>
  <c r="AD58" i="187"/>
  <c r="AC79" i="187"/>
  <c r="I84" i="66"/>
  <c r="G86" i="193" s="1"/>
  <c r="AI79" i="187"/>
  <c r="AO79" i="187" s="1"/>
  <c r="AJ183" i="187"/>
  <c r="AP183" i="187" s="1"/>
  <c r="I191" i="72"/>
  <c r="H193" i="193" s="1"/>
  <c r="AD183" i="187"/>
  <c r="AF107" i="187"/>
  <c r="AL107" i="187"/>
  <c r="AR107" i="187" s="1"/>
  <c r="I112" i="68"/>
  <c r="J114" i="193" s="1"/>
  <c r="I153" i="66"/>
  <c r="G155" i="193" s="1"/>
  <c r="AC146" i="187"/>
  <c r="AI146" i="187"/>
  <c r="AO146" i="187" s="1"/>
  <c r="AF17" i="187"/>
  <c r="AL17" i="187"/>
  <c r="AR17" i="187" s="1"/>
  <c r="I19" i="68"/>
  <c r="J21" i="193" s="1"/>
  <c r="I29" i="72"/>
  <c r="H31" i="193" s="1"/>
  <c r="AD26" i="187"/>
  <c r="AJ26" i="187"/>
  <c r="AF127" i="187"/>
  <c r="AL127" i="187"/>
  <c r="AR127" i="187" s="1"/>
  <c r="I133" i="68"/>
  <c r="J135" i="193" s="1"/>
  <c r="I195" i="66"/>
  <c r="G197" i="193" s="1"/>
  <c r="AI187" i="187"/>
  <c r="AO187" i="187" s="1"/>
  <c r="AC187" i="187"/>
  <c r="AL24" i="187"/>
  <c r="AR24" i="187" s="1"/>
  <c r="I27" i="68"/>
  <c r="J29" i="193" s="1"/>
  <c r="AF24" i="187"/>
  <c r="AJ64" i="187"/>
  <c r="AP64" i="187" s="1"/>
  <c r="AD64" i="187"/>
  <c r="I69" i="72"/>
  <c r="H71" i="193" s="1"/>
  <c r="AC87" i="187"/>
  <c r="I92" i="66" s="1"/>
  <c r="G94" i="193" s="1"/>
  <c r="AI87" i="187"/>
  <c r="AO87" i="187" s="1"/>
  <c r="AI194" i="187"/>
  <c r="AO194" i="187" s="1"/>
  <c r="AC194" i="187"/>
  <c r="I202" i="66"/>
  <c r="G204" i="193" s="1"/>
  <c r="AD113" i="187"/>
  <c r="I118" i="72"/>
  <c r="H120" i="193" s="1"/>
  <c r="AJ113" i="187"/>
  <c r="AP113" i="187" s="1"/>
  <c r="I198" i="68"/>
  <c r="J200" i="193" s="1"/>
  <c r="AF190" i="187"/>
  <c r="AL190" i="187"/>
  <c r="AR190" i="187" s="1"/>
  <c r="I22" i="181" l="1"/>
  <c r="G22" i="181"/>
  <c r="AM203" i="187"/>
  <c r="AS203" i="187" s="1"/>
  <c r="D20" i="181"/>
  <c r="B20" i="181" s="1"/>
  <c r="I9" i="181"/>
  <c r="F13" i="181"/>
  <c r="F22" i="181"/>
  <c r="AG203" i="187"/>
  <c r="AE178" i="187"/>
  <c r="G186" i="70"/>
  <c r="I188" i="193" s="1"/>
  <c r="AK178" i="187"/>
  <c r="AQ178" i="187" s="1"/>
  <c r="AP31" i="187"/>
  <c r="AP24" i="187"/>
  <c r="AE161" i="187"/>
  <c r="AK161" i="187"/>
  <c r="AQ161" i="187" s="1"/>
  <c r="G168" i="70"/>
  <c r="I170" i="193" s="1"/>
  <c r="Z141" i="187"/>
  <c r="AE141" i="187"/>
  <c r="AG141" i="187" s="1"/>
  <c r="G147" i="70"/>
  <c r="I149" i="193" s="1"/>
  <c r="K149" i="193" s="1"/>
  <c r="AK141" i="187"/>
  <c r="AQ141" i="187" s="1"/>
  <c r="G26" i="70"/>
  <c r="I28" i="193" s="1"/>
  <c r="K28" i="193" s="1"/>
  <c r="AE23" i="187"/>
  <c r="AG23" i="187" s="1"/>
  <c r="AK23" i="187"/>
  <c r="AQ23" i="187" s="1"/>
  <c r="AK55" i="187"/>
  <c r="AQ55" i="187" s="1"/>
  <c r="G59" i="70"/>
  <c r="I61" i="193" s="1"/>
  <c r="K61" i="193" s="1"/>
  <c r="AE55" i="187"/>
  <c r="AG55" i="187" s="1"/>
  <c r="Z130" i="187"/>
  <c r="AE130" i="187"/>
  <c r="AG130" i="187" s="1"/>
  <c r="AK130" i="187"/>
  <c r="AQ130" i="187" s="1"/>
  <c r="G136" i="70"/>
  <c r="I138" i="193" s="1"/>
  <c r="K138" i="193" s="1"/>
  <c r="AK136" i="187"/>
  <c r="AQ136" i="187" s="1"/>
  <c r="AE136" i="187"/>
  <c r="AG136" i="187" s="1"/>
  <c r="G142" i="70"/>
  <c r="I144" i="193" s="1"/>
  <c r="K144" i="193" s="1"/>
  <c r="AE126" i="187"/>
  <c r="AG126" i="187" s="1"/>
  <c r="G132" i="70"/>
  <c r="I134" i="193" s="1"/>
  <c r="K134" i="193" s="1"/>
  <c r="AK126" i="187"/>
  <c r="AQ126" i="187" s="1"/>
  <c r="G19" i="181"/>
  <c r="AP39" i="187"/>
  <c r="G88" i="70"/>
  <c r="I90" i="193" s="1"/>
  <c r="AK83" i="187"/>
  <c r="AQ83" i="187" s="1"/>
  <c r="AE83" i="187"/>
  <c r="I42" i="72"/>
  <c r="H44" i="193" s="1"/>
  <c r="I19" i="181"/>
  <c r="AE181" i="187"/>
  <c r="G189" i="70"/>
  <c r="I191" i="193" s="1"/>
  <c r="AK181" i="187"/>
  <c r="AQ181" i="187" s="1"/>
  <c r="AK125" i="187"/>
  <c r="AQ125" i="187" s="1"/>
  <c r="G131" i="70"/>
  <c r="I133" i="193" s="1"/>
  <c r="K133" i="193" s="1"/>
  <c r="AE125" i="187"/>
  <c r="AG125" i="187" s="1"/>
  <c r="AP19" i="187"/>
  <c r="AO107" i="187"/>
  <c r="AO108" i="187"/>
  <c r="AE78" i="187"/>
  <c r="AK78" i="187"/>
  <c r="AQ78" i="187" s="1"/>
  <c r="G83" i="70"/>
  <c r="I85" i="193" s="1"/>
  <c r="AK179" i="187"/>
  <c r="AQ179" i="187" s="1"/>
  <c r="G187" i="70"/>
  <c r="I189" i="193" s="1"/>
  <c r="AE179" i="187"/>
  <c r="AP125" i="187"/>
  <c r="AE44" i="187"/>
  <c r="AG44" i="187" s="1"/>
  <c r="AK44" i="187"/>
  <c r="AQ44" i="187" s="1"/>
  <c r="G48" i="70"/>
  <c r="I50" i="193" s="1"/>
  <c r="K50" i="193" s="1"/>
  <c r="AE97" i="187"/>
  <c r="AG97" i="187" s="1"/>
  <c r="G102" i="70"/>
  <c r="I104" i="193" s="1"/>
  <c r="K104" i="193" s="1"/>
  <c r="AK97" i="187"/>
  <c r="AQ97" i="187" s="1"/>
  <c r="AE189" i="187"/>
  <c r="AK189" i="187"/>
  <c r="AQ189" i="187" s="1"/>
  <c r="G197" i="70"/>
  <c r="I199" i="193" s="1"/>
  <c r="P167" i="187"/>
  <c r="P54" i="187"/>
  <c r="H58" i="67" s="1"/>
  <c r="P46" i="187"/>
  <c r="H50" i="67" s="1"/>
  <c r="P154" i="187"/>
  <c r="P198" i="187"/>
  <c r="P38" i="187"/>
  <c r="H41" i="67" s="1"/>
  <c r="P48" i="187"/>
  <c r="H52" i="67" s="1"/>
  <c r="P155" i="187"/>
  <c r="P68" i="187"/>
  <c r="P181" i="187"/>
  <c r="P147" i="187"/>
  <c r="P113" i="187"/>
  <c r="H118" i="67" s="1"/>
  <c r="P21" i="187"/>
  <c r="H24" i="67" s="1"/>
  <c r="P146" i="187"/>
  <c r="P76" i="187"/>
  <c r="P186" i="187"/>
  <c r="P102" i="187"/>
  <c r="H107" i="67" s="1"/>
  <c r="P34" i="187"/>
  <c r="H37" i="67" s="1"/>
  <c r="P187" i="187"/>
  <c r="P126" i="187"/>
  <c r="H132" i="67" s="1"/>
  <c r="P124" i="187"/>
  <c r="H130" i="67" s="1"/>
  <c r="P58" i="187"/>
  <c r="P36" i="187"/>
  <c r="H39" i="67" s="1"/>
  <c r="P160" i="187"/>
  <c r="P93" i="187"/>
  <c r="P135" i="187"/>
  <c r="H141" i="67" s="1"/>
  <c r="P86" i="187"/>
  <c r="P130" i="187"/>
  <c r="H136" i="67" s="1"/>
  <c r="P176" i="187"/>
  <c r="P158" i="187"/>
  <c r="P97" i="187"/>
  <c r="H102" i="67" s="1"/>
  <c r="P41" i="187"/>
  <c r="H45" i="67" s="1"/>
  <c r="P37" i="187"/>
  <c r="H40" i="67" s="1"/>
  <c r="P59" i="187"/>
  <c r="P26" i="187"/>
  <c r="H29" i="67" s="1"/>
  <c r="P16" i="187"/>
  <c r="H18" i="67" s="1"/>
  <c r="P116" i="187"/>
  <c r="H121" i="67" s="1"/>
  <c r="P196" i="187"/>
  <c r="P115" i="187"/>
  <c r="H120" i="67" s="1"/>
  <c r="P180" i="187"/>
  <c r="P150" i="187"/>
  <c r="P203" i="187"/>
  <c r="H212" i="67" s="1"/>
  <c r="P82" i="187"/>
  <c r="P122" i="187"/>
  <c r="H127" i="67" s="1"/>
  <c r="P61" i="187"/>
  <c r="P125" i="187"/>
  <c r="H131" i="67" s="1"/>
  <c r="P11" i="187"/>
  <c r="H13" i="67" s="1"/>
  <c r="P110" i="187"/>
  <c r="H115" i="67" s="1"/>
  <c r="P127" i="187"/>
  <c r="H133" i="67" s="1"/>
  <c r="P184" i="187"/>
  <c r="P170" i="187"/>
  <c r="P107" i="187"/>
  <c r="H112" i="67" s="1"/>
  <c r="P74" i="187"/>
  <c r="P118" i="187"/>
  <c r="H123" i="67" s="1"/>
  <c r="P104" i="187"/>
  <c r="H109" i="67" s="1"/>
  <c r="P194" i="187"/>
  <c r="P91" i="187"/>
  <c r="P44" i="187"/>
  <c r="H48" i="67" s="1"/>
  <c r="P132" i="187"/>
  <c r="H138" i="67" s="1"/>
  <c r="P31" i="187"/>
  <c r="H34" i="67" s="1"/>
  <c r="P169" i="187"/>
  <c r="P103" i="187"/>
  <c r="H108" i="67" s="1"/>
  <c r="P129" i="187"/>
  <c r="H135" i="67" s="1"/>
  <c r="P101" i="187"/>
  <c r="H106" i="67" s="1"/>
  <c r="P55" i="187"/>
  <c r="H59" i="67" s="1"/>
  <c r="P53" i="187"/>
  <c r="H57" i="67" s="1"/>
  <c r="P90" i="187"/>
  <c r="P75" i="187"/>
  <c r="P134" i="187"/>
  <c r="H140" i="67" s="1"/>
  <c r="P43" i="187"/>
  <c r="H47" i="67" s="1"/>
  <c r="P137" i="187"/>
  <c r="H143" i="67" s="1"/>
  <c r="P163" i="187"/>
  <c r="P190" i="187"/>
  <c r="P50" i="187"/>
  <c r="H54" i="67" s="1"/>
  <c r="P111" i="187"/>
  <c r="H116" i="67" s="1"/>
  <c r="P60" i="187"/>
  <c r="P87" i="187"/>
  <c r="P201" i="187"/>
  <c r="P189" i="187"/>
  <c r="P106" i="187"/>
  <c r="H111" i="67" s="1"/>
  <c r="P195" i="187"/>
  <c r="P71" i="187"/>
  <c r="P117" i="187"/>
  <c r="H122" i="67" s="1"/>
  <c r="P24" i="187"/>
  <c r="H27" i="67" s="1"/>
  <c r="P25" i="187"/>
  <c r="H28" i="67" s="1"/>
  <c r="P88" i="187"/>
  <c r="P19" i="187"/>
  <c r="H22" i="67" s="1"/>
  <c r="P70" i="187"/>
  <c r="P63" i="187"/>
  <c r="P114" i="187"/>
  <c r="H119" i="67" s="1"/>
  <c r="P131" i="187"/>
  <c r="H137" i="67" s="1"/>
  <c r="P81" i="187"/>
  <c r="P20" i="187"/>
  <c r="H23" i="67" s="1"/>
  <c r="P157" i="187"/>
  <c r="P178" i="187"/>
  <c r="P89" i="187"/>
  <c r="P56" i="187"/>
  <c r="H60" i="67" s="1"/>
  <c r="P165" i="187"/>
  <c r="P83" i="187"/>
  <c r="P145" i="187"/>
  <c r="P109" i="187"/>
  <c r="H114" i="67" s="1"/>
  <c r="P188" i="187"/>
  <c r="P141" i="187"/>
  <c r="H147" i="67" s="1"/>
  <c r="P79" i="187"/>
  <c r="P199" i="187"/>
  <c r="P23" i="187"/>
  <c r="H26" i="67" s="1"/>
  <c r="P100" i="187"/>
  <c r="H105" i="67" s="1"/>
  <c r="P108" i="187"/>
  <c r="H113" i="67" s="1"/>
  <c r="P22" i="187"/>
  <c r="H25" i="67" s="1"/>
  <c r="P51" i="187"/>
  <c r="H55" i="67" s="1"/>
  <c r="P32" i="187"/>
  <c r="H35" i="67" s="1"/>
  <c r="P65" i="187"/>
  <c r="P85" i="187"/>
  <c r="P140" i="187"/>
  <c r="H146" i="67" s="1"/>
  <c r="P52" i="187"/>
  <c r="H56" i="67" s="1"/>
  <c r="P139" i="187"/>
  <c r="H145" i="67" s="1"/>
  <c r="P42" i="187"/>
  <c r="H46" i="67" s="1"/>
  <c r="P173" i="187"/>
  <c r="P45" i="187"/>
  <c r="H49" i="67" s="1"/>
  <c r="P33" i="187"/>
  <c r="H36" i="67" s="1"/>
  <c r="P119" i="187"/>
  <c r="H124" i="67" s="1"/>
  <c r="P191" i="187"/>
  <c r="P66" i="187"/>
  <c r="P200" i="187"/>
  <c r="P35" i="187"/>
  <c r="H38" i="67" s="1"/>
  <c r="P148" i="187"/>
  <c r="P121" i="187"/>
  <c r="H126" i="67" s="1"/>
  <c r="P128" i="187"/>
  <c r="H134" i="67" s="1"/>
  <c r="P15" i="187"/>
  <c r="H17" i="67" s="1"/>
  <c r="P47" i="187"/>
  <c r="H51" i="67" s="1"/>
  <c r="P166" i="187"/>
  <c r="P152" i="187"/>
  <c r="P27" i="187"/>
  <c r="H30" i="67" s="1"/>
  <c r="P30" i="187"/>
  <c r="H33" i="67" s="1"/>
  <c r="P138" i="187"/>
  <c r="H144" i="67" s="1"/>
  <c r="P28" i="187"/>
  <c r="H31" i="67" s="1"/>
  <c r="P183" i="187"/>
  <c r="P98" i="187"/>
  <c r="H103" i="67" s="1"/>
  <c r="P17" i="187"/>
  <c r="H19" i="67" s="1"/>
  <c r="P161" i="187"/>
  <c r="P179" i="187"/>
  <c r="P162" i="187"/>
  <c r="P99" i="187"/>
  <c r="H104" i="67" s="1"/>
  <c r="P172" i="187"/>
  <c r="P168" i="187"/>
  <c r="P62" i="187"/>
  <c r="P92" i="187"/>
  <c r="P142" i="187"/>
  <c r="H148" i="67" s="1"/>
  <c r="P10" i="187"/>
  <c r="H12" i="67" s="1"/>
  <c r="P8" i="187"/>
  <c r="H10" i="67" s="1"/>
  <c r="P174" i="187"/>
  <c r="P64" i="187"/>
  <c r="P78" i="187"/>
  <c r="P149" i="187"/>
  <c r="P72" i="187"/>
  <c r="P39" i="187"/>
  <c r="H42" i="67" s="1"/>
  <c r="P156" i="187"/>
  <c r="P197" i="187"/>
  <c r="P14" i="187"/>
  <c r="H16" i="67" s="1"/>
  <c r="P120" i="187"/>
  <c r="H125" i="67" s="1"/>
  <c r="P159" i="187"/>
  <c r="P136" i="187"/>
  <c r="H142" i="67" s="1"/>
  <c r="P12" i="187"/>
  <c r="H14" i="67" s="1"/>
  <c r="P143" i="187"/>
  <c r="H149" i="67" s="1"/>
  <c r="P175" i="187"/>
  <c r="P192" i="187"/>
  <c r="P69" i="187"/>
  <c r="P77" i="187"/>
  <c r="P96" i="187"/>
  <c r="H101" i="67" s="1"/>
  <c r="P94" i="187"/>
  <c r="P193" i="187"/>
  <c r="P80" i="187"/>
  <c r="AK20" i="187"/>
  <c r="AQ20" i="187" s="1"/>
  <c r="AE20" i="187"/>
  <c r="AG20" i="187" s="1"/>
  <c r="G23" i="70"/>
  <c r="I25" i="193" s="1"/>
  <c r="K25" i="193" s="1"/>
  <c r="G70" i="70"/>
  <c r="I72" i="193" s="1"/>
  <c r="AK65" i="187"/>
  <c r="AQ65" i="187" s="1"/>
  <c r="AE65" i="187"/>
  <c r="G15" i="181"/>
  <c r="AK24" i="187"/>
  <c r="AQ24" i="187" s="1"/>
  <c r="G27" i="70"/>
  <c r="I29" i="193" s="1"/>
  <c r="K29" i="193" s="1"/>
  <c r="AE24" i="187"/>
  <c r="AG24" i="187" s="1"/>
  <c r="AK154" i="187"/>
  <c r="AQ154" i="187" s="1"/>
  <c r="AE154" i="187"/>
  <c r="G161" i="70"/>
  <c r="I163" i="193" s="1"/>
  <c r="I15" i="181"/>
  <c r="Z98" i="187"/>
  <c r="AK98" i="187"/>
  <c r="AQ98" i="187" s="1"/>
  <c r="AE98" i="187"/>
  <c r="AG98" i="187" s="1"/>
  <c r="G103" i="70"/>
  <c r="I105" i="193" s="1"/>
  <c r="K105" i="193" s="1"/>
  <c r="G86" i="70"/>
  <c r="I88" i="193" s="1"/>
  <c r="AK81" i="187"/>
  <c r="AQ81" i="187" s="1"/>
  <c r="AE81" i="187"/>
  <c r="AP54" i="187"/>
  <c r="G137" i="70"/>
  <c r="I139" i="193" s="1"/>
  <c r="K139" i="193" s="1"/>
  <c r="AE131" i="187"/>
  <c r="AG131" i="187" s="1"/>
  <c r="AK131" i="187"/>
  <c r="AQ131" i="187" s="1"/>
  <c r="AP142" i="187"/>
  <c r="Z20" i="187"/>
  <c r="F21" i="181"/>
  <c r="G9" i="181"/>
  <c r="I14" i="181"/>
  <c r="Z143" i="187"/>
  <c r="G149" i="70"/>
  <c r="I151" i="193" s="1"/>
  <c r="K151" i="193" s="1"/>
  <c r="AK143" i="187"/>
  <c r="AQ143" i="187" s="1"/>
  <c r="AE143" i="187"/>
  <c r="AG143" i="187" s="1"/>
  <c r="AP53" i="187"/>
  <c r="Z54" i="187"/>
  <c r="AE54" i="187"/>
  <c r="AG54" i="187" s="1"/>
  <c r="G58" i="70"/>
  <c r="I60" i="193" s="1"/>
  <c r="K60" i="193" s="1"/>
  <c r="AK54" i="187"/>
  <c r="AQ54" i="187" s="1"/>
  <c r="AE173" i="187"/>
  <c r="G181" i="70"/>
  <c r="I183" i="193" s="1"/>
  <c r="AK173" i="187"/>
  <c r="AQ173" i="187" s="1"/>
  <c r="AP56" i="187"/>
  <c r="I17" i="181"/>
  <c r="AE155" i="187"/>
  <c r="G162" i="70"/>
  <c r="I164" i="193" s="1"/>
  <c r="AK155" i="187"/>
  <c r="AQ155" i="187" s="1"/>
  <c r="AO118" i="187"/>
  <c r="AE8" i="187"/>
  <c r="AG8" i="187" s="1"/>
  <c r="G10" i="70"/>
  <c r="I12" i="193" s="1"/>
  <c r="K12" i="193" s="1"/>
  <c r="AK8" i="187"/>
  <c r="AK200" i="187"/>
  <c r="AQ200" i="187" s="1"/>
  <c r="G208" i="70"/>
  <c r="I210" i="193" s="1"/>
  <c r="AE200" i="187"/>
  <c r="AE99" i="187"/>
  <c r="AG99" i="187" s="1"/>
  <c r="AK99" i="187"/>
  <c r="AQ99" i="187" s="1"/>
  <c r="G104" i="70"/>
  <c r="I106" i="193" s="1"/>
  <c r="K106" i="193" s="1"/>
  <c r="I10" i="181"/>
  <c r="G182" i="70"/>
  <c r="I184" i="193" s="1"/>
  <c r="AE174" i="187"/>
  <c r="AK174" i="187"/>
  <c r="AQ174" i="187" s="1"/>
  <c r="AK35" i="187"/>
  <c r="AQ35" i="187" s="1"/>
  <c r="AE35" i="187"/>
  <c r="G38" i="70" s="1"/>
  <c r="I40" i="193" s="1"/>
  <c r="AK60" i="187"/>
  <c r="AQ60" i="187" s="1"/>
  <c r="G65" i="70"/>
  <c r="I67" i="193" s="1"/>
  <c r="AE60" i="187"/>
  <c r="AK103" i="187"/>
  <c r="AQ103" i="187" s="1"/>
  <c r="G108" i="70"/>
  <c r="I110" i="193" s="1"/>
  <c r="K110" i="193" s="1"/>
  <c r="AE103" i="187"/>
  <c r="AG103" i="187" s="1"/>
  <c r="Z102" i="187"/>
  <c r="G107" i="70"/>
  <c r="I109" i="193" s="1"/>
  <c r="K109" i="193" s="1"/>
  <c r="AK102" i="187"/>
  <c r="AQ102" i="187" s="1"/>
  <c r="AE102" i="187"/>
  <c r="AG102" i="187" s="1"/>
  <c r="AJ209" i="187"/>
  <c r="AP8" i="187"/>
  <c r="AK39" i="187"/>
  <c r="AQ39" i="187" s="1"/>
  <c r="AE39" i="187"/>
  <c r="G42" i="70" s="1"/>
  <c r="I44" i="193" s="1"/>
  <c r="AP22" i="187"/>
  <c r="AE72" i="187"/>
  <c r="G77" i="70"/>
  <c r="I79" i="193" s="1"/>
  <c r="AK72" i="187"/>
  <c r="AQ72" i="187" s="1"/>
  <c r="Z127" i="187"/>
  <c r="AE127" i="187"/>
  <c r="AG127" i="187" s="1"/>
  <c r="G133" i="70"/>
  <c r="I135" i="193" s="1"/>
  <c r="K135" i="193" s="1"/>
  <c r="AK127" i="187"/>
  <c r="AQ127" i="187" s="1"/>
  <c r="AP20" i="187"/>
  <c r="AM20" i="187"/>
  <c r="AS20" i="187" s="1"/>
  <c r="AP32" i="187"/>
  <c r="AE150" i="187"/>
  <c r="AK150" i="187"/>
  <c r="AQ150" i="187" s="1"/>
  <c r="G157" i="70"/>
  <c r="I159" i="193" s="1"/>
  <c r="AE165" i="187"/>
  <c r="G173" i="70"/>
  <c r="I175" i="193" s="1"/>
  <c r="AK165" i="187"/>
  <c r="AQ165" i="187" s="1"/>
  <c r="Z17" i="187"/>
  <c r="AK17" i="187"/>
  <c r="AQ17" i="187" s="1"/>
  <c r="G19" i="70"/>
  <c r="I21" i="193" s="1"/>
  <c r="K21" i="193" s="1"/>
  <c r="AE17" i="187"/>
  <c r="AG17" i="187" s="1"/>
  <c r="G209" i="70"/>
  <c r="I211" i="193" s="1"/>
  <c r="AK201" i="187"/>
  <c r="AQ201" i="187" s="1"/>
  <c r="AE201" i="187"/>
  <c r="AK82" i="187"/>
  <c r="AQ82" i="187" s="1"/>
  <c r="AE82" i="187"/>
  <c r="G87" i="70"/>
  <c r="I89" i="193" s="1"/>
  <c r="AO115" i="187"/>
  <c r="G202" i="70"/>
  <c r="I204" i="193" s="1"/>
  <c r="AK194" i="187"/>
  <c r="AQ194" i="187" s="1"/>
  <c r="AE194" i="187"/>
  <c r="G118" i="70"/>
  <c r="I120" i="193" s="1"/>
  <c r="K120" i="193" s="1"/>
  <c r="AE113" i="187"/>
  <c r="AG113" i="187" s="1"/>
  <c r="AK113" i="187"/>
  <c r="AQ113" i="187" s="1"/>
  <c r="Z120" i="187"/>
  <c r="G125" i="70"/>
  <c r="I127" i="193" s="1"/>
  <c r="K127" i="193" s="1"/>
  <c r="AK120" i="187"/>
  <c r="AQ120" i="187" s="1"/>
  <c r="AE120" i="187"/>
  <c r="AG120" i="187" s="1"/>
  <c r="AP43" i="187"/>
  <c r="AK26" i="187"/>
  <c r="AQ26" i="187" s="1"/>
  <c r="G29" i="70"/>
  <c r="I31" i="193" s="1"/>
  <c r="K31" i="193" s="1"/>
  <c r="AE26" i="187"/>
  <c r="AG26" i="187" s="1"/>
  <c r="AK16" i="187"/>
  <c r="AQ16" i="187" s="1"/>
  <c r="AE16" i="187"/>
  <c r="AG16" i="187" s="1"/>
  <c r="G18" i="70"/>
  <c r="I20" i="193" s="1"/>
  <c r="K20" i="193" s="1"/>
  <c r="I21" i="181"/>
  <c r="AP134" i="187"/>
  <c r="AN206" i="187"/>
  <c r="AK43" i="187"/>
  <c r="AQ43" i="187" s="1"/>
  <c r="G47" i="70"/>
  <c r="I49" i="193" s="1"/>
  <c r="K49" i="193" s="1"/>
  <c r="AE43" i="187"/>
  <c r="AG43" i="187" s="1"/>
  <c r="AP138" i="187"/>
  <c r="I35" i="72"/>
  <c r="H37" i="193" s="1"/>
  <c r="AP141" i="187"/>
  <c r="AK184" i="187"/>
  <c r="AQ184" i="187" s="1"/>
  <c r="G192" i="70"/>
  <c r="I194" i="193" s="1"/>
  <c r="AE184" i="187"/>
  <c r="Z107" i="187"/>
  <c r="AK107" i="187"/>
  <c r="AQ107" i="187" s="1"/>
  <c r="G112" i="70"/>
  <c r="I114" i="193" s="1"/>
  <c r="K114" i="193" s="1"/>
  <c r="AE107" i="187"/>
  <c r="AG107" i="187" s="1"/>
  <c r="AP17" i="187"/>
  <c r="AO102" i="187"/>
  <c r="AO100" i="187"/>
  <c r="G159" i="70"/>
  <c r="I161" i="193" s="1"/>
  <c r="AK152" i="187"/>
  <c r="AQ152" i="187" s="1"/>
  <c r="AE152" i="187"/>
  <c r="AP15" i="187"/>
  <c r="G113" i="70"/>
  <c r="I115" i="193" s="1"/>
  <c r="K115" i="193" s="1"/>
  <c r="AK108" i="187"/>
  <c r="AQ108" i="187" s="1"/>
  <c r="AE108" i="187"/>
  <c r="AG108" i="187" s="1"/>
  <c r="R13" i="146"/>
  <c r="H13" i="146"/>
  <c r="H15" i="146" s="1"/>
  <c r="F13" i="146"/>
  <c r="G134" i="70"/>
  <c r="I136" i="193" s="1"/>
  <c r="K136" i="193" s="1"/>
  <c r="AE128" i="187"/>
  <c r="AG128" i="187" s="1"/>
  <c r="AK128" i="187"/>
  <c r="AQ128" i="187" s="1"/>
  <c r="AO99" i="187"/>
  <c r="AE64" i="187"/>
  <c r="AK64" i="187"/>
  <c r="AQ64" i="187" s="1"/>
  <c r="G69" i="70"/>
  <c r="I71" i="193" s="1"/>
  <c r="G60" i="70"/>
  <c r="I62" i="193" s="1"/>
  <c r="K62" i="193" s="1"/>
  <c r="AE56" i="187"/>
  <c r="AG56" i="187" s="1"/>
  <c r="AK56" i="187"/>
  <c r="AQ56" i="187" s="1"/>
  <c r="G130" i="70"/>
  <c r="I132" i="193" s="1"/>
  <c r="K132" i="193" s="1"/>
  <c r="AK124" i="187"/>
  <c r="AQ124" i="187" s="1"/>
  <c r="AE124" i="187"/>
  <c r="AG124" i="187" s="1"/>
  <c r="AE106" i="187"/>
  <c r="AG106" i="187" s="1"/>
  <c r="AK106" i="187"/>
  <c r="AQ106" i="187" s="1"/>
  <c r="G111" i="70"/>
  <c r="I113" i="193" s="1"/>
  <c r="K113" i="193" s="1"/>
  <c r="AE146" i="187"/>
  <c r="AK146" i="187"/>
  <c r="AQ146" i="187" s="1"/>
  <c r="G153" i="70"/>
  <c r="I155" i="193" s="1"/>
  <c r="AK101" i="187"/>
  <c r="AQ101" i="187" s="1"/>
  <c r="AE101" i="187"/>
  <c r="AG101" i="187" s="1"/>
  <c r="G106" i="70"/>
  <c r="I108" i="193" s="1"/>
  <c r="K108" i="193" s="1"/>
  <c r="AK85" i="187"/>
  <c r="AQ85" i="187" s="1"/>
  <c r="AE85" i="187"/>
  <c r="G90" i="70" s="1"/>
  <c r="I92" i="193" s="1"/>
  <c r="G127" i="70"/>
  <c r="I129" i="193" s="1"/>
  <c r="K129" i="193" s="1"/>
  <c r="AK122" i="187"/>
  <c r="AQ122" i="187" s="1"/>
  <c r="AE122" i="187"/>
  <c r="AG122" i="187" s="1"/>
  <c r="AE160" i="187"/>
  <c r="AK160" i="187"/>
  <c r="AQ160" i="187" s="1"/>
  <c r="G167" i="70"/>
  <c r="I169" i="193" s="1"/>
  <c r="Z137" i="187"/>
  <c r="AK137" i="187"/>
  <c r="AQ137" i="187" s="1"/>
  <c r="G143" i="70"/>
  <c r="I145" i="193" s="1"/>
  <c r="K145" i="193" s="1"/>
  <c r="AE137" i="187"/>
  <c r="AG137" i="187" s="1"/>
  <c r="I16" i="181"/>
  <c r="F14" i="181"/>
  <c r="I18" i="181"/>
  <c r="AE197" i="187"/>
  <c r="G205" i="70"/>
  <c r="I207" i="193" s="1"/>
  <c r="AK197" i="187"/>
  <c r="AQ197" i="187" s="1"/>
  <c r="AO96" i="187"/>
  <c r="H17" i="146"/>
  <c r="H19" i="146" s="1"/>
  <c r="E18" i="180" s="1"/>
  <c r="F17" i="146"/>
  <c r="R17" i="146"/>
  <c r="AP47" i="187"/>
  <c r="AP135" i="187"/>
  <c r="AP132" i="187"/>
  <c r="Z36" i="187"/>
  <c r="AK36" i="187"/>
  <c r="AQ36" i="187" s="1"/>
  <c r="AE36" i="187"/>
  <c r="G39" i="70" s="1"/>
  <c r="I41" i="193" s="1"/>
  <c r="G165" i="70"/>
  <c r="I167" i="193" s="1"/>
  <c r="AE158" i="187"/>
  <c r="AK158" i="187"/>
  <c r="AQ158" i="187" s="1"/>
  <c r="AN205" i="187"/>
  <c r="Z37" i="187"/>
  <c r="AE37" i="187"/>
  <c r="G40" i="70" s="1"/>
  <c r="I42" i="193" s="1"/>
  <c r="AK37" i="187"/>
  <c r="AQ37" i="187" s="1"/>
  <c r="Z131" i="187"/>
  <c r="I11" i="181"/>
  <c r="AO117" i="187"/>
  <c r="I36" i="72"/>
  <c r="H38" i="193" s="1"/>
  <c r="G178" i="70"/>
  <c r="I180" i="193" s="1"/>
  <c r="AE170" i="187"/>
  <c r="AK170" i="187"/>
  <c r="AQ170" i="187" s="1"/>
  <c r="Z97" i="187"/>
  <c r="AP45" i="187"/>
  <c r="AP27" i="187"/>
  <c r="AE196" i="187"/>
  <c r="G204" i="70"/>
  <c r="I206" i="193" s="1"/>
  <c r="AK196" i="187"/>
  <c r="AQ196" i="187" s="1"/>
  <c r="AE145" i="187"/>
  <c r="G152" i="70"/>
  <c r="I154" i="193" s="1"/>
  <c r="AK145" i="187"/>
  <c r="AQ145" i="187" s="1"/>
  <c r="AK32" i="187"/>
  <c r="AQ32" i="187" s="1"/>
  <c r="AE32" i="187"/>
  <c r="G35" i="70" s="1"/>
  <c r="I37" i="193" s="1"/>
  <c r="AK45" i="187"/>
  <c r="AQ45" i="187" s="1"/>
  <c r="G49" i="70"/>
  <c r="I51" i="193" s="1"/>
  <c r="K51" i="193" s="1"/>
  <c r="AE45" i="187"/>
  <c r="AG45" i="187" s="1"/>
  <c r="AK135" i="187"/>
  <c r="AQ135" i="187" s="1"/>
  <c r="G141" i="70"/>
  <c r="I143" i="193" s="1"/>
  <c r="K143" i="193" s="1"/>
  <c r="AE135" i="187"/>
  <c r="AG135" i="187" s="1"/>
  <c r="G56" i="70"/>
  <c r="I58" i="193" s="1"/>
  <c r="K58" i="193" s="1"/>
  <c r="AK52" i="187"/>
  <c r="AQ52" i="187" s="1"/>
  <c r="AE52" i="187"/>
  <c r="AG52" i="187" s="1"/>
  <c r="G166" i="70"/>
  <c r="I168" i="193" s="1"/>
  <c r="AK159" i="187"/>
  <c r="AQ159" i="187" s="1"/>
  <c r="AE159" i="187"/>
  <c r="AK88" i="187"/>
  <c r="AQ88" i="187" s="1"/>
  <c r="AE88" i="187"/>
  <c r="G93" i="70" s="1"/>
  <c r="I95" i="193" s="1"/>
  <c r="Z116" i="187"/>
  <c r="AE116" i="187"/>
  <c r="AG116" i="187" s="1"/>
  <c r="G121" i="70"/>
  <c r="I123" i="193" s="1"/>
  <c r="K123" i="193" s="1"/>
  <c r="AK116" i="187"/>
  <c r="AQ116" i="187" s="1"/>
  <c r="AL209" i="187"/>
  <c r="AR8" i="187"/>
  <c r="AE134" i="187"/>
  <c r="AG134" i="187" s="1"/>
  <c r="G140" i="70"/>
  <c r="I142" i="193" s="1"/>
  <c r="K142" i="193" s="1"/>
  <c r="AK134" i="187"/>
  <c r="AQ134" i="187" s="1"/>
  <c r="I13" i="181"/>
  <c r="AP33" i="187"/>
  <c r="AE163" i="187"/>
  <c r="G170" i="70"/>
  <c r="I172" i="193" s="1"/>
  <c r="AK163" i="187"/>
  <c r="AQ163" i="187" s="1"/>
  <c r="G52" i="70"/>
  <c r="I54" i="193" s="1"/>
  <c r="K54" i="193" s="1"/>
  <c r="AE48" i="187"/>
  <c r="AG48" i="187" s="1"/>
  <c r="AK48" i="187"/>
  <c r="AQ48" i="187" s="1"/>
  <c r="AK188" i="187"/>
  <c r="AQ188" i="187" s="1"/>
  <c r="AE188" i="187"/>
  <c r="G196" i="70"/>
  <c r="I198" i="193" s="1"/>
  <c r="F19" i="181"/>
  <c r="AE190" i="187"/>
  <c r="AK190" i="187"/>
  <c r="AQ190" i="187" s="1"/>
  <c r="G198" i="70"/>
  <c r="I200" i="193" s="1"/>
  <c r="Z51" i="187"/>
  <c r="AE51" i="187"/>
  <c r="AG51" i="187" s="1"/>
  <c r="G55" i="70"/>
  <c r="I57" i="193" s="1"/>
  <c r="K57" i="193" s="1"/>
  <c r="AK51" i="187"/>
  <c r="AQ51" i="187" s="1"/>
  <c r="AK129" i="187"/>
  <c r="AQ129" i="187" s="1"/>
  <c r="AE129" i="187"/>
  <c r="AG129" i="187" s="1"/>
  <c r="G135" i="70"/>
  <c r="I137" i="193" s="1"/>
  <c r="K137" i="193" s="1"/>
  <c r="Z129" i="187"/>
  <c r="G109" i="70"/>
  <c r="I111" i="193" s="1"/>
  <c r="K111" i="193" s="1"/>
  <c r="AK104" i="187"/>
  <c r="AQ104" i="187" s="1"/>
  <c r="AE104" i="187"/>
  <c r="AG104" i="187" s="1"/>
  <c r="G21" i="181"/>
  <c r="AP25" i="187"/>
  <c r="AK142" i="187"/>
  <c r="AQ142" i="187" s="1"/>
  <c r="AE142" i="187"/>
  <c r="AG142" i="187" s="1"/>
  <c r="G148" i="70"/>
  <c r="I150" i="193" s="1"/>
  <c r="K150" i="193" s="1"/>
  <c r="AO97" i="187"/>
  <c r="AM97" i="187"/>
  <c r="AS97" i="187" s="1"/>
  <c r="AK69" i="187"/>
  <c r="AQ69" i="187" s="1"/>
  <c r="AE69" i="187"/>
  <c r="G74" i="70"/>
  <c r="I76" i="193" s="1"/>
  <c r="Z25" i="187"/>
  <c r="AE25" i="187"/>
  <c r="AG25" i="187" s="1"/>
  <c r="AK25" i="187"/>
  <c r="AQ25" i="187" s="1"/>
  <c r="G28" i="70"/>
  <c r="I30" i="193" s="1"/>
  <c r="K30" i="193" s="1"/>
  <c r="AK92" i="187"/>
  <c r="AQ92" i="187" s="1"/>
  <c r="AE92" i="187"/>
  <c r="G97" i="70" s="1"/>
  <c r="I99" i="193" s="1"/>
  <c r="AE62" i="187"/>
  <c r="G67" i="70"/>
  <c r="I69" i="193" s="1"/>
  <c r="AK62" i="187"/>
  <c r="AQ62" i="187" s="1"/>
  <c r="AP128" i="187"/>
  <c r="AM128" i="187"/>
  <c r="AS128" i="187" s="1"/>
  <c r="AP38" i="187"/>
  <c r="G206" i="70"/>
  <c r="I208" i="193" s="1"/>
  <c r="AE198" i="187"/>
  <c r="AK198" i="187"/>
  <c r="AQ198" i="187" s="1"/>
  <c r="AK86" i="187"/>
  <c r="AQ86" i="187" s="1"/>
  <c r="AE86" i="187"/>
  <c r="G91" i="70" s="1"/>
  <c r="I93" i="193" s="1"/>
  <c r="AN208" i="187"/>
  <c r="AE205" i="187"/>
  <c r="AG205" i="187" s="1"/>
  <c r="G214" i="70"/>
  <c r="I216" i="193" s="1"/>
  <c r="K216" i="193" s="1"/>
  <c r="AK205" i="187"/>
  <c r="AQ205" i="187" s="1"/>
  <c r="Z132" i="187"/>
  <c r="AE132" i="187"/>
  <c r="AG132" i="187" s="1"/>
  <c r="G138" i="70"/>
  <c r="I140" i="193" s="1"/>
  <c r="K140" i="193" s="1"/>
  <c r="AK132" i="187"/>
  <c r="AQ132" i="187" s="1"/>
  <c r="Z11" i="187"/>
  <c r="AE11" i="187"/>
  <c r="AG11" i="187" s="1"/>
  <c r="G13" i="70"/>
  <c r="I15" i="193" s="1"/>
  <c r="K15" i="193" s="1"/>
  <c r="AK11" i="187"/>
  <c r="AQ11" i="187" s="1"/>
  <c r="AP129" i="187"/>
  <c r="Z14" i="187"/>
  <c r="G16" i="70"/>
  <c r="I18" i="193" s="1"/>
  <c r="K18" i="193" s="1"/>
  <c r="AK14" i="187"/>
  <c r="AQ14" i="187" s="1"/>
  <c r="AE14" i="187"/>
  <c r="AG14" i="187" s="1"/>
  <c r="K214" i="193"/>
  <c r="AO119" i="187"/>
  <c r="AP131" i="187"/>
  <c r="AO114" i="187"/>
  <c r="I37" i="72"/>
  <c r="H39" i="193" s="1"/>
  <c r="AO11" i="187"/>
  <c r="AE169" i="187"/>
  <c r="AK169" i="187"/>
  <c r="AQ169" i="187" s="1"/>
  <c r="G177" i="70"/>
  <c r="I179" i="193" s="1"/>
  <c r="AP136" i="187"/>
  <c r="AE93" i="187"/>
  <c r="G98" i="70" s="1"/>
  <c r="I100" i="193" s="1"/>
  <c r="AK93" i="187"/>
  <c r="AQ93" i="187" s="1"/>
  <c r="G13" i="181"/>
  <c r="AE87" i="187"/>
  <c r="G92" i="70" s="1"/>
  <c r="I94" i="193" s="1"/>
  <c r="AK87" i="187"/>
  <c r="AQ87" i="187" s="1"/>
  <c r="AE115" i="187"/>
  <c r="AG115" i="187" s="1"/>
  <c r="AK115" i="187"/>
  <c r="AQ115" i="187" s="1"/>
  <c r="G120" i="70"/>
  <c r="I122" i="193" s="1"/>
  <c r="K122" i="193" s="1"/>
  <c r="AK117" i="187"/>
  <c r="AQ117" i="187" s="1"/>
  <c r="AE117" i="187"/>
  <c r="AG117" i="187" s="1"/>
  <c r="G122" i="70"/>
  <c r="I124" i="193" s="1"/>
  <c r="K124" i="193" s="1"/>
  <c r="I41" i="72"/>
  <c r="H43" i="193" s="1"/>
  <c r="G81" i="70"/>
  <c r="I83" i="193" s="1"/>
  <c r="AK76" i="187"/>
  <c r="AQ76" i="187" s="1"/>
  <c r="AE76" i="187"/>
  <c r="Z111" i="187"/>
  <c r="AK111" i="187"/>
  <c r="AQ111" i="187" s="1"/>
  <c r="AE111" i="187"/>
  <c r="AG111" i="187" s="1"/>
  <c r="G116" i="70"/>
  <c r="I118" i="193" s="1"/>
  <c r="K118" i="193" s="1"/>
  <c r="AK58" i="187"/>
  <c r="AQ58" i="187" s="1"/>
  <c r="G63" i="70"/>
  <c r="I65" i="193" s="1"/>
  <c r="AE58" i="187"/>
  <c r="AO111" i="187"/>
  <c r="AM111" i="187"/>
  <c r="AS111" i="187" s="1"/>
  <c r="AP48" i="187"/>
  <c r="AK183" i="187"/>
  <c r="AQ183" i="187" s="1"/>
  <c r="AE183" i="187"/>
  <c r="G191" i="70"/>
  <c r="I193" i="193" s="1"/>
  <c r="G31" i="70"/>
  <c r="I33" i="193" s="1"/>
  <c r="K33" i="193" s="1"/>
  <c r="AE28" i="187"/>
  <c r="AG28" i="187" s="1"/>
  <c r="AK28" i="187"/>
  <c r="AQ28" i="187" s="1"/>
  <c r="AP51" i="187"/>
  <c r="AE139" i="187"/>
  <c r="AG139" i="187" s="1"/>
  <c r="AK139" i="187"/>
  <c r="AQ139" i="187" s="1"/>
  <c r="G145" i="70"/>
  <c r="I147" i="193" s="1"/>
  <c r="K147" i="193" s="1"/>
  <c r="AP37" i="187"/>
  <c r="G144" i="70"/>
  <c r="I146" i="193" s="1"/>
  <c r="K146" i="193" s="1"/>
  <c r="AK138" i="187"/>
  <c r="AQ138" i="187" s="1"/>
  <c r="AE138" i="187"/>
  <c r="AG138" i="187" s="1"/>
  <c r="AO10" i="187"/>
  <c r="AI209" i="187"/>
  <c r="G73" i="70"/>
  <c r="I75" i="193" s="1"/>
  <c r="AK68" i="187"/>
  <c r="AQ68" i="187" s="1"/>
  <c r="AE68" i="187"/>
  <c r="AE206" i="187"/>
  <c r="AG206" i="187" s="1"/>
  <c r="AK206" i="187"/>
  <c r="AQ206" i="187" s="1"/>
  <c r="G215" i="70"/>
  <c r="I217" i="193" s="1"/>
  <c r="K217" i="193" s="1"/>
  <c r="AP34" i="187"/>
  <c r="AP126" i="187"/>
  <c r="AP46" i="187"/>
  <c r="AP28" i="187"/>
  <c r="AP52" i="187"/>
  <c r="AE75" i="187"/>
  <c r="G80" i="70"/>
  <c r="I82" i="193" s="1"/>
  <c r="AK75" i="187"/>
  <c r="AQ75" i="187" s="1"/>
  <c r="AK33" i="187"/>
  <c r="AQ33" i="187" s="1"/>
  <c r="AE33" i="187"/>
  <c r="G36" i="70" s="1"/>
  <c r="I38" i="193" s="1"/>
  <c r="AP130" i="187"/>
  <c r="AM130" i="187"/>
  <c r="AS130" i="187" s="1"/>
  <c r="Z55" i="187"/>
  <c r="AK15" i="187"/>
  <c r="AQ15" i="187" s="1"/>
  <c r="G17" i="70"/>
  <c r="I19" i="193" s="1"/>
  <c r="K19" i="193" s="1"/>
  <c r="AE15" i="187"/>
  <c r="AG15" i="187" s="1"/>
  <c r="I38" i="72"/>
  <c r="H40" i="193" s="1"/>
  <c r="K40" i="193" s="1"/>
  <c r="AG35" i="187"/>
  <c r="AK74" i="187"/>
  <c r="AQ74" i="187" s="1"/>
  <c r="G79" i="70"/>
  <c r="I81" i="193" s="1"/>
  <c r="AE74" i="187"/>
  <c r="I40" i="72"/>
  <c r="H42" i="193" s="1"/>
  <c r="AE172" i="187"/>
  <c r="G180" i="70"/>
  <c r="I182" i="193" s="1"/>
  <c r="AK172" i="187"/>
  <c r="AQ172" i="187" s="1"/>
  <c r="Z101" i="187"/>
  <c r="AK89" i="187"/>
  <c r="AQ89" i="187" s="1"/>
  <c r="AE89" i="187"/>
  <c r="G94" i="70" s="1"/>
  <c r="I96" i="193" s="1"/>
  <c r="AK59" i="187"/>
  <c r="AQ59" i="187" s="1"/>
  <c r="AE59" i="187"/>
  <c r="G64" i="70"/>
  <c r="I66" i="193" s="1"/>
  <c r="I33" i="72"/>
  <c r="H35" i="193" s="1"/>
  <c r="Z10" i="187"/>
  <c r="AK10" i="187"/>
  <c r="AQ10" i="187" s="1"/>
  <c r="AE10" i="187"/>
  <c r="AG10" i="187" s="1"/>
  <c r="G12" i="70"/>
  <c r="I14" i="193" s="1"/>
  <c r="K14" i="193" s="1"/>
  <c r="AE12" i="187"/>
  <c r="AG12" i="187" s="1"/>
  <c r="G14" i="70"/>
  <c r="I16" i="193" s="1"/>
  <c r="K16" i="193" s="1"/>
  <c r="AK12" i="187"/>
  <c r="AQ12" i="187" s="1"/>
  <c r="AP30" i="187"/>
  <c r="G203" i="70"/>
  <c r="I205" i="193" s="1"/>
  <c r="AK195" i="187"/>
  <c r="AQ195" i="187" s="1"/>
  <c r="AE195" i="187"/>
  <c r="AP44" i="187"/>
  <c r="AM44" i="187"/>
  <c r="AS44" i="187" s="1"/>
  <c r="I12" i="181"/>
  <c r="AO121" i="187"/>
  <c r="G71" i="70"/>
  <c r="I73" i="193" s="1"/>
  <c r="AE66" i="187"/>
  <c r="AK66" i="187"/>
  <c r="AQ66" i="187" s="1"/>
  <c r="AE193" i="187"/>
  <c r="G201" i="70"/>
  <c r="I203" i="193" s="1"/>
  <c r="AK193" i="187"/>
  <c r="AQ193" i="187" s="1"/>
  <c r="G16" i="181"/>
  <c r="Z41" i="187"/>
  <c r="G45" i="70"/>
  <c r="I47" i="193" s="1"/>
  <c r="K47" i="193" s="1"/>
  <c r="AE41" i="187"/>
  <c r="AG41" i="187" s="1"/>
  <c r="AK41" i="187"/>
  <c r="AQ41" i="187" s="1"/>
  <c r="AK70" i="187"/>
  <c r="AQ70" i="187" s="1"/>
  <c r="AE70" i="187"/>
  <c r="G75" i="70"/>
  <c r="I77" i="193" s="1"/>
  <c r="AE199" i="187"/>
  <c r="G207" i="70"/>
  <c r="I209" i="193" s="1"/>
  <c r="AK199" i="187"/>
  <c r="AQ199" i="187" s="1"/>
  <c r="AP21" i="187"/>
  <c r="AP23" i="187"/>
  <c r="AE61" i="187"/>
  <c r="AK61" i="187"/>
  <c r="AQ61" i="187" s="1"/>
  <c r="G66" i="70"/>
  <c r="I68" i="193" s="1"/>
  <c r="AO106" i="187"/>
  <c r="AE90" i="187"/>
  <c r="G95" i="70" s="1"/>
  <c r="I97" i="193" s="1"/>
  <c r="AK90" i="187"/>
  <c r="AQ90" i="187" s="1"/>
  <c r="AE38" i="187"/>
  <c r="G41" i="70" s="1"/>
  <c r="I43" i="193" s="1"/>
  <c r="AK38" i="187"/>
  <c r="AQ38" i="187" s="1"/>
  <c r="AO12" i="187"/>
  <c r="Z43" i="187"/>
  <c r="AO116" i="187"/>
  <c r="AM116" i="187"/>
  <c r="AS116" i="187" s="1"/>
  <c r="AP16" i="187"/>
  <c r="AK22" i="187"/>
  <c r="AQ22" i="187" s="1"/>
  <c r="G25" i="70"/>
  <c r="I27" i="193" s="1"/>
  <c r="K27" i="193" s="1"/>
  <c r="AE22" i="187"/>
  <c r="AG22" i="187" s="1"/>
  <c r="AK71" i="187"/>
  <c r="AQ71" i="187" s="1"/>
  <c r="G76" i="70"/>
  <c r="I78" i="193" s="1"/>
  <c r="AE71" i="187"/>
  <c r="G169" i="70"/>
  <c r="I171" i="193" s="1"/>
  <c r="AK162" i="187"/>
  <c r="AQ162" i="187" s="1"/>
  <c r="AE162" i="187"/>
  <c r="AK91" i="187"/>
  <c r="AQ91" i="187" s="1"/>
  <c r="AE91" i="187"/>
  <c r="G96" i="70" s="1"/>
  <c r="I98" i="193" s="1"/>
  <c r="AE149" i="187"/>
  <c r="AK149" i="187"/>
  <c r="AQ149" i="187" s="1"/>
  <c r="G156" i="70"/>
  <c r="I158" i="193" s="1"/>
  <c r="I39" i="72"/>
  <c r="H41" i="193" s="1"/>
  <c r="AK180" i="187"/>
  <c r="AQ180" i="187" s="1"/>
  <c r="AE180" i="187"/>
  <c r="G188" i="70"/>
  <c r="I190" i="193" s="1"/>
  <c r="Z122" i="187"/>
  <c r="G14" i="181"/>
  <c r="Z34" i="187"/>
  <c r="AE34" i="187"/>
  <c r="G37" i="70" s="1"/>
  <c r="I39" i="193" s="1"/>
  <c r="AK34" i="187"/>
  <c r="AQ34" i="187" s="1"/>
  <c r="AP50" i="187"/>
  <c r="Z44" i="187"/>
  <c r="AP140" i="187"/>
  <c r="AP35" i="187"/>
  <c r="G82" i="70"/>
  <c r="I84" i="193" s="1"/>
  <c r="AK77" i="187"/>
  <c r="AQ77" i="187" s="1"/>
  <c r="AE77" i="187"/>
  <c r="AO120" i="187"/>
  <c r="Z24" i="187"/>
  <c r="AP127" i="187"/>
  <c r="AO101" i="187"/>
  <c r="AK192" i="187"/>
  <c r="AQ192" i="187" s="1"/>
  <c r="AE192" i="187"/>
  <c r="G200" i="70"/>
  <c r="I202" i="193" s="1"/>
  <c r="AE147" i="187"/>
  <c r="AK147" i="187"/>
  <c r="AQ147" i="187" s="1"/>
  <c r="G154" i="70"/>
  <c r="I156" i="193" s="1"/>
  <c r="AK156" i="187"/>
  <c r="AQ156" i="187" s="1"/>
  <c r="G163" i="70"/>
  <c r="I165" i="193" s="1"/>
  <c r="AE156" i="187"/>
  <c r="AK30" i="187"/>
  <c r="AQ30" i="187" s="1"/>
  <c r="AE30" i="187"/>
  <c r="G33" i="70" s="1"/>
  <c r="I35" i="193" s="1"/>
  <c r="AP55" i="187"/>
  <c r="Z27" i="187"/>
  <c r="AE27" i="187"/>
  <c r="AG27" i="187" s="1"/>
  <c r="AK27" i="187"/>
  <c r="AQ27" i="187" s="1"/>
  <c r="G30" i="70"/>
  <c r="I32" i="193" s="1"/>
  <c r="K32" i="193" s="1"/>
  <c r="AO98" i="187"/>
  <c r="AP41" i="187"/>
  <c r="AE176" i="187"/>
  <c r="G184" i="70"/>
  <c r="I186" i="193" s="1"/>
  <c r="AK176" i="187"/>
  <c r="AQ176" i="187" s="1"/>
  <c r="Z100" i="187"/>
  <c r="G105" i="70"/>
  <c r="I107" i="193" s="1"/>
  <c r="K107" i="193" s="1"/>
  <c r="AE100" i="187"/>
  <c r="AG100" i="187" s="1"/>
  <c r="AK100" i="187"/>
  <c r="AQ100" i="187" s="1"/>
  <c r="Z53" i="187"/>
  <c r="AE53" i="187"/>
  <c r="AG53" i="187" s="1"/>
  <c r="AK53" i="187"/>
  <c r="AQ53" i="187" s="1"/>
  <c r="G57" i="70"/>
  <c r="I59" i="193" s="1"/>
  <c r="K59" i="193" s="1"/>
  <c r="G183" i="70"/>
  <c r="I185" i="193" s="1"/>
  <c r="AK175" i="187"/>
  <c r="AQ175" i="187" s="1"/>
  <c r="AE175" i="187"/>
  <c r="AO103" i="187"/>
  <c r="AK168" i="187"/>
  <c r="AQ168" i="187" s="1"/>
  <c r="G176" i="70"/>
  <c r="I178" i="193" s="1"/>
  <c r="AE168" i="187"/>
  <c r="Z119" i="187"/>
  <c r="G124" i="70"/>
  <c r="I126" i="193" s="1"/>
  <c r="K126" i="193" s="1"/>
  <c r="AK119" i="187"/>
  <c r="AQ119" i="187" s="1"/>
  <c r="AE119" i="187"/>
  <c r="AG119" i="187" s="1"/>
  <c r="AK191" i="187"/>
  <c r="AQ191" i="187" s="1"/>
  <c r="G199" i="70"/>
  <c r="I201" i="193" s="1"/>
  <c r="AE191" i="187"/>
  <c r="Z31" i="187"/>
  <c r="AK31" i="187"/>
  <c r="AQ31" i="187" s="1"/>
  <c r="AE31" i="187"/>
  <c r="G34" i="70" s="1"/>
  <c r="I36" i="193" s="1"/>
  <c r="Z136" i="187"/>
  <c r="AE121" i="187"/>
  <c r="AG121" i="187" s="1"/>
  <c r="AK121" i="187"/>
  <c r="AQ121" i="187" s="1"/>
  <c r="G126" i="70"/>
  <c r="I128" i="193" s="1"/>
  <c r="K128" i="193" s="1"/>
  <c r="AP14" i="187"/>
  <c r="Z110" i="187"/>
  <c r="G115" i="70"/>
  <c r="I117" i="193" s="1"/>
  <c r="K117" i="193" s="1"/>
  <c r="AK110" i="187"/>
  <c r="AQ110" i="187" s="1"/>
  <c r="AE110" i="187"/>
  <c r="AG110" i="187" s="1"/>
  <c r="AP139" i="187"/>
  <c r="AE94" i="187"/>
  <c r="G99" i="70" s="1"/>
  <c r="I101" i="193" s="1"/>
  <c r="AK94" i="187"/>
  <c r="AQ94" i="187" s="1"/>
  <c r="AO104" i="187"/>
  <c r="G195" i="70"/>
  <c r="I197" i="193" s="1"/>
  <c r="AK187" i="187"/>
  <c r="AQ187" i="187" s="1"/>
  <c r="AE187" i="187"/>
  <c r="AE47" i="187"/>
  <c r="AG47" i="187" s="1"/>
  <c r="AK47" i="187"/>
  <c r="AQ47" i="187" s="1"/>
  <c r="G51" i="70"/>
  <c r="I53" i="193" s="1"/>
  <c r="K53" i="193" s="1"/>
  <c r="AO113" i="187"/>
  <c r="AE118" i="187"/>
  <c r="AG118" i="187" s="1"/>
  <c r="G123" i="70"/>
  <c r="I125" i="193" s="1"/>
  <c r="K125" i="193" s="1"/>
  <c r="AK118" i="187"/>
  <c r="AQ118" i="187" s="1"/>
  <c r="AE186" i="187"/>
  <c r="AK186" i="187"/>
  <c r="AQ186" i="187" s="1"/>
  <c r="G194" i="70"/>
  <c r="I196" i="193" s="1"/>
  <c r="AO109" i="187"/>
  <c r="AO110" i="187"/>
  <c r="G24" i="70"/>
  <c r="I26" i="193" s="1"/>
  <c r="K26" i="193" s="1"/>
  <c r="AK21" i="187"/>
  <c r="AQ21" i="187" s="1"/>
  <c r="AE21" i="187"/>
  <c r="AG21" i="187" s="1"/>
  <c r="AE114" i="187"/>
  <c r="AG114" i="187" s="1"/>
  <c r="G119" i="70"/>
  <c r="I121" i="193" s="1"/>
  <c r="K121" i="193" s="1"/>
  <c r="AK114" i="187"/>
  <c r="AQ114" i="187" s="1"/>
  <c r="AP26" i="187"/>
  <c r="Z50" i="187"/>
  <c r="AK50" i="187"/>
  <c r="AQ50" i="187" s="1"/>
  <c r="G54" i="70"/>
  <c r="I56" i="193" s="1"/>
  <c r="K56" i="193" s="1"/>
  <c r="AE50" i="187"/>
  <c r="AG50" i="187" s="1"/>
  <c r="AP137" i="187"/>
  <c r="AK46" i="187"/>
  <c r="AQ46" i="187" s="1"/>
  <c r="AE46" i="187"/>
  <c r="AG46" i="187" s="1"/>
  <c r="G50" i="70"/>
  <c r="I52" i="193" s="1"/>
  <c r="K52" i="193" s="1"/>
  <c r="G175" i="70"/>
  <c r="I177" i="193" s="1"/>
  <c r="AE167" i="187"/>
  <c r="AK167" i="187"/>
  <c r="AQ167" i="187" s="1"/>
  <c r="AE140" i="187"/>
  <c r="AG140" i="187" s="1"/>
  <c r="G146" i="70"/>
  <c r="I148" i="193" s="1"/>
  <c r="K148" i="193" s="1"/>
  <c r="AK140" i="187"/>
  <c r="AQ140" i="187" s="1"/>
  <c r="AP36" i="187"/>
  <c r="AM36" i="187"/>
  <c r="AS36" i="187" s="1"/>
  <c r="AP42" i="187"/>
  <c r="AE79" i="187"/>
  <c r="AK79" i="187"/>
  <c r="AQ79" i="187" s="1"/>
  <c r="G84" i="70"/>
  <c r="I86" i="193" s="1"/>
  <c r="Z30" i="187"/>
  <c r="AP124" i="187"/>
  <c r="AO122" i="187"/>
  <c r="AE96" i="187"/>
  <c r="AG96" i="187" s="1"/>
  <c r="G101" i="70"/>
  <c r="I103" i="193" s="1"/>
  <c r="K103" i="193" s="1"/>
  <c r="AK96" i="187"/>
  <c r="AQ96" i="187" s="1"/>
  <c r="AE148" i="187"/>
  <c r="AK148" i="187"/>
  <c r="AQ148" i="187" s="1"/>
  <c r="G155" i="70"/>
  <c r="I157" i="193" s="1"/>
  <c r="Z46" i="187"/>
  <c r="AP143" i="187"/>
  <c r="AK80" i="187"/>
  <c r="AQ80" i="187" s="1"/>
  <c r="G85" i="70"/>
  <c r="I87" i="193" s="1"/>
  <c r="AE80" i="187"/>
  <c r="AK208" i="187"/>
  <c r="AQ208" i="187" s="1"/>
  <c r="AE208" i="187"/>
  <c r="AG208" i="187" s="1"/>
  <c r="G217" i="70"/>
  <c r="I219" i="193" s="1"/>
  <c r="K219" i="193" s="1"/>
  <c r="AE42" i="187"/>
  <c r="AG42" i="187" s="1"/>
  <c r="G46" i="70"/>
  <c r="I48" i="193" s="1"/>
  <c r="K48" i="193" s="1"/>
  <c r="AK42" i="187"/>
  <c r="AQ42" i="187" s="1"/>
  <c r="Z140" i="187"/>
  <c r="AE157" i="187"/>
  <c r="G164" i="70"/>
  <c r="I166" i="193" s="1"/>
  <c r="AK157" i="187"/>
  <c r="AQ157" i="187" s="1"/>
  <c r="AE109" i="187"/>
  <c r="AG109" i="187" s="1"/>
  <c r="G114" i="70"/>
  <c r="I116" i="193" s="1"/>
  <c r="K116" i="193" s="1"/>
  <c r="AK109" i="187"/>
  <c r="AQ109" i="187" s="1"/>
  <c r="AE63" i="187"/>
  <c r="G68" i="70"/>
  <c r="I70" i="193" s="1"/>
  <c r="AK63" i="187"/>
  <c r="AQ63" i="187" s="1"/>
  <c r="G174" i="70"/>
  <c r="I176" i="193" s="1"/>
  <c r="AE166" i="187"/>
  <c r="AK166" i="187"/>
  <c r="AQ166" i="187" s="1"/>
  <c r="I34" i="72"/>
  <c r="H36" i="193" s="1"/>
  <c r="Z19" i="187"/>
  <c r="AK19" i="187"/>
  <c r="AQ19" i="187" s="1"/>
  <c r="AE19" i="187"/>
  <c r="AG19" i="187" s="1"/>
  <c r="G22" i="70"/>
  <c r="I24" i="193" s="1"/>
  <c r="K24" i="193" s="1"/>
  <c r="AM118" i="187" l="1"/>
  <c r="AS118" i="187" s="1"/>
  <c r="AM54" i="187"/>
  <c r="AS54" i="187" s="1"/>
  <c r="AM53" i="187"/>
  <c r="AS53" i="187" s="1"/>
  <c r="AM26" i="187"/>
  <c r="AS26" i="187" s="1"/>
  <c r="AM143" i="187"/>
  <c r="AS143" i="187" s="1"/>
  <c r="AM206" i="187"/>
  <c r="AS206" i="187" s="1"/>
  <c r="AM28" i="187"/>
  <c r="AS28" i="187" s="1"/>
  <c r="AG37" i="187"/>
  <c r="AM30" i="187"/>
  <c r="AS30" i="187" s="1"/>
  <c r="K42" i="193"/>
  <c r="AM126" i="187"/>
  <c r="AS126" i="187" s="1"/>
  <c r="AM104" i="187"/>
  <c r="AS104" i="187" s="1"/>
  <c r="AM110" i="187"/>
  <c r="AS110" i="187" s="1"/>
  <c r="AM205" i="187"/>
  <c r="AS205" i="187" s="1"/>
  <c r="AM208" i="187"/>
  <c r="AS208" i="187" s="1"/>
  <c r="AM129" i="187"/>
  <c r="AS129" i="187" s="1"/>
  <c r="AM115" i="187"/>
  <c r="AS115" i="187" s="1"/>
  <c r="AM39" i="187"/>
  <c r="AS39" i="187" s="1"/>
  <c r="AM14" i="187"/>
  <c r="AS14" i="187" s="1"/>
  <c r="AM103" i="187"/>
  <c r="AS103" i="187" s="1"/>
  <c r="AM10" i="187"/>
  <c r="AS10" i="187" s="1"/>
  <c r="AM25" i="187"/>
  <c r="AS25" i="187" s="1"/>
  <c r="AM17" i="187"/>
  <c r="AS17" i="187" s="1"/>
  <c r="AM120" i="187"/>
  <c r="AS120" i="187" s="1"/>
  <c r="AM136" i="187"/>
  <c r="AS136" i="187" s="1"/>
  <c r="AM99" i="187"/>
  <c r="AS99" i="187" s="1"/>
  <c r="AM37" i="187"/>
  <c r="AS37" i="187" s="1"/>
  <c r="AM117" i="187"/>
  <c r="AS117" i="187" s="1"/>
  <c r="AM52" i="187"/>
  <c r="AS52" i="187" s="1"/>
  <c r="AM100" i="187"/>
  <c r="AS100" i="187" s="1"/>
  <c r="AM108" i="187"/>
  <c r="AS108" i="187" s="1"/>
  <c r="AM12" i="187"/>
  <c r="AS12" i="187" s="1"/>
  <c r="AM46" i="187"/>
  <c r="AS46" i="187" s="1"/>
  <c r="AM33" i="187"/>
  <c r="AS33" i="187" s="1"/>
  <c r="AG33" i="187"/>
  <c r="K38" i="193"/>
  <c r="I23" i="164" s="1"/>
  <c r="AM131" i="187"/>
  <c r="AS131" i="187" s="1"/>
  <c r="AM56" i="187"/>
  <c r="AS56" i="187" s="1"/>
  <c r="AM96" i="187"/>
  <c r="AS96" i="187" s="1"/>
  <c r="K41" i="193"/>
  <c r="L41" i="193" s="1"/>
  <c r="AM47" i="187"/>
  <c r="AS47" i="187" s="1"/>
  <c r="AM35" i="187"/>
  <c r="AS35" i="187" s="1"/>
  <c r="AM119" i="187"/>
  <c r="AS119" i="187" s="1"/>
  <c r="AM137" i="187"/>
  <c r="AS137" i="187" s="1"/>
  <c r="AM106" i="187"/>
  <c r="AS106" i="187" s="1"/>
  <c r="AM102" i="187"/>
  <c r="AS102" i="187" s="1"/>
  <c r="K36" i="193"/>
  <c r="I21" i="164" s="1"/>
  <c r="AM124" i="187"/>
  <c r="AS124" i="187" s="1"/>
  <c r="AG39" i="187"/>
  <c r="AG36" i="187"/>
  <c r="G18" i="181"/>
  <c r="AG31" i="187"/>
  <c r="AM42" i="187"/>
  <c r="AS42" i="187" s="1"/>
  <c r="H10" i="181"/>
  <c r="AM125" i="187"/>
  <c r="AS125" i="187" s="1"/>
  <c r="K44" i="193"/>
  <c r="I29" i="164" s="1"/>
  <c r="L217" i="193"/>
  <c r="AF217" i="193" s="1"/>
  <c r="E14" i="156"/>
  <c r="AE217" i="193"/>
  <c r="L216" i="193"/>
  <c r="AF216" i="193" s="1"/>
  <c r="AE216" i="193"/>
  <c r="E13" i="156"/>
  <c r="G8" i="181"/>
  <c r="AP209" i="187"/>
  <c r="G23" i="145"/>
  <c r="L56" i="193"/>
  <c r="L57" i="193"/>
  <c r="G24" i="145"/>
  <c r="AO209" i="187"/>
  <c r="F9" i="181"/>
  <c r="L214" i="193"/>
  <c r="F13" i="153"/>
  <c r="L105" i="193"/>
  <c r="G45" i="147"/>
  <c r="AM55" i="187"/>
  <c r="AS55" i="187" s="1"/>
  <c r="I8" i="181"/>
  <c r="I24" i="181" s="1"/>
  <c r="AR209" i="187"/>
  <c r="L120" i="193"/>
  <c r="G62" i="147"/>
  <c r="G19" i="145"/>
  <c r="L53" i="193"/>
  <c r="S17" i="146"/>
  <c r="W17" i="146" s="1"/>
  <c r="W19" i="146" s="1"/>
  <c r="I34" i="157"/>
  <c r="I17" i="146"/>
  <c r="G21" i="142"/>
  <c r="L18" i="193"/>
  <c r="L28" i="193"/>
  <c r="G17" i="144"/>
  <c r="H16" i="181"/>
  <c r="L118" i="193"/>
  <c r="G59" i="147"/>
  <c r="L150" i="193"/>
  <c r="G32" i="148"/>
  <c r="L123" i="193"/>
  <c r="G65" i="147"/>
  <c r="G48" i="147"/>
  <c r="L108" i="193"/>
  <c r="G33" i="148"/>
  <c r="L151" i="193"/>
  <c r="H200" i="67"/>
  <c r="U192" i="187"/>
  <c r="H67" i="67"/>
  <c r="U62" i="187"/>
  <c r="H155" i="67"/>
  <c r="U148" i="187"/>
  <c r="U88" i="187"/>
  <c r="H93" i="67"/>
  <c r="L148" i="193"/>
  <c r="G30" i="148"/>
  <c r="L121" i="193"/>
  <c r="G63" i="147"/>
  <c r="G13" i="145"/>
  <c r="L47" i="193"/>
  <c r="G18" i="142"/>
  <c r="L16" i="193"/>
  <c r="AM38" i="187"/>
  <c r="AS38" i="187" s="1"/>
  <c r="F15" i="181"/>
  <c r="G50" i="147"/>
  <c r="L110" i="193"/>
  <c r="U175" i="187"/>
  <c r="H183" i="67"/>
  <c r="H176" i="67"/>
  <c r="U168" i="187"/>
  <c r="H207" i="67"/>
  <c r="U199" i="187"/>
  <c r="U61" i="187"/>
  <c r="H66" i="67"/>
  <c r="U93" i="187"/>
  <c r="H98" i="67"/>
  <c r="H206" i="67"/>
  <c r="U198" i="187"/>
  <c r="L149" i="193"/>
  <c r="G31" i="148"/>
  <c r="U81" i="187"/>
  <c r="H86" i="67"/>
  <c r="U158" i="187"/>
  <c r="H165" i="67"/>
  <c r="U75" i="187"/>
  <c r="H80" i="67"/>
  <c r="H13" i="181"/>
  <c r="G29" i="148"/>
  <c r="L147" i="193"/>
  <c r="U66" i="187"/>
  <c r="H71" i="67"/>
  <c r="G47" i="147"/>
  <c r="L107" i="193"/>
  <c r="L40" i="193"/>
  <c r="I25" i="164"/>
  <c r="G17" i="142"/>
  <c r="L15" i="193"/>
  <c r="S13" i="146"/>
  <c r="W13" i="146" s="1"/>
  <c r="W15" i="146" s="1"/>
  <c r="I13" i="146"/>
  <c r="I20" i="157"/>
  <c r="G16" i="148"/>
  <c r="L135" i="193"/>
  <c r="U162" i="187"/>
  <c r="H169" i="67"/>
  <c r="U191" i="187"/>
  <c r="H199" i="67"/>
  <c r="H196" i="67"/>
  <c r="U188" i="187"/>
  <c r="U71" i="187"/>
  <c r="H76" i="67"/>
  <c r="U58" i="187"/>
  <c r="H63" i="67"/>
  <c r="U152" i="187"/>
  <c r="H159" i="67"/>
  <c r="U147" i="187"/>
  <c r="H154" i="67"/>
  <c r="U94" i="187"/>
  <c r="H99" i="67"/>
  <c r="H73" i="67"/>
  <c r="U68" i="187"/>
  <c r="H75" i="67"/>
  <c r="U70" i="187"/>
  <c r="U82" i="187"/>
  <c r="H87" i="67"/>
  <c r="G15" i="144"/>
  <c r="L26" i="193"/>
  <c r="AM50" i="187"/>
  <c r="AS50" i="187" s="1"/>
  <c r="H9" i="181"/>
  <c r="AM51" i="187"/>
  <c r="AS51" i="187" s="1"/>
  <c r="AM27" i="187"/>
  <c r="AS27" i="187" s="1"/>
  <c r="E17" i="180"/>
  <c r="H21" i="146"/>
  <c r="L29" i="193"/>
  <c r="G18" i="144"/>
  <c r="H166" i="67"/>
  <c r="U159" i="187"/>
  <c r="H187" i="67"/>
  <c r="U179" i="187"/>
  <c r="U195" i="187"/>
  <c r="H203" i="67"/>
  <c r="U169" i="187"/>
  <c r="H177" i="67"/>
  <c r="H157" i="67"/>
  <c r="U150" i="187"/>
  <c r="U167" i="187"/>
  <c r="H175" i="67"/>
  <c r="AM107" i="187"/>
  <c r="AS107" i="187" s="1"/>
  <c r="G15" i="148"/>
  <c r="L134" i="193"/>
  <c r="U163" i="187"/>
  <c r="H170" i="67"/>
  <c r="G10" i="181"/>
  <c r="U170" i="187"/>
  <c r="H178" i="67"/>
  <c r="H192" i="67"/>
  <c r="U184" i="187"/>
  <c r="I27" i="164"/>
  <c r="L42" i="193"/>
  <c r="H167" i="67"/>
  <c r="U160" i="187"/>
  <c r="L19" i="193"/>
  <c r="G22" i="142"/>
  <c r="AM34" i="187"/>
  <c r="AS34" i="187" s="1"/>
  <c r="AM11" i="187"/>
  <c r="AS11" i="187" s="1"/>
  <c r="G54" i="147"/>
  <c r="L113" i="193"/>
  <c r="T13" i="146"/>
  <c r="X13" i="146" s="1"/>
  <c r="V13" i="146"/>
  <c r="V15" i="146" s="1"/>
  <c r="U13" i="146"/>
  <c r="Y13" i="146" s="1"/>
  <c r="L31" i="193"/>
  <c r="G20" i="144"/>
  <c r="AM142" i="187"/>
  <c r="AS142" i="187" s="1"/>
  <c r="U161" i="187"/>
  <c r="H168" i="67"/>
  <c r="U145" i="187"/>
  <c r="H152" i="67"/>
  <c r="U180" i="187"/>
  <c r="H188" i="67"/>
  <c r="U176" i="187"/>
  <c r="H184" i="67"/>
  <c r="G28" i="148"/>
  <c r="L146" i="193"/>
  <c r="H91" i="67"/>
  <c r="U86" i="187"/>
  <c r="H84" i="67"/>
  <c r="U79" i="187"/>
  <c r="L136" i="193"/>
  <c r="G17" i="148"/>
  <c r="AG30" i="187"/>
  <c r="AG38" i="187"/>
  <c r="G20" i="145"/>
  <c r="L54" i="193"/>
  <c r="AM45" i="187"/>
  <c r="AS45" i="187" s="1"/>
  <c r="H88" i="67"/>
  <c r="U83" i="187"/>
  <c r="H197" i="67"/>
  <c r="U189" i="187"/>
  <c r="U187" i="187"/>
  <c r="H195" i="67"/>
  <c r="AM19" i="187"/>
  <c r="AS19" i="187" s="1"/>
  <c r="G26" i="148"/>
  <c r="L144" i="193"/>
  <c r="AM24" i="187"/>
  <c r="AS24" i="187" s="1"/>
  <c r="U65" i="187"/>
  <c r="H70" i="67"/>
  <c r="H12" i="181"/>
  <c r="U200" i="187"/>
  <c r="H208" i="67"/>
  <c r="H15" i="181"/>
  <c r="AM109" i="187"/>
  <c r="AS109" i="187" s="1"/>
  <c r="AM139" i="187"/>
  <c r="AS139" i="187" s="1"/>
  <c r="L126" i="193"/>
  <c r="G68" i="147"/>
  <c r="K35" i="193"/>
  <c r="E16" i="156"/>
  <c r="L219" i="193"/>
  <c r="AF219" i="193" s="1"/>
  <c r="AE219" i="193"/>
  <c r="K43" i="193"/>
  <c r="AG34" i="187"/>
  <c r="G21" i="148"/>
  <c r="L140" i="193"/>
  <c r="L111" i="193"/>
  <c r="G51" i="147"/>
  <c r="AM141" i="187"/>
  <c r="AS141" i="187" s="1"/>
  <c r="AM43" i="187"/>
  <c r="AS43" i="187" s="1"/>
  <c r="U197" i="187"/>
  <c r="H205" i="67"/>
  <c r="U173" i="187"/>
  <c r="H181" i="67"/>
  <c r="H173" i="67"/>
  <c r="U165" i="187"/>
  <c r="U201" i="187"/>
  <c r="H209" i="67"/>
  <c r="U196" i="187"/>
  <c r="H204" i="67"/>
  <c r="U174" i="187"/>
  <c r="H182" i="67"/>
  <c r="G70" i="147"/>
  <c r="L128" i="193"/>
  <c r="H68" i="67"/>
  <c r="U63" i="187"/>
  <c r="U155" i="187"/>
  <c r="H162" i="67"/>
  <c r="U92" i="187"/>
  <c r="H97" i="67"/>
  <c r="AM23" i="187"/>
  <c r="AS23" i="187" s="1"/>
  <c r="L33" i="193"/>
  <c r="G22" i="144"/>
  <c r="L124" i="193"/>
  <c r="G66" i="147"/>
  <c r="K39" i="193"/>
  <c r="G27" i="148"/>
  <c r="L145" i="193"/>
  <c r="G56" i="147"/>
  <c r="L115" i="193"/>
  <c r="U156" i="187"/>
  <c r="H163" i="67"/>
  <c r="U183" i="187"/>
  <c r="H191" i="67"/>
  <c r="H92" i="67"/>
  <c r="U87" i="187"/>
  <c r="H96" i="67"/>
  <c r="U91" i="187"/>
  <c r="AM31" i="187"/>
  <c r="AS31" i="187" s="1"/>
  <c r="U64" i="187"/>
  <c r="H69" i="67"/>
  <c r="H174" i="67"/>
  <c r="U166" i="187"/>
  <c r="G57" i="147"/>
  <c r="L116" i="193"/>
  <c r="G12" i="181"/>
  <c r="AM121" i="187"/>
  <c r="AS121" i="187" s="1"/>
  <c r="AM114" i="187"/>
  <c r="AS114" i="187" s="1"/>
  <c r="G18" i="148"/>
  <c r="L137" i="193"/>
  <c r="L58" i="193"/>
  <c r="G25" i="145"/>
  <c r="AM15" i="187"/>
  <c r="AS15" i="187" s="1"/>
  <c r="AG32" i="187"/>
  <c r="L21" i="193"/>
  <c r="G24" i="142"/>
  <c r="AM22" i="187"/>
  <c r="AS22" i="187" s="1"/>
  <c r="L139" i="193"/>
  <c r="G20" i="148"/>
  <c r="U89" i="187"/>
  <c r="H94" i="67"/>
  <c r="U60" i="187"/>
  <c r="H65" i="67"/>
  <c r="H202" i="67"/>
  <c r="U194" i="187"/>
  <c r="U186" i="187"/>
  <c r="H194" i="67"/>
  <c r="L104" i="193"/>
  <c r="G44" i="147"/>
  <c r="L133" i="193"/>
  <c r="G14" i="148"/>
  <c r="G19" i="148"/>
  <c r="L138" i="193"/>
  <c r="H14" i="181"/>
  <c r="U181" i="187"/>
  <c r="H189" i="67"/>
  <c r="U90" i="187"/>
  <c r="H95" i="67"/>
  <c r="U154" i="187"/>
  <c r="H161" i="67"/>
  <c r="E22" i="181"/>
  <c r="AM41" i="187"/>
  <c r="AS41" i="187" s="1"/>
  <c r="AM21" i="187"/>
  <c r="AS21" i="187" s="1"/>
  <c r="F16" i="181"/>
  <c r="H22" i="181"/>
  <c r="L30" i="193"/>
  <c r="G19" i="144"/>
  <c r="AM132" i="187"/>
  <c r="AS132" i="187" s="1"/>
  <c r="H17" i="181"/>
  <c r="K37" i="193"/>
  <c r="G14" i="144"/>
  <c r="L25" i="193"/>
  <c r="U72" i="187"/>
  <c r="H77" i="67"/>
  <c r="H186" i="67"/>
  <c r="U178" i="187"/>
  <c r="H81" i="67"/>
  <c r="U76" i="187"/>
  <c r="L125" i="193"/>
  <c r="G67" i="147"/>
  <c r="H85" i="67"/>
  <c r="U80" i="187"/>
  <c r="L142" i="193"/>
  <c r="G24" i="148"/>
  <c r="G28" i="145"/>
  <c r="L61" i="193"/>
  <c r="V17" i="146"/>
  <c r="V19" i="146" s="1"/>
  <c r="T17" i="146"/>
  <c r="X17" i="146" s="1"/>
  <c r="U17" i="146"/>
  <c r="Y17" i="146" s="1"/>
  <c r="L109" i="193"/>
  <c r="G49" i="147"/>
  <c r="AM8" i="187"/>
  <c r="AK209" i="187"/>
  <c r="AQ8" i="187"/>
  <c r="H82" i="67"/>
  <c r="U77" i="187"/>
  <c r="H19" i="181"/>
  <c r="G13" i="142"/>
  <c r="L12" i="193"/>
  <c r="G55" i="147"/>
  <c r="L114" i="193"/>
  <c r="G11" i="181"/>
  <c r="U172" i="187"/>
  <c r="H180" i="67"/>
  <c r="L52" i="193"/>
  <c r="G18" i="145"/>
  <c r="AM122" i="187"/>
  <c r="AS122" i="187" s="1"/>
  <c r="G14" i="145"/>
  <c r="L48" i="193"/>
  <c r="AM98" i="187"/>
  <c r="AS98" i="187" s="1"/>
  <c r="L122" i="193"/>
  <c r="G64" i="147"/>
  <c r="L143" i="193"/>
  <c r="G25" i="148"/>
  <c r="L132" i="193"/>
  <c r="G13" i="148"/>
  <c r="AM138" i="187"/>
  <c r="AS138" i="187" s="1"/>
  <c r="G69" i="147"/>
  <c r="L127" i="193"/>
  <c r="L106" i="193"/>
  <c r="G46" i="147"/>
  <c r="H156" i="67"/>
  <c r="U149" i="187"/>
  <c r="H164" i="67"/>
  <c r="U157" i="187"/>
  <c r="U59" i="187"/>
  <c r="H64" i="67"/>
  <c r="H153" i="67"/>
  <c r="U146" i="187"/>
  <c r="L50" i="193"/>
  <c r="G16" i="145"/>
  <c r="L51" i="193"/>
  <c r="G17" i="145"/>
  <c r="G29" i="145"/>
  <c r="L62" i="193"/>
  <c r="L49" i="193"/>
  <c r="G15" i="145"/>
  <c r="H201" i="67"/>
  <c r="U193" i="187"/>
  <c r="AM113" i="187"/>
  <c r="AS113" i="187" s="1"/>
  <c r="G71" i="147"/>
  <c r="L129" i="193"/>
  <c r="L59" i="193"/>
  <c r="G26" i="145"/>
  <c r="G18" i="180"/>
  <c r="I18" i="180" s="1"/>
  <c r="O18" i="180"/>
  <c r="AM134" i="187"/>
  <c r="AS134" i="187" s="1"/>
  <c r="AM32" i="187"/>
  <c r="AS32" i="187" s="1"/>
  <c r="U69" i="187"/>
  <c r="H74" i="67"/>
  <c r="AM140" i="187"/>
  <c r="AS140" i="187" s="1"/>
  <c r="G23" i="142"/>
  <c r="L20" i="193"/>
  <c r="L14" i="193"/>
  <c r="G16" i="142"/>
  <c r="L103" i="193"/>
  <c r="G43" i="147"/>
  <c r="AM101" i="187"/>
  <c r="AS101" i="187" s="1"/>
  <c r="G13" i="144"/>
  <c r="L24" i="193"/>
  <c r="G17" i="181"/>
  <c r="L27" i="193"/>
  <c r="G16" i="144"/>
  <c r="L117" i="193"/>
  <c r="G58" i="147"/>
  <c r="AM127" i="187"/>
  <c r="AS127" i="187" s="1"/>
  <c r="G21" i="144"/>
  <c r="L32" i="193"/>
  <c r="AM16" i="187"/>
  <c r="AS16" i="187" s="1"/>
  <c r="AM48" i="187"/>
  <c r="AS48" i="187" s="1"/>
  <c r="H18" i="181"/>
  <c r="AM135" i="187"/>
  <c r="AS135" i="187" s="1"/>
  <c r="H21" i="181"/>
  <c r="L60" i="193"/>
  <c r="G27" i="145"/>
  <c r="H11" i="181"/>
  <c r="H83" i="67"/>
  <c r="U78" i="187"/>
  <c r="H90" i="67"/>
  <c r="U85" i="187"/>
  <c r="H198" i="67"/>
  <c r="U190" i="187"/>
  <c r="H79" i="67"/>
  <c r="U74" i="187"/>
  <c r="W9" i="140"/>
  <c r="I26" i="164" l="1"/>
  <c r="D10" i="181"/>
  <c r="L44" i="193"/>
  <c r="D18" i="181"/>
  <c r="W21" i="146"/>
  <c r="L36" i="193"/>
  <c r="D12" i="181"/>
  <c r="B12" i="181" s="1"/>
  <c r="L38" i="193"/>
  <c r="V19" i="148"/>
  <c r="J19" i="148"/>
  <c r="L19" i="148" s="1"/>
  <c r="N19" i="148" s="1"/>
  <c r="I115" i="157"/>
  <c r="I95" i="157"/>
  <c r="V58" i="147"/>
  <c r="J58" i="147"/>
  <c r="L58" i="147" s="1"/>
  <c r="N58" i="147" s="1"/>
  <c r="AB183" i="187"/>
  <c r="AG183" i="187" s="1"/>
  <c r="AH183" i="187"/>
  <c r="I191" i="67"/>
  <c r="F193" i="193" s="1"/>
  <c r="K193" i="193" s="1"/>
  <c r="Z183" i="187"/>
  <c r="I96" i="157"/>
  <c r="J59" i="147"/>
  <c r="L59" i="147" s="1"/>
  <c r="N59" i="147" s="1"/>
  <c r="V59" i="147"/>
  <c r="F24" i="181"/>
  <c r="D9" i="181"/>
  <c r="AH174" i="187"/>
  <c r="I182" i="67"/>
  <c r="F184" i="193" s="1"/>
  <c r="K184" i="193" s="1"/>
  <c r="Z174" i="187"/>
  <c r="AB174" i="187"/>
  <c r="AG174" i="187" s="1"/>
  <c r="I125" i="157"/>
  <c r="J30" i="148"/>
  <c r="L30" i="148" s="1"/>
  <c r="N30" i="148" s="1"/>
  <c r="V30" i="148"/>
  <c r="D17" i="181"/>
  <c r="I42" i="157"/>
  <c r="J18" i="145"/>
  <c r="L18" i="145" s="1"/>
  <c r="N18" i="145" s="1"/>
  <c r="V18" i="145"/>
  <c r="J56" i="147"/>
  <c r="L56" i="147" s="1"/>
  <c r="N56" i="147" s="1"/>
  <c r="V56" i="147"/>
  <c r="I93" i="157"/>
  <c r="Z196" i="187"/>
  <c r="AB196" i="187"/>
  <c r="AG196" i="187" s="1"/>
  <c r="AH196" i="187"/>
  <c r="I204" i="67"/>
  <c r="F206" i="193" s="1"/>
  <c r="K206" i="193" s="1"/>
  <c r="V28" i="145"/>
  <c r="I51" i="157"/>
  <c r="J28" i="145"/>
  <c r="L28" i="145" s="1"/>
  <c r="N28" i="145" s="1"/>
  <c r="I104" i="157"/>
  <c r="V68" i="147"/>
  <c r="J68" i="147"/>
  <c r="L68" i="147" s="1"/>
  <c r="N68" i="147" s="1"/>
  <c r="AH161" i="187"/>
  <c r="Z161" i="187"/>
  <c r="I168" i="67"/>
  <c r="F170" i="193" s="1"/>
  <c r="K170" i="193" s="1"/>
  <c r="AB161" i="187"/>
  <c r="AG161" i="187" s="1"/>
  <c r="I178" i="67"/>
  <c r="F180" i="193" s="1"/>
  <c r="K180" i="193" s="1"/>
  <c r="AH170" i="187"/>
  <c r="Z170" i="187"/>
  <c r="AB170" i="187"/>
  <c r="AG170" i="187" s="1"/>
  <c r="I159" i="67"/>
  <c r="F161" i="193" s="1"/>
  <c r="K161" i="193" s="1"/>
  <c r="Z152" i="187"/>
  <c r="AB152" i="187"/>
  <c r="AG152" i="187" s="1"/>
  <c r="AH152" i="187"/>
  <c r="Z61" i="187"/>
  <c r="AH61" i="187"/>
  <c r="I66" i="67"/>
  <c r="F68" i="193" s="1"/>
  <c r="K68" i="193" s="1"/>
  <c r="AB61" i="187"/>
  <c r="AG61" i="187" s="1"/>
  <c r="Z88" i="187"/>
  <c r="AH88" i="187"/>
  <c r="AB88" i="187"/>
  <c r="I83" i="67"/>
  <c r="F85" i="193" s="1"/>
  <c r="K85" i="193" s="1"/>
  <c r="AH78" i="187"/>
  <c r="AB78" i="187"/>
  <c r="AG78" i="187" s="1"/>
  <c r="Z78" i="187"/>
  <c r="J13" i="144"/>
  <c r="V13" i="144"/>
  <c r="I23" i="157"/>
  <c r="V24" i="148"/>
  <c r="I119" i="157"/>
  <c r="J24" i="148"/>
  <c r="AH194" i="187"/>
  <c r="AB194" i="187"/>
  <c r="AG194" i="187" s="1"/>
  <c r="Z194" i="187"/>
  <c r="I202" i="67"/>
  <c r="F204" i="193" s="1"/>
  <c r="K204" i="193" s="1"/>
  <c r="V27" i="148"/>
  <c r="I122" i="157"/>
  <c r="J27" i="148"/>
  <c r="L27" i="148" s="1"/>
  <c r="N27" i="148" s="1"/>
  <c r="I209" i="67"/>
  <c r="F211" i="193" s="1"/>
  <c r="K211" i="193" s="1"/>
  <c r="AB201" i="187"/>
  <c r="AG201" i="187" s="1"/>
  <c r="Z201" i="187"/>
  <c r="AH201" i="187"/>
  <c r="V47" i="147"/>
  <c r="J47" i="147"/>
  <c r="L47" i="147" s="1"/>
  <c r="N47" i="147" s="1"/>
  <c r="I85" i="157"/>
  <c r="I207" i="67"/>
  <c r="F209" i="193" s="1"/>
  <c r="K209" i="193" s="1"/>
  <c r="AB199" i="187"/>
  <c r="AG199" i="187" s="1"/>
  <c r="Z199" i="187"/>
  <c r="AH199" i="187"/>
  <c r="AB148" i="187"/>
  <c r="AG148" i="187" s="1"/>
  <c r="I155" i="67"/>
  <c r="F157" i="193" s="1"/>
  <c r="K157" i="193" s="1"/>
  <c r="AH148" i="187"/>
  <c r="Z148" i="187"/>
  <c r="V21" i="142"/>
  <c r="I15" i="157"/>
  <c r="J21" i="142"/>
  <c r="L23" i="164"/>
  <c r="M23" i="164" s="1"/>
  <c r="J23" i="164"/>
  <c r="I40" i="157"/>
  <c r="V16" i="145"/>
  <c r="J16" i="145"/>
  <c r="L16" i="145" s="1"/>
  <c r="N16" i="145" s="1"/>
  <c r="I197" i="67"/>
  <c r="F199" i="193" s="1"/>
  <c r="K199" i="193" s="1"/>
  <c r="AB189" i="187"/>
  <c r="AG189" i="187" s="1"/>
  <c r="Z189" i="187"/>
  <c r="AH189" i="187"/>
  <c r="H16" i="156"/>
  <c r="J16" i="156" s="1"/>
  <c r="L16" i="156" s="1"/>
  <c r="I194" i="157"/>
  <c r="F16" i="156"/>
  <c r="R16" i="156"/>
  <c r="G17" i="180"/>
  <c r="I17" i="180" s="1"/>
  <c r="O17" i="180"/>
  <c r="Z80" i="187"/>
  <c r="AB80" i="187"/>
  <c r="AG80" i="187" s="1"/>
  <c r="AH80" i="187"/>
  <c r="I85" i="67"/>
  <c r="F87" i="193" s="1"/>
  <c r="K87" i="193" s="1"/>
  <c r="I107" i="157"/>
  <c r="J71" i="147"/>
  <c r="L71" i="147" s="1"/>
  <c r="N71" i="147" s="1"/>
  <c r="V71" i="147"/>
  <c r="I84" i="157"/>
  <c r="V46" i="147"/>
  <c r="J46" i="147"/>
  <c r="L46" i="147" s="1"/>
  <c r="N46" i="147" s="1"/>
  <c r="I65" i="67"/>
  <c r="F67" i="193" s="1"/>
  <c r="K67" i="193" s="1"/>
  <c r="AH60" i="187"/>
  <c r="AB60" i="187"/>
  <c r="AG60" i="187" s="1"/>
  <c r="Z60" i="187"/>
  <c r="J26" i="164"/>
  <c r="L26" i="164"/>
  <c r="M26" i="164" s="1"/>
  <c r="AA13" i="146"/>
  <c r="AC13" i="146" s="1"/>
  <c r="Y15" i="146"/>
  <c r="Z71" i="187"/>
  <c r="AH71" i="187"/>
  <c r="AB71" i="187"/>
  <c r="AG71" i="187" s="1"/>
  <c r="I76" i="67"/>
  <c r="F78" i="193" s="1"/>
  <c r="K78" i="193" s="1"/>
  <c r="AH198" i="187"/>
  <c r="I206" i="67"/>
  <c r="F208" i="193" s="1"/>
  <c r="K208" i="193" s="1"/>
  <c r="Z198" i="187"/>
  <c r="AB198" i="187"/>
  <c r="AG198" i="187" s="1"/>
  <c r="Z17" i="146"/>
  <c r="AB17" i="146" s="1"/>
  <c r="X19" i="146"/>
  <c r="V17" i="142"/>
  <c r="I12" i="157"/>
  <c r="J17" i="142"/>
  <c r="L17" i="142" s="1"/>
  <c r="N17" i="142" s="1"/>
  <c r="J43" i="147"/>
  <c r="I81" i="157"/>
  <c r="V43" i="147"/>
  <c r="I92" i="157"/>
  <c r="V55" i="147"/>
  <c r="J55" i="147"/>
  <c r="L55" i="147" s="1"/>
  <c r="N55" i="147" s="1"/>
  <c r="C17" i="181"/>
  <c r="B17" i="181" s="1"/>
  <c r="C18" i="181"/>
  <c r="B18" i="181" s="1"/>
  <c r="D22" i="181"/>
  <c r="B22" i="181" s="1"/>
  <c r="AB166" i="187"/>
  <c r="AG166" i="187" s="1"/>
  <c r="I174" i="67"/>
  <c r="F176" i="193" s="1"/>
  <c r="K176" i="193" s="1"/>
  <c r="AH166" i="187"/>
  <c r="Z166" i="187"/>
  <c r="V22" i="144"/>
  <c r="J22" i="144"/>
  <c r="L22" i="144" s="1"/>
  <c r="N22" i="144" s="1"/>
  <c r="I32" i="157"/>
  <c r="Z173" i="187"/>
  <c r="AH173" i="187"/>
  <c r="AB173" i="187"/>
  <c r="AG173" i="187" s="1"/>
  <c r="I181" i="67"/>
  <c r="F183" i="193" s="1"/>
  <c r="K183" i="193" s="1"/>
  <c r="V17" i="148"/>
  <c r="J17" i="148"/>
  <c r="L17" i="148" s="1"/>
  <c r="N17" i="148" s="1"/>
  <c r="I113" i="157"/>
  <c r="V21" i="146"/>
  <c r="V15" i="148"/>
  <c r="J15" i="148"/>
  <c r="L15" i="148" s="1"/>
  <c r="N15" i="148" s="1"/>
  <c r="I111" i="157"/>
  <c r="AB188" i="187"/>
  <c r="AG188" i="187" s="1"/>
  <c r="I196" i="67"/>
  <c r="F198" i="193" s="1"/>
  <c r="K198" i="193" s="1"/>
  <c r="Z188" i="187"/>
  <c r="AH188" i="187"/>
  <c r="J29" i="148"/>
  <c r="L29" i="148" s="1"/>
  <c r="N29" i="148" s="1"/>
  <c r="I124" i="157"/>
  <c r="V29" i="148"/>
  <c r="AB192" i="187"/>
  <c r="AG192" i="187" s="1"/>
  <c r="Z192" i="187"/>
  <c r="AH192" i="187"/>
  <c r="I200" i="67"/>
  <c r="F202" i="193" s="1"/>
  <c r="K202" i="193" s="1"/>
  <c r="I46" i="157"/>
  <c r="V23" i="145"/>
  <c r="J23" i="145"/>
  <c r="Z74" i="187"/>
  <c r="AB74" i="187"/>
  <c r="AG74" i="187" s="1"/>
  <c r="I79" i="67"/>
  <c r="F81" i="193" s="1"/>
  <c r="K81" i="193" s="1"/>
  <c r="AH74" i="187"/>
  <c r="J27" i="164"/>
  <c r="L27" i="164"/>
  <c r="M27" i="164" s="1"/>
  <c r="L21" i="164"/>
  <c r="M21" i="164" s="1"/>
  <c r="J21" i="164"/>
  <c r="I94" i="157"/>
  <c r="V57" i="147"/>
  <c r="J57" i="147"/>
  <c r="L57" i="147" s="1"/>
  <c r="N57" i="147" s="1"/>
  <c r="AB163" i="187"/>
  <c r="AG163" i="187" s="1"/>
  <c r="I170" i="67"/>
  <c r="F172" i="193" s="1"/>
  <c r="K172" i="193" s="1"/>
  <c r="Z163" i="187"/>
  <c r="AH163" i="187"/>
  <c r="J67" i="147"/>
  <c r="L67" i="147" s="1"/>
  <c r="N67" i="147" s="1"/>
  <c r="V67" i="147"/>
  <c r="I103" i="157"/>
  <c r="Z89" i="187"/>
  <c r="AB89" i="187"/>
  <c r="AH89" i="187"/>
  <c r="AB200" i="187"/>
  <c r="AG200" i="187" s="1"/>
  <c r="Z200" i="187"/>
  <c r="I208" i="67"/>
  <c r="F210" i="193" s="1"/>
  <c r="K210" i="193" s="1"/>
  <c r="AH200" i="187"/>
  <c r="X15" i="146"/>
  <c r="Z13" i="146"/>
  <c r="AB13" i="146" s="1"/>
  <c r="Z175" i="187"/>
  <c r="AB175" i="187"/>
  <c r="AG175" i="187" s="1"/>
  <c r="AH175" i="187"/>
  <c r="I183" i="67"/>
  <c r="F185" i="193" s="1"/>
  <c r="K185" i="193" s="1"/>
  <c r="I43" i="157"/>
  <c r="J19" i="145"/>
  <c r="L19" i="145" s="1"/>
  <c r="N19" i="145" s="1"/>
  <c r="V19" i="145"/>
  <c r="I184" i="67"/>
  <c r="F186" i="193" s="1"/>
  <c r="K186" i="193" s="1"/>
  <c r="AB176" i="187"/>
  <c r="AG176" i="187" s="1"/>
  <c r="Z176" i="187"/>
  <c r="AH176" i="187"/>
  <c r="AH179" i="187"/>
  <c r="I187" i="67"/>
  <c r="F189" i="193" s="1"/>
  <c r="K189" i="193" s="1"/>
  <c r="AB179" i="187"/>
  <c r="AG179" i="187" s="1"/>
  <c r="Z179" i="187"/>
  <c r="I153" i="67"/>
  <c r="F155" i="193" s="1"/>
  <c r="K155" i="193" s="1"/>
  <c r="AB146" i="187"/>
  <c r="AG146" i="187" s="1"/>
  <c r="Z146" i="187"/>
  <c r="AH146" i="187"/>
  <c r="Z93" i="187"/>
  <c r="AB93" i="187"/>
  <c r="AH93" i="187"/>
  <c r="AB172" i="187"/>
  <c r="AG172" i="187" s="1"/>
  <c r="Z172" i="187"/>
  <c r="AH172" i="187"/>
  <c r="I180" i="67"/>
  <c r="F182" i="193" s="1"/>
  <c r="K182" i="193" s="1"/>
  <c r="V13" i="142"/>
  <c r="I9" i="157"/>
  <c r="J13" i="142"/>
  <c r="J20" i="148"/>
  <c r="L20" i="148" s="1"/>
  <c r="N20" i="148" s="1"/>
  <c r="V20" i="148"/>
  <c r="I116" i="157"/>
  <c r="I205" i="67"/>
  <c r="F207" i="193" s="1"/>
  <c r="K207" i="193" s="1"/>
  <c r="Z197" i="187"/>
  <c r="AH197" i="187"/>
  <c r="AB197" i="187"/>
  <c r="AG197" i="187" s="1"/>
  <c r="AB79" i="187"/>
  <c r="AG79" i="187" s="1"/>
  <c r="I84" i="67"/>
  <c r="F86" i="193" s="1"/>
  <c r="K86" i="193" s="1"/>
  <c r="AH79" i="187"/>
  <c r="Z79" i="187"/>
  <c r="J62" i="147"/>
  <c r="I98" i="157"/>
  <c r="V62" i="147"/>
  <c r="G24" i="181"/>
  <c r="J13" i="146"/>
  <c r="L13" i="146" s="1"/>
  <c r="K13" i="146"/>
  <c r="M13" i="146" s="1"/>
  <c r="I15" i="146"/>
  <c r="I114" i="157"/>
  <c r="J18" i="148"/>
  <c r="L18" i="148" s="1"/>
  <c r="N18" i="148" s="1"/>
  <c r="V18" i="148"/>
  <c r="J25" i="164"/>
  <c r="L25" i="164"/>
  <c r="M25" i="164" s="1"/>
  <c r="I20" i="164"/>
  <c r="L35" i="193"/>
  <c r="L29" i="164"/>
  <c r="M29" i="164" s="1"/>
  <c r="J29" i="164"/>
  <c r="D11" i="181"/>
  <c r="B11" i="181" s="1"/>
  <c r="AH66" i="187"/>
  <c r="I71" i="67"/>
  <c r="F73" i="193" s="1"/>
  <c r="K73" i="193" s="1"/>
  <c r="Z66" i="187"/>
  <c r="AB66" i="187"/>
  <c r="AG66" i="187" s="1"/>
  <c r="V15" i="145"/>
  <c r="J15" i="145"/>
  <c r="L15" i="145" s="1"/>
  <c r="N15" i="145" s="1"/>
  <c r="I39" i="157"/>
  <c r="I81" i="67"/>
  <c r="F83" i="193" s="1"/>
  <c r="K83" i="193" s="1"/>
  <c r="AB76" i="187"/>
  <c r="AG76" i="187" s="1"/>
  <c r="AH76" i="187"/>
  <c r="Z76" i="187"/>
  <c r="AB64" i="187"/>
  <c r="AG64" i="187" s="1"/>
  <c r="I69" i="67"/>
  <c r="F71" i="193" s="1"/>
  <c r="K71" i="193" s="1"/>
  <c r="Z64" i="187"/>
  <c r="AH64" i="187"/>
  <c r="J54" i="147"/>
  <c r="I91" i="157"/>
  <c r="V54" i="147"/>
  <c r="Z167" i="187"/>
  <c r="I175" i="67"/>
  <c r="F177" i="193" s="1"/>
  <c r="K177" i="193" s="1"/>
  <c r="AH167" i="187"/>
  <c r="AB167" i="187"/>
  <c r="AG167" i="187" s="1"/>
  <c r="I25" i="157"/>
  <c r="J15" i="144"/>
  <c r="L15" i="144" s="1"/>
  <c r="N15" i="144" s="1"/>
  <c r="V15" i="144"/>
  <c r="AB191" i="187"/>
  <c r="AG191" i="187" s="1"/>
  <c r="AH191" i="187"/>
  <c r="I199" i="67"/>
  <c r="F201" i="193" s="1"/>
  <c r="K201" i="193" s="1"/>
  <c r="Z191" i="187"/>
  <c r="AB75" i="187"/>
  <c r="AG75" i="187" s="1"/>
  <c r="AH75" i="187"/>
  <c r="I80" i="67"/>
  <c r="F82" i="193" s="1"/>
  <c r="K82" i="193" s="1"/>
  <c r="Z75" i="187"/>
  <c r="V50" i="147"/>
  <c r="J50" i="147"/>
  <c r="L50" i="147" s="1"/>
  <c r="N50" i="147" s="1"/>
  <c r="I88" i="157"/>
  <c r="J33" i="148"/>
  <c r="L33" i="148" s="1"/>
  <c r="N33" i="148" s="1"/>
  <c r="I128" i="157"/>
  <c r="V33" i="148"/>
  <c r="I150" i="157"/>
  <c r="F13" i="156"/>
  <c r="R13" i="156"/>
  <c r="H13" i="156"/>
  <c r="V13" i="145"/>
  <c r="J13" i="145"/>
  <c r="I37" i="157"/>
  <c r="I24" i="157"/>
  <c r="J14" i="144"/>
  <c r="L14" i="144" s="1"/>
  <c r="N14" i="144" s="1"/>
  <c r="V14" i="144"/>
  <c r="J14" i="145"/>
  <c r="L14" i="145" s="1"/>
  <c r="N14" i="145" s="1"/>
  <c r="V14" i="145"/>
  <c r="I38" i="157"/>
  <c r="I154" i="67"/>
  <c r="F156" i="193" s="1"/>
  <c r="K156" i="193" s="1"/>
  <c r="AB147" i="187"/>
  <c r="AG147" i="187" s="1"/>
  <c r="Z147" i="187"/>
  <c r="AH147" i="187"/>
  <c r="I49" i="157"/>
  <c r="J26" i="145"/>
  <c r="L26" i="145" s="1"/>
  <c r="N26" i="145" s="1"/>
  <c r="V26" i="145"/>
  <c r="I28" i="157"/>
  <c r="J18" i="144"/>
  <c r="L18" i="144" s="1"/>
  <c r="N18" i="144" s="1"/>
  <c r="V18" i="144"/>
  <c r="Z157" i="187"/>
  <c r="AB157" i="187"/>
  <c r="AG157" i="187" s="1"/>
  <c r="I164" i="67"/>
  <c r="F166" i="193" s="1"/>
  <c r="K166" i="193" s="1"/>
  <c r="AH157" i="187"/>
  <c r="V20" i="145"/>
  <c r="J20" i="145"/>
  <c r="L20" i="145" s="1"/>
  <c r="N20" i="145" s="1"/>
  <c r="I44" i="157"/>
  <c r="AB193" i="187"/>
  <c r="AG193" i="187" s="1"/>
  <c r="Z193" i="187"/>
  <c r="AH193" i="187"/>
  <c r="I201" i="67"/>
  <c r="F203" i="193" s="1"/>
  <c r="K203" i="193" s="1"/>
  <c r="V13" i="148"/>
  <c r="J13" i="148"/>
  <c r="I109" i="157"/>
  <c r="I82" i="67"/>
  <c r="F84" i="193" s="1"/>
  <c r="K84" i="193" s="1"/>
  <c r="Z77" i="187"/>
  <c r="AH77" i="187"/>
  <c r="AB77" i="187"/>
  <c r="AG77" i="187" s="1"/>
  <c r="AH90" i="187"/>
  <c r="Z90" i="187"/>
  <c r="AB90" i="187"/>
  <c r="AB92" i="187"/>
  <c r="Z92" i="187"/>
  <c r="AH92" i="187"/>
  <c r="Z65" i="187"/>
  <c r="AB65" i="187"/>
  <c r="AG65" i="187" s="1"/>
  <c r="AH65" i="187"/>
  <c r="I70" i="67"/>
  <c r="F72" i="193" s="1"/>
  <c r="K72" i="193" s="1"/>
  <c r="Z86" i="187"/>
  <c r="AH86" i="187"/>
  <c r="AB86" i="187"/>
  <c r="Z150" i="187"/>
  <c r="AH150" i="187"/>
  <c r="AB150" i="187"/>
  <c r="AG150" i="187" s="1"/>
  <c r="I157" i="67"/>
  <c r="F159" i="193" s="1"/>
  <c r="K159" i="193" s="1"/>
  <c r="D15" i="181"/>
  <c r="AB9" i="140"/>
  <c r="Y9" i="140"/>
  <c r="I28" i="164"/>
  <c r="L43" i="193"/>
  <c r="I198" i="67"/>
  <c r="F200" i="193" s="1"/>
  <c r="K200" i="193" s="1"/>
  <c r="AB190" i="187"/>
  <c r="AG190" i="187" s="1"/>
  <c r="AH190" i="187"/>
  <c r="Z190" i="187"/>
  <c r="AH59" i="187"/>
  <c r="AB59" i="187"/>
  <c r="AG59" i="187" s="1"/>
  <c r="Z59" i="187"/>
  <c r="I64" i="67"/>
  <c r="F66" i="193" s="1"/>
  <c r="K66" i="193" s="1"/>
  <c r="AB58" i="187"/>
  <c r="AG58" i="187" s="1"/>
  <c r="AH58" i="187"/>
  <c r="Z58" i="187"/>
  <c r="I63" i="67"/>
  <c r="F65" i="193" s="1"/>
  <c r="K65" i="193" s="1"/>
  <c r="V66" i="147"/>
  <c r="J66" i="147"/>
  <c r="L66" i="147" s="1"/>
  <c r="N66" i="147" s="1"/>
  <c r="I102" i="157"/>
  <c r="J69" i="147"/>
  <c r="L69" i="147" s="1"/>
  <c r="N69" i="147" s="1"/>
  <c r="V69" i="147"/>
  <c r="I105" i="157"/>
  <c r="I17" i="157"/>
  <c r="J23" i="142"/>
  <c r="L23" i="142" s="1"/>
  <c r="N23" i="142" s="1"/>
  <c r="V23" i="142"/>
  <c r="I186" i="67"/>
  <c r="F188" i="193" s="1"/>
  <c r="K188" i="193" s="1"/>
  <c r="Z178" i="187"/>
  <c r="AH178" i="187"/>
  <c r="AB178" i="187"/>
  <c r="AG178" i="187" s="1"/>
  <c r="V24" i="142"/>
  <c r="I18" i="157"/>
  <c r="J24" i="142"/>
  <c r="L24" i="142" s="1"/>
  <c r="N24" i="142" s="1"/>
  <c r="Z91" i="187"/>
  <c r="AH91" i="187"/>
  <c r="AB91" i="187"/>
  <c r="V51" i="147"/>
  <c r="J51" i="147"/>
  <c r="L51" i="147" s="1"/>
  <c r="N51" i="147" s="1"/>
  <c r="I89" i="157"/>
  <c r="Z82" i="187"/>
  <c r="I87" i="67"/>
  <c r="F89" i="193" s="1"/>
  <c r="K89" i="193" s="1"/>
  <c r="AB82" i="187"/>
  <c r="AG82" i="187" s="1"/>
  <c r="AH82" i="187"/>
  <c r="AB162" i="187"/>
  <c r="AG162" i="187" s="1"/>
  <c r="Z162" i="187"/>
  <c r="AH162" i="187"/>
  <c r="I169" i="67"/>
  <c r="F171" i="193" s="1"/>
  <c r="K171" i="193" s="1"/>
  <c r="AB158" i="187"/>
  <c r="AG158" i="187" s="1"/>
  <c r="AH158" i="187"/>
  <c r="I165" i="67"/>
  <c r="F167" i="193" s="1"/>
  <c r="K167" i="193" s="1"/>
  <c r="Z158" i="187"/>
  <c r="I86" i="157"/>
  <c r="V48" i="147"/>
  <c r="J48" i="147"/>
  <c r="L48" i="147" s="1"/>
  <c r="N48" i="147" s="1"/>
  <c r="I195" i="67"/>
  <c r="F197" i="193" s="1"/>
  <c r="K197" i="193" s="1"/>
  <c r="AH187" i="187"/>
  <c r="AB187" i="187"/>
  <c r="AG187" i="187" s="1"/>
  <c r="Z187" i="187"/>
  <c r="Z94" i="187"/>
  <c r="AH94" i="187"/>
  <c r="AB94" i="187"/>
  <c r="Z159" i="187"/>
  <c r="AB159" i="187"/>
  <c r="AG159" i="187" s="1"/>
  <c r="I166" i="67"/>
  <c r="F168" i="193" s="1"/>
  <c r="K168" i="193" s="1"/>
  <c r="AH159" i="187"/>
  <c r="Z85" i="187"/>
  <c r="AH85" i="187"/>
  <c r="AB85" i="187"/>
  <c r="I30" i="157"/>
  <c r="V20" i="144"/>
  <c r="J20" i="144"/>
  <c r="L20" i="144" s="1"/>
  <c r="N20" i="144" s="1"/>
  <c r="E88" i="182"/>
  <c r="F88" i="182" s="1"/>
  <c r="L34" i="157"/>
  <c r="M34" i="157" s="1"/>
  <c r="J34" i="157"/>
  <c r="I11" i="157"/>
  <c r="J16" i="142"/>
  <c r="V16" i="142"/>
  <c r="J29" i="145"/>
  <c r="L29" i="145" s="1"/>
  <c r="N29" i="145" s="1"/>
  <c r="I52" i="157"/>
  <c r="V29" i="145"/>
  <c r="I120" i="157"/>
  <c r="V25" i="148"/>
  <c r="J25" i="148"/>
  <c r="L25" i="148" s="1"/>
  <c r="N25" i="148" s="1"/>
  <c r="AQ209" i="187"/>
  <c r="H8" i="181"/>
  <c r="H24" i="181" s="1"/>
  <c r="I189" i="67"/>
  <c r="F191" i="193" s="1"/>
  <c r="K191" i="193" s="1"/>
  <c r="AB181" i="187"/>
  <c r="AG181" i="187" s="1"/>
  <c r="Z181" i="187"/>
  <c r="AH181" i="187"/>
  <c r="Z155" i="187"/>
  <c r="AH155" i="187"/>
  <c r="I162" i="67"/>
  <c r="F164" i="193" s="1"/>
  <c r="K164" i="193" s="1"/>
  <c r="AB155" i="187"/>
  <c r="AG155" i="187" s="1"/>
  <c r="J22" i="142"/>
  <c r="L22" i="142" s="1"/>
  <c r="N22" i="142" s="1"/>
  <c r="V22" i="142"/>
  <c r="I16" i="157"/>
  <c r="AH70" i="187"/>
  <c r="AB70" i="187"/>
  <c r="AG70" i="187" s="1"/>
  <c r="I75" i="67"/>
  <c r="F77" i="193" s="1"/>
  <c r="K77" i="193" s="1"/>
  <c r="Z70" i="187"/>
  <c r="J65" i="147"/>
  <c r="L65" i="147" s="1"/>
  <c r="N65" i="147" s="1"/>
  <c r="I101" i="157"/>
  <c r="V65" i="147"/>
  <c r="V49" i="147"/>
  <c r="J49" i="147"/>
  <c r="L49" i="147" s="1"/>
  <c r="N49" i="147" s="1"/>
  <c r="I87" i="157"/>
  <c r="J25" i="145"/>
  <c r="L25" i="145" s="1"/>
  <c r="N25" i="145" s="1"/>
  <c r="I48" i="157"/>
  <c r="V25" i="145"/>
  <c r="I203" i="67"/>
  <c r="F205" i="193" s="1"/>
  <c r="K205" i="193" s="1"/>
  <c r="Z195" i="187"/>
  <c r="AH195" i="187"/>
  <c r="AB195" i="187"/>
  <c r="AG195" i="187" s="1"/>
  <c r="V70" i="147"/>
  <c r="I106" i="157"/>
  <c r="J70" i="147"/>
  <c r="L70" i="147" s="1"/>
  <c r="N70" i="147" s="1"/>
  <c r="I99" i="157"/>
  <c r="J63" i="147"/>
  <c r="L63" i="147" s="1"/>
  <c r="N63" i="147" s="1"/>
  <c r="V63" i="147"/>
  <c r="AA17" i="146"/>
  <c r="AC17" i="146" s="1"/>
  <c r="Y19" i="146"/>
  <c r="AH180" i="187"/>
  <c r="I188" i="67"/>
  <c r="F190" i="193" s="1"/>
  <c r="K190" i="193" s="1"/>
  <c r="Z180" i="187"/>
  <c r="AB180" i="187"/>
  <c r="AG180" i="187" s="1"/>
  <c r="V44" i="147"/>
  <c r="J44" i="147"/>
  <c r="L44" i="147" s="1"/>
  <c r="N44" i="147" s="1"/>
  <c r="I82" i="157"/>
  <c r="AH156" i="187"/>
  <c r="I163" i="67"/>
  <c r="F165" i="193" s="1"/>
  <c r="K165" i="193" s="1"/>
  <c r="AB156" i="187"/>
  <c r="AG156" i="187" s="1"/>
  <c r="Z156" i="187"/>
  <c r="Z184" i="187"/>
  <c r="AB184" i="187"/>
  <c r="AG184" i="187" s="1"/>
  <c r="AH184" i="187"/>
  <c r="I192" i="67"/>
  <c r="F194" i="193" s="1"/>
  <c r="K194" i="193" s="1"/>
  <c r="AB83" i="187"/>
  <c r="AG83" i="187" s="1"/>
  <c r="AH83" i="187"/>
  <c r="I88" i="67"/>
  <c r="F90" i="193" s="1"/>
  <c r="K90" i="193" s="1"/>
  <c r="Z83" i="187"/>
  <c r="J17" i="144"/>
  <c r="L17" i="144" s="1"/>
  <c r="N17" i="144" s="1"/>
  <c r="I27" i="157"/>
  <c r="V17" i="144"/>
  <c r="I194" i="67"/>
  <c r="F196" i="193" s="1"/>
  <c r="K196" i="193" s="1"/>
  <c r="AB186" i="187"/>
  <c r="AG186" i="187" s="1"/>
  <c r="Z186" i="187"/>
  <c r="AH186" i="187"/>
  <c r="AB149" i="187"/>
  <c r="AG149" i="187" s="1"/>
  <c r="I156" i="67"/>
  <c r="F158" i="193" s="1"/>
  <c r="K158" i="193" s="1"/>
  <c r="Z149" i="187"/>
  <c r="AH149" i="187"/>
  <c r="L39" i="193"/>
  <c r="I24" i="164"/>
  <c r="J24" i="145"/>
  <c r="L24" i="145" s="1"/>
  <c r="N24" i="145" s="1"/>
  <c r="I47" i="157"/>
  <c r="V24" i="145"/>
  <c r="AB168" i="187"/>
  <c r="AG168" i="187" s="1"/>
  <c r="I176" i="67"/>
  <c r="F178" i="193" s="1"/>
  <c r="K178" i="193" s="1"/>
  <c r="AH168" i="187"/>
  <c r="Z168" i="187"/>
  <c r="J27" i="145"/>
  <c r="L27" i="145" s="1"/>
  <c r="N27" i="145" s="1"/>
  <c r="V27" i="145"/>
  <c r="I50" i="157"/>
  <c r="J21" i="144"/>
  <c r="L21" i="144" s="1"/>
  <c r="N21" i="144" s="1"/>
  <c r="V21" i="144"/>
  <c r="I31" i="157"/>
  <c r="V17" i="145"/>
  <c r="J17" i="145"/>
  <c r="L17" i="145" s="1"/>
  <c r="N17" i="145" s="1"/>
  <c r="I41" i="157"/>
  <c r="Z87" i="187"/>
  <c r="AB87" i="187"/>
  <c r="AH87" i="187"/>
  <c r="AH63" i="187"/>
  <c r="I68" i="67"/>
  <c r="F70" i="193" s="1"/>
  <c r="K70" i="193" s="1"/>
  <c r="Z63" i="187"/>
  <c r="AB63" i="187"/>
  <c r="AG63" i="187" s="1"/>
  <c r="V26" i="148"/>
  <c r="J26" i="148"/>
  <c r="L26" i="148" s="1"/>
  <c r="N26" i="148" s="1"/>
  <c r="I121" i="157"/>
  <c r="J28" i="148"/>
  <c r="L28" i="148" s="1"/>
  <c r="N28" i="148" s="1"/>
  <c r="V28" i="148"/>
  <c r="I123" i="157"/>
  <c r="AB169" i="187"/>
  <c r="AG169" i="187" s="1"/>
  <c r="I177" i="67"/>
  <c r="F179" i="193" s="1"/>
  <c r="K179" i="193" s="1"/>
  <c r="AH169" i="187"/>
  <c r="Z169" i="187"/>
  <c r="V16" i="148"/>
  <c r="J16" i="148"/>
  <c r="L16" i="148" s="1"/>
  <c r="N16" i="148" s="1"/>
  <c r="I112" i="157"/>
  <c r="Z81" i="187"/>
  <c r="I86" i="67"/>
  <c r="F88" i="193" s="1"/>
  <c r="K88" i="193" s="1"/>
  <c r="AH81" i="187"/>
  <c r="AB81" i="187"/>
  <c r="AG81" i="187" s="1"/>
  <c r="I13" i="157"/>
  <c r="V18" i="142"/>
  <c r="J18" i="142"/>
  <c r="L18" i="142" s="1"/>
  <c r="N18" i="142" s="1"/>
  <c r="I83" i="157"/>
  <c r="V45" i="147"/>
  <c r="J45" i="147"/>
  <c r="L45" i="147" s="1"/>
  <c r="N45" i="147" s="1"/>
  <c r="R14" i="156"/>
  <c r="I151" i="157"/>
  <c r="H14" i="156"/>
  <c r="F14" i="156"/>
  <c r="T13" i="153"/>
  <c r="I153" i="157"/>
  <c r="I13" i="153"/>
  <c r="V14" i="148"/>
  <c r="I110" i="157"/>
  <c r="J14" i="148"/>
  <c r="L14" i="148" s="1"/>
  <c r="N14" i="148" s="1"/>
  <c r="L37" i="193"/>
  <c r="I22" i="164"/>
  <c r="V16" i="144"/>
  <c r="J16" i="144"/>
  <c r="L16" i="144" s="1"/>
  <c r="N16" i="144" s="1"/>
  <c r="I26" i="157"/>
  <c r="Z145" i="187"/>
  <c r="I152" i="67"/>
  <c r="F154" i="193" s="1"/>
  <c r="K154" i="193" s="1"/>
  <c r="AB145" i="187"/>
  <c r="AG145" i="187" s="1"/>
  <c r="AH145" i="187"/>
  <c r="I29" i="157"/>
  <c r="V19" i="144"/>
  <c r="J19" i="144"/>
  <c r="L19" i="144" s="1"/>
  <c r="N19" i="144" s="1"/>
  <c r="D16" i="181"/>
  <c r="AB165" i="187"/>
  <c r="AG165" i="187" s="1"/>
  <c r="Z165" i="187"/>
  <c r="I173" i="67"/>
  <c r="F175" i="193" s="1"/>
  <c r="K175" i="193" s="1"/>
  <c r="AH165" i="187"/>
  <c r="J17" i="146"/>
  <c r="L17" i="146" s="1"/>
  <c r="K17" i="146"/>
  <c r="M17" i="146" s="1"/>
  <c r="I19" i="146"/>
  <c r="AH62" i="187"/>
  <c r="I67" i="67"/>
  <c r="F69" i="193" s="1"/>
  <c r="K69" i="193" s="1"/>
  <c r="Z62" i="187"/>
  <c r="AB62" i="187"/>
  <c r="AG62" i="187" s="1"/>
  <c r="I161" i="67"/>
  <c r="F163" i="193" s="1"/>
  <c r="K163" i="193" s="1"/>
  <c r="AH154" i="187"/>
  <c r="Z154" i="187"/>
  <c r="AB154" i="187"/>
  <c r="AG154" i="187" s="1"/>
  <c r="I74" i="67"/>
  <c r="F76" i="193" s="1"/>
  <c r="K76" i="193" s="1"/>
  <c r="Z69" i="187"/>
  <c r="AB69" i="187"/>
  <c r="AG69" i="187" s="1"/>
  <c r="AH69" i="187"/>
  <c r="J64" i="147"/>
  <c r="L64" i="147" s="1"/>
  <c r="N64" i="147" s="1"/>
  <c r="V64" i="147"/>
  <c r="I100" i="157"/>
  <c r="AS8" i="187"/>
  <c r="Z72" i="187"/>
  <c r="AB72" i="187"/>
  <c r="AG72" i="187" s="1"/>
  <c r="AH72" i="187"/>
  <c r="I77" i="67"/>
  <c r="F79" i="193" s="1"/>
  <c r="K79" i="193" s="1"/>
  <c r="J21" i="148"/>
  <c r="L21" i="148" s="1"/>
  <c r="N21" i="148" s="1"/>
  <c r="I117" i="157"/>
  <c r="V21" i="148"/>
  <c r="AB160" i="187"/>
  <c r="AG160" i="187" s="1"/>
  <c r="Z160" i="187"/>
  <c r="AH160" i="187"/>
  <c r="I167" i="67"/>
  <c r="F169" i="193" s="1"/>
  <c r="K169" i="193" s="1"/>
  <c r="I73" i="67"/>
  <c r="F75" i="193" s="1"/>
  <c r="K75" i="193" s="1"/>
  <c r="AH68" i="187"/>
  <c r="Z68" i="187"/>
  <c r="AB68" i="187"/>
  <c r="AG68" i="187" s="1"/>
  <c r="E60" i="182"/>
  <c r="F60" i="182" s="1"/>
  <c r="J20" i="157"/>
  <c r="L20" i="157"/>
  <c r="M20" i="157" s="1"/>
  <c r="I126" i="157"/>
  <c r="V31" i="148"/>
  <c r="J31" i="148"/>
  <c r="L31" i="148" s="1"/>
  <c r="N31" i="148" s="1"/>
  <c r="J32" i="148"/>
  <c r="L32" i="148" s="1"/>
  <c r="N32" i="148" s="1"/>
  <c r="I127" i="157"/>
  <c r="V32" i="148"/>
  <c r="W8" i="140"/>
  <c r="V21" i="127" l="1"/>
  <c r="D8" i="181"/>
  <c r="C10" i="181" s="1"/>
  <c r="B10" i="181" s="1"/>
  <c r="AN169" i="187"/>
  <c r="AM169" i="187"/>
  <c r="AS169" i="187" s="1"/>
  <c r="AM161" i="187"/>
  <c r="AS161" i="187" s="1"/>
  <c r="AN161" i="187"/>
  <c r="E39" i="182"/>
  <c r="F39" i="182" s="1"/>
  <c r="L17" i="157"/>
  <c r="M17" i="157" s="1"/>
  <c r="J17" i="157"/>
  <c r="J13" i="156"/>
  <c r="H18" i="156"/>
  <c r="E26" i="180" s="1"/>
  <c r="H24" i="155"/>
  <c r="L185" i="193"/>
  <c r="AG88" i="187"/>
  <c r="I93" i="67"/>
  <c r="F95" i="193" s="1"/>
  <c r="K95" i="193" s="1"/>
  <c r="H19" i="156"/>
  <c r="E27" i="180" s="1"/>
  <c r="J14" i="156"/>
  <c r="L184" i="193"/>
  <c r="H23" i="155"/>
  <c r="X28" i="148"/>
  <c r="AB28" i="148" s="1"/>
  <c r="Z28" i="148"/>
  <c r="E54" i="182"/>
  <c r="F54" i="182" s="1"/>
  <c r="L28" i="157"/>
  <c r="M28" i="157" s="1"/>
  <c r="J28" i="157"/>
  <c r="L62" i="147"/>
  <c r="J72" i="147"/>
  <c r="L77" i="193"/>
  <c r="G26" i="147"/>
  <c r="E86" i="182"/>
  <c r="F86" i="182" s="1"/>
  <c r="L52" i="157"/>
  <c r="M52" i="157" s="1"/>
  <c r="J52" i="157"/>
  <c r="J89" i="157"/>
  <c r="L89" i="157"/>
  <c r="M89" i="157" s="1"/>
  <c r="E134" i="182"/>
  <c r="F134" i="182" s="1"/>
  <c r="L109" i="157"/>
  <c r="M109" i="157" s="1"/>
  <c r="J109" i="157"/>
  <c r="E162" i="182"/>
  <c r="F162" i="182" s="1"/>
  <c r="E181" i="182"/>
  <c r="F181" i="182" s="1"/>
  <c r="J128" i="157"/>
  <c r="L128" i="157"/>
  <c r="M128" i="157" s="1"/>
  <c r="X54" i="147"/>
  <c r="AB54" i="147" s="1"/>
  <c r="Z54" i="147"/>
  <c r="AN79" i="187"/>
  <c r="AM79" i="187"/>
  <c r="AS79" i="187" s="1"/>
  <c r="AM146" i="187"/>
  <c r="AS146" i="187" s="1"/>
  <c r="AN146" i="187"/>
  <c r="X21" i="146"/>
  <c r="Z21" i="146" s="1"/>
  <c r="AB21" i="146" s="1"/>
  <c r="Q17" i="180"/>
  <c r="S17" i="180" s="1"/>
  <c r="Z15" i="146"/>
  <c r="AB15" i="146" s="1"/>
  <c r="L198" i="193"/>
  <c r="H40" i="155"/>
  <c r="AM71" i="187"/>
  <c r="AS71" i="187" s="1"/>
  <c r="AN71" i="187"/>
  <c r="J25" i="142"/>
  <c r="E14" i="180" s="1"/>
  <c r="L21" i="142"/>
  <c r="J122" i="157"/>
  <c r="L122" i="157"/>
  <c r="M122" i="157" s="1"/>
  <c r="E175" i="182"/>
  <c r="F175" i="182" s="1"/>
  <c r="G16" i="147"/>
  <c r="L68" i="193"/>
  <c r="Z28" i="145"/>
  <c r="X28" i="145"/>
  <c r="AB28" i="145" s="1"/>
  <c r="AD28" i="145" s="1"/>
  <c r="AF28" i="145" s="1"/>
  <c r="G30" i="151"/>
  <c r="L169" i="193"/>
  <c r="V15" i="127"/>
  <c r="V29" i="127" s="1"/>
  <c r="V33" i="127" s="1"/>
  <c r="AM145" i="187"/>
  <c r="AS145" i="187" s="1"/>
  <c r="AN145" i="187"/>
  <c r="Z45" i="147"/>
  <c r="X45" i="147"/>
  <c r="AB45" i="147" s="1"/>
  <c r="H16" i="155"/>
  <c r="L178" i="193"/>
  <c r="AN83" i="187"/>
  <c r="AM83" i="187"/>
  <c r="AS83" i="187" s="1"/>
  <c r="X66" i="147"/>
  <c r="AB66" i="147" s="1"/>
  <c r="Z66" i="147"/>
  <c r="AN150" i="187"/>
  <c r="AM150" i="187"/>
  <c r="AS150" i="187" s="1"/>
  <c r="L13" i="148"/>
  <c r="J22" i="148"/>
  <c r="L49" i="157"/>
  <c r="M49" i="157" s="1"/>
  <c r="J49" i="157"/>
  <c r="E83" i="182"/>
  <c r="F83" i="182" s="1"/>
  <c r="J91" i="157"/>
  <c r="E136" i="182"/>
  <c r="F136" i="182" s="1"/>
  <c r="L91" i="157"/>
  <c r="M91" i="157" s="1"/>
  <c r="L86" i="193"/>
  <c r="G36" i="147"/>
  <c r="AN200" i="187"/>
  <c r="AM200" i="187"/>
  <c r="AS200" i="187" s="1"/>
  <c r="L15" i="157"/>
  <c r="M15" i="157" s="1"/>
  <c r="E37" i="182"/>
  <c r="F37" i="182" s="1"/>
  <c r="J15" i="157"/>
  <c r="Z27" i="148"/>
  <c r="X27" i="148"/>
  <c r="AB27" i="148" s="1"/>
  <c r="AM61" i="187"/>
  <c r="AS61" i="187" s="1"/>
  <c r="AN61" i="187"/>
  <c r="L206" i="193"/>
  <c r="H48" i="155"/>
  <c r="Z59" i="147"/>
  <c r="X59" i="147"/>
  <c r="AB59" i="147" s="1"/>
  <c r="AD59" i="147" s="1"/>
  <c r="AF59" i="147" s="1"/>
  <c r="X64" i="147"/>
  <c r="AB64" i="147" s="1"/>
  <c r="Z64" i="147"/>
  <c r="H50" i="155"/>
  <c r="L208" i="193"/>
  <c r="L98" i="157"/>
  <c r="M98" i="157" s="1"/>
  <c r="J98" i="157"/>
  <c r="E143" i="182"/>
  <c r="F143" i="182" s="1"/>
  <c r="V14" i="156"/>
  <c r="T14" i="156"/>
  <c r="L29" i="157"/>
  <c r="M29" i="157" s="1"/>
  <c r="E55" i="182"/>
  <c r="F55" i="182" s="1"/>
  <c r="J29" i="157"/>
  <c r="I91" i="67"/>
  <c r="F93" i="193" s="1"/>
  <c r="K93" i="193" s="1"/>
  <c r="AG86" i="187"/>
  <c r="L96" i="157"/>
  <c r="M96" i="157" s="1"/>
  <c r="E141" i="182"/>
  <c r="F141" i="182" s="1"/>
  <c r="J96" i="157"/>
  <c r="AM154" i="187"/>
  <c r="AS154" i="187" s="1"/>
  <c r="AN154" i="187"/>
  <c r="Z18" i="142"/>
  <c r="X18" i="142"/>
  <c r="AB18" i="142" s="1"/>
  <c r="L47" i="157"/>
  <c r="M47" i="157" s="1"/>
  <c r="E81" i="182"/>
  <c r="F81" i="182" s="1"/>
  <c r="J47" i="157"/>
  <c r="AM184" i="187"/>
  <c r="AS184" i="187" s="1"/>
  <c r="AN184" i="187"/>
  <c r="E151" i="182"/>
  <c r="F151" i="182" s="1"/>
  <c r="J106" i="157"/>
  <c r="L106" i="157"/>
  <c r="M106" i="157" s="1"/>
  <c r="Z22" i="142"/>
  <c r="X22" i="142"/>
  <c r="AB22" i="142" s="1"/>
  <c r="AD22" i="142" s="1"/>
  <c r="AF22" i="142" s="1"/>
  <c r="J11" i="157"/>
  <c r="E33" i="182"/>
  <c r="F33" i="182" s="1"/>
  <c r="L11" i="157"/>
  <c r="M11" i="157" s="1"/>
  <c r="H39" i="155"/>
  <c r="L197" i="193"/>
  <c r="AN91" i="187"/>
  <c r="AM91" i="187"/>
  <c r="AS91" i="187" s="1"/>
  <c r="AN58" i="187"/>
  <c r="AH209" i="187"/>
  <c r="AM58" i="187"/>
  <c r="AM86" i="187"/>
  <c r="AS86" i="187" s="1"/>
  <c r="AN86" i="187"/>
  <c r="X50" i="147"/>
  <c r="AB50" i="147" s="1"/>
  <c r="Z50" i="147"/>
  <c r="AN197" i="187"/>
  <c r="AM197" i="187"/>
  <c r="AS197" i="187" s="1"/>
  <c r="X15" i="148"/>
  <c r="AB15" i="148" s="1"/>
  <c r="Z15" i="148"/>
  <c r="X55" i="147"/>
  <c r="AB55" i="147" s="1"/>
  <c r="Z55" i="147"/>
  <c r="AM148" i="187"/>
  <c r="AS148" i="187" s="1"/>
  <c r="AN148" i="187"/>
  <c r="L175" i="193"/>
  <c r="H13" i="155"/>
  <c r="J43" i="157"/>
  <c r="L43" i="157"/>
  <c r="M43" i="157" s="1"/>
  <c r="E77" i="182"/>
  <c r="F77" i="182" s="1"/>
  <c r="H38" i="155"/>
  <c r="L196" i="193"/>
  <c r="J107" i="157"/>
  <c r="L107" i="157"/>
  <c r="M107" i="157" s="1"/>
  <c r="E152" i="182"/>
  <c r="F152" i="182" s="1"/>
  <c r="S14" i="156"/>
  <c r="W14" i="156" s="1"/>
  <c r="I14" i="156"/>
  <c r="L89" i="193"/>
  <c r="G39" i="147"/>
  <c r="L75" i="193"/>
  <c r="G24" i="147"/>
  <c r="AN168" i="187"/>
  <c r="AM168" i="187"/>
  <c r="AS168" i="187" s="1"/>
  <c r="AM70" i="187"/>
  <c r="AS70" i="187" s="1"/>
  <c r="AN70" i="187"/>
  <c r="Y21" i="146"/>
  <c r="AA21" i="146" s="1"/>
  <c r="AC21" i="146" s="1"/>
  <c r="R17" i="180"/>
  <c r="AA15" i="146"/>
  <c r="AC15" i="146" s="1"/>
  <c r="L194" i="193"/>
  <c r="H35" i="155"/>
  <c r="L81" i="193"/>
  <c r="G31" i="147"/>
  <c r="L163" i="193"/>
  <c r="G24" i="151"/>
  <c r="E52" i="182"/>
  <c r="F52" i="182" s="1"/>
  <c r="J26" i="157"/>
  <c r="L26" i="157"/>
  <c r="M26" i="157" s="1"/>
  <c r="L13" i="157"/>
  <c r="M13" i="157" s="1"/>
  <c r="J13" i="157"/>
  <c r="E35" i="182"/>
  <c r="F35" i="182" s="1"/>
  <c r="G18" i="147"/>
  <c r="L70" i="193"/>
  <c r="Z70" i="147"/>
  <c r="X70" i="147"/>
  <c r="AB70" i="147" s="1"/>
  <c r="L203" i="193"/>
  <c r="H45" i="155"/>
  <c r="L156" i="193"/>
  <c r="G15" i="151"/>
  <c r="L71" i="193"/>
  <c r="G19" i="147"/>
  <c r="AN89" i="187"/>
  <c r="AM89" i="187"/>
  <c r="AS89" i="187" s="1"/>
  <c r="J92" i="157"/>
  <c r="L92" i="157"/>
  <c r="M92" i="157" s="1"/>
  <c r="E137" i="182"/>
  <c r="F137" i="182" s="1"/>
  <c r="V16" i="156"/>
  <c r="T16" i="156"/>
  <c r="G16" i="151"/>
  <c r="L157" i="193"/>
  <c r="AN194" i="187"/>
  <c r="AM194" i="187"/>
  <c r="AS194" i="187" s="1"/>
  <c r="L93" i="157"/>
  <c r="M93" i="157" s="1"/>
  <c r="E138" i="182"/>
  <c r="F138" i="182" s="1"/>
  <c r="J93" i="157"/>
  <c r="L193" i="193"/>
  <c r="H34" i="155"/>
  <c r="E145" i="182"/>
  <c r="F145" i="182" s="1"/>
  <c r="L100" i="157"/>
  <c r="M100" i="157" s="1"/>
  <c r="J100" i="157"/>
  <c r="L168" i="193"/>
  <c r="G29" i="151"/>
  <c r="Z22" i="144"/>
  <c r="X22" i="144"/>
  <c r="AB22" i="144" s="1"/>
  <c r="X17" i="144"/>
  <c r="AB17" i="144" s="1"/>
  <c r="Z17" i="144"/>
  <c r="Z25" i="148"/>
  <c r="X25" i="148"/>
  <c r="AB25" i="148" s="1"/>
  <c r="AM198" i="187"/>
  <c r="AS198" i="187" s="1"/>
  <c r="AN198" i="187"/>
  <c r="AG94" i="187"/>
  <c r="I99" i="67"/>
  <c r="F101" i="193" s="1"/>
  <c r="K101" i="193" s="1"/>
  <c r="AM174" i="187"/>
  <c r="AS174" i="187" s="1"/>
  <c r="AN174" i="187"/>
  <c r="AN68" i="187"/>
  <c r="AM68" i="187"/>
  <c r="AS68" i="187" s="1"/>
  <c r="L76" i="193"/>
  <c r="G25" i="147"/>
  <c r="Z51" i="147"/>
  <c r="X51" i="147"/>
  <c r="AB51" i="147" s="1"/>
  <c r="L16" i="142"/>
  <c r="J19" i="142"/>
  <c r="E13" i="180" s="1"/>
  <c r="Z48" i="147"/>
  <c r="X48" i="147"/>
  <c r="AB48" i="147" s="1"/>
  <c r="L66" i="193"/>
  <c r="G14" i="147"/>
  <c r="L72" i="193"/>
  <c r="G20" i="147"/>
  <c r="AN193" i="187"/>
  <c r="AM193" i="187"/>
  <c r="AS193" i="187" s="1"/>
  <c r="J38" i="157"/>
  <c r="L38" i="157"/>
  <c r="M38" i="157" s="1"/>
  <c r="E72" i="182"/>
  <c r="F72" i="182" s="1"/>
  <c r="G32" i="147"/>
  <c r="L82" i="193"/>
  <c r="X18" i="148"/>
  <c r="AB18" i="148" s="1"/>
  <c r="Z18" i="148"/>
  <c r="L207" i="193"/>
  <c r="H49" i="155"/>
  <c r="L189" i="193"/>
  <c r="H29" i="155"/>
  <c r="I94" i="67"/>
  <c r="F96" i="193" s="1"/>
  <c r="K96" i="193" s="1"/>
  <c r="AG89" i="187"/>
  <c r="L113" i="157"/>
  <c r="M113" i="157" s="1"/>
  <c r="J113" i="157"/>
  <c r="E166" i="182"/>
  <c r="F166" i="182" s="1"/>
  <c r="X43" i="147"/>
  <c r="AB43" i="147" s="1"/>
  <c r="Z43" i="147"/>
  <c r="S16" i="156"/>
  <c r="W16" i="156" s="1"/>
  <c r="I16" i="156"/>
  <c r="K16" i="156" s="1"/>
  <c r="M16" i="156" s="1"/>
  <c r="J34" i="148"/>
  <c r="L24" i="148"/>
  <c r="L161" i="193"/>
  <c r="G21" i="151"/>
  <c r="X56" i="147"/>
  <c r="AB56" i="147" s="1"/>
  <c r="Z56" i="147"/>
  <c r="AM183" i="187"/>
  <c r="AS183" i="187" s="1"/>
  <c r="AN183" i="187"/>
  <c r="Z21" i="144"/>
  <c r="X21" i="144"/>
  <c r="AB21" i="144" s="1"/>
  <c r="C8" i="181"/>
  <c r="AN82" i="187"/>
  <c r="AM82" i="187"/>
  <c r="AS82" i="187" s="1"/>
  <c r="AN175" i="187"/>
  <c r="AM175" i="187"/>
  <c r="AS175" i="187" s="1"/>
  <c r="AN166" i="187"/>
  <c r="AM166" i="187"/>
  <c r="AS166" i="187" s="1"/>
  <c r="C9" i="181"/>
  <c r="B9" i="181" s="1"/>
  <c r="U21" i="127"/>
  <c r="Z16" i="142"/>
  <c r="X16" i="142"/>
  <c r="AB16" i="142" s="1"/>
  <c r="AM74" i="187"/>
  <c r="AS74" i="187" s="1"/>
  <c r="AN74" i="187"/>
  <c r="G13" i="151"/>
  <c r="L154" i="193"/>
  <c r="Z21" i="148"/>
  <c r="X21" i="148"/>
  <c r="AB21" i="148" s="1"/>
  <c r="AM81" i="187"/>
  <c r="AS81" i="187" s="1"/>
  <c r="AN81" i="187"/>
  <c r="AM87" i="187"/>
  <c r="AS87" i="187" s="1"/>
  <c r="AN87" i="187"/>
  <c r="AM195" i="187"/>
  <c r="AS195" i="187" s="1"/>
  <c r="AN195" i="187"/>
  <c r="L164" i="193"/>
  <c r="G25" i="151"/>
  <c r="J86" i="157"/>
  <c r="E131" i="182"/>
  <c r="F131" i="182" s="1"/>
  <c r="L86" i="157"/>
  <c r="M86" i="157" s="1"/>
  <c r="E40" i="182"/>
  <c r="F40" i="182" s="1"/>
  <c r="J18" i="157"/>
  <c r="L18" i="157"/>
  <c r="M18" i="157" s="1"/>
  <c r="AM65" i="187"/>
  <c r="AS65" i="187" s="1"/>
  <c r="AN65" i="187"/>
  <c r="Z14" i="145"/>
  <c r="X14" i="145"/>
  <c r="AB14" i="145" s="1"/>
  <c r="AM75" i="187"/>
  <c r="AS75" i="187" s="1"/>
  <c r="AN75" i="187"/>
  <c r="L116" i="157"/>
  <c r="M116" i="157" s="1"/>
  <c r="E169" i="182"/>
  <c r="F169" i="182" s="1"/>
  <c r="J116" i="157"/>
  <c r="AM179" i="187"/>
  <c r="AS179" i="187" s="1"/>
  <c r="AN179" i="187"/>
  <c r="E126" i="182"/>
  <c r="F126" i="182" s="1"/>
  <c r="L81" i="157"/>
  <c r="M81" i="157" s="1"/>
  <c r="J81" i="157"/>
  <c r="E270" i="182"/>
  <c r="F270" i="182" s="1"/>
  <c r="J194" i="157"/>
  <c r="L194" i="157"/>
  <c r="M194" i="157" s="1"/>
  <c r="AM199" i="187"/>
  <c r="AS199" i="187" s="1"/>
  <c r="AN199" i="187"/>
  <c r="J119" i="157"/>
  <c r="E172" i="182"/>
  <c r="F172" i="182" s="1"/>
  <c r="L119" i="157"/>
  <c r="M119" i="157" s="1"/>
  <c r="H17" i="155"/>
  <c r="L179" i="193"/>
  <c r="AN201" i="187"/>
  <c r="AM201" i="187"/>
  <c r="AS201" i="187" s="1"/>
  <c r="Z65" i="147"/>
  <c r="X65" i="147"/>
  <c r="AB65" i="147" s="1"/>
  <c r="E177" i="182"/>
  <c r="F177" i="182" s="1"/>
  <c r="J124" i="157"/>
  <c r="L124" i="157"/>
  <c r="M124" i="157" s="1"/>
  <c r="L176" i="193"/>
  <c r="H14" i="155"/>
  <c r="Z19" i="144"/>
  <c r="X19" i="144"/>
  <c r="AB19" i="144" s="1"/>
  <c r="Z29" i="145"/>
  <c r="X29" i="145"/>
  <c r="AB29" i="145" s="1"/>
  <c r="AD29" i="145" s="1"/>
  <c r="AF29" i="145" s="1"/>
  <c r="AN94" i="187"/>
  <c r="AM94" i="187"/>
  <c r="AS94" i="187" s="1"/>
  <c r="J102" i="157"/>
  <c r="L102" i="157"/>
  <c r="M102" i="157" s="1"/>
  <c r="E147" i="182"/>
  <c r="F147" i="182" s="1"/>
  <c r="L159" i="193"/>
  <c r="G18" i="151"/>
  <c r="Z26" i="145"/>
  <c r="X26" i="145"/>
  <c r="AB26" i="145" s="1"/>
  <c r="J121" i="157"/>
  <c r="E174" i="182"/>
  <c r="F174" i="182" s="1"/>
  <c r="L121" i="157"/>
  <c r="M121" i="157" s="1"/>
  <c r="Z13" i="148"/>
  <c r="X13" i="148"/>
  <c r="AB13" i="148" s="1"/>
  <c r="X21" i="142"/>
  <c r="AB21" i="142" s="1"/>
  <c r="Z21" i="142"/>
  <c r="X32" i="148"/>
  <c r="AB32" i="148" s="1"/>
  <c r="Z32" i="148"/>
  <c r="G28" i="147"/>
  <c r="L79" i="193"/>
  <c r="G17" i="147"/>
  <c r="L69" i="193"/>
  <c r="L22" i="164"/>
  <c r="M22" i="164" s="1"/>
  <c r="J22" i="164"/>
  <c r="L88" i="193"/>
  <c r="G38" i="147"/>
  <c r="I92" i="67"/>
  <c r="F94" i="193" s="1"/>
  <c r="K94" i="193" s="1"/>
  <c r="AG87" i="187"/>
  <c r="AM149" i="187"/>
  <c r="AS149" i="187" s="1"/>
  <c r="AN149" i="187"/>
  <c r="AM155" i="187"/>
  <c r="AS155" i="187" s="1"/>
  <c r="AN155" i="187"/>
  <c r="X24" i="142"/>
  <c r="AB24" i="142" s="1"/>
  <c r="Z24" i="142"/>
  <c r="AN76" i="187"/>
  <c r="AM76" i="187"/>
  <c r="AS76" i="187" s="1"/>
  <c r="E167" i="182"/>
  <c r="F167" i="182" s="1"/>
  <c r="L114" i="157"/>
  <c r="M114" i="157" s="1"/>
  <c r="J114" i="157"/>
  <c r="Z20" i="148"/>
  <c r="X20" i="148"/>
  <c r="AB20" i="148" s="1"/>
  <c r="AN176" i="187"/>
  <c r="AM176" i="187"/>
  <c r="AS176" i="187" s="1"/>
  <c r="E148" i="182"/>
  <c r="F148" i="182" s="1"/>
  <c r="L103" i="157"/>
  <c r="M103" i="157" s="1"/>
  <c r="J103" i="157"/>
  <c r="J30" i="145"/>
  <c r="L23" i="145"/>
  <c r="Z17" i="148"/>
  <c r="X17" i="148"/>
  <c r="AB17" i="148" s="1"/>
  <c r="J52" i="147"/>
  <c r="L43" i="147"/>
  <c r="AM60" i="187"/>
  <c r="AS60" i="187" s="1"/>
  <c r="AN60" i="187"/>
  <c r="X24" i="148"/>
  <c r="AB24" i="148" s="1"/>
  <c r="Z24" i="148"/>
  <c r="Z18" i="145"/>
  <c r="X18" i="145"/>
  <c r="AB18" i="145" s="1"/>
  <c r="V13" i="153"/>
  <c r="Z13" i="153" s="1"/>
  <c r="X13" i="153"/>
  <c r="X15" i="153" s="1"/>
  <c r="L123" i="157"/>
  <c r="M123" i="157" s="1"/>
  <c r="J123" i="157"/>
  <c r="E176" i="182"/>
  <c r="F176" i="182" s="1"/>
  <c r="AA19" i="146"/>
  <c r="AC19" i="146" s="1"/>
  <c r="R18" i="180"/>
  <c r="E85" i="182"/>
  <c r="F85" i="182" s="1"/>
  <c r="J51" i="157"/>
  <c r="L51" i="157"/>
  <c r="M51" i="157" s="1"/>
  <c r="L210" i="193"/>
  <c r="H52" i="155"/>
  <c r="E180" i="182"/>
  <c r="F180" i="182" s="1"/>
  <c r="J127" i="157"/>
  <c r="L127" i="157"/>
  <c r="M127" i="157" s="1"/>
  <c r="AM72" i="187"/>
  <c r="AS72" i="187" s="1"/>
  <c r="AN72" i="187"/>
  <c r="AM62" i="187"/>
  <c r="AS62" i="187" s="1"/>
  <c r="AN62" i="187"/>
  <c r="G26" i="151"/>
  <c r="L165" i="193"/>
  <c r="L205" i="193"/>
  <c r="H47" i="155"/>
  <c r="Z20" i="144"/>
  <c r="X20" i="144"/>
  <c r="AB20" i="144" s="1"/>
  <c r="L167" i="193"/>
  <c r="G28" i="151"/>
  <c r="AN59" i="187"/>
  <c r="AM59" i="187"/>
  <c r="AS59" i="187" s="1"/>
  <c r="E78" i="182"/>
  <c r="F78" i="182" s="1"/>
  <c r="J44" i="157"/>
  <c r="L44" i="157"/>
  <c r="M44" i="157" s="1"/>
  <c r="Z14" i="144"/>
  <c r="X14" i="144"/>
  <c r="AB14" i="144" s="1"/>
  <c r="Z67" i="147"/>
  <c r="X67" i="147"/>
  <c r="AB67" i="147" s="1"/>
  <c r="AD67" i="147" s="1"/>
  <c r="AF67" i="147" s="1"/>
  <c r="Z23" i="145"/>
  <c r="X23" i="145"/>
  <c r="AB23" i="145" s="1"/>
  <c r="L183" i="193"/>
  <c r="H22" i="155"/>
  <c r="L67" i="193"/>
  <c r="G15" i="147"/>
  <c r="L23" i="157"/>
  <c r="M23" i="157" s="1"/>
  <c r="E49" i="182"/>
  <c r="F49" i="182" s="1"/>
  <c r="J23" i="157"/>
  <c r="AM170" i="187"/>
  <c r="AS170" i="187" s="1"/>
  <c r="AN170" i="187"/>
  <c r="Z58" i="147"/>
  <c r="X58" i="147"/>
  <c r="AB58" i="147" s="1"/>
  <c r="AD58" i="147" s="1"/>
  <c r="AF58" i="147" s="1"/>
  <c r="L199" i="193"/>
  <c r="H41" i="155"/>
  <c r="Z29" i="148"/>
  <c r="X29" i="148"/>
  <c r="AB29" i="148" s="1"/>
  <c r="Z16" i="145"/>
  <c r="X16" i="145"/>
  <c r="AB16" i="145" s="1"/>
  <c r="AM80" i="187"/>
  <c r="AS80" i="187" s="1"/>
  <c r="AN80" i="187"/>
  <c r="J120" i="157"/>
  <c r="L120" i="157"/>
  <c r="M120" i="157" s="1"/>
  <c r="E173" i="182"/>
  <c r="F173" i="182" s="1"/>
  <c r="Z26" i="148"/>
  <c r="X26" i="148"/>
  <c r="AB26" i="148" s="1"/>
  <c r="AD26" i="148" s="1"/>
  <c r="AF26" i="148" s="1"/>
  <c r="X24" i="145"/>
  <c r="AB24" i="145" s="1"/>
  <c r="Z24" i="145"/>
  <c r="J24" i="164"/>
  <c r="L24" i="164"/>
  <c r="M24" i="164" s="1"/>
  <c r="K19" i="146"/>
  <c r="M19" i="146" s="1"/>
  <c r="J19" i="146"/>
  <c r="L19" i="146" s="1"/>
  <c r="F18" i="180"/>
  <c r="J112" i="157"/>
  <c r="L112" i="157"/>
  <c r="M112" i="157" s="1"/>
  <c r="E165" i="182"/>
  <c r="F165" i="182" s="1"/>
  <c r="E75" i="182"/>
  <c r="F75" i="182" s="1"/>
  <c r="J41" i="157"/>
  <c r="L41" i="157"/>
  <c r="M41" i="157" s="1"/>
  <c r="G17" i="151"/>
  <c r="L158" i="193"/>
  <c r="AM156" i="187"/>
  <c r="AS156" i="187" s="1"/>
  <c r="AN156" i="187"/>
  <c r="Z25" i="145"/>
  <c r="X25" i="145"/>
  <c r="AB25" i="145" s="1"/>
  <c r="AN181" i="187"/>
  <c r="AM181" i="187"/>
  <c r="AS181" i="187" s="1"/>
  <c r="L30" i="157"/>
  <c r="M30" i="157" s="1"/>
  <c r="J30" i="157"/>
  <c r="E56" i="182"/>
  <c r="F56" i="182" s="1"/>
  <c r="AM158" i="187"/>
  <c r="AS158" i="187" s="1"/>
  <c r="AN158" i="187"/>
  <c r="AM178" i="187"/>
  <c r="AS178" i="187" s="1"/>
  <c r="AN178" i="187"/>
  <c r="AN92" i="187"/>
  <c r="AM92" i="187"/>
  <c r="AS92" i="187" s="1"/>
  <c r="H43" i="155"/>
  <c r="L201" i="193"/>
  <c r="G33" i="147"/>
  <c r="L83" i="193"/>
  <c r="J14" i="142"/>
  <c r="L13" i="142"/>
  <c r="J46" i="157"/>
  <c r="E80" i="182"/>
  <c r="F80" i="182" s="1"/>
  <c r="L46" i="157"/>
  <c r="M46" i="157" s="1"/>
  <c r="L12" i="157"/>
  <c r="M12" i="157" s="1"/>
  <c r="J12" i="157"/>
  <c r="E34" i="182"/>
  <c r="F34" i="182" s="1"/>
  <c r="H51" i="155"/>
  <c r="L209" i="193"/>
  <c r="X13" i="144"/>
  <c r="AB13" i="144" s="1"/>
  <c r="Z13" i="144"/>
  <c r="H18" i="155"/>
  <c r="L180" i="193"/>
  <c r="L42" i="157"/>
  <c r="M42" i="157" s="1"/>
  <c r="E76" i="182"/>
  <c r="F76" i="182" s="1"/>
  <c r="J42" i="157"/>
  <c r="J95" i="157"/>
  <c r="E140" i="182"/>
  <c r="F140" i="182" s="1"/>
  <c r="L95" i="157"/>
  <c r="M95" i="157" s="1"/>
  <c r="AN159" i="187"/>
  <c r="AM159" i="187"/>
  <c r="AS159" i="187" s="1"/>
  <c r="AN78" i="187"/>
  <c r="AM78" i="187"/>
  <c r="AS78" i="187" s="1"/>
  <c r="L87" i="193"/>
  <c r="G37" i="147"/>
  <c r="E53" i="182"/>
  <c r="F53" i="182" s="1"/>
  <c r="J27" i="157"/>
  <c r="L27" i="157"/>
  <c r="M27" i="157" s="1"/>
  <c r="J40" i="157"/>
  <c r="E74" i="182"/>
  <c r="F74" i="182" s="1"/>
  <c r="L40" i="157"/>
  <c r="M40" i="157" s="1"/>
  <c r="AN188" i="187"/>
  <c r="AM188" i="187"/>
  <c r="AS188" i="187" s="1"/>
  <c r="L84" i="193"/>
  <c r="G34" i="147"/>
  <c r="Z33" i="148"/>
  <c r="X33" i="148"/>
  <c r="AB33" i="148" s="1"/>
  <c r="L204" i="193"/>
  <c r="H46" i="155"/>
  <c r="J16" i="157"/>
  <c r="E38" i="182"/>
  <c r="F38" i="182" s="1"/>
  <c r="L16" i="157"/>
  <c r="M16" i="157" s="1"/>
  <c r="AM64" i="187"/>
  <c r="AS64" i="187" s="1"/>
  <c r="AN64" i="187"/>
  <c r="J110" i="157"/>
  <c r="L110" i="157"/>
  <c r="M110" i="157" s="1"/>
  <c r="E163" i="182"/>
  <c r="F163" i="182" s="1"/>
  <c r="J82" i="157"/>
  <c r="E127" i="182"/>
  <c r="F127" i="182" s="1"/>
  <c r="L82" i="157"/>
  <c r="M82" i="157" s="1"/>
  <c r="E82" i="182"/>
  <c r="F82" i="182" s="1"/>
  <c r="J48" i="157"/>
  <c r="L48" i="157"/>
  <c r="M48" i="157" s="1"/>
  <c r="I90" i="67"/>
  <c r="F92" i="193" s="1"/>
  <c r="K92" i="193" s="1"/>
  <c r="AG85" i="187"/>
  <c r="AN190" i="187"/>
  <c r="AM190" i="187"/>
  <c r="AS190" i="187" s="1"/>
  <c r="X20" i="145"/>
  <c r="AB20" i="145" s="1"/>
  <c r="Z20" i="145"/>
  <c r="E50" i="182"/>
  <c r="F50" i="182" s="1"/>
  <c r="J24" i="157"/>
  <c r="L24" i="157"/>
  <c r="M24" i="157" s="1"/>
  <c r="AM191" i="187"/>
  <c r="AS191" i="187" s="1"/>
  <c r="AN191" i="187"/>
  <c r="E73" i="182"/>
  <c r="F73" i="182" s="1"/>
  <c r="J39" i="157"/>
  <c r="L39" i="157"/>
  <c r="M39" i="157" s="1"/>
  <c r="J15" i="146"/>
  <c r="L15" i="146" s="1"/>
  <c r="K15" i="146"/>
  <c r="M15" i="146" s="1"/>
  <c r="I21" i="146"/>
  <c r="F17" i="180"/>
  <c r="E31" i="182"/>
  <c r="F31" i="182" s="1"/>
  <c r="L9" i="157"/>
  <c r="M9" i="157" s="1"/>
  <c r="J9" i="157"/>
  <c r="H25" i="155"/>
  <c r="L186" i="193"/>
  <c r="AM163" i="187"/>
  <c r="AS163" i="187" s="1"/>
  <c r="AN163" i="187"/>
  <c r="H44" i="155"/>
  <c r="L202" i="193"/>
  <c r="AM173" i="187"/>
  <c r="AS173" i="187" s="1"/>
  <c r="AN173" i="187"/>
  <c r="X17" i="142"/>
  <c r="AB17" i="142" s="1"/>
  <c r="Z17" i="142"/>
  <c r="X46" i="147"/>
  <c r="AB46" i="147" s="1"/>
  <c r="Z46" i="147"/>
  <c r="AM189" i="187"/>
  <c r="AS189" i="187" s="1"/>
  <c r="AN189" i="187"/>
  <c r="E130" i="182"/>
  <c r="F130" i="182" s="1"/>
  <c r="J85" i="157"/>
  <c r="L85" i="157"/>
  <c r="M85" i="157" s="1"/>
  <c r="J23" i="144"/>
  <c r="E15" i="180" s="1"/>
  <c r="L13" i="144"/>
  <c r="E168" i="182"/>
  <c r="F168" i="182" s="1"/>
  <c r="J115" i="157"/>
  <c r="L115" i="157"/>
  <c r="M115" i="157" s="1"/>
  <c r="U15" i="127"/>
  <c r="Z13" i="145"/>
  <c r="X13" i="145"/>
  <c r="AB13" i="145" s="1"/>
  <c r="AN172" i="187"/>
  <c r="AM172" i="187"/>
  <c r="AS172" i="187" s="1"/>
  <c r="L125" i="157"/>
  <c r="M125" i="157" s="1"/>
  <c r="J125" i="157"/>
  <c r="E178" i="182"/>
  <c r="F178" i="182" s="1"/>
  <c r="X49" i="147"/>
  <c r="AB49" i="147" s="1"/>
  <c r="Z49" i="147"/>
  <c r="AM90" i="187"/>
  <c r="AS90" i="187" s="1"/>
  <c r="AN90" i="187"/>
  <c r="G35" i="147"/>
  <c r="L85" i="193"/>
  <c r="L190" i="193"/>
  <c r="H30" i="155"/>
  <c r="L51" i="140"/>
  <c r="N51" i="140" s="1"/>
  <c r="L70" i="140"/>
  <c r="N70" i="140" s="1"/>
  <c r="L39" i="140"/>
  <c r="T39" i="193" s="1"/>
  <c r="AF39" i="193" s="1"/>
  <c r="L148" i="140"/>
  <c r="N148" i="140" s="1"/>
  <c r="L95" i="140"/>
  <c r="T95" i="193" s="1"/>
  <c r="L150" i="140"/>
  <c r="N150" i="140" s="1"/>
  <c r="L186" i="140"/>
  <c r="N186" i="140" s="1"/>
  <c r="L123" i="140"/>
  <c r="N123" i="140" s="1"/>
  <c r="L189" i="140"/>
  <c r="N189" i="140" s="1"/>
  <c r="L86" i="140"/>
  <c r="N86" i="140" s="1"/>
  <c r="L116" i="140"/>
  <c r="N116" i="140" s="1"/>
  <c r="L81" i="140"/>
  <c r="N81" i="140" s="1"/>
  <c r="L42" i="140"/>
  <c r="T42" i="193" s="1"/>
  <c r="AF42" i="193" s="1"/>
  <c r="L62" i="140"/>
  <c r="N62" i="140" s="1"/>
  <c r="L198" i="140"/>
  <c r="N198" i="140" s="1"/>
  <c r="L37" i="140"/>
  <c r="T37" i="193" s="1"/>
  <c r="AF37" i="193" s="1"/>
  <c r="L193" i="140"/>
  <c r="N193" i="140" s="1"/>
  <c r="L36" i="140"/>
  <c r="T36" i="193" s="1"/>
  <c r="AF36" i="193" s="1"/>
  <c r="L97" i="140"/>
  <c r="T97" i="193" s="1"/>
  <c r="L158" i="140"/>
  <c r="N158" i="140" s="1"/>
  <c r="L114" i="140"/>
  <c r="N114" i="140" s="1"/>
  <c r="L175" i="140"/>
  <c r="N175" i="140" s="1"/>
  <c r="L54" i="140"/>
  <c r="N54" i="140" s="1"/>
  <c r="L121" i="140"/>
  <c r="N121" i="140" s="1"/>
  <c r="L144" i="140"/>
  <c r="N144" i="140" s="1"/>
  <c r="L210" i="140"/>
  <c r="N210" i="140" s="1"/>
  <c r="L49" i="140"/>
  <c r="N49" i="140" s="1"/>
  <c r="L59" i="140"/>
  <c r="N59" i="140" s="1"/>
  <c r="L184" i="140"/>
  <c r="N184" i="140" s="1"/>
  <c r="L113" i="140"/>
  <c r="N113" i="140" s="1"/>
  <c r="L90" i="140"/>
  <c r="N90" i="140" s="1"/>
  <c r="L206" i="140"/>
  <c r="N206" i="140" s="1"/>
  <c r="L71" i="140"/>
  <c r="N71" i="140" s="1"/>
  <c r="L168" i="140"/>
  <c r="N168" i="140" s="1"/>
  <c r="L207" i="140"/>
  <c r="N207" i="140" s="1"/>
  <c r="L127" i="140"/>
  <c r="N127" i="140" s="1"/>
  <c r="L177" i="140"/>
  <c r="N177" i="140" s="1"/>
  <c r="L145" i="140"/>
  <c r="N145" i="140" s="1"/>
  <c r="L87" i="140"/>
  <c r="N87" i="140" s="1"/>
  <c r="L44" i="140"/>
  <c r="T44" i="193" s="1"/>
  <c r="AF44" i="193" s="1"/>
  <c r="L209" i="140"/>
  <c r="N209" i="140" s="1"/>
  <c r="L105" i="140"/>
  <c r="N105" i="140" s="1"/>
  <c r="L107" i="140"/>
  <c r="N107" i="140" s="1"/>
  <c r="L171" i="140"/>
  <c r="N171" i="140" s="1"/>
  <c r="L21" i="140"/>
  <c r="N21" i="140" s="1"/>
  <c r="L93" i="140"/>
  <c r="T93" i="193" s="1"/>
  <c r="L24" i="140"/>
  <c r="N24" i="140" s="1"/>
  <c r="L38" i="140"/>
  <c r="T38" i="193" s="1"/>
  <c r="AF38" i="193" s="1"/>
  <c r="L68" i="140"/>
  <c r="N68" i="140" s="1"/>
  <c r="L53" i="140"/>
  <c r="N53" i="140" s="1"/>
  <c r="L106" i="140"/>
  <c r="N106" i="140" s="1"/>
  <c r="L204" i="140"/>
  <c r="N204" i="140" s="1"/>
  <c r="L126" i="140"/>
  <c r="N126" i="140" s="1"/>
  <c r="L65" i="140"/>
  <c r="N65" i="140" s="1"/>
  <c r="L26" i="140"/>
  <c r="N26" i="140" s="1"/>
  <c r="L182" i="140"/>
  <c r="N182" i="140" s="1"/>
  <c r="L211" i="140"/>
  <c r="N211" i="140" s="1"/>
  <c r="L98" i="140"/>
  <c r="T98" i="193" s="1"/>
  <c r="L110" i="140"/>
  <c r="N110" i="140" s="1"/>
  <c r="L154" i="140"/>
  <c r="N154" i="140" s="1"/>
  <c r="L134" i="140"/>
  <c r="N134" i="140" s="1"/>
  <c r="L128" i="140"/>
  <c r="N128" i="140" s="1"/>
  <c r="L155" i="140"/>
  <c r="N155" i="140" s="1"/>
  <c r="L85" i="140"/>
  <c r="N85" i="140" s="1"/>
  <c r="L125" i="140"/>
  <c r="N125" i="140" s="1"/>
  <c r="L19" i="140"/>
  <c r="N19" i="140" s="1"/>
  <c r="L157" i="140"/>
  <c r="N157" i="140" s="1"/>
  <c r="L43" i="140"/>
  <c r="T43" i="193" s="1"/>
  <c r="AF43" i="193" s="1"/>
  <c r="L214" i="140"/>
  <c r="M214" i="140" s="1"/>
  <c r="L73" i="140"/>
  <c r="N73" i="140" s="1"/>
  <c r="L99" i="140"/>
  <c r="T99" i="193" s="1"/>
  <c r="L67" i="140"/>
  <c r="N67" i="140" s="1"/>
  <c r="L117" i="140"/>
  <c r="N117" i="140" s="1"/>
  <c r="L88" i="140"/>
  <c r="N88" i="140" s="1"/>
  <c r="L96" i="140"/>
  <c r="T96" i="193" s="1"/>
  <c r="L27" i="140"/>
  <c r="N27" i="140" s="1"/>
  <c r="L164" i="140"/>
  <c r="N164" i="140" s="1"/>
  <c r="L104" i="140"/>
  <c r="N104" i="140" s="1"/>
  <c r="L143" i="140"/>
  <c r="N143" i="140" s="1"/>
  <c r="L200" i="140"/>
  <c r="N200" i="140" s="1"/>
  <c r="L203" i="140"/>
  <c r="N203" i="140" s="1"/>
  <c r="L76" i="140"/>
  <c r="N76" i="140" s="1"/>
  <c r="L161" i="140"/>
  <c r="N161" i="140" s="1"/>
  <c r="L146" i="140"/>
  <c r="N146" i="140" s="1"/>
  <c r="L196" i="140"/>
  <c r="N196" i="140" s="1"/>
  <c r="L122" i="140"/>
  <c r="N122" i="140" s="1"/>
  <c r="L140" i="140"/>
  <c r="N140" i="140" s="1"/>
  <c r="L108" i="140"/>
  <c r="N108" i="140" s="1"/>
  <c r="L176" i="140"/>
  <c r="N176" i="140" s="1"/>
  <c r="L137" i="140"/>
  <c r="N137" i="140" s="1"/>
  <c r="L159" i="140"/>
  <c r="N159" i="140" s="1"/>
  <c r="L197" i="140"/>
  <c r="N197" i="140" s="1"/>
  <c r="L15" i="140"/>
  <c r="N15" i="140" s="1"/>
  <c r="L139" i="140"/>
  <c r="N139" i="140" s="1"/>
  <c r="L136" i="140"/>
  <c r="N136" i="140" s="1"/>
  <c r="L56" i="140"/>
  <c r="N56" i="140" s="1"/>
  <c r="L60" i="140"/>
  <c r="N60" i="140" s="1"/>
  <c r="L167" i="140"/>
  <c r="N167" i="140" s="1"/>
  <c r="L57" i="140"/>
  <c r="N57" i="140" s="1"/>
  <c r="L133" i="140"/>
  <c r="N133" i="140" s="1"/>
  <c r="L75" i="140"/>
  <c r="N75" i="140" s="1"/>
  <c r="L41" i="140"/>
  <c r="T41" i="193" s="1"/>
  <c r="AF41" i="193" s="1"/>
  <c r="L183" i="140"/>
  <c r="N183" i="140" s="1"/>
  <c r="L100" i="140"/>
  <c r="T100" i="193" s="1"/>
  <c r="L69" i="140"/>
  <c r="N69" i="140" s="1"/>
  <c r="L180" i="140"/>
  <c r="N180" i="140" s="1"/>
  <c r="L205" i="140"/>
  <c r="N205" i="140" s="1"/>
  <c r="L29" i="140"/>
  <c r="N29" i="140" s="1"/>
  <c r="L92" i="140"/>
  <c r="T92" i="193" s="1"/>
  <c r="L16" i="140"/>
  <c r="N16" i="140" s="1"/>
  <c r="L30" i="140"/>
  <c r="N30" i="140" s="1"/>
  <c r="L142" i="140"/>
  <c r="N142" i="140" s="1"/>
  <c r="L82" i="140"/>
  <c r="N82" i="140" s="1"/>
  <c r="L18" i="140"/>
  <c r="N18" i="140" s="1"/>
  <c r="L124" i="140"/>
  <c r="N124" i="140" s="1"/>
  <c r="L72" i="140"/>
  <c r="N72" i="140" s="1"/>
  <c r="L14" i="140"/>
  <c r="N14" i="140" s="1"/>
  <c r="L25" i="140"/>
  <c r="N25" i="140" s="1"/>
  <c r="L89" i="140"/>
  <c r="N89" i="140" s="1"/>
  <c r="L156" i="140"/>
  <c r="N156" i="140" s="1"/>
  <c r="L163" i="140"/>
  <c r="N163" i="140" s="1"/>
  <c r="L50" i="140"/>
  <c r="N50" i="140" s="1"/>
  <c r="L170" i="140"/>
  <c r="N170" i="140" s="1"/>
  <c r="L191" i="140"/>
  <c r="N191" i="140" s="1"/>
  <c r="L31" i="140"/>
  <c r="N31" i="140" s="1"/>
  <c r="L202" i="140"/>
  <c r="N202" i="140" s="1"/>
  <c r="L138" i="140"/>
  <c r="N138" i="140" s="1"/>
  <c r="L32" i="140"/>
  <c r="N32" i="140" s="1"/>
  <c r="L79" i="140"/>
  <c r="N79" i="140" s="1"/>
  <c r="L190" i="140"/>
  <c r="N190" i="140" s="1"/>
  <c r="L135" i="140"/>
  <c r="N135" i="140" s="1"/>
  <c r="L47" i="140"/>
  <c r="N47" i="140" s="1"/>
  <c r="L179" i="140"/>
  <c r="N179" i="140" s="1"/>
  <c r="L94" i="140"/>
  <c r="T94" i="193" s="1"/>
  <c r="L77" i="140"/>
  <c r="N77" i="140" s="1"/>
  <c r="L165" i="140"/>
  <c r="N165" i="140" s="1"/>
  <c r="L151" i="140"/>
  <c r="N151" i="140" s="1"/>
  <c r="AH9" i="140"/>
  <c r="L12" i="140"/>
  <c r="N12" i="140" s="1"/>
  <c r="L52" i="140"/>
  <c r="N52" i="140" s="1"/>
  <c r="L58" i="140"/>
  <c r="N58" i="140" s="1"/>
  <c r="L188" i="140"/>
  <c r="N188" i="140" s="1"/>
  <c r="L103" i="140"/>
  <c r="N103" i="140" s="1"/>
  <c r="L109" i="140"/>
  <c r="N109" i="140" s="1"/>
  <c r="L84" i="140"/>
  <c r="N84" i="140" s="1"/>
  <c r="L33" i="140"/>
  <c r="N33" i="140" s="1"/>
  <c r="L172" i="140"/>
  <c r="N172" i="140" s="1"/>
  <c r="L61" i="140"/>
  <c r="N61" i="140" s="1"/>
  <c r="L120" i="140"/>
  <c r="N120" i="140" s="1"/>
  <c r="L35" i="140"/>
  <c r="T35" i="193" s="1"/>
  <c r="AF35" i="193" s="1"/>
  <c r="L118" i="140"/>
  <c r="N118" i="140" s="1"/>
  <c r="L40" i="140"/>
  <c r="T40" i="193" s="1"/>
  <c r="AF40" i="193" s="1"/>
  <c r="L208" i="140"/>
  <c r="N208" i="140" s="1"/>
  <c r="L169" i="140"/>
  <c r="N169" i="140" s="1"/>
  <c r="L111" i="140"/>
  <c r="N111" i="140" s="1"/>
  <c r="L78" i="140"/>
  <c r="N78" i="140" s="1"/>
  <c r="L147" i="140"/>
  <c r="N147" i="140" s="1"/>
  <c r="L83" i="140"/>
  <c r="N83" i="140" s="1"/>
  <c r="L20" i="140"/>
  <c r="N20" i="140" s="1"/>
  <c r="L101" i="140"/>
  <c r="T101" i="193" s="1"/>
  <c r="L201" i="140"/>
  <c r="N201" i="140" s="1"/>
  <c r="L178" i="140"/>
  <c r="N178" i="140" s="1"/>
  <c r="L185" i="140"/>
  <c r="N185" i="140" s="1"/>
  <c r="L149" i="140"/>
  <c r="N149" i="140" s="1"/>
  <c r="L199" i="140"/>
  <c r="N199" i="140" s="1"/>
  <c r="L115" i="140"/>
  <c r="N115" i="140" s="1"/>
  <c r="L48" i="140"/>
  <c r="N48" i="140" s="1"/>
  <c r="L132" i="140"/>
  <c r="N132" i="140" s="1"/>
  <c r="L129" i="140"/>
  <c r="N129" i="140" s="1"/>
  <c r="L28" i="140"/>
  <c r="N28" i="140" s="1"/>
  <c r="L166" i="140"/>
  <c r="N166" i="140" s="1"/>
  <c r="L66" i="140"/>
  <c r="N66" i="140" s="1"/>
  <c r="L194" i="140"/>
  <c r="N194" i="140" s="1"/>
  <c r="L73" i="193"/>
  <c r="G21" i="147"/>
  <c r="X57" i="147"/>
  <c r="AB57" i="147" s="1"/>
  <c r="Z57" i="147"/>
  <c r="X68" i="147"/>
  <c r="AB68" i="147" s="1"/>
  <c r="Z68" i="147"/>
  <c r="AN180" i="187"/>
  <c r="AM180" i="187"/>
  <c r="AS180" i="187" s="1"/>
  <c r="AM66" i="187"/>
  <c r="AS66" i="187" s="1"/>
  <c r="AN66" i="187"/>
  <c r="L104" i="157"/>
  <c r="M104" i="157" s="1"/>
  <c r="J104" i="157"/>
  <c r="E149" i="182"/>
  <c r="F149" i="182" s="1"/>
  <c r="J150" i="157"/>
  <c r="L150" i="157"/>
  <c r="M150" i="157" s="1"/>
  <c r="E211" i="182"/>
  <c r="F211" i="182" s="1"/>
  <c r="AG93" i="187"/>
  <c r="I98" i="67"/>
  <c r="F100" i="193" s="1"/>
  <c r="K100" i="193" s="1"/>
  <c r="G27" i="147"/>
  <c r="L78" i="193"/>
  <c r="L65" i="193"/>
  <c r="G13" i="147"/>
  <c r="AM147" i="187"/>
  <c r="AS147" i="187" s="1"/>
  <c r="AN147" i="187"/>
  <c r="J60" i="147"/>
  <c r="L54" i="147"/>
  <c r="J111" i="157"/>
  <c r="L111" i="157"/>
  <c r="M111" i="157" s="1"/>
  <c r="E164" i="182"/>
  <c r="F164" i="182" s="1"/>
  <c r="AN196" i="187"/>
  <c r="AM196" i="187"/>
  <c r="AS196" i="187" s="1"/>
  <c r="AM187" i="187"/>
  <c r="AS187" i="187" s="1"/>
  <c r="AN187" i="187"/>
  <c r="L155" i="193"/>
  <c r="G14" i="151"/>
  <c r="Z31" i="148"/>
  <c r="X31" i="148"/>
  <c r="AB31" i="148" s="1"/>
  <c r="Z14" i="148"/>
  <c r="X14" i="148"/>
  <c r="AB14" i="148" s="1"/>
  <c r="Z16" i="148"/>
  <c r="X16" i="148"/>
  <c r="AB16" i="148" s="1"/>
  <c r="AD16" i="148" s="1"/>
  <c r="AF16" i="148" s="1"/>
  <c r="X17" i="145"/>
  <c r="AB17" i="145" s="1"/>
  <c r="Z17" i="145"/>
  <c r="AM186" i="187"/>
  <c r="AS186" i="187" s="1"/>
  <c r="AN186" i="187"/>
  <c r="AN85" i="187"/>
  <c r="AM85" i="187"/>
  <c r="AS85" i="187" s="1"/>
  <c r="L171" i="193"/>
  <c r="G32" i="151"/>
  <c r="L188" i="193"/>
  <c r="H28" i="155"/>
  <c r="I97" i="67"/>
  <c r="F99" i="193" s="1"/>
  <c r="K99" i="193" s="1"/>
  <c r="AG92" i="187"/>
  <c r="AN157" i="187"/>
  <c r="AM157" i="187"/>
  <c r="AS157" i="187" s="1"/>
  <c r="L37" i="157"/>
  <c r="M37" i="157" s="1"/>
  <c r="J37" i="157"/>
  <c r="E71" i="182"/>
  <c r="F71" i="182" s="1"/>
  <c r="Z13" i="142"/>
  <c r="Z14" i="142" s="1"/>
  <c r="X13" i="142"/>
  <c r="AB13" i="142" s="1"/>
  <c r="Z19" i="145"/>
  <c r="X19" i="145"/>
  <c r="AB19" i="145" s="1"/>
  <c r="AM192" i="187"/>
  <c r="AS192" i="187" s="1"/>
  <c r="AN192" i="187"/>
  <c r="Z19" i="146"/>
  <c r="AB19" i="146" s="1"/>
  <c r="Q18" i="180"/>
  <c r="S18" i="180" s="1"/>
  <c r="E129" i="182"/>
  <c r="F129" i="182" s="1"/>
  <c r="L84" i="157"/>
  <c r="M84" i="157" s="1"/>
  <c r="J84" i="157"/>
  <c r="G31" i="151"/>
  <c r="L170" i="193"/>
  <c r="X30" i="148"/>
  <c r="AB30" i="148" s="1"/>
  <c r="Z30" i="148"/>
  <c r="E222" i="182"/>
  <c r="F222" i="182" s="1"/>
  <c r="F223" i="182" s="1"/>
  <c r="J153" i="157"/>
  <c r="L153" i="157"/>
  <c r="M153" i="157" s="1"/>
  <c r="L28" i="164"/>
  <c r="M28" i="164" s="1"/>
  <c r="J28" i="164"/>
  <c r="J25" i="157"/>
  <c r="L25" i="157"/>
  <c r="M25" i="157" s="1"/>
  <c r="E51" i="182"/>
  <c r="F51" i="182" s="1"/>
  <c r="L50" i="157"/>
  <c r="M50" i="157" s="1"/>
  <c r="E84" i="182"/>
  <c r="F84" i="182" s="1"/>
  <c r="J50" i="157"/>
  <c r="J105" i="157"/>
  <c r="E150" i="182"/>
  <c r="F150" i="182" s="1"/>
  <c r="L105" i="157"/>
  <c r="M105" i="157" s="1"/>
  <c r="X18" i="144"/>
  <c r="AB18" i="144" s="1"/>
  <c r="Z18" i="144"/>
  <c r="V13" i="156"/>
  <c r="V18" i="156" s="1"/>
  <c r="T13" i="156"/>
  <c r="Z62" i="147"/>
  <c r="X62" i="147"/>
  <c r="AB62" i="147" s="1"/>
  <c r="AN69" i="187"/>
  <c r="AM69" i="187"/>
  <c r="AS69" i="187" s="1"/>
  <c r="Z27" i="145"/>
  <c r="X27" i="145"/>
  <c r="AB27" i="145" s="1"/>
  <c r="L101" i="157"/>
  <c r="M101" i="157" s="1"/>
  <c r="J101" i="157"/>
  <c r="E146" i="182"/>
  <c r="F146" i="182" s="1"/>
  <c r="X69" i="147"/>
  <c r="AB69" i="147" s="1"/>
  <c r="Z69" i="147"/>
  <c r="AN77" i="187"/>
  <c r="AM77" i="187"/>
  <c r="AS77" i="187" s="1"/>
  <c r="S13" i="156"/>
  <c r="W13" i="156" s="1"/>
  <c r="W18" i="156" s="1"/>
  <c r="I13" i="156"/>
  <c r="AN167" i="187"/>
  <c r="AM167" i="187"/>
  <c r="AS167" i="187" s="1"/>
  <c r="AM93" i="187"/>
  <c r="AS93" i="187" s="1"/>
  <c r="AN93" i="187"/>
  <c r="E139" i="182"/>
  <c r="F139" i="182" s="1"/>
  <c r="L94" i="157"/>
  <c r="M94" i="157" s="1"/>
  <c r="J94" i="157"/>
  <c r="AM88" i="187"/>
  <c r="AS88" i="187" s="1"/>
  <c r="AN88" i="187"/>
  <c r="L151" i="157"/>
  <c r="M151" i="157" s="1"/>
  <c r="E212" i="182"/>
  <c r="F212" i="182" s="1"/>
  <c r="J151" i="157"/>
  <c r="H15" i="155"/>
  <c r="L177" i="193"/>
  <c r="H53" i="155"/>
  <c r="L211" i="193"/>
  <c r="AB8" i="140"/>
  <c r="Y8" i="140"/>
  <c r="L90" i="193"/>
  <c r="G40" i="147"/>
  <c r="Z63" i="147"/>
  <c r="X63" i="147"/>
  <c r="AB63" i="147" s="1"/>
  <c r="AN160" i="187"/>
  <c r="AM160" i="187"/>
  <c r="AS160" i="187" s="1"/>
  <c r="J83" i="157"/>
  <c r="L83" i="157"/>
  <c r="M83" i="157" s="1"/>
  <c r="E128" i="182"/>
  <c r="F128" i="182" s="1"/>
  <c r="J99" i="157"/>
  <c r="L99" i="157"/>
  <c r="M99" i="157" s="1"/>
  <c r="E144" i="182"/>
  <c r="F144" i="182" s="1"/>
  <c r="E133" i="182"/>
  <c r="F133" i="182" s="1"/>
  <c r="J88" i="157"/>
  <c r="L88" i="157"/>
  <c r="M88" i="157" s="1"/>
  <c r="I96" i="67"/>
  <c r="F98" i="193" s="1"/>
  <c r="K98" i="193" s="1"/>
  <c r="AG91" i="187"/>
  <c r="J20" i="164"/>
  <c r="L20" i="164"/>
  <c r="M20" i="164" s="1"/>
  <c r="AN152" i="187"/>
  <c r="AM152" i="187"/>
  <c r="AS152" i="187" s="1"/>
  <c r="E170" i="182"/>
  <c r="F170" i="182" s="1"/>
  <c r="J117" i="157"/>
  <c r="L117" i="157"/>
  <c r="M117" i="157" s="1"/>
  <c r="AM63" i="187"/>
  <c r="AS63" i="187" s="1"/>
  <c r="AN63" i="187"/>
  <c r="X16" i="144"/>
  <c r="AB16" i="144" s="1"/>
  <c r="Z16" i="144"/>
  <c r="J126" i="157"/>
  <c r="L126" i="157"/>
  <c r="M126" i="157" s="1"/>
  <c r="E179" i="182"/>
  <c r="F179" i="182" s="1"/>
  <c r="AN165" i="187"/>
  <c r="AM165" i="187"/>
  <c r="AS165" i="187" s="1"/>
  <c r="I15" i="153"/>
  <c r="E24" i="180" s="1"/>
  <c r="K13" i="153"/>
  <c r="J31" i="157"/>
  <c r="E57" i="182"/>
  <c r="F57" i="182" s="1"/>
  <c r="L31" i="157"/>
  <c r="M31" i="157" s="1"/>
  <c r="X44" i="147"/>
  <c r="AB44" i="147" s="1"/>
  <c r="Z44" i="147"/>
  <c r="J87" i="157"/>
  <c r="E132" i="182"/>
  <c r="F132" i="182" s="1"/>
  <c r="L87" i="157"/>
  <c r="M87" i="157" s="1"/>
  <c r="L191" i="193"/>
  <c r="H31" i="155"/>
  <c r="AM162" i="187"/>
  <c r="AS162" i="187" s="1"/>
  <c r="AN162" i="187"/>
  <c r="Z23" i="142"/>
  <c r="X23" i="142"/>
  <c r="AB23" i="142" s="1"/>
  <c r="H42" i="155"/>
  <c r="L200" i="193"/>
  <c r="AG90" i="187"/>
  <c r="I95" i="67"/>
  <c r="F97" i="193" s="1"/>
  <c r="K97" i="193" s="1"/>
  <c r="L166" i="193"/>
  <c r="G27" i="151"/>
  <c r="L13" i="145"/>
  <c r="J21" i="145"/>
  <c r="Z15" i="144"/>
  <c r="X15" i="144"/>
  <c r="AB15" i="144" s="1"/>
  <c r="Z15" i="145"/>
  <c r="X15" i="145"/>
  <c r="AB15" i="145" s="1"/>
  <c r="L182" i="193"/>
  <c r="H21" i="155"/>
  <c r="G33" i="151"/>
  <c r="L172" i="193"/>
  <c r="J32" i="157"/>
  <c r="L32" i="157"/>
  <c r="M32" i="157" s="1"/>
  <c r="E58" i="182"/>
  <c r="F58" i="182" s="1"/>
  <c r="Z71" i="147"/>
  <c r="X71" i="147"/>
  <c r="AB71" i="147" s="1"/>
  <c r="X47" i="147"/>
  <c r="AB47" i="147" s="1"/>
  <c r="Z47" i="147"/>
  <c r="Z19" i="148"/>
  <c r="X19" i="148"/>
  <c r="AB19" i="148" s="1"/>
  <c r="AD27" i="148" l="1"/>
  <c r="AF27" i="148" s="1"/>
  <c r="AD14" i="145"/>
  <c r="AF14" i="145" s="1"/>
  <c r="AD70" i="147"/>
  <c r="AF70" i="147" s="1"/>
  <c r="AD20" i="144"/>
  <c r="AF20" i="144" s="1"/>
  <c r="AD18" i="144"/>
  <c r="AF18" i="144" s="1"/>
  <c r="AD19" i="145"/>
  <c r="AF19" i="145" s="1"/>
  <c r="AD25" i="145"/>
  <c r="AF25" i="145" s="1"/>
  <c r="AD31" i="148"/>
  <c r="AF31" i="148" s="1"/>
  <c r="AD48" i="147"/>
  <c r="AF48" i="147" s="1"/>
  <c r="AD18" i="142"/>
  <c r="AF18" i="142" s="1"/>
  <c r="AD27" i="145"/>
  <c r="AF27" i="145" s="1"/>
  <c r="AD14" i="148"/>
  <c r="AF14" i="148" s="1"/>
  <c r="AD20" i="148"/>
  <c r="AF20" i="148" s="1"/>
  <c r="AD15" i="144"/>
  <c r="AF15" i="144" s="1"/>
  <c r="AD15" i="145"/>
  <c r="AF15" i="145" s="1"/>
  <c r="AD26" i="145"/>
  <c r="AF26" i="145" s="1"/>
  <c r="AD21" i="148"/>
  <c r="AF21" i="148" s="1"/>
  <c r="F182" i="182"/>
  <c r="Q15" i="182" s="1"/>
  <c r="J32" i="145"/>
  <c r="E19" i="180" s="1"/>
  <c r="O19" i="180" s="1"/>
  <c r="AD69" i="147"/>
  <c r="AF69" i="147" s="1"/>
  <c r="AD19" i="148"/>
  <c r="AF19" i="148" s="1"/>
  <c r="Z19" i="142"/>
  <c r="AD45" i="147"/>
  <c r="AF45" i="147" s="1"/>
  <c r="W19" i="156"/>
  <c r="AD56" i="147"/>
  <c r="AF56" i="147" s="1"/>
  <c r="AD23" i="142"/>
  <c r="AF23" i="142" s="1"/>
  <c r="AD32" i="148"/>
  <c r="AF32" i="148" s="1"/>
  <c r="AD22" i="144"/>
  <c r="AF22" i="144" s="1"/>
  <c r="AD63" i="147"/>
  <c r="AF63" i="147" s="1"/>
  <c r="AD33" i="148"/>
  <c r="AF33" i="148" s="1"/>
  <c r="AD14" i="144"/>
  <c r="AF14" i="144" s="1"/>
  <c r="AD21" i="144"/>
  <c r="AF21" i="144" s="1"/>
  <c r="AD51" i="147"/>
  <c r="AF51" i="147" s="1"/>
  <c r="AD50" i="147"/>
  <c r="AF50" i="147" s="1"/>
  <c r="AD17" i="148"/>
  <c r="AF17" i="148" s="1"/>
  <c r="M151" i="140"/>
  <c r="T151" i="193"/>
  <c r="AF151" i="193" s="1"/>
  <c r="Y33" i="148"/>
  <c r="AC33" i="148" s="1"/>
  <c r="T177" i="193"/>
  <c r="AF177" i="193" s="1"/>
  <c r="M177" i="140"/>
  <c r="V28" i="151"/>
  <c r="I143" i="157"/>
  <c r="J28" i="151"/>
  <c r="L28" i="151" s="1"/>
  <c r="N28" i="151" s="1"/>
  <c r="J19" i="156"/>
  <c r="L19" i="156" s="1"/>
  <c r="L14" i="156"/>
  <c r="T27" i="193"/>
  <c r="AF27" i="193" s="1"/>
  <c r="M27" i="140"/>
  <c r="Y16" i="144"/>
  <c r="AC16" i="144" s="1"/>
  <c r="G27" i="180"/>
  <c r="I27" i="180" s="1"/>
  <c r="O27" i="180"/>
  <c r="T111" i="193"/>
  <c r="AF111" i="193" s="1"/>
  <c r="M111" i="140"/>
  <c r="Y51" i="147"/>
  <c r="AC51" i="147" s="1"/>
  <c r="AB19" i="142"/>
  <c r="Q13" i="180" s="1"/>
  <c r="AD16" i="142"/>
  <c r="L95" i="193"/>
  <c r="AF95" i="193" s="1"/>
  <c r="I45" i="164"/>
  <c r="T88" i="193"/>
  <c r="AF88" i="193" s="1"/>
  <c r="M88" i="140"/>
  <c r="F63" i="182"/>
  <c r="N24" i="148"/>
  <c r="L34" i="148"/>
  <c r="N34" i="148" s="1"/>
  <c r="T117" i="193"/>
  <c r="AF117" i="193" s="1"/>
  <c r="M117" i="140"/>
  <c r="Y58" i="147"/>
  <c r="AC58" i="147" s="1"/>
  <c r="AD24" i="145"/>
  <c r="AF24" i="145" s="1"/>
  <c r="V27" i="147"/>
  <c r="J27" i="147"/>
  <c r="L27" i="147" s="1"/>
  <c r="N27" i="147" s="1"/>
  <c r="I67" i="157"/>
  <c r="M66" i="140"/>
  <c r="T66" i="193"/>
  <c r="AF66" i="193" s="1"/>
  <c r="M47" i="140"/>
  <c r="T47" i="193"/>
  <c r="AF47" i="193" s="1"/>
  <c r="Y13" i="145"/>
  <c r="AC13" i="145" s="1"/>
  <c r="T142" i="193"/>
  <c r="AF142" i="193" s="1"/>
  <c r="M142" i="140"/>
  <c r="Y24" i="148"/>
  <c r="AC24" i="148" s="1"/>
  <c r="T197" i="193"/>
  <c r="AF197" i="193" s="1"/>
  <c r="M197" i="140"/>
  <c r="M67" i="140"/>
  <c r="T67" i="193"/>
  <c r="AF67" i="193" s="1"/>
  <c r="T204" i="193"/>
  <c r="AF204" i="193" s="1"/>
  <c r="M204" i="140"/>
  <c r="M206" i="140"/>
  <c r="T206" i="193"/>
  <c r="AF206" i="193" s="1"/>
  <c r="T81" i="193"/>
  <c r="AF81" i="193" s="1"/>
  <c r="M81" i="140"/>
  <c r="AD46" i="147"/>
  <c r="AF46" i="147" s="1"/>
  <c r="I76" i="157"/>
  <c r="J37" i="147"/>
  <c r="L37" i="147" s="1"/>
  <c r="N37" i="147" s="1"/>
  <c r="V37" i="147"/>
  <c r="J15" i="147"/>
  <c r="L15" i="147" s="1"/>
  <c r="N15" i="147" s="1"/>
  <c r="I56" i="157"/>
  <c r="V15" i="147"/>
  <c r="V39" i="147"/>
  <c r="J39" i="147"/>
  <c r="L39" i="147" s="1"/>
  <c r="N39" i="147" s="1"/>
  <c r="I78" i="157"/>
  <c r="U14" i="156"/>
  <c r="Y14" i="156" s="1"/>
  <c r="X14" i="156"/>
  <c r="I159" i="157"/>
  <c r="K16" i="155"/>
  <c r="M16" i="155" s="1"/>
  <c r="O16" i="155" s="1"/>
  <c r="X16" i="155"/>
  <c r="AD47" i="147"/>
  <c r="AF47" i="147" s="1"/>
  <c r="L100" i="193"/>
  <c r="AF100" i="193" s="1"/>
  <c r="I50" i="164"/>
  <c r="M166" i="140"/>
  <c r="T166" i="193"/>
  <c r="AF166" i="193" s="1"/>
  <c r="T118" i="193"/>
  <c r="AF118" i="193" s="1"/>
  <c r="M118" i="140"/>
  <c r="Y59" i="147"/>
  <c r="AC59" i="147" s="1"/>
  <c r="T135" i="193"/>
  <c r="AF135" i="193" s="1"/>
  <c r="M135" i="140"/>
  <c r="Y16" i="148"/>
  <c r="AC16" i="148" s="1"/>
  <c r="T30" i="193"/>
  <c r="AF30" i="193" s="1"/>
  <c r="M30" i="140"/>
  <c r="Y19" i="144"/>
  <c r="AC19" i="144" s="1"/>
  <c r="M159" i="140"/>
  <c r="T159" i="193"/>
  <c r="AF159" i="193" s="1"/>
  <c r="M106" i="140"/>
  <c r="T106" i="193"/>
  <c r="AF106" i="193" s="1"/>
  <c r="Y46" i="147"/>
  <c r="AC46" i="147" s="1"/>
  <c r="T90" i="193"/>
  <c r="AF90" i="193" s="1"/>
  <c r="M90" i="140"/>
  <c r="T116" i="193"/>
  <c r="AF116" i="193" s="1"/>
  <c r="M116" i="140"/>
  <c r="Y57" i="147"/>
  <c r="AC57" i="147" s="1"/>
  <c r="AB13" i="153"/>
  <c r="Z15" i="153"/>
  <c r="Q24" i="180" s="1"/>
  <c r="V28" i="147"/>
  <c r="I68" i="157"/>
  <c r="J28" i="147"/>
  <c r="L28" i="147" s="1"/>
  <c r="N28" i="147" s="1"/>
  <c r="J16" i="151"/>
  <c r="L16" i="151" s="1"/>
  <c r="N16" i="151" s="1"/>
  <c r="I133" i="157"/>
  <c r="V16" i="151"/>
  <c r="V19" i="156"/>
  <c r="K40" i="155"/>
  <c r="M40" i="155" s="1"/>
  <c r="O40" i="155" s="1"/>
  <c r="X40" i="155"/>
  <c r="I179" i="157"/>
  <c r="AD71" i="147"/>
  <c r="AF71" i="147" s="1"/>
  <c r="K42" i="155"/>
  <c r="M42" i="155" s="1"/>
  <c r="O42" i="155" s="1"/>
  <c r="X42" i="155"/>
  <c r="I181" i="157"/>
  <c r="M28" i="140"/>
  <c r="T28" i="193"/>
  <c r="AF28" i="193" s="1"/>
  <c r="Y17" i="144"/>
  <c r="AC17" i="144" s="1"/>
  <c r="T190" i="193"/>
  <c r="AF190" i="193" s="1"/>
  <c r="M190" i="140"/>
  <c r="M16" i="140"/>
  <c r="T16" i="193"/>
  <c r="AF16" i="193" s="1"/>
  <c r="Y18" i="142"/>
  <c r="AC18" i="142" s="1"/>
  <c r="M137" i="140"/>
  <c r="T137" i="193"/>
  <c r="AF137" i="193" s="1"/>
  <c r="Y18" i="148"/>
  <c r="AC18" i="148" s="1"/>
  <c r="T73" i="193"/>
  <c r="AF73" i="193" s="1"/>
  <c r="M73" i="140"/>
  <c r="M53" i="140"/>
  <c r="T53" i="193"/>
  <c r="AF53" i="193" s="1"/>
  <c r="Y19" i="145"/>
  <c r="AC19" i="145" s="1"/>
  <c r="T113" i="193"/>
  <c r="AF113" i="193" s="1"/>
  <c r="M113" i="140"/>
  <c r="Y54" i="147"/>
  <c r="AC54" i="147" s="1"/>
  <c r="M86" i="140"/>
  <c r="T86" i="193"/>
  <c r="AF86" i="193" s="1"/>
  <c r="AD17" i="142"/>
  <c r="AF17" i="142" s="1"/>
  <c r="I169" i="157"/>
  <c r="X22" i="155"/>
  <c r="K22" i="155"/>
  <c r="M22" i="155" s="1"/>
  <c r="O22" i="155" s="1"/>
  <c r="I141" i="157"/>
  <c r="J26" i="151"/>
  <c r="L26" i="151" s="1"/>
  <c r="N26" i="151" s="1"/>
  <c r="V26" i="151"/>
  <c r="AD18" i="145"/>
  <c r="AF18" i="145" s="1"/>
  <c r="AD19" i="144"/>
  <c r="AF19" i="144" s="1"/>
  <c r="Z52" i="147"/>
  <c r="V20" i="147"/>
  <c r="I61" i="157"/>
  <c r="J20" i="147"/>
  <c r="L20" i="147" s="1"/>
  <c r="N20" i="147" s="1"/>
  <c r="AD25" i="148"/>
  <c r="AF25" i="148" s="1"/>
  <c r="U16" i="156"/>
  <c r="Y16" i="156" s="1"/>
  <c r="AA16" i="156" s="1"/>
  <c r="AC16" i="156" s="1"/>
  <c r="X16" i="156"/>
  <c r="Z16" i="156" s="1"/>
  <c r="AB16" i="156" s="1"/>
  <c r="I19" i="156"/>
  <c r="F27" i="180" s="1"/>
  <c r="K14" i="156"/>
  <c r="K24" i="155"/>
  <c r="M24" i="155" s="1"/>
  <c r="O24" i="155" s="1"/>
  <c r="I171" i="157"/>
  <c r="X24" i="155"/>
  <c r="X53" i="155"/>
  <c r="K53" i="155"/>
  <c r="M53" i="155" s="1"/>
  <c r="O53" i="155" s="1"/>
  <c r="I192" i="157"/>
  <c r="T127" i="193"/>
  <c r="AF127" i="193" s="1"/>
  <c r="M127" i="140"/>
  <c r="Y69" i="147"/>
  <c r="AC69" i="147" s="1"/>
  <c r="AD66" i="147"/>
  <c r="AF66" i="147" s="1"/>
  <c r="G24" i="180"/>
  <c r="I24" i="180" s="1"/>
  <c r="R17" i="182"/>
  <c r="O24" i="180"/>
  <c r="G14" i="180"/>
  <c r="I14" i="180" s="1"/>
  <c r="O14" i="180"/>
  <c r="I75" i="157"/>
  <c r="V36" i="147"/>
  <c r="J36" i="147"/>
  <c r="L36" i="147" s="1"/>
  <c r="N36" i="147" s="1"/>
  <c r="T108" i="193"/>
  <c r="AF108" i="193" s="1"/>
  <c r="M108" i="140"/>
  <c r="Y48" i="147"/>
  <c r="AC48" i="147" s="1"/>
  <c r="AD23" i="145"/>
  <c r="AB30" i="145"/>
  <c r="M205" i="140"/>
  <c r="T205" i="193"/>
  <c r="AF205" i="193" s="1"/>
  <c r="AD13" i="145"/>
  <c r="AB21" i="145"/>
  <c r="I139" i="157"/>
  <c r="J24" i="151"/>
  <c r="V24" i="151"/>
  <c r="Z72" i="147"/>
  <c r="AD30" i="148"/>
  <c r="AF30" i="148" s="1"/>
  <c r="I49" i="164"/>
  <c r="L99" i="193"/>
  <c r="AF99" i="193" s="1"/>
  <c r="T115" i="193"/>
  <c r="AF115" i="193" s="1"/>
  <c r="M115" i="140"/>
  <c r="Y56" i="147"/>
  <c r="AC56" i="147" s="1"/>
  <c r="M33" i="140"/>
  <c r="T33" i="193"/>
  <c r="AF33" i="193" s="1"/>
  <c r="Y22" i="144"/>
  <c r="AC22" i="144" s="1"/>
  <c r="T202" i="193"/>
  <c r="AF202" i="193" s="1"/>
  <c r="M202" i="140"/>
  <c r="T180" i="193"/>
  <c r="AF180" i="193" s="1"/>
  <c r="M180" i="140"/>
  <c r="T122" i="193"/>
  <c r="AF122" i="193" s="1"/>
  <c r="M122" i="140"/>
  <c r="Y64" i="147"/>
  <c r="AC64" i="147" s="1"/>
  <c r="M19" i="140"/>
  <c r="T19" i="193"/>
  <c r="AF19" i="193" s="1"/>
  <c r="Y22" i="142"/>
  <c r="AC22" i="142" s="1"/>
  <c r="T210" i="193"/>
  <c r="AF210" i="193" s="1"/>
  <c r="M210" i="140"/>
  <c r="T150" i="193"/>
  <c r="AF150" i="193" s="1"/>
  <c r="M150" i="140"/>
  <c r="Y32" i="148"/>
  <c r="AC32" i="148" s="1"/>
  <c r="Z21" i="145"/>
  <c r="I183" i="157"/>
  <c r="K44" i="155"/>
  <c r="M44" i="155" s="1"/>
  <c r="O44" i="155" s="1"/>
  <c r="X44" i="155"/>
  <c r="X46" i="155"/>
  <c r="I185" i="157"/>
  <c r="K46" i="155"/>
  <c r="M46" i="155" s="1"/>
  <c r="O46" i="155" s="1"/>
  <c r="J17" i="151"/>
  <c r="L17" i="151" s="1"/>
  <c r="N17" i="151" s="1"/>
  <c r="V17" i="151"/>
  <c r="I134" i="157"/>
  <c r="AB22" i="148"/>
  <c r="AD13" i="148"/>
  <c r="AS58" i="187"/>
  <c r="AS209" i="187" s="1"/>
  <c r="AM209" i="187"/>
  <c r="M211" i="140"/>
  <c r="T211" i="193"/>
  <c r="AF211" i="193" s="1"/>
  <c r="T72" i="193"/>
  <c r="AF72" i="193" s="1"/>
  <c r="M72" i="140"/>
  <c r="N21" i="142"/>
  <c r="L25" i="142"/>
  <c r="N25" i="142" s="1"/>
  <c r="V24" i="147"/>
  <c r="I64" i="157"/>
  <c r="J24" i="147"/>
  <c r="M15" i="140"/>
  <c r="T15" i="193"/>
  <c r="AF15" i="193" s="1"/>
  <c r="Y17" i="142"/>
  <c r="AC17" i="142" s="1"/>
  <c r="M68" i="140"/>
  <c r="T68" i="193"/>
  <c r="AF68" i="193" s="1"/>
  <c r="Z34" i="148"/>
  <c r="I66" i="157"/>
  <c r="V26" i="147"/>
  <c r="J26" i="147"/>
  <c r="L26" i="147" s="1"/>
  <c r="N26" i="147" s="1"/>
  <c r="T140" i="193"/>
  <c r="AF140" i="193" s="1"/>
  <c r="M140" i="140"/>
  <c r="Y21" i="148"/>
  <c r="AC21" i="148" s="1"/>
  <c r="K31" i="155"/>
  <c r="M31" i="155" s="1"/>
  <c r="O31" i="155" s="1"/>
  <c r="I166" i="157"/>
  <c r="X31" i="155"/>
  <c r="U13" i="156"/>
  <c r="Y13" i="156" s="1"/>
  <c r="X13" i="156"/>
  <c r="X28" i="155"/>
  <c r="I163" i="157"/>
  <c r="K28" i="155"/>
  <c r="M199" i="140"/>
  <c r="T199" i="193"/>
  <c r="AF199" i="193" s="1"/>
  <c r="T84" i="193"/>
  <c r="AF84" i="193" s="1"/>
  <c r="M84" i="140"/>
  <c r="T31" i="193"/>
  <c r="AF31" i="193" s="1"/>
  <c r="M31" i="140"/>
  <c r="Y20" i="144"/>
  <c r="AC20" i="144" s="1"/>
  <c r="T69" i="193"/>
  <c r="AF69" i="193" s="1"/>
  <c r="M69" i="140"/>
  <c r="T196" i="193"/>
  <c r="AF196" i="193" s="1"/>
  <c r="M196" i="140"/>
  <c r="T125" i="193"/>
  <c r="AF125" i="193" s="1"/>
  <c r="M125" i="140"/>
  <c r="Y67" i="147"/>
  <c r="AC67" i="147" s="1"/>
  <c r="M21" i="140"/>
  <c r="T21" i="193"/>
  <c r="AF21" i="193" s="1"/>
  <c r="Y24" i="142"/>
  <c r="AC24" i="142" s="1"/>
  <c r="T144" i="193"/>
  <c r="AF144" i="193" s="1"/>
  <c r="M144" i="140"/>
  <c r="Y26" i="148"/>
  <c r="AC26" i="148" s="1"/>
  <c r="AD20" i="145"/>
  <c r="AF20" i="145" s="1"/>
  <c r="J33" i="147"/>
  <c r="L33" i="147" s="1"/>
  <c r="N33" i="147" s="1"/>
  <c r="I72" i="157"/>
  <c r="V33" i="147"/>
  <c r="AD16" i="145"/>
  <c r="AF16" i="145" s="1"/>
  <c r="AD24" i="142"/>
  <c r="AF24" i="142" s="1"/>
  <c r="Z22" i="148"/>
  <c r="I70" i="157"/>
  <c r="J31" i="147"/>
  <c r="V31" i="147"/>
  <c r="K50" i="155"/>
  <c r="M50" i="155" s="1"/>
  <c r="O50" i="155" s="1"/>
  <c r="X50" i="155"/>
  <c r="I189" i="157"/>
  <c r="L72" i="147"/>
  <c r="N72" i="147" s="1"/>
  <c r="N62" i="147"/>
  <c r="M193" i="140"/>
  <c r="T193" i="193"/>
  <c r="AF193" i="193" s="1"/>
  <c r="T78" i="193"/>
  <c r="AF78" i="193" s="1"/>
  <c r="M78" i="140"/>
  <c r="T77" i="193"/>
  <c r="AF77" i="193" s="1"/>
  <c r="M77" i="140"/>
  <c r="X51" i="155"/>
  <c r="I190" i="157"/>
  <c r="K51" i="155"/>
  <c r="M51" i="155" s="1"/>
  <c r="O51" i="155" s="1"/>
  <c r="T18" i="193"/>
  <c r="AF18" i="193" s="1"/>
  <c r="M18" i="140"/>
  <c r="Y21" i="142"/>
  <c r="AC21" i="142" s="1"/>
  <c r="V18" i="147"/>
  <c r="I59" i="157"/>
  <c r="J18" i="147"/>
  <c r="L18" i="147" s="1"/>
  <c r="N18" i="147" s="1"/>
  <c r="I47" i="164"/>
  <c r="L97" i="193"/>
  <c r="AF97" i="193" s="1"/>
  <c r="AD49" i="147"/>
  <c r="AF49" i="147" s="1"/>
  <c r="X14" i="155"/>
  <c r="K14" i="155"/>
  <c r="M14" i="155" s="1"/>
  <c r="O14" i="155" s="1"/>
  <c r="I157" i="157"/>
  <c r="M24" i="140"/>
  <c r="T24" i="193"/>
  <c r="AF24" i="193" s="1"/>
  <c r="Y13" i="144"/>
  <c r="AC13" i="144" s="1"/>
  <c r="Z30" i="145"/>
  <c r="AD17" i="144"/>
  <c r="AF17" i="144" s="1"/>
  <c r="I148" i="157"/>
  <c r="V33" i="151"/>
  <c r="J33" i="151"/>
  <c r="L33" i="151" s="1"/>
  <c r="N33" i="151" s="1"/>
  <c r="I146" i="157"/>
  <c r="J31" i="151"/>
  <c r="L31" i="151" s="1"/>
  <c r="N31" i="151" s="1"/>
  <c r="V31" i="151"/>
  <c r="M149" i="140"/>
  <c r="T149" i="193"/>
  <c r="AF149" i="193" s="1"/>
  <c r="Y31" i="148"/>
  <c r="AC31" i="148" s="1"/>
  <c r="M109" i="140"/>
  <c r="T109" i="193"/>
  <c r="AF109" i="193" s="1"/>
  <c r="Y49" i="147"/>
  <c r="AC49" i="147" s="1"/>
  <c r="M191" i="140"/>
  <c r="T191" i="193"/>
  <c r="AF191" i="193" s="1"/>
  <c r="M146" i="140"/>
  <c r="T146" i="193"/>
  <c r="AF146" i="193" s="1"/>
  <c r="Y28" i="148"/>
  <c r="AC28" i="148" s="1"/>
  <c r="M85" i="140"/>
  <c r="T85" i="193"/>
  <c r="AF85" i="193" s="1"/>
  <c r="M171" i="140"/>
  <c r="T171" i="193"/>
  <c r="AF171" i="193" s="1"/>
  <c r="T121" i="193"/>
  <c r="AF121" i="193" s="1"/>
  <c r="M121" i="140"/>
  <c r="Y63" i="147"/>
  <c r="AC63" i="147" s="1"/>
  <c r="T148" i="193"/>
  <c r="AF148" i="193" s="1"/>
  <c r="M148" i="140"/>
  <c r="Y30" i="148"/>
  <c r="AC30" i="148" s="1"/>
  <c r="N43" i="147"/>
  <c r="L52" i="147"/>
  <c r="N52" i="147" s="1"/>
  <c r="B8" i="181"/>
  <c r="I46" i="164"/>
  <c r="L96" i="193"/>
  <c r="AF96" i="193" s="1"/>
  <c r="O13" i="180"/>
  <c r="G13" i="180"/>
  <c r="I13" i="180" s="1"/>
  <c r="I144" i="157"/>
  <c r="J29" i="151"/>
  <c r="L29" i="151" s="1"/>
  <c r="N29" i="151" s="1"/>
  <c r="V29" i="151"/>
  <c r="K38" i="155"/>
  <c r="I177" i="157"/>
  <c r="X38" i="155"/>
  <c r="E13" i="181"/>
  <c r="AN209" i="187"/>
  <c r="I145" i="157"/>
  <c r="J30" i="151"/>
  <c r="L30" i="151" s="1"/>
  <c r="N30" i="151" s="1"/>
  <c r="V30" i="151"/>
  <c r="T147" i="193"/>
  <c r="AF147" i="193" s="1"/>
  <c r="M147" i="140"/>
  <c r="Y29" i="148"/>
  <c r="AC29" i="148" s="1"/>
  <c r="AD13" i="144"/>
  <c r="AB23" i="144"/>
  <c r="Q15" i="180" s="1"/>
  <c r="N13" i="145"/>
  <c r="L21" i="145"/>
  <c r="T165" i="193"/>
  <c r="AF165" i="193" s="1"/>
  <c r="M165" i="140"/>
  <c r="M13" i="153"/>
  <c r="K15" i="153"/>
  <c r="M15" i="153" s="1"/>
  <c r="T207" i="193"/>
  <c r="AF207" i="193" s="1"/>
  <c r="M207" i="140"/>
  <c r="AD55" i="147"/>
  <c r="AF55" i="147" s="1"/>
  <c r="T168" i="193"/>
  <c r="AF168" i="193" s="1"/>
  <c r="M168" i="140"/>
  <c r="M208" i="140"/>
  <c r="T208" i="193"/>
  <c r="AF208" i="193" s="1"/>
  <c r="M129" i="140"/>
  <c r="T129" i="193"/>
  <c r="AF129" i="193" s="1"/>
  <c r="Y71" i="147"/>
  <c r="AC71" i="147" s="1"/>
  <c r="M61" i="140"/>
  <c r="T61" i="193"/>
  <c r="AF61" i="193" s="1"/>
  <c r="Y28" i="145"/>
  <c r="AC28" i="145" s="1"/>
  <c r="AB72" i="147"/>
  <c r="AD62" i="147"/>
  <c r="I168" i="157"/>
  <c r="K21" i="155"/>
  <c r="X21" i="155"/>
  <c r="I147" i="157"/>
  <c r="J32" i="151"/>
  <c r="L32" i="151" s="1"/>
  <c r="N32" i="151" s="1"/>
  <c r="V32" i="151"/>
  <c r="M185" i="140"/>
  <c r="T185" i="193"/>
  <c r="AF185" i="193" s="1"/>
  <c r="M103" i="140"/>
  <c r="T103" i="193"/>
  <c r="AF103" i="193" s="1"/>
  <c r="Y43" i="147"/>
  <c r="AC43" i="147" s="1"/>
  <c r="M170" i="140"/>
  <c r="T170" i="193"/>
  <c r="AF170" i="193" s="1"/>
  <c r="M183" i="140"/>
  <c r="T183" i="193"/>
  <c r="AF183" i="193" s="1"/>
  <c r="M161" i="140"/>
  <c r="T161" i="193"/>
  <c r="AF161" i="193" s="1"/>
  <c r="T155" i="193"/>
  <c r="AF155" i="193" s="1"/>
  <c r="M155" i="140"/>
  <c r="T107" i="193"/>
  <c r="AF107" i="193" s="1"/>
  <c r="M107" i="140"/>
  <c r="Y47" i="147"/>
  <c r="AC47" i="147" s="1"/>
  <c r="M54" i="140"/>
  <c r="T54" i="193"/>
  <c r="AF54" i="193" s="1"/>
  <c r="Y20" i="145"/>
  <c r="AC20" i="145" s="1"/>
  <c r="K43" i="155"/>
  <c r="M43" i="155" s="1"/>
  <c r="O43" i="155" s="1"/>
  <c r="X43" i="155"/>
  <c r="I182" i="157"/>
  <c r="AD29" i="148"/>
  <c r="AF29" i="148" s="1"/>
  <c r="AD65" i="147"/>
  <c r="AF65" i="147" s="1"/>
  <c r="I164" i="157"/>
  <c r="X29" i="155"/>
  <c r="K29" i="155"/>
  <c r="M29" i="155" s="1"/>
  <c r="O29" i="155" s="1"/>
  <c r="L19" i="142"/>
  <c r="N19" i="142" s="1"/>
  <c r="N16" i="142"/>
  <c r="V19" i="147"/>
  <c r="I60" i="157"/>
  <c r="J19" i="147"/>
  <c r="L19" i="147" s="1"/>
  <c r="N19" i="147" s="1"/>
  <c r="I175" i="157"/>
  <c r="K35" i="155"/>
  <c r="M35" i="155" s="1"/>
  <c r="O35" i="155" s="1"/>
  <c r="X35" i="155"/>
  <c r="AD64" i="147"/>
  <c r="AF64" i="147" s="1"/>
  <c r="AD17" i="145"/>
  <c r="AF17" i="145" s="1"/>
  <c r="M136" i="140"/>
  <c r="T136" i="193"/>
  <c r="AF136" i="193" s="1"/>
  <c r="Y17" i="148"/>
  <c r="AC17" i="148" s="1"/>
  <c r="T194" i="193"/>
  <c r="AF194" i="193" s="1"/>
  <c r="M194" i="140"/>
  <c r="AD15" i="148"/>
  <c r="AF15" i="148" s="1"/>
  <c r="M120" i="140"/>
  <c r="T120" i="193"/>
  <c r="AF120" i="193" s="1"/>
  <c r="Y62" i="147"/>
  <c r="AC62" i="147" s="1"/>
  <c r="F227" i="182"/>
  <c r="F17" i="182" s="1"/>
  <c r="Q17" i="182"/>
  <c r="T123" i="193"/>
  <c r="AF123" i="193" s="1"/>
  <c r="M123" i="140"/>
  <c r="Y65" i="147"/>
  <c r="AC65" i="147" s="1"/>
  <c r="M48" i="140"/>
  <c r="T48" i="193"/>
  <c r="AF48" i="193" s="1"/>
  <c r="Y14" i="145"/>
  <c r="AC14" i="145" s="1"/>
  <c r="V40" i="147"/>
  <c r="I79" i="157"/>
  <c r="J40" i="147"/>
  <c r="L40" i="147" s="1"/>
  <c r="N40" i="147" s="1"/>
  <c r="I18" i="156"/>
  <c r="F26" i="180" s="1"/>
  <c r="K13" i="156"/>
  <c r="T178" i="193"/>
  <c r="AF178" i="193" s="1"/>
  <c r="M178" i="140"/>
  <c r="M188" i="140"/>
  <c r="T188" i="193"/>
  <c r="AF188" i="193" s="1"/>
  <c r="T50" i="193"/>
  <c r="AF50" i="193" s="1"/>
  <c r="M50" i="140"/>
  <c r="Y16" i="145"/>
  <c r="AC16" i="145" s="1"/>
  <c r="M76" i="140"/>
  <c r="T76" i="193"/>
  <c r="AF76" i="193" s="1"/>
  <c r="M128" i="140"/>
  <c r="T128" i="193"/>
  <c r="AF128" i="193" s="1"/>
  <c r="Y70" i="147"/>
  <c r="AC70" i="147" s="1"/>
  <c r="T105" i="193"/>
  <c r="AF105" i="193" s="1"/>
  <c r="M105" i="140"/>
  <c r="Y45" i="147"/>
  <c r="AC45" i="147" s="1"/>
  <c r="M175" i="140"/>
  <c r="T175" i="193"/>
  <c r="AF175" i="193" s="1"/>
  <c r="T70" i="193"/>
  <c r="AF70" i="193" s="1"/>
  <c r="M70" i="140"/>
  <c r="X25" i="155"/>
  <c r="I172" i="157"/>
  <c r="K25" i="155"/>
  <c r="M25" i="155" s="1"/>
  <c r="O25" i="155" s="1"/>
  <c r="V34" i="147"/>
  <c r="J34" i="147"/>
  <c r="L34" i="147" s="1"/>
  <c r="N34" i="147" s="1"/>
  <c r="I73" i="157"/>
  <c r="X52" i="155"/>
  <c r="I191" i="157"/>
  <c r="K52" i="155"/>
  <c r="M52" i="155" s="1"/>
  <c r="O52" i="155" s="1"/>
  <c r="Z60" i="147"/>
  <c r="J21" i="146"/>
  <c r="L21" i="146" s="1"/>
  <c r="K21" i="146"/>
  <c r="M21" i="146" s="1"/>
  <c r="T56" i="193"/>
  <c r="AF56" i="193" s="1"/>
  <c r="M56" i="140"/>
  <c r="Y23" i="145"/>
  <c r="AC23" i="145" s="1"/>
  <c r="I43" i="164"/>
  <c r="L93" i="193"/>
  <c r="AF93" i="193" s="1"/>
  <c r="J21" i="147"/>
  <c r="L21" i="147" s="1"/>
  <c r="N21" i="147" s="1"/>
  <c r="I62" i="157"/>
  <c r="V21" i="147"/>
  <c r="T176" i="193"/>
  <c r="AF176" i="193" s="1"/>
  <c r="M176" i="140"/>
  <c r="E19" i="181"/>
  <c r="D19" i="181" s="1"/>
  <c r="B19" i="181" s="1"/>
  <c r="T59" i="193"/>
  <c r="AF59" i="193" s="1"/>
  <c r="M59" i="140"/>
  <c r="Y26" i="145"/>
  <c r="AC26" i="145" s="1"/>
  <c r="M49" i="140"/>
  <c r="T49" i="193"/>
  <c r="AF49" i="193" s="1"/>
  <c r="Y15" i="145"/>
  <c r="AC15" i="145" s="1"/>
  <c r="T201" i="193"/>
  <c r="AF201" i="193" s="1"/>
  <c r="M201" i="140"/>
  <c r="M58" i="140"/>
  <c r="T58" i="193"/>
  <c r="AF58" i="193" s="1"/>
  <c r="Y25" i="145"/>
  <c r="AC25" i="145" s="1"/>
  <c r="M163" i="140"/>
  <c r="T163" i="193"/>
  <c r="AF163" i="193" s="1"/>
  <c r="M75" i="140"/>
  <c r="T75" i="193"/>
  <c r="AF75" i="193" s="1"/>
  <c r="M203" i="140"/>
  <c r="T203" i="193"/>
  <c r="AF203" i="193" s="1"/>
  <c r="M134" i="140"/>
  <c r="T134" i="193"/>
  <c r="AF134" i="193" s="1"/>
  <c r="Y15" i="148"/>
  <c r="AC15" i="148" s="1"/>
  <c r="T209" i="193"/>
  <c r="AF209" i="193" s="1"/>
  <c r="M209" i="140"/>
  <c r="M114" i="140"/>
  <c r="T114" i="193"/>
  <c r="AF114" i="193" s="1"/>
  <c r="Y55" i="147"/>
  <c r="AC55" i="147" s="1"/>
  <c r="M51" i="140"/>
  <c r="T51" i="193"/>
  <c r="AF51" i="193" s="1"/>
  <c r="Y17" i="145"/>
  <c r="AC17" i="145" s="1"/>
  <c r="I42" i="164"/>
  <c r="L92" i="193"/>
  <c r="AF92" i="193" s="1"/>
  <c r="I180" i="157"/>
  <c r="X41" i="155"/>
  <c r="K41" i="155"/>
  <c r="M41" i="155" s="1"/>
  <c r="O41" i="155" s="1"/>
  <c r="E14" i="181"/>
  <c r="D14" i="181" s="1"/>
  <c r="K49" i="155"/>
  <c r="M49" i="155" s="1"/>
  <c r="O49" i="155" s="1"/>
  <c r="X49" i="155"/>
  <c r="I188" i="157"/>
  <c r="J15" i="151"/>
  <c r="L15" i="151" s="1"/>
  <c r="N15" i="151" s="1"/>
  <c r="I132" i="157"/>
  <c r="V15" i="151"/>
  <c r="J36" i="148"/>
  <c r="E22" i="180" s="1"/>
  <c r="AB60" i="147"/>
  <c r="AD54" i="147"/>
  <c r="T14" i="193"/>
  <c r="AF14" i="193" s="1"/>
  <c r="M14" i="140"/>
  <c r="Y16" i="142"/>
  <c r="AC16" i="142" s="1"/>
  <c r="J27" i="151"/>
  <c r="L27" i="151" s="1"/>
  <c r="N27" i="151" s="1"/>
  <c r="V27" i="151"/>
  <c r="I142" i="157"/>
  <c r="M26" i="140"/>
  <c r="T26" i="193"/>
  <c r="AF26" i="193" s="1"/>
  <c r="Y15" i="144"/>
  <c r="AC15" i="144" s="1"/>
  <c r="T62" i="193"/>
  <c r="AF62" i="193" s="1"/>
  <c r="M62" i="140"/>
  <c r="Y29" i="145"/>
  <c r="AC29" i="145" s="1"/>
  <c r="M71" i="140"/>
  <c r="T71" i="193"/>
  <c r="AF71" i="193" s="1"/>
  <c r="E21" i="181"/>
  <c r="D21" i="181" s="1"/>
  <c r="B21" i="181" s="1"/>
  <c r="AP17" i="182"/>
  <c r="AS17" i="182" s="1"/>
  <c r="N214" i="140"/>
  <c r="I131" i="157"/>
  <c r="V14" i="151"/>
  <c r="J14" i="151"/>
  <c r="L14" i="151" s="1"/>
  <c r="N14" i="151" s="1"/>
  <c r="M138" i="140"/>
  <c r="T138" i="193"/>
  <c r="AF138" i="193" s="1"/>
  <c r="Y19" i="148"/>
  <c r="AC19" i="148" s="1"/>
  <c r="H29" i="140"/>
  <c r="J29" i="140" s="1"/>
  <c r="H83" i="140"/>
  <c r="J83" i="140" s="1"/>
  <c r="H88" i="140"/>
  <c r="J88" i="140" s="1"/>
  <c r="H57" i="140"/>
  <c r="J57" i="140" s="1"/>
  <c r="H159" i="140"/>
  <c r="J159" i="140" s="1"/>
  <c r="H182" i="140"/>
  <c r="J182" i="140" s="1"/>
  <c r="H96" i="140"/>
  <c r="S96" i="193" s="1"/>
  <c r="AE96" i="193" s="1"/>
  <c r="H54" i="140"/>
  <c r="J54" i="140" s="1"/>
  <c r="H95" i="140"/>
  <c r="S95" i="193" s="1"/>
  <c r="AE95" i="193" s="1"/>
  <c r="H143" i="140"/>
  <c r="J143" i="140" s="1"/>
  <c r="H52" i="140"/>
  <c r="J52" i="140" s="1"/>
  <c r="H66" i="140"/>
  <c r="J66" i="140" s="1"/>
  <c r="H50" i="140"/>
  <c r="J50" i="140" s="1"/>
  <c r="H209" i="140"/>
  <c r="J209" i="140" s="1"/>
  <c r="H207" i="140"/>
  <c r="J207" i="140" s="1"/>
  <c r="H105" i="140"/>
  <c r="J105" i="140" s="1"/>
  <c r="H48" i="140"/>
  <c r="J48" i="140" s="1"/>
  <c r="H38" i="140"/>
  <c r="S38" i="193" s="1"/>
  <c r="AE38" i="193" s="1"/>
  <c r="H204" i="140"/>
  <c r="J204" i="140" s="1"/>
  <c r="H211" i="140"/>
  <c r="J211" i="140" s="1"/>
  <c r="H43" i="140"/>
  <c r="S43" i="193" s="1"/>
  <c r="AE43" i="193" s="1"/>
  <c r="H137" i="140"/>
  <c r="J137" i="140" s="1"/>
  <c r="H151" i="140"/>
  <c r="J151" i="140" s="1"/>
  <c r="H138" i="140"/>
  <c r="J138" i="140" s="1"/>
  <c r="H25" i="140"/>
  <c r="J25" i="140" s="1"/>
  <c r="H196" i="140"/>
  <c r="J196" i="140" s="1"/>
  <c r="H133" i="140"/>
  <c r="J133" i="140" s="1"/>
  <c r="H205" i="140"/>
  <c r="J205" i="140" s="1"/>
  <c r="H61" i="140"/>
  <c r="J61" i="140" s="1"/>
  <c r="H146" i="140"/>
  <c r="J146" i="140" s="1"/>
  <c r="H47" i="140"/>
  <c r="J47" i="140" s="1"/>
  <c r="H53" i="140"/>
  <c r="J53" i="140" s="1"/>
  <c r="H129" i="140"/>
  <c r="J129" i="140" s="1"/>
  <c r="H24" i="140"/>
  <c r="J24" i="140" s="1"/>
  <c r="H124" i="140"/>
  <c r="J124" i="140" s="1"/>
  <c r="H79" i="140"/>
  <c r="J79" i="140" s="1"/>
  <c r="H134" i="140"/>
  <c r="J134" i="140" s="1"/>
  <c r="H44" i="140"/>
  <c r="S44" i="193" s="1"/>
  <c r="AE44" i="193" s="1"/>
  <c r="H165" i="140"/>
  <c r="J165" i="140" s="1"/>
  <c r="H127" i="140"/>
  <c r="J127" i="140" s="1"/>
  <c r="H198" i="140"/>
  <c r="J198" i="140" s="1"/>
  <c r="H175" i="140"/>
  <c r="J175" i="140" s="1"/>
  <c r="H128" i="140"/>
  <c r="J128" i="140" s="1"/>
  <c r="H70" i="140"/>
  <c r="J70" i="140" s="1"/>
  <c r="H180" i="140"/>
  <c r="J180" i="140" s="1"/>
  <c r="H167" i="140"/>
  <c r="J167" i="140" s="1"/>
  <c r="H65" i="140"/>
  <c r="J65" i="140" s="1"/>
  <c r="H126" i="140"/>
  <c r="J126" i="140" s="1"/>
  <c r="H183" i="140"/>
  <c r="J183" i="140" s="1"/>
  <c r="H82" i="140"/>
  <c r="J82" i="140" s="1"/>
  <c r="H172" i="140"/>
  <c r="J172" i="140" s="1"/>
  <c r="H206" i="140"/>
  <c r="J206" i="140" s="1"/>
  <c r="H147" i="140"/>
  <c r="J147" i="140" s="1"/>
  <c r="H203" i="140"/>
  <c r="J203" i="140" s="1"/>
  <c r="H120" i="140"/>
  <c r="J120" i="140" s="1"/>
  <c r="AH8" i="140"/>
  <c r="H14" i="140"/>
  <c r="J14" i="140" s="1"/>
  <c r="H104" i="140"/>
  <c r="J104" i="140" s="1"/>
  <c r="H75" i="140"/>
  <c r="J75" i="140" s="1"/>
  <c r="H186" i="140"/>
  <c r="J186" i="140" s="1"/>
  <c r="H21" i="140"/>
  <c r="J21" i="140" s="1"/>
  <c r="H185" i="140"/>
  <c r="J185" i="140" s="1"/>
  <c r="H115" i="140"/>
  <c r="J115" i="140" s="1"/>
  <c r="H148" i="140"/>
  <c r="J148" i="140" s="1"/>
  <c r="H157" i="140"/>
  <c r="J157" i="140" s="1"/>
  <c r="H154" i="140"/>
  <c r="J154" i="140" s="1"/>
  <c r="H191" i="140"/>
  <c r="J191" i="140" s="1"/>
  <c r="H184" i="140"/>
  <c r="J184" i="140" s="1"/>
  <c r="H166" i="140"/>
  <c r="J166" i="140" s="1"/>
  <c r="H116" i="140"/>
  <c r="J116" i="140" s="1"/>
  <c r="H170" i="140"/>
  <c r="J170" i="140" s="1"/>
  <c r="H158" i="140"/>
  <c r="J158" i="140" s="1"/>
  <c r="H136" i="140"/>
  <c r="J136" i="140" s="1"/>
  <c r="H193" i="140"/>
  <c r="J193" i="140" s="1"/>
  <c r="H156" i="140"/>
  <c r="J156" i="140" s="1"/>
  <c r="H60" i="140"/>
  <c r="J60" i="140" s="1"/>
  <c r="H78" i="140"/>
  <c r="J78" i="140" s="1"/>
  <c r="H194" i="140"/>
  <c r="J194" i="140" s="1"/>
  <c r="H68" i="140"/>
  <c r="J68" i="140" s="1"/>
  <c r="H93" i="140"/>
  <c r="S93" i="193" s="1"/>
  <c r="AE93" i="193" s="1"/>
  <c r="H168" i="140"/>
  <c r="J168" i="140" s="1"/>
  <c r="H107" i="140"/>
  <c r="J107" i="140" s="1"/>
  <c r="H87" i="140"/>
  <c r="J87" i="140" s="1"/>
  <c r="H132" i="140"/>
  <c r="J132" i="140" s="1"/>
  <c r="H178" i="140"/>
  <c r="J178" i="140" s="1"/>
  <c r="H109" i="140"/>
  <c r="J109" i="140" s="1"/>
  <c r="H49" i="140"/>
  <c r="J49" i="140" s="1"/>
  <c r="H12" i="140"/>
  <c r="J12" i="140" s="1"/>
  <c r="H177" i="140"/>
  <c r="J177" i="140" s="1"/>
  <c r="H69" i="140"/>
  <c r="J69" i="140" s="1"/>
  <c r="H39" i="140"/>
  <c r="S39" i="193" s="1"/>
  <c r="AE39" i="193" s="1"/>
  <c r="H190" i="140"/>
  <c r="J190" i="140" s="1"/>
  <c r="H89" i="140"/>
  <c r="J89" i="140" s="1"/>
  <c r="H26" i="140"/>
  <c r="J26" i="140" s="1"/>
  <c r="H97" i="140"/>
  <c r="S97" i="193" s="1"/>
  <c r="AE97" i="193" s="1"/>
  <c r="H77" i="140"/>
  <c r="J77" i="140" s="1"/>
  <c r="H62" i="140"/>
  <c r="J62" i="140" s="1"/>
  <c r="H103" i="140"/>
  <c r="J103" i="140" s="1"/>
  <c r="H210" i="140"/>
  <c r="J210" i="140" s="1"/>
  <c r="H76" i="140"/>
  <c r="J76" i="140" s="1"/>
  <c r="H92" i="140"/>
  <c r="S92" i="193" s="1"/>
  <c r="AE92" i="193" s="1"/>
  <c r="H51" i="140"/>
  <c r="J51" i="140" s="1"/>
  <c r="H16" i="140"/>
  <c r="J16" i="140" s="1"/>
  <c r="H40" i="140"/>
  <c r="S40" i="193" s="1"/>
  <c r="AE40" i="193" s="1"/>
  <c r="H99" i="140"/>
  <c r="S99" i="193" s="1"/>
  <c r="AE99" i="193" s="1"/>
  <c r="H201" i="140"/>
  <c r="J201" i="140" s="1"/>
  <c r="H188" i="140"/>
  <c r="J188" i="140" s="1"/>
  <c r="H117" i="140"/>
  <c r="J117" i="140" s="1"/>
  <c r="H20" i="140"/>
  <c r="J20" i="140" s="1"/>
  <c r="H139" i="140"/>
  <c r="J139" i="140" s="1"/>
  <c r="H142" i="140"/>
  <c r="J142" i="140" s="1"/>
  <c r="H144" i="140"/>
  <c r="J144" i="140" s="1"/>
  <c r="H122" i="140"/>
  <c r="J122" i="140" s="1"/>
  <c r="H163" i="140"/>
  <c r="J163" i="140" s="1"/>
  <c r="H197" i="140"/>
  <c r="J197" i="140" s="1"/>
  <c r="H71" i="140"/>
  <c r="J71" i="140" s="1"/>
  <c r="H86" i="140"/>
  <c r="J86" i="140" s="1"/>
  <c r="H202" i="140"/>
  <c r="J202" i="140" s="1"/>
  <c r="H155" i="140"/>
  <c r="J155" i="140" s="1"/>
  <c r="H118" i="140"/>
  <c r="J118" i="140" s="1"/>
  <c r="H106" i="140"/>
  <c r="J106" i="140" s="1"/>
  <c r="H179" i="140"/>
  <c r="J179" i="140" s="1"/>
  <c r="H200" i="140"/>
  <c r="J200" i="140" s="1"/>
  <c r="H72" i="140"/>
  <c r="J72" i="140" s="1"/>
  <c r="H208" i="140"/>
  <c r="J208" i="140" s="1"/>
  <c r="H41" i="140"/>
  <c r="S41" i="193" s="1"/>
  <c r="AE41" i="193" s="1"/>
  <c r="H90" i="140"/>
  <c r="J90" i="140" s="1"/>
  <c r="H28" i="140"/>
  <c r="J28" i="140" s="1"/>
  <c r="H123" i="140"/>
  <c r="J123" i="140" s="1"/>
  <c r="H113" i="140"/>
  <c r="J113" i="140" s="1"/>
  <c r="H36" i="140"/>
  <c r="S36" i="193" s="1"/>
  <c r="AE36" i="193" s="1"/>
  <c r="H30" i="140"/>
  <c r="J30" i="140" s="1"/>
  <c r="H145" i="140"/>
  <c r="J145" i="140" s="1"/>
  <c r="H176" i="140"/>
  <c r="J176" i="140" s="1"/>
  <c r="H85" i="140"/>
  <c r="J85" i="140" s="1"/>
  <c r="H56" i="140"/>
  <c r="J56" i="140" s="1"/>
  <c r="H59" i="140"/>
  <c r="J59" i="140" s="1"/>
  <c r="H169" i="140"/>
  <c r="J169" i="140" s="1"/>
  <c r="H110" i="140"/>
  <c r="J110" i="140" s="1"/>
  <c r="H37" i="140"/>
  <c r="S37" i="193" s="1"/>
  <c r="AE37" i="193" s="1"/>
  <c r="H18" i="140"/>
  <c r="J18" i="140" s="1"/>
  <c r="H32" i="140"/>
  <c r="J32" i="140" s="1"/>
  <c r="H58" i="140"/>
  <c r="J58" i="140" s="1"/>
  <c r="H33" i="140"/>
  <c r="J33" i="140" s="1"/>
  <c r="H150" i="140"/>
  <c r="J150" i="140" s="1"/>
  <c r="H108" i="140"/>
  <c r="J108" i="140" s="1"/>
  <c r="H101" i="140"/>
  <c r="S101" i="193" s="1"/>
  <c r="AE101" i="193" s="1"/>
  <c r="H67" i="140"/>
  <c r="J67" i="140" s="1"/>
  <c r="H31" i="140"/>
  <c r="J31" i="140" s="1"/>
  <c r="H35" i="140"/>
  <c r="S35" i="193" s="1"/>
  <c r="AE35" i="193" s="1"/>
  <c r="H149" i="140"/>
  <c r="J149" i="140" s="1"/>
  <c r="H135" i="140"/>
  <c r="J135" i="140" s="1"/>
  <c r="H125" i="140"/>
  <c r="J125" i="140" s="1"/>
  <c r="H214" i="140"/>
  <c r="I214" i="140" s="1"/>
  <c r="H81" i="140"/>
  <c r="J81" i="140" s="1"/>
  <c r="H121" i="140"/>
  <c r="J121" i="140" s="1"/>
  <c r="H19" i="140"/>
  <c r="J19" i="140" s="1"/>
  <c r="H171" i="140"/>
  <c r="J171" i="140" s="1"/>
  <c r="H111" i="140"/>
  <c r="J111" i="140" s="1"/>
  <c r="H73" i="140"/>
  <c r="J73" i="140" s="1"/>
  <c r="H140" i="140"/>
  <c r="J140" i="140" s="1"/>
  <c r="H189" i="140"/>
  <c r="J189" i="140" s="1"/>
  <c r="H84" i="140"/>
  <c r="J84" i="140" s="1"/>
  <c r="H199" i="140"/>
  <c r="J199" i="140" s="1"/>
  <c r="H114" i="140"/>
  <c r="J114" i="140" s="1"/>
  <c r="H98" i="140"/>
  <c r="S98" i="193" s="1"/>
  <c r="AE98" i="193" s="1"/>
  <c r="H15" i="140"/>
  <c r="J15" i="140" s="1"/>
  <c r="H164" i="140"/>
  <c r="J164" i="140" s="1"/>
  <c r="H100" i="140"/>
  <c r="S100" i="193" s="1"/>
  <c r="AE100" i="193" s="1"/>
  <c r="H27" i="140"/>
  <c r="J27" i="140" s="1"/>
  <c r="H161" i="140"/>
  <c r="J161" i="140" s="1"/>
  <c r="H94" i="140"/>
  <c r="S94" i="193" s="1"/>
  <c r="AE94" i="193" s="1"/>
  <c r="H42" i="140"/>
  <c r="S42" i="193" s="1"/>
  <c r="AE42" i="193" s="1"/>
  <c r="M52" i="140"/>
  <c r="T52" i="193"/>
  <c r="AF52" i="193" s="1"/>
  <c r="Y18" i="145"/>
  <c r="AC18" i="145" s="1"/>
  <c r="T156" i="193"/>
  <c r="AF156" i="193" s="1"/>
  <c r="M156" i="140"/>
  <c r="T133" i="193"/>
  <c r="AF133" i="193" s="1"/>
  <c r="M133" i="140"/>
  <c r="Y14" i="148"/>
  <c r="AC14" i="148" s="1"/>
  <c r="M200" i="140"/>
  <c r="T200" i="193"/>
  <c r="AF200" i="193" s="1"/>
  <c r="T154" i="193"/>
  <c r="AF154" i="193" s="1"/>
  <c r="M154" i="140"/>
  <c r="T158" i="193"/>
  <c r="AF158" i="193" s="1"/>
  <c r="M158" i="140"/>
  <c r="X30" i="155"/>
  <c r="K30" i="155"/>
  <c r="M30" i="155" s="1"/>
  <c r="O30" i="155" s="1"/>
  <c r="I165" i="157"/>
  <c r="L23" i="144"/>
  <c r="N23" i="144" s="1"/>
  <c r="N13" i="144"/>
  <c r="N23" i="145"/>
  <c r="L30" i="145"/>
  <c r="N30" i="145" s="1"/>
  <c r="I65" i="157"/>
  <c r="J25" i="147"/>
  <c r="L25" i="147" s="1"/>
  <c r="N25" i="147" s="1"/>
  <c r="V25" i="147"/>
  <c r="K13" i="155"/>
  <c r="X13" i="155"/>
  <c r="I156" i="157"/>
  <c r="I178" i="157"/>
  <c r="X39" i="155"/>
  <c r="K39" i="155"/>
  <c r="M39" i="155" s="1"/>
  <c r="O39" i="155" s="1"/>
  <c r="I187" i="157"/>
  <c r="X48" i="155"/>
  <c r="K48" i="155"/>
  <c r="M48" i="155" s="1"/>
  <c r="O48" i="155" s="1"/>
  <c r="N13" i="148"/>
  <c r="L22" i="148"/>
  <c r="AD28" i="148"/>
  <c r="AF28" i="148" s="1"/>
  <c r="T164" i="193"/>
  <c r="AF164" i="193" s="1"/>
  <c r="M164" i="140"/>
  <c r="T139" i="193"/>
  <c r="AF139" i="193" s="1"/>
  <c r="M139" i="140"/>
  <c r="Y20" i="148"/>
  <c r="AC20" i="148" s="1"/>
  <c r="M179" i="140"/>
  <c r="T179" i="193"/>
  <c r="AF179" i="193" s="1"/>
  <c r="Q19" i="182"/>
  <c r="M189" i="140"/>
  <c r="T189" i="193"/>
  <c r="AF189" i="193" s="1"/>
  <c r="M29" i="140"/>
  <c r="T29" i="193"/>
  <c r="AF29" i="193" s="1"/>
  <c r="Y18" i="144"/>
  <c r="AC18" i="144" s="1"/>
  <c r="L14" i="142"/>
  <c r="N13" i="142"/>
  <c r="AD16" i="144"/>
  <c r="AF16" i="144" s="1"/>
  <c r="M186" i="140"/>
  <c r="T186" i="193"/>
  <c r="AF186" i="193" s="1"/>
  <c r="AD21" i="142"/>
  <c r="AB25" i="142"/>
  <c r="Q14" i="180" s="1"/>
  <c r="N54" i="147"/>
  <c r="L60" i="147"/>
  <c r="N60" i="147" s="1"/>
  <c r="T20" i="193"/>
  <c r="AF20" i="193" s="1"/>
  <c r="M20" i="140"/>
  <c r="Y23" i="142"/>
  <c r="AC23" i="142" s="1"/>
  <c r="M12" i="140"/>
  <c r="T12" i="193"/>
  <c r="AF12" i="193" s="1"/>
  <c r="Y13" i="142"/>
  <c r="AC13" i="142" s="1"/>
  <c r="T89" i="193"/>
  <c r="AF89" i="193" s="1"/>
  <c r="M89" i="140"/>
  <c r="T57" i="193"/>
  <c r="AF57" i="193" s="1"/>
  <c r="M57" i="140"/>
  <c r="Y24" i="145"/>
  <c r="AC24" i="145" s="1"/>
  <c r="M143" i="140"/>
  <c r="T143" i="193"/>
  <c r="AF143" i="193" s="1"/>
  <c r="Y25" i="148"/>
  <c r="AC25" i="148" s="1"/>
  <c r="T110" i="193"/>
  <c r="AF110" i="193" s="1"/>
  <c r="M110" i="140"/>
  <c r="Y50" i="147"/>
  <c r="AC50" i="147" s="1"/>
  <c r="M87" i="140"/>
  <c r="T87" i="193"/>
  <c r="AF87" i="193" s="1"/>
  <c r="G15" i="180"/>
  <c r="I15" i="180" s="1"/>
  <c r="R12" i="182"/>
  <c r="O15" i="180"/>
  <c r="F41" i="182"/>
  <c r="K18" i="155"/>
  <c r="M18" i="155" s="1"/>
  <c r="O18" i="155" s="1"/>
  <c r="I161" i="157"/>
  <c r="X18" i="155"/>
  <c r="H18" i="180"/>
  <c r="J18" i="180" s="1"/>
  <c r="P18" i="180"/>
  <c r="T18" i="180" s="1"/>
  <c r="V18" i="180" s="1"/>
  <c r="L94" i="193"/>
  <c r="AF94" i="193" s="1"/>
  <c r="I44" i="164"/>
  <c r="V18" i="151"/>
  <c r="I135" i="157"/>
  <c r="J18" i="151"/>
  <c r="L18" i="151" s="1"/>
  <c r="N18" i="151" s="1"/>
  <c r="I174" i="157"/>
  <c r="X34" i="155"/>
  <c r="K34" i="155"/>
  <c r="I184" i="157"/>
  <c r="K45" i="155"/>
  <c r="M45" i="155" s="1"/>
  <c r="O45" i="155" s="1"/>
  <c r="X45" i="155"/>
  <c r="J16" i="147"/>
  <c r="L16" i="147" s="1"/>
  <c r="N16" i="147" s="1"/>
  <c r="V16" i="147"/>
  <c r="I57" i="157"/>
  <c r="K23" i="155"/>
  <c r="M23" i="155" s="1"/>
  <c r="O23" i="155" s="1"/>
  <c r="X23" i="155"/>
  <c r="I170" i="157"/>
  <c r="T60" i="193"/>
  <c r="AF60" i="193" s="1"/>
  <c r="M60" i="140"/>
  <c r="Y27" i="145"/>
  <c r="AC27" i="145" s="1"/>
  <c r="V35" i="147"/>
  <c r="I74" i="157"/>
  <c r="J35" i="147"/>
  <c r="L35" i="147" s="1"/>
  <c r="N35" i="147" s="1"/>
  <c r="L98" i="193"/>
  <c r="I48" i="164"/>
  <c r="AD57" i="147"/>
  <c r="AF57" i="147" s="1"/>
  <c r="T182" i="193"/>
  <c r="AF182" i="193" s="1"/>
  <c r="M182" i="140"/>
  <c r="J21" i="151"/>
  <c r="V21" i="151"/>
  <c r="I137" i="157"/>
  <c r="I71" i="157"/>
  <c r="V32" i="147"/>
  <c r="J32" i="147"/>
  <c r="L32" i="147" s="1"/>
  <c r="N32" i="147" s="1"/>
  <c r="K15" i="155"/>
  <c r="M15" i="155" s="1"/>
  <c r="O15" i="155" s="1"/>
  <c r="X15" i="155"/>
  <c r="I158" i="157"/>
  <c r="V13" i="147"/>
  <c r="I54" i="157"/>
  <c r="J13" i="147"/>
  <c r="M124" i="140"/>
  <c r="T124" i="193"/>
  <c r="AF124" i="193" s="1"/>
  <c r="Y66" i="147"/>
  <c r="AC66" i="147" s="1"/>
  <c r="T198" i="193"/>
  <c r="AF198" i="193" s="1"/>
  <c r="M198" i="140"/>
  <c r="AD13" i="142"/>
  <c r="AB14" i="142"/>
  <c r="M169" i="140"/>
  <c r="T169" i="193"/>
  <c r="AF169" i="193" s="1"/>
  <c r="M65" i="140"/>
  <c r="T65" i="193"/>
  <c r="AF65" i="193" s="1"/>
  <c r="L101" i="193"/>
  <c r="AF101" i="193" s="1"/>
  <c r="I51" i="164"/>
  <c r="T82" i="193"/>
  <c r="AF82" i="193" s="1"/>
  <c r="M82" i="140"/>
  <c r="T126" i="193"/>
  <c r="AF126" i="193" s="1"/>
  <c r="M126" i="140"/>
  <c r="Y68" i="147"/>
  <c r="AC68" i="147" s="1"/>
  <c r="X47" i="155"/>
  <c r="K47" i="155"/>
  <c r="M47" i="155" s="1"/>
  <c r="O47" i="155" s="1"/>
  <c r="I186" i="157"/>
  <c r="J17" i="147"/>
  <c r="L17" i="147" s="1"/>
  <c r="N17" i="147" s="1"/>
  <c r="V17" i="147"/>
  <c r="I58" i="157"/>
  <c r="U29" i="127"/>
  <c r="U33" i="127" s="1"/>
  <c r="F91" i="182"/>
  <c r="M79" i="140"/>
  <c r="T79" i="193"/>
  <c r="AF79" i="193" s="1"/>
  <c r="T184" i="193"/>
  <c r="AF184" i="193" s="1"/>
  <c r="M184" i="140"/>
  <c r="V25" i="151"/>
  <c r="J25" i="151"/>
  <c r="L25" i="151" s="1"/>
  <c r="N25" i="151" s="1"/>
  <c r="I140" i="157"/>
  <c r="AD43" i="147"/>
  <c r="AB52" i="147"/>
  <c r="R19" i="182"/>
  <c r="G26" i="180"/>
  <c r="I26" i="180" s="1"/>
  <c r="O26" i="180"/>
  <c r="T132" i="193"/>
  <c r="AF132" i="193" s="1"/>
  <c r="M132" i="140"/>
  <c r="Y13" i="148"/>
  <c r="AC13" i="148" s="1"/>
  <c r="T32" i="193"/>
  <c r="AF32" i="193" s="1"/>
  <c r="M32" i="140"/>
  <c r="Y21" i="144"/>
  <c r="AC21" i="144" s="1"/>
  <c r="Z25" i="142"/>
  <c r="V14" i="147"/>
  <c r="J14" i="147"/>
  <c r="L14" i="147" s="1"/>
  <c r="N14" i="147" s="1"/>
  <c r="I55" i="157"/>
  <c r="L13" i="156"/>
  <c r="J18" i="156"/>
  <c r="L18" i="156" s="1"/>
  <c r="M172" i="140"/>
  <c r="T172" i="193"/>
  <c r="AF172" i="193" s="1"/>
  <c r="M157" i="140"/>
  <c r="T157" i="193"/>
  <c r="AF157" i="193" s="1"/>
  <c r="J27" i="142"/>
  <c r="E12" i="180"/>
  <c r="AD24" i="148"/>
  <c r="AB34" i="148"/>
  <c r="AD44" i="147"/>
  <c r="AF44" i="147" s="1"/>
  <c r="AD68" i="147"/>
  <c r="AF68" i="147" s="1"/>
  <c r="T83" i="193"/>
  <c r="AF83" i="193" s="1"/>
  <c r="M83" i="140"/>
  <c r="T25" i="193"/>
  <c r="AF25" i="193" s="1"/>
  <c r="M25" i="140"/>
  <c r="Y14" i="144"/>
  <c r="AC14" i="144" s="1"/>
  <c r="M167" i="140"/>
  <c r="T167" i="193"/>
  <c r="AF167" i="193" s="1"/>
  <c r="M104" i="140"/>
  <c r="T104" i="193"/>
  <c r="AF104" i="193" s="1"/>
  <c r="Y44" i="147"/>
  <c r="AC44" i="147" s="1"/>
  <c r="AF98" i="193"/>
  <c r="T145" i="193"/>
  <c r="AF145" i="193" s="1"/>
  <c r="M145" i="140"/>
  <c r="Y27" i="148"/>
  <c r="AC27" i="148" s="1"/>
  <c r="P17" i="180"/>
  <c r="T17" i="180" s="1"/>
  <c r="V17" i="180" s="1"/>
  <c r="H17" i="180"/>
  <c r="J17" i="180" s="1"/>
  <c r="Z23" i="144"/>
  <c r="J38" i="147"/>
  <c r="L38" i="147" s="1"/>
  <c r="N38" i="147" s="1"/>
  <c r="V38" i="147"/>
  <c r="I77" i="157"/>
  <c r="I160" i="157"/>
  <c r="K17" i="155"/>
  <c r="M17" i="155" s="1"/>
  <c r="O17" i="155" s="1"/>
  <c r="X17" i="155"/>
  <c r="J13" i="151"/>
  <c r="V13" i="151"/>
  <c r="I130" i="157"/>
  <c r="AD18" i="148"/>
  <c r="AF18" i="148" s="1"/>
  <c r="R13" i="182" l="1"/>
  <c r="G19" i="180"/>
  <c r="I19" i="180" s="1"/>
  <c r="Z27" i="142"/>
  <c r="F186" i="182"/>
  <c r="F15" i="182" s="1"/>
  <c r="AB32" i="145"/>
  <c r="Q19" i="180" s="1"/>
  <c r="P19" i="182"/>
  <c r="AP15" i="182"/>
  <c r="AS15" i="182" s="1"/>
  <c r="Z32" i="145"/>
  <c r="Q12" i="180"/>
  <c r="AB27" i="142"/>
  <c r="I15" i="140"/>
  <c r="S15" i="193"/>
  <c r="AE15" i="193" s="1"/>
  <c r="H17" i="142"/>
  <c r="AC23" i="144"/>
  <c r="R15" i="180" s="1"/>
  <c r="Z26" i="147"/>
  <c r="X26" i="147"/>
  <c r="J57" i="157"/>
  <c r="L57" i="157"/>
  <c r="M57" i="157" s="1"/>
  <c r="E102" i="182"/>
  <c r="F102" i="182" s="1"/>
  <c r="AC14" i="142"/>
  <c r="J178" i="157"/>
  <c r="E254" i="182"/>
  <c r="F254" i="182" s="1"/>
  <c r="L178" i="157"/>
  <c r="M178" i="157" s="1"/>
  <c r="I154" i="140"/>
  <c r="S154" i="193"/>
  <c r="AE154" i="193" s="1"/>
  <c r="H13" i="151"/>
  <c r="E248" i="182"/>
  <c r="F248" i="182" s="1"/>
  <c r="J172" i="157"/>
  <c r="L172" i="157"/>
  <c r="M172" i="157" s="1"/>
  <c r="L66" i="157"/>
  <c r="M66" i="157" s="1"/>
  <c r="J66" i="157"/>
  <c r="E111" i="182"/>
  <c r="F111" i="182" s="1"/>
  <c r="AD34" i="148"/>
  <c r="AF34" i="148" s="1"/>
  <c r="AF24" i="148"/>
  <c r="J156" i="157"/>
  <c r="E232" i="182"/>
  <c r="F232" i="182" s="1"/>
  <c r="L156" i="157"/>
  <c r="M156" i="157" s="1"/>
  <c r="I150" i="140"/>
  <c r="S150" i="193"/>
  <c r="AE150" i="193" s="1"/>
  <c r="H32" i="148"/>
  <c r="I178" i="140"/>
  <c r="S178" i="193"/>
  <c r="AE178" i="193" s="1"/>
  <c r="I16" i="155"/>
  <c r="I159" i="140"/>
  <c r="S159" i="193"/>
  <c r="AE159" i="193" s="1"/>
  <c r="H18" i="151"/>
  <c r="Z25" i="155"/>
  <c r="AB25" i="155"/>
  <c r="E240" i="182"/>
  <c r="F240" i="182" s="1"/>
  <c r="J164" i="157"/>
  <c r="L164" i="157"/>
  <c r="M164" i="157" s="1"/>
  <c r="L46" i="164"/>
  <c r="M46" i="164" s="1"/>
  <c r="J46" i="164"/>
  <c r="AP12" i="182"/>
  <c r="AS12" i="182" s="1"/>
  <c r="L67" i="157"/>
  <c r="M67" i="157" s="1"/>
  <c r="E112" i="182"/>
  <c r="F112" i="182" s="1"/>
  <c r="J67" i="157"/>
  <c r="S199" i="193"/>
  <c r="AE199" i="193" s="1"/>
  <c r="I199" i="140"/>
  <c r="I41" i="155"/>
  <c r="AB45" i="155"/>
  <c r="Z45" i="155"/>
  <c r="M13" i="155"/>
  <c r="K19" i="155"/>
  <c r="I58" i="140"/>
  <c r="S58" i="193"/>
  <c r="AE58" i="193" s="1"/>
  <c r="H25" i="145"/>
  <c r="I128" i="140"/>
  <c r="S128" i="193"/>
  <c r="AE128" i="193" s="1"/>
  <c r="H70" i="147"/>
  <c r="E107" i="182"/>
  <c r="F107" i="182" s="1"/>
  <c r="L62" i="157"/>
  <c r="M62" i="157" s="1"/>
  <c r="J62" i="157"/>
  <c r="AF13" i="144"/>
  <c r="AD23" i="144"/>
  <c r="AF23" i="144" s="1"/>
  <c r="AD22" i="148"/>
  <c r="AF13" i="148"/>
  <c r="X24" i="151"/>
  <c r="Z24" i="151"/>
  <c r="X20" i="147"/>
  <c r="Z20" i="147"/>
  <c r="Z40" i="155"/>
  <c r="AB40" i="155"/>
  <c r="X27" i="147"/>
  <c r="Z27" i="147"/>
  <c r="Z25" i="147"/>
  <c r="X25" i="147"/>
  <c r="I189" i="140"/>
  <c r="S189" i="193"/>
  <c r="AE189" i="193" s="1"/>
  <c r="I29" i="155"/>
  <c r="I32" i="140"/>
  <c r="S32" i="193"/>
  <c r="AE32" i="193" s="1"/>
  <c r="H21" i="144"/>
  <c r="S179" i="193"/>
  <c r="AE179" i="193" s="1"/>
  <c r="I179" i="140"/>
  <c r="I17" i="155"/>
  <c r="I51" i="140"/>
  <c r="S51" i="193"/>
  <c r="AE51" i="193" s="1"/>
  <c r="H17" i="145"/>
  <c r="S107" i="193"/>
  <c r="AE107" i="193" s="1"/>
  <c r="I107" i="140"/>
  <c r="H47" i="147"/>
  <c r="S185" i="193"/>
  <c r="AE185" i="193" s="1"/>
  <c r="I185" i="140"/>
  <c r="I24" i="155"/>
  <c r="S175" i="193"/>
  <c r="AE175" i="193" s="1"/>
  <c r="I175" i="140"/>
  <c r="I13" i="155"/>
  <c r="I137" i="140"/>
  <c r="S137" i="193"/>
  <c r="AE137" i="193" s="1"/>
  <c r="H18" i="148"/>
  <c r="S83" i="193"/>
  <c r="AE83" i="193" s="1"/>
  <c r="I83" i="140"/>
  <c r="H33" i="147"/>
  <c r="J142" i="157"/>
  <c r="L142" i="157"/>
  <c r="M142" i="157" s="1"/>
  <c r="E203" i="182"/>
  <c r="F203" i="182" s="1"/>
  <c r="L42" i="164"/>
  <c r="M42" i="164" s="1"/>
  <c r="J42" i="164"/>
  <c r="L182" i="157"/>
  <c r="M182" i="157" s="1"/>
  <c r="J182" i="157"/>
  <c r="E258" i="182"/>
  <c r="F258" i="182" s="1"/>
  <c r="AB14" i="155"/>
  <c r="Z14" i="155"/>
  <c r="AB36" i="148"/>
  <c r="Q22" i="180" s="1"/>
  <c r="L24" i="151"/>
  <c r="J34" i="151"/>
  <c r="E235" i="182"/>
  <c r="F235" i="182" s="1"/>
  <c r="L159" i="157"/>
  <c r="M159" i="157" s="1"/>
  <c r="J159" i="157"/>
  <c r="T15" i="182"/>
  <c r="J184" i="157"/>
  <c r="L184" i="157"/>
  <c r="M184" i="157" s="1"/>
  <c r="E260" i="182"/>
  <c r="F260" i="182" s="1"/>
  <c r="S140" i="193"/>
  <c r="AE140" i="193" s="1"/>
  <c r="I140" i="140"/>
  <c r="H21" i="148"/>
  <c r="I18" i="140"/>
  <c r="S18" i="193"/>
  <c r="AE18" i="193" s="1"/>
  <c r="H21" i="142"/>
  <c r="S106" i="193"/>
  <c r="AE106" i="193" s="1"/>
  <c r="I106" i="140"/>
  <c r="H46" i="147"/>
  <c r="I168" i="140"/>
  <c r="S168" i="193"/>
  <c r="AE168" i="193" s="1"/>
  <c r="H29" i="151"/>
  <c r="S21" i="193"/>
  <c r="AE21" i="193" s="1"/>
  <c r="I21" i="140"/>
  <c r="H24" i="142"/>
  <c r="I198" i="140"/>
  <c r="S198" i="193"/>
  <c r="AE198" i="193" s="1"/>
  <c r="I40" i="155"/>
  <c r="I29" i="140"/>
  <c r="S29" i="193"/>
  <c r="AE29" i="193" s="1"/>
  <c r="H18" i="144"/>
  <c r="Z27" i="151"/>
  <c r="X27" i="151"/>
  <c r="Z43" i="155"/>
  <c r="AB43" i="155"/>
  <c r="AC52" i="147"/>
  <c r="E195" i="182"/>
  <c r="F195" i="182" s="1"/>
  <c r="J134" i="157"/>
  <c r="L134" i="157"/>
  <c r="M134" i="157" s="1"/>
  <c r="J139" i="157"/>
  <c r="L139" i="157"/>
  <c r="M139" i="157" s="1"/>
  <c r="E200" i="182"/>
  <c r="F200" i="182" s="1"/>
  <c r="Z14" i="156"/>
  <c r="X19" i="156"/>
  <c r="Q27" i="180" s="1"/>
  <c r="S27" i="180" s="1"/>
  <c r="AF43" i="147"/>
  <c r="AD52" i="147"/>
  <c r="AF52" i="147" s="1"/>
  <c r="K36" i="155"/>
  <c r="M34" i="155"/>
  <c r="J65" i="157"/>
  <c r="L65" i="157"/>
  <c r="M65" i="157" s="1"/>
  <c r="E110" i="182"/>
  <c r="F110" i="182" s="1"/>
  <c r="S73" i="193"/>
  <c r="AE73" i="193" s="1"/>
  <c r="I73" i="140"/>
  <c r="H21" i="147"/>
  <c r="S118" i="193"/>
  <c r="AE118" i="193" s="1"/>
  <c r="I118" i="140"/>
  <c r="H59" i="147"/>
  <c r="S76" i="193"/>
  <c r="AE76" i="193" s="1"/>
  <c r="I76" i="140"/>
  <c r="H25" i="147"/>
  <c r="I186" i="140"/>
  <c r="S186" i="193"/>
  <c r="AE186" i="193" s="1"/>
  <c r="I25" i="155"/>
  <c r="S127" i="193"/>
  <c r="AE127" i="193" s="1"/>
  <c r="I127" i="140"/>
  <c r="H69" i="147"/>
  <c r="S211" i="193"/>
  <c r="AE211" i="193" s="1"/>
  <c r="I211" i="140"/>
  <c r="I53" i="155"/>
  <c r="L43" i="164"/>
  <c r="M43" i="164" s="1"/>
  <c r="J43" i="164"/>
  <c r="K18" i="156"/>
  <c r="M18" i="156" s="1"/>
  <c r="M13" i="156"/>
  <c r="X17" i="151"/>
  <c r="Z17" i="151"/>
  <c r="S19" i="180"/>
  <c r="Z16" i="151"/>
  <c r="X16" i="151"/>
  <c r="Y19" i="156"/>
  <c r="R27" i="180" s="1"/>
  <c r="AA14" i="156"/>
  <c r="E104" i="182"/>
  <c r="F104" i="182" s="1"/>
  <c r="J59" i="157"/>
  <c r="L59" i="157"/>
  <c r="M59" i="157" s="1"/>
  <c r="Z50" i="155"/>
  <c r="AB50" i="155"/>
  <c r="X18" i="156"/>
  <c r="Q26" i="180" s="1"/>
  <c r="S26" i="180" s="1"/>
  <c r="Z13" i="156"/>
  <c r="X24" i="147"/>
  <c r="Z24" i="147"/>
  <c r="AB46" i="155"/>
  <c r="Z46" i="155"/>
  <c r="E268" i="182"/>
  <c r="F268" i="182" s="1"/>
  <c r="J192" i="157"/>
  <c r="L192" i="157"/>
  <c r="M192" i="157" s="1"/>
  <c r="J68" i="157"/>
  <c r="L68" i="157"/>
  <c r="M68" i="157" s="1"/>
  <c r="E113" i="182"/>
  <c r="F113" i="182" s="1"/>
  <c r="Z15" i="147"/>
  <c r="X15" i="147"/>
  <c r="F67" i="182"/>
  <c r="F12" i="182" s="1"/>
  <c r="Q12" i="182"/>
  <c r="AB39" i="155"/>
  <c r="Z39" i="155"/>
  <c r="I182" i="140"/>
  <c r="S182" i="193"/>
  <c r="AE182" i="193" s="1"/>
  <c r="I21" i="155"/>
  <c r="I157" i="140"/>
  <c r="S157" i="193"/>
  <c r="AE157" i="193" s="1"/>
  <c r="H16" i="151"/>
  <c r="AB16" i="155"/>
  <c r="Z16" i="155"/>
  <c r="L48" i="164"/>
  <c r="M48" i="164" s="1"/>
  <c r="J48" i="164"/>
  <c r="I115" i="140"/>
  <c r="S115" i="193"/>
  <c r="AE115" i="193" s="1"/>
  <c r="H56" i="147"/>
  <c r="AC19" i="142"/>
  <c r="R13" i="180" s="1"/>
  <c r="Z26" i="151"/>
  <c r="X26" i="151"/>
  <c r="S14" i="180"/>
  <c r="S104" i="193"/>
  <c r="AE104" i="193" s="1"/>
  <c r="I104" i="140"/>
  <c r="H44" i="147"/>
  <c r="I86" i="140"/>
  <c r="S86" i="193"/>
  <c r="AE86" i="193" s="1"/>
  <c r="H36" i="147"/>
  <c r="E206" i="182"/>
  <c r="F206" i="182" s="1"/>
  <c r="J145" i="157"/>
  <c r="L145" i="157"/>
  <c r="M145" i="157" s="1"/>
  <c r="X39" i="147"/>
  <c r="Z39" i="147"/>
  <c r="S121" i="193"/>
  <c r="AE121" i="193" s="1"/>
  <c r="I121" i="140"/>
  <c r="H63" i="147"/>
  <c r="AD60" i="147"/>
  <c r="AF60" i="147" s="1"/>
  <c r="AF54" i="147"/>
  <c r="Z40" i="147"/>
  <c r="X40" i="147"/>
  <c r="AB17" i="155"/>
  <c r="Z17" i="155"/>
  <c r="L51" i="164"/>
  <c r="M51" i="164" s="1"/>
  <c r="J51" i="164"/>
  <c r="Z15" i="155"/>
  <c r="AB15" i="155"/>
  <c r="Z18" i="151"/>
  <c r="X18" i="151"/>
  <c r="J165" i="157"/>
  <c r="L165" i="157"/>
  <c r="M165" i="157" s="1"/>
  <c r="E241" i="182"/>
  <c r="F241" i="182" s="1"/>
  <c r="S81" i="193"/>
  <c r="AE81" i="193" s="1"/>
  <c r="I81" i="140"/>
  <c r="H31" i="147"/>
  <c r="I85" i="140"/>
  <c r="S85" i="193"/>
  <c r="AE85" i="193" s="1"/>
  <c r="H35" i="147"/>
  <c r="S197" i="193"/>
  <c r="AE197" i="193" s="1"/>
  <c r="I197" i="140"/>
  <c r="I39" i="155"/>
  <c r="S156" i="193"/>
  <c r="AE156" i="193" s="1"/>
  <c r="I156" i="140"/>
  <c r="H15" i="151"/>
  <c r="S120" i="193"/>
  <c r="AE120" i="193" s="1"/>
  <c r="I120" i="140"/>
  <c r="H62" i="147"/>
  <c r="S124" i="193"/>
  <c r="AE124" i="193" s="1"/>
  <c r="I124" i="140"/>
  <c r="H66" i="147"/>
  <c r="I207" i="140"/>
  <c r="S207" i="193"/>
  <c r="AE207" i="193" s="1"/>
  <c r="I49" i="155"/>
  <c r="J131" i="157"/>
  <c r="E192" i="182"/>
  <c r="F192" i="182" s="1"/>
  <c r="L131" i="157"/>
  <c r="M131" i="157" s="1"/>
  <c r="AB35" i="155"/>
  <c r="Z35" i="155"/>
  <c r="X32" i="151"/>
  <c r="Z32" i="151"/>
  <c r="D13" i="181"/>
  <c r="C14" i="181" s="1"/>
  <c r="B14" i="181" s="1"/>
  <c r="E24" i="181"/>
  <c r="X31" i="151"/>
  <c r="Z31" i="151"/>
  <c r="Z18" i="147"/>
  <c r="X18" i="147"/>
  <c r="AA13" i="156"/>
  <c r="Y18" i="156"/>
  <c r="R26" i="180" s="1"/>
  <c r="Z44" i="155"/>
  <c r="AB44" i="155"/>
  <c r="U17" i="180"/>
  <c r="Z22" i="155"/>
  <c r="AB22" i="155"/>
  <c r="Z28" i="147"/>
  <c r="X28" i="147"/>
  <c r="E101" i="182"/>
  <c r="F101" i="182" s="1"/>
  <c r="J56" i="157"/>
  <c r="L56" i="157"/>
  <c r="M56" i="157" s="1"/>
  <c r="L143" i="157"/>
  <c r="M143" i="157" s="1"/>
  <c r="J143" i="157"/>
  <c r="E204" i="182"/>
  <c r="F204" i="182" s="1"/>
  <c r="S49" i="193"/>
  <c r="AE49" i="193" s="1"/>
  <c r="I49" i="140"/>
  <c r="H15" i="145"/>
  <c r="S138" i="193"/>
  <c r="AE138" i="193" s="1"/>
  <c r="I138" i="140"/>
  <c r="H19" i="148"/>
  <c r="S87" i="193"/>
  <c r="AE87" i="193" s="1"/>
  <c r="I87" i="140"/>
  <c r="H37" i="147"/>
  <c r="J174" i="157"/>
  <c r="E250" i="182"/>
  <c r="F250" i="182" s="1"/>
  <c r="L174" i="157"/>
  <c r="M174" i="157" s="1"/>
  <c r="Z13" i="151"/>
  <c r="X13" i="151"/>
  <c r="E196" i="182"/>
  <c r="F196" i="182" s="1"/>
  <c r="L135" i="157"/>
  <c r="M135" i="157" s="1"/>
  <c r="J135" i="157"/>
  <c r="I56" i="140"/>
  <c r="S56" i="193"/>
  <c r="AE56" i="193" s="1"/>
  <c r="H23" i="145"/>
  <c r="I105" i="140"/>
  <c r="S105" i="193"/>
  <c r="AE105" i="193" s="1"/>
  <c r="H45" i="147"/>
  <c r="L55" i="157"/>
  <c r="M55" i="157" s="1"/>
  <c r="J55" i="157"/>
  <c r="E100" i="182"/>
  <c r="F100" i="182" s="1"/>
  <c r="L44" i="164"/>
  <c r="M44" i="164" s="1"/>
  <c r="J44" i="164"/>
  <c r="U18" i="180"/>
  <c r="J214" i="140"/>
  <c r="AO17" i="182"/>
  <c r="AR17" i="182" s="1"/>
  <c r="I176" i="140"/>
  <c r="S176" i="193"/>
  <c r="AE176" i="193" s="1"/>
  <c r="I14" i="155"/>
  <c r="S163" i="193"/>
  <c r="AE163" i="193" s="1"/>
  <c r="I163" i="140"/>
  <c r="H24" i="151"/>
  <c r="S26" i="193"/>
  <c r="AE26" i="193" s="1"/>
  <c r="I26" i="140"/>
  <c r="H15" i="144"/>
  <c r="I193" i="140"/>
  <c r="S193" i="193"/>
  <c r="AE193" i="193" s="1"/>
  <c r="I34" i="155"/>
  <c r="S203" i="193"/>
  <c r="AE203" i="193" s="1"/>
  <c r="I203" i="140"/>
  <c r="I45" i="155"/>
  <c r="I24" i="140"/>
  <c r="S24" i="193"/>
  <c r="AE24" i="193" s="1"/>
  <c r="H13" i="144"/>
  <c r="S209" i="193"/>
  <c r="AE209" i="193" s="1"/>
  <c r="I209" i="140"/>
  <c r="I51" i="155"/>
  <c r="T214" i="193"/>
  <c r="AF214" i="193" s="1"/>
  <c r="W13" i="153"/>
  <c r="AA13" i="153" s="1"/>
  <c r="R15" i="182"/>
  <c r="P15" i="182" s="1"/>
  <c r="G22" i="180"/>
  <c r="I22" i="180" s="1"/>
  <c r="O22" i="180"/>
  <c r="AB38" i="155"/>
  <c r="Z38" i="155"/>
  <c r="AC25" i="142"/>
  <c r="R14" i="180" s="1"/>
  <c r="X31" i="147"/>
  <c r="Z31" i="147"/>
  <c r="Z31" i="155"/>
  <c r="AB31" i="155"/>
  <c r="AB53" i="155"/>
  <c r="Z53" i="155"/>
  <c r="L169" i="157"/>
  <c r="M169" i="157" s="1"/>
  <c r="J169" i="157"/>
  <c r="E245" i="182"/>
  <c r="F245" i="182" s="1"/>
  <c r="S24" i="180"/>
  <c r="AC34" i="148"/>
  <c r="X28" i="151"/>
  <c r="Z28" i="151"/>
  <c r="AB42" i="155"/>
  <c r="Z42" i="155"/>
  <c r="I114" i="140"/>
  <c r="S114" i="193"/>
  <c r="AE114" i="193" s="1"/>
  <c r="H55" i="147"/>
  <c r="AB13" i="155"/>
  <c r="Z13" i="155"/>
  <c r="I84" i="140"/>
  <c r="S84" i="193"/>
  <c r="AE84" i="193" s="1"/>
  <c r="H34" i="147"/>
  <c r="S111" i="193"/>
  <c r="AE111" i="193" s="1"/>
  <c r="I111" i="140"/>
  <c r="H51" i="147"/>
  <c r="AC30" i="145"/>
  <c r="J130" i="157"/>
  <c r="E191" i="182"/>
  <c r="F191" i="182" s="1"/>
  <c r="L130" i="157"/>
  <c r="M130" i="157" s="1"/>
  <c r="L74" i="157"/>
  <c r="M74" i="157" s="1"/>
  <c r="E119" i="182"/>
  <c r="F119" i="182" s="1"/>
  <c r="J74" i="157"/>
  <c r="S78" i="193"/>
  <c r="AE78" i="193" s="1"/>
  <c r="I78" i="140"/>
  <c r="H27" i="147"/>
  <c r="I60" i="140"/>
  <c r="S60" i="193"/>
  <c r="AE60" i="193" s="1"/>
  <c r="H27" i="145"/>
  <c r="Z14" i="151"/>
  <c r="X14" i="151"/>
  <c r="J160" i="157"/>
  <c r="E236" i="182"/>
  <c r="F236" i="182" s="1"/>
  <c r="L160" i="157"/>
  <c r="M160" i="157" s="1"/>
  <c r="L36" i="148"/>
  <c r="N36" i="148" s="1"/>
  <c r="N22" i="148"/>
  <c r="Z30" i="155"/>
  <c r="AB30" i="155"/>
  <c r="I125" i="140"/>
  <c r="S125" i="193"/>
  <c r="AE125" i="193" s="1"/>
  <c r="H67" i="147"/>
  <c r="I145" i="140"/>
  <c r="S145" i="193"/>
  <c r="AE145" i="193" s="1"/>
  <c r="H27" i="148"/>
  <c r="I122" i="140"/>
  <c r="S122" i="193"/>
  <c r="AE122" i="193" s="1"/>
  <c r="H64" i="147"/>
  <c r="S89" i="193"/>
  <c r="AE89" i="193" s="1"/>
  <c r="I89" i="140"/>
  <c r="H39" i="147"/>
  <c r="S136" i="193"/>
  <c r="AE136" i="193" s="1"/>
  <c r="I136" i="140"/>
  <c r="H17" i="148"/>
  <c r="I147" i="140"/>
  <c r="S147" i="193"/>
  <c r="AE147" i="193" s="1"/>
  <c r="H29" i="148"/>
  <c r="I129" i="140"/>
  <c r="S129" i="193"/>
  <c r="AE129" i="193" s="1"/>
  <c r="H71" i="147"/>
  <c r="S50" i="193"/>
  <c r="AE50" i="193" s="1"/>
  <c r="I50" i="140"/>
  <c r="H16" i="145"/>
  <c r="Z15" i="151"/>
  <c r="X15" i="151"/>
  <c r="J175" i="157"/>
  <c r="E251" i="182"/>
  <c r="F251" i="182" s="1"/>
  <c r="L175" i="157"/>
  <c r="M175" i="157" s="1"/>
  <c r="E208" i="182"/>
  <c r="F208" i="182" s="1"/>
  <c r="L147" i="157"/>
  <c r="M147" i="157" s="1"/>
  <c r="J147" i="157"/>
  <c r="L177" i="157"/>
  <c r="M177" i="157" s="1"/>
  <c r="E253" i="182"/>
  <c r="F253" i="182" s="1"/>
  <c r="J177" i="157"/>
  <c r="J146" i="157"/>
  <c r="L146" i="157"/>
  <c r="M146" i="157" s="1"/>
  <c r="E207" i="182"/>
  <c r="F207" i="182" s="1"/>
  <c r="J41" i="147"/>
  <c r="L31" i="147"/>
  <c r="E242" i="182"/>
  <c r="F242" i="182" s="1"/>
  <c r="L166" i="157"/>
  <c r="M166" i="157" s="1"/>
  <c r="J166" i="157"/>
  <c r="E259" i="182"/>
  <c r="F259" i="182" s="1"/>
  <c r="J183" i="157"/>
  <c r="L183" i="157"/>
  <c r="M183" i="157" s="1"/>
  <c r="AF23" i="145"/>
  <c r="AD30" i="145"/>
  <c r="AF30" i="145" s="1"/>
  <c r="Z24" i="155"/>
  <c r="AB24" i="155"/>
  <c r="AD13" i="153"/>
  <c r="AB15" i="153"/>
  <c r="AD15" i="153" s="1"/>
  <c r="X37" i="147"/>
  <c r="Z37" i="147"/>
  <c r="I188" i="140"/>
  <c r="S188" i="193"/>
  <c r="AE188" i="193" s="1"/>
  <c r="I28" i="155"/>
  <c r="S201" i="193"/>
  <c r="AE201" i="193" s="1"/>
  <c r="I201" i="140"/>
  <c r="I43" i="155"/>
  <c r="E262" i="182"/>
  <c r="F262" i="182" s="1"/>
  <c r="J186" i="157"/>
  <c r="L186" i="157"/>
  <c r="M186" i="157" s="1"/>
  <c r="S148" i="193"/>
  <c r="AE148" i="193" s="1"/>
  <c r="I148" i="140"/>
  <c r="H30" i="148"/>
  <c r="S151" i="193"/>
  <c r="AE151" i="193" s="1"/>
  <c r="I151" i="140"/>
  <c r="H33" i="148"/>
  <c r="S204" i="193"/>
  <c r="AE204" i="193" s="1"/>
  <c r="I204" i="140"/>
  <c r="I46" i="155"/>
  <c r="E194" i="182"/>
  <c r="F194" i="182" s="1"/>
  <c r="J133" i="157"/>
  <c r="L133" i="157"/>
  <c r="M133" i="157" s="1"/>
  <c r="S169" i="193"/>
  <c r="AE169" i="193" s="1"/>
  <c r="I169" i="140"/>
  <c r="H30" i="151"/>
  <c r="S48" i="193"/>
  <c r="AE48" i="193" s="1"/>
  <c r="I48" i="140"/>
  <c r="H14" i="145"/>
  <c r="J158" i="157"/>
  <c r="L158" i="157"/>
  <c r="M158" i="157" s="1"/>
  <c r="E234" i="182"/>
  <c r="F234" i="182" s="1"/>
  <c r="S77" i="193"/>
  <c r="AE77" i="193" s="1"/>
  <c r="I77" i="140"/>
  <c r="H26" i="147"/>
  <c r="L77" i="157"/>
  <c r="M77" i="157" s="1"/>
  <c r="J77" i="157"/>
  <c r="E122" i="182"/>
  <c r="F122" i="182" s="1"/>
  <c r="X14" i="147"/>
  <c r="Z14" i="147"/>
  <c r="Z32" i="147"/>
  <c r="X32" i="147"/>
  <c r="S135" i="193"/>
  <c r="AE135" i="193" s="1"/>
  <c r="I135" i="140"/>
  <c r="H16" i="148"/>
  <c r="I30" i="140"/>
  <c r="S30" i="193"/>
  <c r="AE30" i="193" s="1"/>
  <c r="H19" i="144"/>
  <c r="S144" i="193"/>
  <c r="AE144" i="193" s="1"/>
  <c r="I144" i="140"/>
  <c r="H26" i="148"/>
  <c r="S190" i="193"/>
  <c r="AE190" i="193" s="1"/>
  <c r="I190" i="140"/>
  <c r="I30" i="155"/>
  <c r="I158" i="140"/>
  <c r="S158" i="193"/>
  <c r="AE158" i="193" s="1"/>
  <c r="H17" i="151"/>
  <c r="I206" i="140"/>
  <c r="S206" i="193"/>
  <c r="AE206" i="193" s="1"/>
  <c r="I48" i="155"/>
  <c r="I53" i="140"/>
  <c r="S53" i="193"/>
  <c r="AE53" i="193" s="1"/>
  <c r="H19" i="145"/>
  <c r="S66" i="193"/>
  <c r="AE66" i="193" s="1"/>
  <c r="I66" i="140"/>
  <c r="H14" i="147"/>
  <c r="J132" i="157"/>
  <c r="E193" i="182"/>
  <c r="F193" i="182" s="1"/>
  <c r="L132" i="157"/>
  <c r="M132" i="157" s="1"/>
  <c r="J191" i="157"/>
  <c r="E267" i="182"/>
  <c r="F267" i="182" s="1"/>
  <c r="L191" i="157"/>
  <c r="M191" i="157" s="1"/>
  <c r="Z21" i="155"/>
  <c r="AB21" i="155"/>
  <c r="K54" i="155"/>
  <c r="M38" i="155"/>
  <c r="L70" i="157"/>
  <c r="M70" i="157" s="1"/>
  <c r="J70" i="157"/>
  <c r="E115" i="182"/>
  <c r="F115" i="182" s="1"/>
  <c r="J171" i="157"/>
  <c r="E247" i="182"/>
  <c r="F247" i="182" s="1"/>
  <c r="L171" i="157"/>
  <c r="M171" i="157" s="1"/>
  <c r="I65" i="140"/>
  <c r="S65" i="193"/>
  <c r="AE65" i="193" s="1"/>
  <c r="H13" i="147"/>
  <c r="J50" i="164"/>
  <c r="L50" i="164"/>
  <c r="M50" i="164" s="1"/>
  <c r="S109" i="193"/>
  <c r="AE109" i="193" s="1"/>
  <c r="I109" i="140"/>
  <c r="H49" i="147"/>
  <c r="S180" i="193"/>
  <c r="AE180" i="193" s="1"/>
  <c r="I180" i="140"/>
  <c r="I18" i="155"/>
  <c r="AP11" i="182"/>
  <c r="M217" i="140"/>
  <c r="S57" i="193"/>
  <c r="AE57" i="193" s="1"/>
  <c r="I57" i="140"/>
  <c r="H24" i="145"/>
  <c r="S15" i="180"/>
  <c r="S16" i="193"/>
  <c r="AE16" i="193" s="1"/>
  <c r="I16" i="140"/>
  <c r="H18" i="142"/>
  <c r="E201" i="182"/>
  <c r="F201" i="182" s="1"/>
  <c r="J140" i="157"/>
  <c r="L140" i="157"/>
  <c r="M140" i="157" s="1"/>
  <c r="I210" i="140"/>
  <c r="S210" i="193"/>
  <c r="AE210" i="193" s="1"/>
  <c r="I52" i="155"/>
  <c r="J78" i="157"/>
  <c r="E123" i="182"/>
  <c r="F123" i="182" s="1"/>
  <c r="L78" i="157"/>
  <c r="M78" i="157" s="1"/>
  <c r="I62" i="140"/>
  <c r="S62" i="193"/>
  <c r="AE62" i="193" s="1"/>
  <c r="H29" i="145"/>
  <c r="L141" i="157"/>
  <c r="M141" i="157" s="1"/>
  <c r="E202" i="182"/>
  <c r="F202" i="182" s="1"/>
  <c r="J141" i="157"/>
  <c r="J19" i="151"/>
  <c r="L13" i="151"/>
  <c r="AP14" i="182"/>
  <c r="AS14" i="182" s="1"/>
  <c r="E116" i="182"/>
  <c r="F116" i="182" s="1"/>
  <c r="L71" i="157"/>
  <c r="M71" i="157" s="1"/>
  <c r="J71" i="157"/>
  <c r="N14" i="142"/>
  <c r="L27" i="142"/>
  <c r="N27" i="142" s="1"/>
  <c r="I161" i="140"/>
  <c r="S161" i="193"/>
  <c r="AE161" i="193" s="1"/>
  <c r="H21" i="151"/>
  <c r="I149" i="140"/>
  <c r="S149" i="193"/>
  <c r="AE149" i="193" s="1"/>
  <c r="H31" i="148"/>
  <c r="I142" i="140"/>
  <c r="S142" i="193"/>
  <c r="AE142" i="193" s="1"/>
  <c r="H24" i="148"/>
  <c r="S170" i="193"/>
  <c r="AE170" i="193" s="1"/>
  <c r="I170" i="140"/>
  <c r="H31" i="151"/>
  <c r="S172" i="193"/>
  <c r="AE172" i="193" s="1"/>
  <c r="I172" i="140"/>
  <c r="H33" i="151"/>
  <c r="S47" i="193"/>
  <c r="AE47" i="193" s="1"/>
  <c r="I47" i="140"/>
  <c r="H13" i="145"/>
  <c r="S52" i="193"/>
  <c r="AE52" i="193" s="1"/>
  <c r="I52" i="140"/>
  <c r="H18" i="145"/>
  <c r="Z52" i="155"/>
  <c r="AB52" i="155"/>
  <c r="L60" i="157"/>
  <c r="M60" i="157" s="1"/>
  <c r="E105" i="182"/>
  <c r="F105" i="182" s="1"/>
  <c r="J60" i="157"/>
  <c r="K26" i="155"/>
  <c r="M21" i="155"/>
  <c r="X29" i="151"/>
  <c r="Z29" i="151"/>
  <c r="Z33" i="151"/>
  <c r="X33" i="151"/>
  <c r="Z36" i="148"/>
  <c r="E121" i="182"/>
  <c r="F121" i="182" s="1"/>
  <c r="L76" i="157"/>
  <c r="M76" i="157" s="1"/>
  <c r="J76" i="157"/>
  <c r="AC21" i="145"/>
  <c r="L45" i="164"/>
  <c r="M45" i="164" s="1"/>
  <c r="J45" i="164"/>
  <c r="I191" i="140"/>
  <c r="S191" i="193"/>
  <c r="AE191" i="193" s="1"/>
  <c r="I31" i="155"/>
  <c r="S33" i="193"/>
  <c r="AE33" i="193" s="1"/>
  <c r="I33" i="140"/>
  <c r="H22" i="144"/>
  <c r="E256" i="182"/>
  <c r="F256" i="182" s="1"/>
  <c r="J180" i="157"/>
  <c r="L180" i="157"/>
  <c r="M180" i="157" s="1"/>
  <c r="E106" i="182"/>
  <c r="F106" i="182" s="1"/>
  <c r="L61" i="157"/>
  <c r="M61" i="157" s="1"/>
  <c r="J61" i="157"/>
  <c r="Z47" i="155"/>
  <c r="AB47" i="155"/>
  <c r="I88" i="140"/>
  <c r="S88" i="193"/>
  <c r="AE88" i="193" s="1"/>
  <c r="H38" i="147"/>
  <c r="J22" i="147"/>
  <c r="L13" i="147"/>
  <c r="I68" i="140"/>
  <c r="S68" i="193"/>
  <c r="AE68" i="193" s="1"/>
  <c r="H16" i="147"/>
  <c r="P26" i="180"/>
  <c r="H26" i="180"/>
  <c r="J26" i="180" s="1"/>
  <c r="X25" i="151"/>
  <c r="Z25" i="151"/>
  <c r="S19" i="193"/>
  <c r="AE19" i="193" s="1"/>
  <c r="I19" i="140"/>
  <c r="H22" i="142"/>
  <c r="L137" i="157"/>
  <c r="M137" i="157" s="1"/>
  <c r="E198" i="182"/>
  <c r="F198" i="182" s="1"/>
  <c r="J137" i="157"/>
  <c r="Z48" i="155"/>
  <c r="AB48" i="155"/>
  <c r="I27" i="140"/>
  <c r="S27" i="193"/>
  <c r="AE27" i="193" s="1"/>
  <c r="H16" i="144"/>
  <c r="I113" i="140"/>
  <c r="S113" i="193"/>
  <c r="AE113" i="193" s="1"/>
  <c r="H54" i="147"/>
  <c r="S139" i="193"/>
  <c r="AE139" i="193" s="1"/>
  <c r="I139" i="140"/>
  <c r="H20" i="148"/>
  <c r="I69" i="140"/>
  <c r="S69" i="193"/>
  <c r="AE69" i="193" s="1"/>
  <c r="H17" i="147"/>
  <c r="S116" i="193"/>
  <c r="AE116" i="193" s="1"/>
  <c r="I116" i="140"/>
  <c r="H57" i="147"/>
  <c r="S82" i="193"/>
  <c r="AE82" i="193" s="1"/>
  <c r="I82" i="140"/>
  <c r="H32" i="147"/>
  <c r="S146" i="193"/>
  <c r="AE146" i="193" s="1"/>
  <c r="I146" i="140"/>
  <c r="H28" i="148"/>
  <c r="S143" i="193"/>
  <c r="AE143" i="193" s="1"/>
  <c r="I143" i="140"/>
  <c r="H25" i="148"/>
  <c r="E264" i="182"/>
  <c r="F264" i="182" s="1"/>
  <c r="L188" i="157"/>
  <c r="M188" i="157" s="1"/>
  <c r="J188" i="157"/>
  <c r="J73" i="157"/>
  <c r="L73" i="157"/>
  <c r="M73" i="157" s="1"/>
  <c r="E118" i="182"/>
  <c r="F118" i="182" s="1"/>
  <c r="X19" i="147"/>
  <c r="Z19" i="147"/>
  <c r="E244" i="182"/>
  <c r="F244" i="182" s="1"/>
  <c r="L168" i="157"/>
  <c r="M168" i="157" s="1"/>
  <c r="J168" i="157"/>
  <c r="L148" i="157"/>
  <c r="M148" i="157" s="1"/>
  <c r="E209" i="182"/>
  <c r="F209" i="182" s="1"/>
  <c r="J148" i="157"/>
  <c r="J190" i="157"/>
  <c r="E266" i="182"/>
  <c r="F266" i="182" s="1"/>
  <c r="L190" i="157"/>
  <c r="M190" i="157" s="1"/>
  <c r="M14" i="156"/>
  <c r="K19" i="156"/>
  <c r="M19" i="156" s="1"/>
  <c r="X17" i="147"/>
  <c r="Z17" i="147"/>
  <c r="S133" i="193"/>
  <c r="AE133" i="193" s="1"/>
  <c r="I133" i="140"/>
  <c r="H14" i="148"/>
  <c r="J75" i="157"/>
  <c r="E120" i="182"/>
  <c r="F120" i="182" s="1"/>
  <c r="L75" i="157"/>
  <c r="M75" i="157" s="1"/>
  <c r="I167" i="140"/>
  <c r="S167" i="193"/>
  <c r="AE167" i="193" s="1"/>
  <c r="H28" i="151"/>
  <c r="AB41" i="155"/>
  <c r="Z41" i="155"/>
  <c r="R11" i="182"/>
  <c r="G12" i="180"/>
  <c r="O12" i="180"/>
  <c r="I132" i="140"/>
  <c r="S132" i="193"/>
  <c r="AE132" i="193" s="1"/>
  <c r="H13" i="148"/>
  <c r="E255" i="182"/>
  <c r="F255" i="182" s="1"/>
  <c r="J179" i="157"/>
  <c r="L179" i="157"/>
  <c r="M179" i="157" s="1"/>
  <c r="I200" i="140"/>
  <c r="S200" i="193"/>
  <c r="AE200" i="193" s="1"/>
  <c r="I42" i="155"/>
  <c r="AP18" i="182"/>
  <c r="AS18" i="182" s="1"/>
  <c r="S202" i="193"/>
  <c r="AE202" i="193" s="1"/>
  <c r="I202" i="140"/>
  <c r="I44" i="155"/>
  <c r="S134" i="193"/>
  <c r="AE134" i="193" s="1"/>
  <c r="I134" i="140"/>
  <c r="H15" i="148"/>
  <c r="J79" i="157"/>
  <c r="L79" i="157"/>
  <c r="M79" i="157" s="1"/>
  <c r="E124" i="182"/>
  <c r="F124" i="182" s="1"/>
  <c r="J189" i="157"/>
  <c r="L189" i="157"/>
  <c r="M189" i="157" s="1"/>
  <c r="E265" i="182"/>
  <c r="F265" i="182" s="1"/>
  <c r="S71" i="193"/>
  <c r="AE71" i="193" s="1"/>
  <c r="I71" i="140"/>
  <c r="H19" i="147"/>
  <c r="AB18" i="155"/>
  <c r="Z18" i="155"/>
  <c r="I31" i="140"/>
  <c r="S31" i="193"/>
  <c r="AE31" i="193" s="1"/>
  <c r="H20" i="144"/>
  <c r="I123" i="140"/>
  <c r="S123" i="193"/>
  <c r="AE123" i="193" s="1"/>
  <c r="H65" i="147"/>
  <c r="I20" i="140"/>
  <c r="S20" i="193"/>
  <c r="AE20" i="193" s="1"/>
  <c r="H23" i="142"/>
  <c r="I177" i="140"/>
  <c r="S177" i="193"/>
  <c r="AE177" i="193" s="1"/>
  <c r="I15" i="155"/>
  <c r="S166" i="193"/>
  <c r="AE166" i="193" s="1"/>
  <c r="I166" i="140"/>
  <c r="H27" i="151"/>
  <c r="I183" i="140"/>
  <c r="S183" i="193"/>
  <c r="AE183" i="193" s="1"/>
  <c r="I22" i="155"/>
  <c r="I61" i="140"/>
  <c r="S61" i="193"/>
  <c r="AE61" i="193" s="1"/>
  <c r="H28" i="145"/>
  <c r="AB49" i="155"/>
  <c r="Z49" i="155"/>
  <c r="P17" i="182"/>
  <c r="T17" i="182"/>
  <c r="AF62" i="147"/>
  <c r="AD72" i="147"/>
  <c r="AF72" i="147" s="1"/>
  <c r="E205" i="182"/>
  <c r="F205" i="182" s="1"/>
  <c r="L144" i="157"/>
  <c r="M144" i="157" s="1"/>
  <c r="J144" i="157"/>
  <c r="Z51" i="155"/>
  <c r="AB51" i="155"/>
  <c r="W19" i="182"/>
  <c r="H27" i="180"/>
  <c r="J27" i="180" s="1"/>
  <c r="P27" i="180"/>
  <c r="AC60" i="147"/>
  <c r="AP13" i="182"/>
  <c r="AS13" i="182" s="1"/>
  <c r="AD19" i="142"/>
  <c r="AF19" i="142" s="1"/>
  <c r="AF16" i="142"/>
  <c r="AC22" i="148"/>
  <c r="I90" i="140"/>
  <c r="S90" i="193"/>
  <c r="AE90" i="193" s="1"/>
  <c r="H40" i="147"/>
  <c r="AC72" i="147"/>
  <c r="L72" i="157"/>
  <c r="M72" i="157" s="1"/>
  <c r="J72" i="157"/>
  <c r="E117" i="182"/>
  <c r="F117" i="182" s="1"/>
  <c r="AD14" i="142"/>
  <c r="AF13" i="142"/>
  <c r="Q11" i="182"/>
  <c r="F45" i="182"/>
  <c r="F11" i="182" s="1"/>
  <c r="I108" i="140"/>
  <c r="S108" i="193"/>
  <c r="AE108" i="193" s="1"/>
  <c r="H48" i="147"/>
  <c r="I196" i="140"/>
  <c r="S196" i="193"/>
  <c r="AE196" i="193" s="1"/>
  <c r="I38" i="155"/>
  <c r="AB29" i="155"/>
  <c r="Z29" i="155"/>
  <c r="N21" i="145"/>
  <c r="L32" i="145"/>
  <c r="N32" i="145" s="1"/>
  <c r="J49" i="164"/>
  <c r="L49" i="164"/>
  <c r="M49" i="164" s="1"/>
  <c r="X16" i="147"/>
  <c r="Z16" i="147"/>
  <c r="I208" i="140"/>
  <c r="S208" i="193"/>
  <c r="AE208" i="193" s="1"/>
  <c r="I50" i="155"/>
  <c r="S25" i="193"/>
  <c r="AE25" i="193" s="1"/>
  <c r="I25" i="140"/>
  <c r="H14" i="144"/>
  <c r="I72" i="140"/>
  <c r="S72" i="193"/>
  <c r="AE72" i="193" s="1"/>
  <c r="H20" i="147"/>
  <c r="S70" i="193"/>
  <c r="AE70" i="193" s="1"/>
  <c r="I70" i="140"/>
  <c r="H18" i="147"/>
  <c r="X21" i="147"/>
  <c r="Z21" i="147"/>
  <c r="L157" i="157"/>
  <c r="M157" i="157" s="1"/>
  <c r="E233" i="182"/>
  <c r="F233" i="182" s="1"/>
  <c r="J157" i="157"/>
  <c r="AB34" i="155"/>
  <c r="Z34" i="155"/>
  <c r="S110" i="193"/>
  <c r="AE110" i="193" s="1"/>
  <c r="I110" i="140"/>
  <c r="H50" i="147"/>
  <c r="I155" i="140"/>
  <c r="S155" i="193"/>
  <c r="AE155" i="193" s="1"/>
  <c r="H14" i="151"/>
  <c r="I75" i="140"/>
  <c r="S75" i="193"/>
  <c r="AE75" i="193" s="1"/>
  <c r="H24" i="147"/>
  <c r="S165" i="193"/>
  <c r="AE165" i="193" s="1"/>
  <c r="I165" i="140"/>
  <c r="H26" i="151"/>
  <c r="X30" i="151"/>
  <c r="Z30" i="151"/>
  <c r="M28" i="155"/>
  <c r="K32" i="155"/>
  <c r="AF13" i="145"/>
  <c r="AD21" i="145"/>
  <c r="L54" i="157"/>
  <c r="M54" i="157" s="1"/>
  <c r="E99" i="182"/>
  <c r="F99" i="182" s="1"/>
  <c r="J54" i="157"/>
  <c r="I171" i="140"/>
  <c r="S171" i="193"/>
  <c r="AE171" i="193" s="1"/>
  <c r="H32" i="151"/>
  <c r="I103" i="140"/>
  <c r="S103" i="193"/>
  <c r="AE103" i="193" s="1"/>
  <c r="H43" i="147"/>
  <c r="I194" i="140"/>
  <c r="S194" i="193"/>
  <c r="AE194" i="193" s="1"/>
  <c r="I35" i="155"/>
  <c r="L47" i="164"/>
  <c r="M47" i="164" s="1"/>
  <c r="J47" i="164"/>
  <c r="J163" i="157"/>
  <c r="L163" i="157"/>
  <c r="M163" i="157" s="1"/>
  <c r="E239" i="182"/>
  <c r="F239" i="182" s="1"/>
  <c r="L24" i="147"/>
  <c r="J29" i="147"/>
  <c r="X13" i="147"/>
  <c r="Z13" i="147"/>
  <c r="AD25" i="142"/>
  <c r="AF25" i="142" s="1"/>
  <c r="AF21" i="142"/>
  <c r="I59" i="140"/>
  <c r="S59" i="193"/>
  <c r="AE59" i="193" s="1"/>
  <c r="H26" i="145"/>
  <c r="S14" i="193"/>
  <c r="AE14" i="193" s="1"/>
  <c r="I14" i="140"/>
  <c r="H16" i="142"/>
  <c r="AB28" i="155"/>
  <c r="Z28" i="155"/>
  <c r="L64" i="157"/>
  <c r="M64" i="157" s="1"/>
  <c r="J64" i="157"/>
  <c r="E109" i="182"/>
  <c r="F109" i="182" s="1"/>
  <c r="J185" i="157"/>
  <c r="E261" i="182"/>
  <c r="F261" i="182" s="1"/>
  <c r="L185" i="157"/>
  <c r="M185" i="157" s="1"/>
  <c r="X35" i="147"/>
  <c r="Z35" i="147"/>
  <c r="S79" i="193"/>
  <c r="AE79" i="193" s="1"/>
  <c r="I79" i="140"/>
  <c r="H28" i="147"/>
  <c r="X38" i="147"/>
  <c r="Z38" i="147"/>
  <c r="F95" i="182"/>
  <c r="F13" i="182" s="1"/>
  <c r="Q13" i="182"/>
  <c r="Z21" i="151"/>
  <c r="Z22" i="151" s="1"/>
  <c r="X21" i="151"/>
  <c r="L170" i="157"/>
  <c r="M170" i="157" s="1"/>
  <c r="E246" i="182"/>
  <c r="F246" i="182" s="1"/>
  <c r="J170" i="157"/>
  <c r="L187" i="157"/>
  <c r="M187" i="157" s="1"/>
  <c r="E263" i="182"/>
  <c r="F263" i="182" s="1"/>
  <c r="J187" i="157"/>
  <c r="L58" i="157"/>
  <c r="M58" i="157" s="1"/>
  <c r="J58" i="157"/>
  <c r="E103" i="182"/>
  <c r="F103" i="182" s="1"/>
  <c r="L21" i="151"/>
  <c r="J22" i="151"/>
  <c r="AB23" i="155"/>
  <c r="Z23" i="155"/>
  <c r="L161" i="157"/>
  <c r="M161" i="157" s="1"/>
  <c r="J161" i="157"/>
  <c r="E237" i="182"/>
  <c r="F237" i="182" s="1"/>
  <c r="AP16" i="182"/>
  <c r="AS16" i="182" s="1"/>
  <c r="S164" i="193"/>
  <c r="AE164" i="193" s="1"/>
  <c r="I164" i="140"/>
  <c r="H25" i="151"/>
  <c r="S67" i="193"/>
  <c r="AE67" i="193" s="1"/>
  <c r="I67" i="140"/>
  <c r="H15" i="147"/>
  <c r="S28" i="193"/>
  <c r="AE28" i="193" s="1"/>
  <c r="I28" i="140"/>
  <c r="H17" i="144"/>
  <c r="I117" i="140"/>
  <c r="S117" i="193"/>
  <c r="AE117" i="193" s="1"/>
  <c r="H58" i="147"/>
  <c r="I12" i="140"/>
  <c r="S12" i="193"/>
  <c r="AE12" i="193" s="1"/>
  <c r="H13" i="142"/>
  <c r="I184" i="140"/>
  <c r="S184" i="193"/>
  <c r="AE184" i="193" s="1"/>
  <c r="I23" i="155"/>
  <c r="I126" i="140"/>
  <c r="S126" i="193"/>
  <c r="AE126" i="193" s="1"/>
  <c r="H68" i="147"/>
  <c r="S205" i="193"/>
  <c r="AE205" i="193" s="1"/>
  <c r="I205" i="140"/>
  <c r="I47" i="155"/>
  <c r="I54" i="140"/>
  <c r="S54" i="193"/>
  <c r="AE54" i="193" s="1"/>
  <c r="H20" i="145"/>
  <c r="Z34" i="147"/>
  <c r="X34" i="147"/>
  <c r="X33" i="147"/>
  <c r="Z33" i="147"/>
  <c r="Z36" i="147"/>
  <c r="X36" i="147"/>
  <c r="E257" i="182"/>
  <c r="F257" i="182" s="1"/>
  <c r="J181" i="157"/>
  <c r="L181" i="157"/>
  <c r="M181" i="157" s="1"/>
  <c r="S13" i="180"/>
  <c r="T27" i="180" l="1"/>
  <c r="V27" i="180" s="1"/>
  <c r="AC32" i="145"/>
  <c r="R19" i="180" s="1"/>
  <c r="K56" i="155"/>
  <c r="E25" i="180" s="1"/>
  <c r="AB36" i="147"/>
  <c r="AD36" i="147" s="1"/>
  <c r="AF36" i="147" s="1"/>
  <c r="Y36" i="147"/>
  <c r="AC36" i="147" s="1"/>
  <c r="K59" i="147"/>
  <c r="M59" i="147" s="1"/>
  <c r="O59" i="147" s="1"/>
  <c r="W59" i="147"/>
  <c r="AA59" i="147" s="1"/>
  <c r="AE59" i="147" s="1"/>
  <c r="AG59" i="147" s="1"/>
  <c r="AD35" i="155"/>
  <c r="AF35" i="155" s="1"/>
  <c r="AH35" i="155" s="1"/>
  <c r="AA35" i="155"/>
  <c r="AE35" i="155" s="1"/>
  <c r="K21" i="142"/>
  <c r="W21" i="142"/>
  <c r="AA21" i="142" s="1"/>
  <c r="Y44" i="155"/>
  <c r="AC44" i="155" s="1"/>
  <c r="L44" i="155"/>
  <c r="N44" i="155" s="1"/>
  <c r="P44" i="155" s="1"/>
  <c r="K40" i="147"/>
  <c r="M40" i="147" s="1"/>
  <c r="O40" i="147" s="1"/>
  <c r="W40" i="147"/>
  <c r="AA40" i="147" s="1"/>
  <c r="W22" i="144"/>
  <c r="AA22" i="144" s="1"/>
  <c r="AE22" i="144" s="1"/>
  <c r="AG22" i="144" s="1"/>
  <c r="K22" i="144"/>
  <c r="M22" i="144" s="1"/>
  <c r="O22" i="144" s="1"/>
  <c r="K26" i="148"/>
  <c r="M26" i="148" s="1"/>
  <c r="O26" i="148" s="1"/>
  <c r="W26" i="148"/>
  <c r="AA26" i="148" s="1"/>
  <c r="AE26" i="148" s="1"/>
  <c r="AG26" i="148" s="1"/>
  <c r="K67" i="147"/>
  <c r="M67" i="147" s="1"/>
  <c r="O67" i="147" s="1"/>
  <c r="W67" i="147"/>
  <c r="AA67" i="147" s="1"/>
  <c r="AE67" i="147" s="1"/>
  <c r="AG67" i="147" s="1"/>
  <c r="AB28" i="151"/>
  <c r="AD28" i="151" s="1"/>
  <c r="AF28" i="151" s="1"/>
  <c r="Y28" i="151"/>
  <c r="AC28" i="151" s="1"/>
  <c r="AA15" i="153"/>
  <c r="R24" i="180" s="1"/>
  <c r="Y14" i="155"/>
  <c r="AC14" i="155" s="1"/>
  <c r="L14" i="155"/>
  <c r="N14" i="155" s="1"/>
  <c r="P14" i="155" s="1"/>
  <c r="AB13" i="151"/>
  <c r="Y13" i="151"/>
  <c r="AC13" i="151" s="1"/>
  <c r="AB28" i="147"/>
  <c r="AD28" i="147" s="1"/>
  <c r="AF28" i="147" s="1"/>
  <c r="Y28" i="147"/>
  <c r="AC28" i="147" s="1"/>
  <c r="W31" i="147"/>
  <c r="AA31" i="147" s="1"/>
  <c r="K31" i="147"/>
  <c r="AD43" i="155"/>
  <c r="AF43" i="155" s="1"/>
  <c r="AH43" i="155" s="1"/>
  <c r="AA43" i="155"/>
  <c r="AE43" i="155" s="1"/>
  <c r="W17" i="145"/>
  <c r="AA17" i="145" s="1"/>
  <c r="AE17" i="145" s="1"/>
  <c r="AG17" i="145" s="1"/>
  <c r="K17" i="145"/>
  <c r="M17" i="145" s="1"/>
  <c r="O17" i="145" s="1"/>
  <c r="Z34" i="151"/>
  <c r="Y38" i="155"/>
  <c r="AC38" i="155" s="1"/>
  <c r="L38" i="155"/>
  <c r="AB19" i="147"/>
  <c r="AD19" i="147" s="1"/>
  <c r="AF19" i="147" s="1"/>
  <c r="Y19" i="147"/>
  <c r="AC19" i="147" s="1"/>
  <c r="AB25" i="151"/>
  <c r="AD25" i="151" s="1"/>
  <c r="AF25" i="151" s="1"/>
  <c r="Y25" i="151"/>
  <c r="AC25" i="151" s="1"/>
  <c r="W49" i="147"/>
  <c r="AA49" i="147" s="1"/>
  <c r="AE49" i="147" s="1"/>
  <c r="AG49" i="147" s="1"/>
  <c r="K49" i="147"/>
  <c r="M49" i="147" s="1"/>
  <c r="O49" i="147" s="1"/>
  <c r="Z19" i="151"/>
  <c r="AB27" i="151"/>
  <c r="AD27" i="151" s="1"/>
  <c r="AF27" i="151" s="1"/>
  <c r="Y27" i="151"/>
  <c r="AC27" i="151" s="1"/>
  <c r="W21" i="148"/>
  <c r="AA21" i="148" s="1"/>
  <c r="AE21" i="148" s="1"/>
  <c r="AG21" i="148" s="1"/>
  <c r="K21" i="148"/>
  <c r="M21" i="148" s="1"/>
  <c r="O21" i="148" s="1"/>
  <c r="AB24" i="151"/>
  <c r="Y24" i="151"/>
  <c r="AC24" i="151" s="1"/>
  <c r="R12" i="180"/>
  <c r="AC27" i="142"/>
  <c r="L41" i="155"/>
  <c r="N41" i="155" s="1"/>
  <c r="P41" i="155" s="1"/>
  <c r="Y41" i="155"/>
  <c r="AC41" i="155" s="1"/>
  <c r="Y43" i="155"/>
  <c r="AC43" i="155" s="1"/>
  <c r="L43" i="155"/>
  <c r="N43" i="155" s="1"/>
  <c r="P43" i="155" s="1"/>
  <c r="K18" i="144"/>
  <c r="M18" i="144" s="1"/>
  <c r="O18" i="144" s="1"/>
  <c r="W18" i="144"/>
  <c r="AA18" i="144" s="1"/>
  <c r="AE18" i="144" s="1"/>
  <c r="AG18" i="144" s="1"/>
  <c r="K48" i="147"/>
  <c r="M48" i="147" s="1"/>
  <c r="O48" i="147" s="1"/>
  <c r="W48" i="147"/>
  <c r="AA48" i="147" s="1"/>
  <c r="AE48" i="147" s="1"/>
  <c r="AG48" i="147" s="1"/>
  <c r="AC36" i="148"/>
  <c r="R22" i="180" s="1"/>
  <c r="W28" i="145"/>
  <c r="AA28" i="145" s="1"/>
  <c r="AE28" i="145" s="1"/>
  <c r="AG28" i="145" s="1"/>
  <c r="K28" i="145"/>
  <c r="M28" i="145" s="1"/>
  <c r="O28" i="145" s="1"/>
  <c r="W14" i="148"/>
  <c r="AA14" i="148" s="1"/>
  <c r="AE14" i="148" s="1"/>
  <c r="AG14" i="148" s="1"/>
  <c r="K14" i="148"/>
  <c r="M14" i="148" s="1"/>
  <c r="O14" i="148" s="1"/>
  <c r="W16" i="147"/>
  <c r="AA16" i="147" s="1"/>
  <c r="K16" i="147"/>
  <c r="M16" i="147" s="1"/>
  <c r="O16" i="147" s="1"/>
  <c r="AD52" i="155"/>
  <c r="AF52" i="155" s="1"/>
  <c r="AH52" i="155" s="1"/>
  <c r="AA52" i="155"/>
  <c r="AE52" i="155" s="1"/>
  <c r="AD30" i="155"/>
  <c r="AF30" i="155" s="1"/>
  <c r="AH30" i="155" s="1"/>
  <c r="AA30" i="155"/>
  <c r="AE30" i="155" s="1"/>
  <c r="S214" i="193"/>
  <c r="AE214" i="193" s="1"/>
  <c r="G13" i="153"/>
  <c r="K16" i="151"/>
  <c r="M16" i="151" s="1"/>
  <c r="O16" i="151" s="1"/>
  <c r="W16" i="151"/>
  <c r="AA16" i="151" s="1"/>
  <c r="AE16" i="151" s="1"/>
  <c r="AG16" i="151" s="1"/>
  <c r="Z29" i="147"/>
  <c r="Y53" i="155"/>
  <c r="AC53" i="155" s="1"/>
  <c r="L53" i="155"/>
  <c r="N53" i="155" s="1"/>
  <c r="P53" i="155" s="1"/>
  <c r="K13" i="142"/>
  <c r="W13" i="142"/>
  <c r="AA13" i="142" s="1"/>
  <c r="W31" i="151"/>
  <c r="AA31" i="151" s="1"/>
  <c r="K31" i="151"/>
  <c r="M31" i="151" s="1"/>
  <c r="O31" i="151" s="1"/>
  <c r="K33" i="148"/>
  <c r="M33" i="148" s="1"/>
  <c r="O33" i="148" s="1"/>
  <c r="W33" i="148"/>
  <c r="AA33" i="148" s="1"/>
  <c r="AE33" i="148" s="1"/>
  <c r="AG33" i="148" s="1"/>
  <c r="AB35" i="147"/>
  <c r="AD35" i="147" s="1"/>
  <c r="AF35" i="147" s="1"/>
  <c r="Y35" i="147"/>
  <c r="AC35" i="147" s="1"/>
  <c r="AB54" i="155"/>
  <c r="AB32" i="151"/>
  <c r="AD32" i="151" s="1"/>
  <c r="AF32" i="151" s="1"/>
  <c r="Y32" i="151"/>
  <c r="AC32" i="151" s="1"/>
  <c r="L16" i="155"/>
  <c r="N16" i="155" s="1"/>
  <c r="P16" i="155" s="1"/>
  <c r="Y16" i="155"/>
  <c r="AC16" i="155" s="1"/>
  <c r="K24" i="148"/>
  <c r="W24" i="148"/>
  <c r="AA24" i="148" s="1"/>
  <c r="Y30" i="155"/>
  <c r="AC30" i="155" s="1"/>
  <c r="L30" i="155"/>
  <c r="N30" i="155" s="1"/>
  <c r="P30" i="155" s="1"/>
  <c r="AB15" i="151"/>
  <c r="AD15" i="151" s="1"/>
  <c r="AF15" i="151" s="1"/>
  <c r="Y15" i="151"/>
  <c r="AC15" i="151" s="1"/>
  <c r="K24" i="151"/>
  <c r="W24" i="151"/>
  <c r="AA24" i="151" s="1"/>
  <c r="K63" i="147"/>
  <c r="M63" i="147" s="1"/>
  <c r="O63" i="147" s="1"/>
  <c r="W63" i="147"/>
  <c r="AA63" i="147" s="1"/>
  <c r="AE63" i="147" s="1"/>
  <c r="AG63" i="147" s="1"/>
  <c r="AB33" i="147"/>
  <c r="AD33" i="147" s="1"/>
  <c r="AF33" i="147" s="1"/>
  <c r="Y33" i="147"/>
  <c r="AC33" i="147" s="1"/>
  <c r="AB30" i="151"/>
  <c r="AD30" i="151" s="1"/>
  <c r="AF30" i="151" s="1"/>
  <c r="Y30" i="151"/>
  <c r="AC30" i="151" s="1"/>
  <c r="W17" i="147"/>
  <c r="AA17" i="147" s="1"/>
  <c r="K17" i="147"/>
  <c r="M17" i="147" s="1"/>
  <c r="O17" i="147" s="1"/>
  <c r="W31" i="148"/>
  <c r="AA31" i="148" s="1"/>
  <c r="AE31" i="148" s="1"/>
  <c r="AG31" i="148" s="1"/>
  <c r="K31" i="148"/>
  <c r="M31" i="148" s="1"/>
  <c r="O31" i="148" s="1"/>
  <c r="W20" i="147"/>
  <c r="AA20" i="147" s="1"/>
  <c r="K20" i="147"/>
  <c r="M20" i="147" s="1"/>
  <c r="O20" i="147" s="1"/>
  <c r="F213" i="182"/>
  <c r="L51" i="155"/>
  <c r="N51" i="155" s="1"/>
  <c r="P51" i="155" s="1"/>
  <c r="Y51" i="155"/>
  <c r="AC51" i="155" s="1"/>
  <c r="AB39" i="147"/>
  <c r="AD39" i="147" s="1"/>
  <c r="AF39" i="147" s="1"/>
  <c r="Y39" i="147"/>
  <c r="AC39" i="147" s="1"/>
  <c r="AD46" i="155"/>
  <c r="AF46" i="155" s="1"/>
  <c r="AH46" i="155" s="1"/>
  <c r="AA46" i="155"/>
  <c r="AE46" i="155" s="1"/>
  <c r="K21" i="151"/>
  <c r="W21" i="151"/>
  <c r="AA21" i="151" s="1"/>
  <c r="AA22" i="151" s="1"/>
  <c r="L47" i="155"/>
  <c r="N47" i="155" s="1"/>
  <c r="P47" i="155" s="1"/>
  <c r="Y47" i="155"/>
  <c r="AC47" i="155" s="1"/>
  <c r="W16" i="142"/>
  <c r="AA16" i="142" s="1"/>
  <c r="K16" i="142"/>
  <c r="W43" i="147"/>
  <c r="AA43" i="147" s="1"/>
  <c r="K43" i="147"/>
  <c r="W14" i="144"/>
  <c r="AA14" i="144" s="1"/>
  <c r="AE14" i="144" s="1"/>
  <c r="AG14" i="144" s="1"/>
  <c r="K14" i="144"/>
  <c r="M14" i="144" s="1"/>
  <c r="O14" i="144" s="1"/>
  <c r="AD18" i="155"/>
  <c r="AF18" i="155" s="1"/>
  <c r="AH18" i="155" s="1"/>
  <c r="AA18" i="155"/>
  <c r="AE18" i="155" s="1"/>
  <c r="W18" i="145"/>
  <c r="AA18" i="145" s="1"/>
  <c r="AE18" i="145" s="1"/>
  <c r="AG18" i="145" s="1"/>
  <c r="K18" i="145"/>
  <c r="M18" i="145" s="1"/>
  <c r="O18" i="145" s="1"/>
  <c r="W14" i="147"/>
  <c r="AA14" i="147" s="1"/>
  <c r="AE14" i="147" s="1"/>
  <c r="AG14" i="147" s="1"/>
  <c r="K14" i="147"/>
  <c r="M14" i="147" s="1"/>
  <c r="O14" i="147" s="1"/>
  <c r="K30" i="151"/>
  <c r="M30" i="151" s="1"/>
  <c r="O30" i="151" s="1"/>
  <c r="W30" i="151"/>
  <c r="AA30" i="151" s="1"/>
  <c r="AE30" i="151" s="1"/>
  <c r="AG30" i="151" s="1"/>
  <c r="W29" i="148"/>
  <c r="AA29" i="148" s="1"/>
  <c r="AE29" i="148" s="1"/>
  <c r="AG29" i="148" s="1"/>
  <c r="K29" i="148"/>
  <c r="M29" i="148" s="1"/>
  <c r="O29" i="148" s="1"/>
  <c r="W13" i="144"/>
  <c r="AA13" i="144" s="1"/>
  <c r="K13" i="144"/>
  <c r="K37" i="147"/>
  <c r="M37" i="147" s="1"/>
  <c r="O37" i="147" s="1"/>
  <c r="W37" i="147"/>
  <c r="AA37" i="147" s="1"/>
  <c r="W66" i="147"/>
  <c r="AA66" i="147" s="1"/>
  <c r="AE66" i="147" s="1"/>
  <c r="AG66" i="147" s="1"/>
  <c r="K66" i="147"/>
  <c r="M66" i="147" s="1"/>
  <c r="O66" i="147" s="1"/>
  <c r="AB24" i="147"/>
  <c r="Y24" i="147"/>
  <c r="AC24" i="147" s="1"/>
  <c r="O34" i="155"/>
  <c r="M36" i="155"/>
  <c r="O36" i="155" s="1"/>
  <c r="K33" i="147"/>
  <c r="M33" i="147" s="1"/>
  <c r="O33" i="147" s="1"/>
  <c r="W33" i="147"/>
  <c r="AA33" i="147" s="1"/>
  <c r="AE33" i="147" s="1"/>
  <c r="AG33" i="147" s="1"/>
  <c r="AB26" i="147"/>
  <c r="AD26" i="147" s="1"/>
  <c r="AF26" i="147" s="1"/>
  <c r="Y26" i="147"/>
  <c r="AC26" i="147" s="1"/>
  <c r="I217" i="140"/>
  <c r="AO11" i="182"/>
  <c r="AD29" i="155"/>
  <c r="AF29" i="155" s="1"/>
  <c r="AH29" i="155" s="1"/>
  <c r="AA29" i="155"/>
  <c r="AE29" i="155" s="1"/>
  <c r="K20" i="148"/>
  <c r="M20" i="148" s="1"/>
  <c r="O20" i="148" s="1"/>
  <c r="W20" i="148"/>
  <c r="AA20" i="148" s="1"/>
  <c r="AE20" i="148" s="1"/>
  <c r="AG20" i="148" s="1"/>
  <c r="K14" i="151"/>
  <c r="M14" i="151" s="1"/>
  <c r="O14" i="151" s="1"/>
  <c r="W14" i="151"/>
  <c r="AA14" i="151" s="1"/>
  <c r="W54" i="147"/>
  <c r="AA54" i="147" s="1"/>
  <c r="K54" i="147"/>
  <c r="K13" i="147"/>
  <c r="W13" i="147"/>
  <c r="AA13" i="147" s="1"/>
  <c r="K16" i="148"/>
  <c r="M16" i="148" s="1"/>
  <c r="O16" i="148" s="1"/>
  <c r="W16" i="148"/>
  <c r="AA16" i="148" s="1"/>
  <c r="AE16" i="148" s="1"/>
  <c r="AG16" i="148" s="1"/>
  <c r="L28" i="155"/>
  <c r="Y28" i="155"/>
  <c r="AC28" i="155" s="1"/>
  <c r="W51" i="147"/>
  <c r="AA51" i="147" s="1"/>
  <c r="AE51" i="147" s="1"/>
  <c r="AG51" i="147" s="1"/>
  <c r="K51" i="147"/>
  <c r="M51" i="147" s="1"/>
  <c r="O51" i="147" s="1"/>
  <c r="AD44" i="155"/>
  <c r="AF44" i="155" s="1"/>
  <c r="AH44" i="155" s="1"/>
  <c r="AA44" i="155"/>
  <c r="AE44" i="155" s="1"/>
  <c r="AB18" i="151"/>
  <c r="AD18" i="151" s="1"/>
  <c r="AF18" i="151" s="1"/>
  <c r="Y18" i="151"/>
  <c r="AC18" i="151" s="1"/>
  <c r="W36" i="147"/>
  <c r="AA36" i="147" s="1"/>
  <c r="AE36" i="147" s="1"/>
  <c r="AG36" i="147" s="1"/>
  <c r="K36" i="147"/>
  <c r="M36" i="147" s="1"/>
  <c r="O36" i="147" s="1"/>
  <c r="Z18" i="156"/>
  <c r="AB18" i="156" s="1"/>
  <c r="AB13" i="156"/>
  <c r="L40" i="155"/>
  <c r="N40" i="155" s="1"/>
  <c r="P40" i="155" s="1"/>
  <c r="Y40" i="155"/>
  <c r="AC40" i="155" s="1"/>
  <c r="K21" i="144"/>
  <c r="M21" i="144" s="1"/>
  <c r="O21" i="144" s="1"/>
  <c r="W21" i="144"/>
  <c r="AA21" i="144" s="1"/>
  <c r="AE21" i="144" s="1"/>
  <c r="AG21" i="144" s="1"/>
  <c r="AB27" i="147"/>
  <c r="AD27" i="147" s="1"/>
  <c r="AF27" i="147" s="1"/>
  <c r="Y27" i="147"/>
  <c r="AC27" i="147" s="1"/>
  <c r="M32" i="155"/>
  <c r="O32" i="155" s="1"/>
  <c r="O28" i="155"/>
  <c r="AB34" i="147"/>
  <c r="AD34" i="147" s="1"/>
  <c r="AF34" i="147" s="1"/>
  <c r="Y34" i="147"/>
  <c r="AC34" i="147" s="1"/>
  <c r="K24" i="147"/>
  <c r="W24" i="147"/>
  <c r="AA24" i="147" s="1"/>
  <c r="Y52" i="155"/>
  <c r="AC52" i="155" s="1"/>
  <c r="AG52" i="155" s="1"/>
  <c r="AI52" i="155" s="1"/>
  <c r="L52" i="155"/>
  <c r="N52" i="155" s="1"/>
  <c r="P52" i="155" s="1"/>
  <c r="L22" i="155"/>
  <c r="N22" i="155" s="1"/>
  <c r="P22" i="155" s="1"/>
  <c r="Y22" i="155"/>
  <c r="AC22" i="155" s="1"/>
  <c r="N13" i="147"/>
  <c r="L22" i="147"/>
  <c r="AD53" i="155"/>
  <c r="AF53" i="155" s="1"/>
  <c r="AH53" i="155" s="1"/>
  <c r="AA53" i="155"/>
  <c r="AE53" i="155" s="1"/>
  <c r="AO12" i="182"/>
  <c r="AR12" i="182" s="1"/>
  <c r="T26" i="180"/>
  <c r="V26" i="180" s="1"/>
  <c r="X19" i="182"/>
  <c r="L21" i="155"/>
  <c r="Y21" i="155"/>
  <c r="AC21" i="155" s="1"/>
  <c r="U26" i="180"/>
  <c r="K69" i="147"/>
  <c r="M69" i="147" s="1"/>
  <c r="O69" i="147" s="1"/>
  <c r="W69" i="147"/>
  <c r="AA69" i="147" s="1"/>
  <c r="AE69" i="147" s="1"/>
  <c r="AG69" i="147" s="1"/>
  <c r="K32" i="147"/>
  <c r="M32" i="147" s="1"/>
  <c r="O32" i="147" s="1"/>
  <c r="W32" i="147"/>
  <c r="AA32" i="147" s="1"/>
  <c r="Y24" i="155"/>
  <c r="AC24" i="155" s="1"/>
  <c r="L24" i="155"/>
  <c r="N24" i="155" s="1"/>
  <c r="P24" i="155" s="1"/>
  <c r="N21" i="151"/>
  <c r="L22" i="151"/>
  <c r="N22" i="151" s="1"/>
  <c r="K32" i="148"/>
  <c r="M32" i="148" s="1"/>
  <c r="O32" i="148" s="1"/>
  <c r="W32" i="148"/>
  <c r="AA32" i="148" s="1"/>
  <c r="AE32" i="148" s="1"/>
  <c r="AG32" i="148" s="1"/>
  <c r="K15" i="147"/>
  <c r="M15" i="147" s="1"/>
  <c r="O15" i="147" s="1"/>
  <c r="W15" i="147"/>
  <c r="AA15" i="147" s="1"/>
  <c r="L17" i="155"/>
  <c r="N17" i="155" s="1"/>
  <c r="P17" i="155" s="1"/>
  <c r="Y17" i="155"/>
  <c r="AC17" i="155" s="1"/>
  <c r="L50" i="155"/>
  <c r="N50" i="155" s="1"/>
  <c r="P50" i="155" s="1"/>
  <c r="Y50" i="155"/>
  <c r="AC50" i="155" s="1"/>
  <c r="P11" i="182"/>
  <c r="T11" i="182"/>
  <c r="AB17" i="147"/>
  <c r="AD17" i="147" s="1"/>
  <c r="AF17" i="147" s="1"/>
  <c r="Y17" i="147"/>
  <c r="AC17" i="147" s="1"/>
  <c r="W25" i="148"/>
  <c r="AA25" i="148" s="1"/>
  <c r="AE25" i="148" s="1"/>
  <c r="AG25" i="148" s="1"/>
  <c r="K25" i="148"/>
  <c r="M25" i="148" s="1"/>
  <c r="O25" i="148" s="1"/>
  <c r="J74" i="147"/>
  <c r="E20" i="180" s="1"/>
  <c r="K13" i="145"/>
  <c r="W13" i="145"/>
  <c r="AA13" i="145" s="1"/>
  <c r="AO14" i="182"/>
  <c r="AR14" i="182" s="1"/>
  <c r="K19" i="145"/>
  <c r="M19" i="145" s="1"/>
  <c r="O19" i="145" s="1"/>
  <c r="W19" i="145"/>
  <c r="AA19" i="145" s="1"/>
  <c r="AE19" i="145" s="1"/>
  <c r="AG19" i="145" s="1"/>
  <c r="K17" i="148"/>
  <c r="M17" i="148" s="1"/>
  <c r="O17" i="148" s="1"/>
  <c r="W17" i="148"/>
  <c r="AA17" i="148" s="1"/>
  <c r="AE17" i="148" s="1"/>
  <c r="AG17" i="148" s="1"/>
  <c r="Y45" i="155"/>
  <c r="AC45" i="155" s="1"/>
  <c r="AG45" i="155" s="1"/>
  <c r="AI45" i="155" s="1"/>
  <c r="L45" i="155"/>
  <c r="N45" i="155" s="1"/>
  <c r="P45" i="155" s="1"/>
  <c r="K19" i="148"/>
  <c r="M19" i="148" s="1"/>
  <c r="O19" i="148" s="1"/>
  <c r="W19" i="148"/>
  <c r="AA19" i="148" s="1"/>
  <c r="AE19" i="148" s="1"/>
  <c r="AG19" i="148" s="1"/>
  <c r="AC13" i="156"/>
  <c r="AA18" i="156"/>
  <c r="AC18" i="156" s="1"/>
  <c r="W62" i="147"/>
  <c r="AA62" i="147" s="1"/>
  <c r="K62" i="147"/>
  <c r="W18" i="148"/>
  <c r="AA18" i="148" s="1"/>
  <c r="AE18" i="148" s="1"/>
  <c r="AG18" i="148" s="1"/>
  <c r="K18" i="148"/>
  <c r="M18" i="148" s="1"/>
  <c r="O18" i="148" s="1"/>
  <c r="X12" i="182"/>
  <c r="AA12" i="182" s="1"/>
  <c r="AF21" i="145"/>
  <c r="AD32" i="145"/>
  <c r="AF32" i="145" s="1"/>
  <c r="AB40" i="147"/>
  <c r="AD40" i="147" s="1"/>
  <c r="AF40" i="147" s="1"/>
  <c r="Y40" i="147"/>
  <c r="AC40" i="147" s="1"/>
  <c r="K46" i="147"/>
  <c r="M46" i="147" s="1"/>
  <c r="O46" i="147" s="1"/>
  <c r="W46" i="147"/>
  <c r="AA46" i="147" s="1"/>
  <c r="AE46" i="147" s="1"/>
  <c r="AG46" i="147" s="1"/>
  <c r="AB17" i="151"/>
  <c r="AD17" i="151" s="1"/>
  <c r="AF17" i="151" s="1"/>
  <c r="Y17" i="151"/>
  <c r="AC17" i="151" s="1"/>
  <c r="L31" i="155"/>
  <c r="N31" i="155" s="1"/>
  <c r="P31" i="155" s="1"/>
  <c r="Y31" i="155"/>
  <c r="AC31" i="155" s="1"/>
  <c r="F271" i="182"/>
  <c r="K50" i="147"/>
  <c r="M50" i="147" s="1"/>
  <c r="O50" i="147" s="1"/>
  <c r="W50" i="147"/>
  <c r="AA50" i="147" s="1"/>
  <c r="AE50" i="147" s="1"/>
  <c r="AG50" i="147" s="1"/>
  <c r="K13" i="148"/>
  <c r="W13" i="148"/>
  <c r="AA13" i="148" s="1"/>
  <c r="K16" i="144"/>
  <c r="M16" i="144" s="1"/>
  <c r="O16" i="144" s="1"/>
  <c r="W16" i="144"/>
  <c r="AA16" i="144" s="1"/>
  <c r="AE16" i="144" s="1"/>
  <c r="AG16" i="144" s="1"/>
  <c r="W38" i="147"/>
  <c r="AA38" i="147" s="1"/>
  <c r="K38" i="147"/>
  <c r="M38" i="147" s="1"/>
  <c r="O38" i="147" s="1"/>
  <c r="X13" i="182"/>
  <c r="AA13" i="182" s="1"/>
  <c r="AO13" i="182"/>
  <c r="AR13" i="182" s="1"/>
  <c r="W18" i="142"/>
  <c r="AA18" i="142" s="1"/>
  <c r="AE18" i="142" s="1"/>
  <c r="AG18" i="142" s="1"/>
  <c r="K18" i="142"/>
  <c r="M18" i="142" s="1"/>
  <c r="O18" i="142" s="1"/>
  <c r="AB32" i="147"/>
  <c r="AD32" i="147" s="1"/>
  <c r="AF32" i="147" s="1"/>
  <c r="Y32" i="147"/>
  <c r="AC32" i="147" s="1"/>
  <c r="W34" i="147"/>
  <c r="AA34" i="147" s="1"/>
  <c r="AE34" i="147" s="1"/>
  <c r="AG34" i="147" s="1"/>
  <c r="K34" i="147"/>
  <c r="M34" i="147" s="1"/>
  <c r="O34" i="147" s="1"/>
  <c r="AB18" i="147"/>
  <c r="AD18" i="147" s="1"/>
  <c r="AF18" i="147" s="1"/>
  <c r="Y18" i="147"/>
  <c r="AC18" i="147" s="1"/>
  <c r="AD15" i="155"/>
  <c r="AF15" i="155" s="1"/>
  <c r="AH15" i="155" s="1"/>
  <c r="AA15" i="155"/>
  <c r="AE15" i="155" s="1"/>
  <c r="W44" i="147"/>
  <c r="AA44" i="147" s="1"/>
  <c r="AE44" i="147" s="1"/>
  <c r="AG44" i="147" s="1"/>
  <c r="K44" i="147"/>
  <c r="M44" i="147" s="1"/>
  <c r="O44" i="147" s="1"/>
  <c r="AD50" i="155"/>
  <c r="AF50" i="155" s="1"/>
  <c r="AH50" i="155" s="1"/>
  <c r="AA50" i="155"/>
  <c r="AE50" i="155" s="1"/>
  <c r="U27" i="180"/>
  <c r="W24" i="142"/>
  <c r="AA24" i="142" s="1"/>
  <c r="AE24" i="142" s="1"/>
  <c r="AG24" i="142" s="1"/>
  <c r="K24" i="142"/>
  <c r="M24" i="142" s="1"/>
  <c r="O24" i="142" s="1"/>
  <c r="Y29" i="155"/>
  <c r="AC29" i="155" s="1"/>
  <c r="L29" i="155"/>
  <c r="N29" i="155" s="1"/>
  <c r="P29" i="155" s="1"/>
  <c r="K70" i="147"/>
  <c r="M70" i="147" s="1"/>
  <c r="O70" i="147" s="1"/>
  <c r="W70" i="147"/>
  <c r="AA70" i="147" s="1"/>
  <c r="AE70" i="147" s="1"/>
  <c r="AG70" i="147" s="1"/>
  <c r="K17" i="142"/>
  <c r="M17" i="142" s="1"/>
  <c r="O17" i="142" s="1"/>
  <c r="W17" i="142"/>
  <c r="AA17" i="142" s="1"/>
  <c r="AE17" i="142" s="1"/>
  <c r="AG17" i="142" s="1"/>
  <c r="AD40" i="155"/>
  <c r="AF40" i="155" s="1"/>
  <c r="AH40" i="155" s="1"/>
  <c r="AA40" i="155"/>
  <c r="AE40" i="155" s="1"/>
  <c r="AB20" i="147"/>
  <c r="AD20" i="147" s="1"/>
  <c r="AF20" i="147" s="1"/>
  <c r="Y20" i="147"/>
  <c r="AC20" i="147" s="1"/>
  <c r="AD49" i="155"/>
  <c r="AF49" i="155" s="1"/>
  <c r="AH49" i="155" s="1"/>
  <c r="AA49" i="155"/>
  <c r="AE49" i="155" s="1"/>
  <c r="L41" i="147"/>
  <c r="N41" i="147" s="1"/>
  <c r="N31" i="147"/>
  <c r="AD22" i="155"/>
  <c r="AF22" i="155" s="1"/>
  <c r="AH22" i="155" s="1"/>
  <c r="AA22" i="155"/>
  <c r="AE22" i="155" s="1"/>
  <c r="K32" i="151"/>
  <c r="M32" i="151" s="1"/>
  <c r="O32" i="151" s="1"/>
  <c r="W32" i="151"/>
  <c r="AA32" i="151" s="1"/>
  <c r="AF14" i="142"/>
  <c r="AD27" i="142"/>
  <c r="AF27" i="142" s="1"/>
  <c r="W27" i="151"/>
  <c r="AA27" i="151" s="1"/>
  <c r="AE27" i="151" s="1"/>
  <c r="AG27" i="151" s="1"/>
  <c r="K27" i="151"/>
  <c r="M27" i="151" s="1"/>
  <c r="O27" i="151" s="1"/>
  <c r="AB37" i="147"/>
  <c r="AD37" i="147" s="1"/>
  <c r="AF37" i="147" s="1"/>
  <c r="Y37" i="147"/>
  <c r="AC37" i="147" s="1"/>
  <c r="AB14" i="151"/>
  <c r="AD14" i="151" s="1"/>
  <c r="AF14" i="151" s="1"/>
  <c r="Y14" i="151"/>
  <c r="AC14" i="151" s="1"/>
  <c r="AD31" i="155"/>
  <c r="AF31" i="155" s="1"/>
  <c r="AH31" i="155" s="1"/>
  <c r="AA31" i="155"/>
  <c r="AE31" i="155" s="1"/>
  <c r="AD39" i="155"/>
  <c r="AF39" i="155" s="1"/>
  <c r="AH39" i="155" s="1"/>
  <c r="AA39" i="155"/>
  <c r="AE39" i="155" s="1"/>
  <c r="Y25" i="155"/>
  <c r="AC25" i="155" s="1"/>
  <c r="AG25" i="155" s="1"/>
  <c r="AI25" i="155" s="1"/>
  <c r="L25" i="155"/>
  <c r="N25" i="155" s="1"/>
  <c r="P25" i="155" s="1"/>
  <c r="Z19" i="156"/>
  <c r="AB19" i="156" s="1"/>
  <c r="AB14" i="156"/>
  <c r="AB13" i="147"/>
  <c r="Y13" i="147"/>
  <c r="AC13" i="147" s="1"/>
  <c r="K23" i="142"/>
  <c r="M23" i="142" s="1"/>
  <c r="O23" i="142" s="1"/>
  <c r="W23" i="142"/>
  <c r="AA23" i="142" s="1"/>
  <c r="AE23" i="142" s="1"/>
  <c r="AG23" i="142" s="1"/>
  <c r="W47" i="147"/>
  <c r="AA47" i="147" s="1"/>
  <c r="AE47" i="147" s="1"/>
  <c r="AG47" i="147" s="1"/>
  <c r="K47" i="147"/>
  <c r="M47" i="147" s="1"/>
  <c r="O47" i="147" s="1"/>
  <c r="K26" i="151"/>
  <c r="M26" i="151" s="1"/>
  <c r="O26" i="151" s="1"/>
  <c r="W26" i="151"/>
  <c r="AA26" i="151" s="1"/>
  <c r="P13" i="182"/>
  <c r="T13" i="182"/>
  <c r="K33" i="151"/>
  <c r="M33" i="151" s="1"/>
  <c r="O33" i="151" s="1"/>
  <c r="W33" i="151"/>
  <c r="AA33" i="151" s="1"/>
  <c r="Y48" i="155"/>
  <c r="AC48" i="155" s="1"/>
  <c r="L48" i="155"/>
  <c r="N48" i="155" s="1"/>
  <c r="P48" i="155" s="1"/>
  <c r="L46" i="155"/>
  <c r="N46" i="155" s="1"/>
  <c r="P46" i="155" s="1"/>
  <c r="Y46" i="155"/>
  <c r="AC46" i="155" s="1"/>
  <c r="W39" i="147"/>
  <c r="AA39" i="147" s="1"/>
  <c r="K39" i="147"/>
  <c r="M39" i="147" s="1"/>
  <c r="O39" i="147" s="1"/>
  <c r="Z41" i="147"/>
  <c r="L34" i="155"/>
  <c r="Y34" i="155"/>
  <c r="AC34" i="155" s="1"/>
  <c r="W45" i="147"/>
  <c r="AA45" i="147" s="1"/>
  <c r="AE45" i="147" s="1"/>
  <c r="AG45" i="147" s="1"/>
  <c r="K45" i="147"/>
  <c r="M45" i="147" s="1"/>
  <c r="O45" i="147" s="1"/>
  <c r="W15" i="145"/>
  <c r="AA15" i="145" s="1"/>
  <c r="AE15" i="145" s="1"/>
  <c r="AG15" i="145" s="1"/>
  <c r="K15" i="145"/>
  <c r="M15" i="145" s="1"/>
  <c r="O15" i="145" s="1"/>
  <c r="K15" i="151"/>
  <c r="M15" i="151" s="1"/>
  <c r="O15" i="151" s="1"/>
  <c r="W15" i="151"/>
  <c r="AA15" i="151" s="1"/>
  <c r="Y13" i="155"/>
  <c r="AC13" i="155" s="1"/>
  <c r="L13" i="155"/>
  <c r="AB33" i="151"/>
  <c r="AD33" i="151" s="1"/>
  <c r="AF33" i="151" s="1"/>
  <c r="Y33" i="151"/>
  <c r="AC33" i="151" s="1"/>
  <c r="K17" i="151"/>
  <c r="M17" i="151" s="1"/>
  <c r="O17" i="151" s="1"/>
  <c r="W17" i="151"/>
  <c r="AA17" i="151" s="1"/>
  <c r="W64" i="147"/>
  <c r="AA64" i="147" s="1"/>
  <c r="AE64" i="147" s="1"/>
  <c r="AG64" i="147" s="1"/>
  <c r="K64" i="147"/>
  <c r="M64" i="147" s="1"/>
  <c r="O64" i="147" s="1"/>
  <c r="W15" i="144"/>
  <c r="AA15" i="144" s="1"/>
  <c r="AE15" i="144" s="1"/>
  <c r="AG15" i="144" s="1"/>
  <c r="K15" i="144"/>
  <c r="M15" i="144" s="1"/>
  <c r="O15" i="144" s="1"/>
  <c r="C13" i="181"/>
  <c r="C16" i="181"/>
  <c r="B16" i="181" s="1"/>
  <c r="D24" i="181"/>
  <c r="C15" i="181"/>
  <c r="B15" i="181" s="1"/>
  <c r="AD38" i="155"/>
  <c r="AA38" i="155"/>
  <c r="AE38" i="155" s="1"/>
  <c r="AB16" i="151"/>
  <c r="AD16" i="151" s="1"/>
  <c r="AF16" i="151" s="1"/>
  <c r="Y16" i="151"/>
  <c r="AC16" i="151" s="1"/>
  <c r="AD14" i="155"/>
  <c r="AF14" i="155" s="1"/>
  <c r="AH14" i="155" s="1"/>
  <c r="AA14" i="155"/>
  <c r="AE14" i="155" s="1"/>
  <c r="W15" i="148"/>
  <c r="AA15" i="148" s="1"/>
  <c r="AE15" i="148" s="1"/>
  <c r="AG15" i="148" s="1"/>
  <c r="K15" i="148"/>
  <c r="M15" i="148" s="1"/>
  <c r="O15" i="148" s="1"/>
  <c r="AO16" i="182"/>
  <c r="AR16" i="182" s="1"/>
  <c r="W57" i="147"/>
  <c r="AA57" i="147" s="1"/>
  <c r="AE57" i="147" s="1"/>
  <c r="AG57" i="147" s="1"/>
  <c r="K57" i="147"/>
  <c r="M57" i="147" s="1"/>
  <c r="O57" i="147" s="1"/>
  <c r="W29" i="145"/>
  <c r="AA29" i="145" s="1"/>
  <c r="AE29" i="145" s="1"/>
  <c r="AG29" i="145" s="1"/>
  <c r="K29" i="145"/>
  <c r="M29" i="145" s="1"/>
  <c r="O29" i="145" s="1"/>
  <c r="AB26" i="155"/>
  <c r="K27" i="148"/>
  <c r="M27" i="148" s="1"/>
  <c r="O27" i="148" s="1"/>
  <c r="W27" i="148"/>
  <c r="AA27" i="148" s="1"/>
  <c r="AE27" i="148" s="1"/>
  <c r="AG27" i="148" s="1"/>
  <c r="AD42" i="155"/>
  <c r="AF42" i="155" s="1"/>
  <c r="AH42" i="155" s="1"/>
  <c r="AA42" i="155"/>
  <c r="AE42" i="155" s="1"/>
  <c r="W35" i="147"/>
  <c r="AA35" i="147" s="1"/>
  <c r="AE35" i="147" s="1"/>
  <c r="AG35" i="147" s="1"/>
  <c r="K35" i="147"/>
  <c r="M35" i="147" s="1"/>
  <c r="O35" i="147" s="1"/>
  <c r="AB21" i="147"/>
  <c r="AD21" i="147" s="1"/>
  <c r="AF21" i="147" s="1"/>
  <c r="Y21" i="147"/>
  <c r="AC21" i="147" s="1"/>
  <c r="W28" i="151"/>
  <c r="AA28" i="151" s="1"/>
  <c r="K28" i="151"/>
  <c r="M28" i="151" s="1"/>
  <c r="O28" i="151" s="1"/>
  <c r="M26" i="155"/>
  <c r="O26" i="155" s="1"/>
  <c r="O21" i="155"/>
  <c r="Y18" i="155"/>
  <c r="AC18" i="155" s="1"/>
  <c r="L18" i="155"/>
  <c r="N18" i="155" s="1"/>
  <c r="P18" i="155" s="1"/>
  <c r="K18" i="147"/>
  <c r="M18" i="147" s="1"/>
  <c r="O18" i="147" s="1"/>
  <c r="W18" i="147"/>
  <c r="AA18" i="147" s="1"/>
  <c r="W65" i="147"/>
  <c r="AA65" i="147" s="1"/>
  <c r="AE65" i="147" s="1"/>
  <c r="AG65" i="147" s="1"/>
  <c r="K65" i="147"/>
  <c r="M65" i="147" s="1"/>
  <c r="O65" i="147" s="1"/>
  <c r="K21" i="147"/>
  <c r="M21" i="147" s="1"/>
  <c r="O21" i="147" s="1"/>
  <c r="W21" i="147"/>
  <c r="AA21" i="147" s="1"/>
  <c r="K17" i="144"/>
  <c r="M17" i="144" s="1"/>
  <c r="O17" i="144" s="1"/>
  <c r="W17" i="144"/>
  <c r="AA17" i="144" s="1"/>
  <c r="AE17" i="144" s="1"/>
  <c r="AG17" i="144" s="1"/>
  <c r="K71" i="147"/>
  <c r="M71" i="147" s="1"/>
  <c r="O71" i="147" s="1"/>
  <c r="W71" i="147"/>
  <c r="AA71" i="147" s="1"/>
  <c r="AE71" i="147" s="1"/>
  <c r="AG71" i="147" s="1"/>
  <c r="K19" i="144"/>
  <c r="M19" i="144" s="1"/>
  <c r="O19" i="144" s="1"/>
  <c r="W19" i="144"/>
  <c r="AA19" i="144" s="1"/>
  <c r="AE19" i="144" s="1"/>
  <c r="AG19" i="144" s="1"/>
  <c r="AB21" i="151"/>
  <c r="Y21" i="151"/>
  <c r="AC21" i="151" s="1"/>
  <c r="W19" i="147"/>
  <c r="AA19" i="147" s="1"/>
  <c r="K19" i="147"/>
  <c r="M19" i="147" s="1"/>
  <c r="O19" i="147" s="1"/>
  <c r="W68" i="147"/>
  <c r="AA68" i="147" s="1"/>
  <c r="AE68" i="147" s="1"/>
  <c r="AG68" i="147" s="1"/>
  <c r="K68" i="147"/>
  <c r="M68" i="147" s="1"/>
  <c r="O68" i="147" s="1"/>
  <c r="Y23" i="155"/>
  <c r="AC23" i="155" s="1"/>
  <c r="L23" i="155"/>
  <c r="N23" i="155" s="1"/>
  <c r="P23" i="155" s="1"/>
  <c r="AB38" i="147"/>
  <c r="AD38" i="147" s="1"/>
  <c r="AF38" i="147" s="1"/>
  <c r="Y38" i="147"/>
  <c r="AC38" i="147" s="1"/>
  <c r="AO15" i="182"/>
  <c r="AR15" i="182" s="1"/>
  <c r="W28" i="147"/>
  <c r="AA28" i="147" s="1"/>
  <c r="AE28" i="147" s="1"/>
  <c r="AG28" i="147" s="1"/>
  <c r="K28" i="147"/>
  <c r="M28" i="147" s="1"/>
  <c r="O28" i="147" s="1"/>
  <c r="F153" i="182"/>
  <c r="AD34" i="155"/>
  <c r="AA34" i="155"/>
  <c r="AE34" i="155" s="1"/>
  <c r="AB16" i="147"/>
  <c r="AD16" i="147" s="1"/>
  <c r="AF16" i="147" s="1"/>
  <c r="Y16" i="147"/>
  <c r="AC16" i="147" s="1"/>
  <c r="N13" i="151"/>
  <c r="L19" i="151"/>
  <c r="AB14" i="147"/>
  <c r="AD14" i="147" s="1"/>
  <c r="AF14" i="147" s="1"/>
  <c r="Y14" i="147"/>
  <c r="AC14" i="147" s="1"/>
  <c r="K27" i="145"/>
  <c r="M27" i="145" s="1"/>
  <c r="O27" i="145" s="1"/>
  <c r="W27" i="145"/>
  <c r="AA27" i="145" s="1"/>
  <c r="AE27" i="145" s="1"/>
  <c r="AG27" i="145" s="1"/>
  <c r="AD13" i="155"/>
  <c r="AA13" i="155"/>
  <c r="AE13" i="155" s="1"/>
  <c r="AB31" i="147"/>
  <c r="Y31" i="147"/>
  <c r="AC31" i="147" s="1"/>
  <c r="AB31" i="151"/>
  <c r="AD31" i="151" s="1"/>
  <c r="AF31" i="151" s="1"/>
  <c r="Y31" i="151"/>
  <c r="AC31" i="151" s="1"/>
  <c r="AD17" i="155"/>
  <c r="AF17" i="155" s="1"/>
  <c r="AH17" i="155" s="1"/>
  <c r="AA17" i="155"/>
  <c r="AE17" i="155" s="1"/>
  <c r="P12" i="182"/>
  <c r="T12" i="182"/>
  <c r="K29" i="151"/>
  <c r="M29" i="151" s="1"/>
  <c r="O29" i="151" s="1"/>
  <c r="W29" i="151"/>
  <c r="AA29" i="151" s="1"/>
  <c r="AO18" i="182"/>
  <c r="AR18" i="182" s="1"/>
  <c r="AB25" i="147"/>
  <c r="AD25" i="147" s="1"/>
  <c r="AF25" i="147" s="1"/>
  <c r="Y25" i="147"/>
  <c r="AC25" i="147" s="1"/>
  <c r="W25" i="145"/>
  <c r="AA25" i="145" s="1"/>
  <c r="AE25" i="145" s="1"/>
  <c r="AG25" i="145" s="1"/>
  <c r="K25" i="145"/>
  <c r="M25" i="145" s="1"/>
  <c r="O25" i="145" s="1"/>
  <c r="AD25" i="155"/>
  <c r="AF25" i="155" s="1"/>
  <c r="AH25" i="155" s="1"/>
  <c r="AA25" i="155"/>
  <c r="AE25" i="155" s="1"/>
  <c r="AD51" i="155"/>
  <c r="AF51" i="155" s="1"/>
  <c r="AH51" i="155" s="1"/>
  <c r="AA51" i="155"/>
  <c r="AE51" i="155" s="1"/>
  <c r="I12" i="180"/>
  <c r="AD24" i="155"/>
  <c r="AF24" i="155" s="1"/>
  <c r="AH24" i="155" s="1"/>
  <c r="AA24" i="155"/>
  <c r="AE24" i="155" s="1"/>
  <c r="K55" i="147"/>
  <c r="M55" i="147" s="1"/>
  <c r="O55" i="147" s="1"/>
  <c r="W55" i="147"/>
  <c r="AA55" i="147" s="1"/>
  <c r="AE55" i="147" s="1"/>
  <c r="AG55" i="147" s="1"/>
  <c r="W23" i="145"/>
  <c r="AA23" i="145" s="1"/>
  <c r="K23" i="145"/>
  <c r="L39" i="155"/>
  <c r="N39" i="155" s="1"/>
  <c r="P39" i="155" s="1"/>
  <c r="Y39" i="155"/>
  <c r="AC39" i="155" s="1"/>
  <c r="AB15" i="147"/>
  <c r="AD15" i="147" s="1"/>
  <c r="AF15" i="147" s="1"/>
  <c r="Y15" i="147"/>
  <c r="AC15" i="147" s="1"/>
  <c r="W13" i="151"/>
  <c r="AA13" i="151" s="1"/>
  <c r="K13" i="151"/>
  <c r="O38" i="155"/>
  <c r="M54" i="155"/>
  <c r="O54" i="155" s="1"/>
  <c r="W27" i="147"/>
  <c r="AA27" i="147" s="1"/>
  <c r="K27" i="147"/>
  <c r="M27" i="147" s="1"/>
  <c r="O27" i="147" s="1"/>
  <c r="G25" i="180"/>
  <c r="I25" i="180" s="1"/>
  <c r="O25" i="180"/>
  <c r="R18" i="182"/>
  <c r="N24" i="147"/>
  <c r="L29" i="147"/>
  <c r="N29" i="147" s="1"/>
  <c r="AD41" i="155"/>
  <c r="AF41" i="155" s="1"/>
  <c r="AH41" i="155" s="1"/>
  <c r="AA41" i="155"/>
  <c r="AE41" i="155" s="1"/>
  <c r="W26" i="147"/>
  <c r="AA26" i="147" s="1"/>
  <c r="K26" i="147"/>
  <c r="M26" i="147" s="1"/>
  <c r="O26" i="147" s="1"/>
  <c r="M19" i="155"/>
  <c r="O13" i="155"/>
  <c r="K58" i="147"/>
  <c r="M58" i="147" s="1"/>
  <c r="O58" i="147" s="1"/>
  <c r="W58" i="147"/>
  <c r="AA58" i="147" s="1"/>
  <c r="AE58" i="147" s="1"/>
  <c r="AG58" i="147" s="1"/>
  <c r="W22" i="142"/>
  <c r="AA22" i="142" s="1"/>
  <c r="AE22" i="142" s="1"/>
  <c r="AG22" i="142" s="1"/>
  <c r="K22" i="142"/>
  <c r="M22" i="142" s="1"/>
  <c r="O22" i="142" s="1"/>
  <c r="AB29" i="151"/>
  <c r="AD29" i="151" s="1"/>
  <c r="AF29" i="151" s="1"/>
  <c r="Y29" i="151"/>
  <c r="AC29" i="151" s="1"/>
  <c r="AS11" i="182"/>
  <c r="AP20" i="182"/>
  <c r="AP21" i="182" s="1"/>
  <c r="K30" i="148"/>
  <c r="M30" i="148" s="1"/>
  <c r="O30" i="148" s="1"/>
  <c r="W30" i="148"/>
  <c r="AA30" i="148" s="1"/>
  <c r="AE30" i="148" s="1"/>
  <c r="AG30" i="148" s="1"/>
  <c r="S22" i="180"/>
  <c r="K56" i="147"/>
  <c r="M56" i="147" s="1"/>
  <c r="O56" i="147" s="1"/>
  <c r="W56" i="147"/>
  <c r="AA56" i="147" s="1"/>
  <c r="AE56" i="147" s="1"/>
  <c r="AG56" i="147" s="1"/>
  <c r="AD45" i="155"/>
  <c r="AF45" i="155" s="1"/>
  <c r="AH45" i="155" s="1"/>
  <c r="AA45" i="155"/>
  <c r="AE45" i="155" s="1"/>
  <c r="AD21" i="155"/>
  <c r="AA21" i="155"/>
  <c r="AE21" i="155" s="1"/>
  <c r="K16" i="145"/>
  <c r="M16" i="145" s="1"/>
  <c r="O16" i="145" s="1"/>
  <c r="W16" i="145"/>
  <c r="AA16" i="145" s="1"/>
  <c r="AE16" i="145" s="1"/>
  <c r="AG16" i="145" s="1"/>
  <c r="W20" i="145"/>
  <c r="AA20" i="145" s="1"/>
  <c r="AE20" i="145" s="1"/>
  <c r="AG20" i="145" s="1"/>
  <c r="K20" i="145"/>
  <c r="M20" i="145" s="1"/>
  <c r="O20" i="145" s="1"/>
  <c r="L35" i="155"/>
  <c r="N35" i="155" s="1"/>
  <c r="P35" i="155" s="1"/>
  <c r="Y35" i="155"/>
  <c r="AC35" i="155" s="1"/>
  <c r="AG35" i="155" s="1"/>
  <c r="AI35" i="155" s="1"/>
  <c r="W20" i="144"/>
  <c r="AA20" i="144" s="1"/>
  <c r="AE20" i="144" s="1"/>
  <c r="AG20" i="144" s="1"/>
  <c r="K20" i="144"/>
  <c r="M20" i="144" s="1"/>
  <c r="O20" i="144" s="1"/>
  <c r="W14" i="145"/>
  <c r="AA14" i="145" s="1"/>
  <c r="AE14" i="145" s="1"/>
  <c r="AG14" i="145" s="1"/>
  <c r="K14" i="145"/>
  <c r="M14" i="145" s="1"/>
  <c r="O14" i="145" s="1"/>
  <c r="Y49" i="155"/>
  <c r="AC49" i="155" s="1"/>
  <c r="L49" i="155"/>
  <c r="N49" i="155" s="1"/>
  <c r="P49" i="155" s="1"/>
  <c r="AD16" i="155"/>
  <c r="AF16" i="155" s="1"/>
  <c r="AH16" i="155" s="1"/>
  <c r="AA16" i="155"/>
  <c r="AE16" i="155" s="1"/>
  <c r="AD28" i="155"/>
  <c r="AA28" i="155"/>
  <c r="AE28" i="155" s="1"/>
  <c r="Y42" i="155"/>
  <c r="AC42" i="155" s="1"/>
  <c r="L42" i="155"/>
  <c r="N42" i="155" s="1"/>
  <c r="P42" i="155" s="1"/>
  <c r="AF22" i="148"/>
  <c r="AD36" i="148"/>
  <c r="AF36" i="148" s="1"/>
  <c r="AB32" i="155"/>
  <c r="K25" i="151"/>
  <c r="M25" i="151" s="1"/>
  <c r="O25" i="151" s="1"/>
  <c r="W25" i="151"/>
  <c r="AA25" i="151" s="1"/>
  <c r="W26" i="145"/>
  <c r="AA26" i="145" s="1"/>
  <c r="AE26" i="145" s="1"/>
  <c r="AG26" i="145" s="1"/>
  <c r="K26" i="145"/>
  <c r="M26" i="145" s="1"/>
  <c r="O26" i="145" s="1"/>
  <c r="K28" i="148"/>
  <c r="M28" i="148" s="1"/>
  <c r="O28" i="148" s="1"/>
  <c r="W28" i="148"/>
  <c r="AA28" i="148" s="1"/>
  <c r="AE28" i="148" s="1"/>
  <c r="AG28" i="148" s="1"/>
  <c r="AD23" i="155"/>
  <c r="AF23" i="155" s="1"/>
  <c r="AH23" i="155" s="1"/>
  <c r="AA23" i="155"/>
  <c r="AE23" i="155" s="1"/>
  <c r="Z22" i="147"/>
  <c r="AB36" i="155"/>
  <c r="L15" i="155"/>
  <c r="N15" i="155" s="1"/>
  <c r="P15" i="155" s="1"/>
  <c r="Y15" i="155"/>
  <c r="AC15" i="155" s="1"/>
  <c r="AD48" i="155"/>
  <c r="AF48" i="155" s="1"/>
  <c r="AH48" i="155" s="1"/>
  <c r="AA48" i="155"/>
  <c r="AE48" i="155" s="1"/>
  <c r="AD47" i="155"/>
  <c r="AF47" i="155" s="1"/>
  <c r="AH47" i="155" s="1"/>
  <c r="AA47" i="155"/>
  <c r="AE47" i="155" s="1"/>
  <c r="J36" i="151"/>
  <c r="E23" i="180" s="1"/>
  <c r="W24" i="145"/>
  <c r="AA24" i="145" s="1"/>
  <c r="AE24" i="145" s="1"/>
  <c r="AG24" i="145" s="1"/>
  <c r="K24" i="145"/>
  <c r="M24" i="145" s="1"/>
  <c r="O24" i="145" s="1"/>
  <c r="AB19" i="155"/>
  <c r="AB26" i="151"/>
  <c r="AD26" i="151" s="1"/>
  <c r="AF26" i="151" s="1"/>
  <c r="Y26" i="151"/>
  <c r="AC26" i="151" s="1"/>
  <c r="AA19" i="156"/>
  <c r="AC19" i="156" s="1"/>
  <c r="AC14" i="156"/>
  <c r="K25" i="147"/>
  <c r="M25" i="147" s="1"/>
  <c r="O25" i="147" s="1"/>
  <c r="W25" i="147"/>
  <c r="AA25" i="147" s="1"/>
  <c r="N24" i="151"/>
  <c r="L34" i="151"/>
  <c r="N34" i="151" s="1"/>
  <c r="K18" i="151"/>
  <c r="M18" i="151" s="1"/>
  <c r="O18" i="151" s="1"/>
  <c r="W18" i="151"/>
  <c r="AA18" i="151" s="1"/>
  <c r="S12" i="180"/>
  <c r="AG49" i="155" l="1"/>
  <c r="AI49" i="155" s="1"/>
  <c r="AE27" i="147"/>
  <c r="AG27" i="147" s="1"/>
  <c r="AG18" i="155"/>
  <c r="AI18" i="155" s="1"/>
  <c r="AE32" i="151"/>
  <c r="AG32" i="151" s="1"/>
  <c r="AG31" i="155"/>
  <c r="AI31" i="155" s="1"/>
  <c r="AG43" i="155"/>
  <c r="AI43" i="155" s="1"/>
  <c r="AG22" i="155"/>
  <c r="AI22" i="155" s="1"/>
  <c r="AG30" i="155"/>
  <c r="AI30" i="155" s="1"/>
  <c r="AG41" i="155"/>
  <c r="AI41" i="155" s="1"/>
  <c r="AE25" i="151"/>
  <c r="AG25" i="151" s="1"/>
  <c r="AE33" i="151"/>
  <c r="AG33" i="151" s="1"/>
  <c r="AA34" i="151"/>
  <c r="AG23" i="155"/>
  <c r="AI23" i="155" s="1"/>
  <c r="AG53" i="155"/>
  <c r="AI53" i="155" s="1"/>
  <c r="AE15" i="147"/>
  <c r="AG15" i="147" s="1"/>
  <c r="AG42" i="155"/>
  <c r="AI42" i="155" s="1"/>
  <c r="AE26" i="151"/>
  <c r="AG26" i="151" s="1"/>
  <c r="AE25" i="147"/>
  <c r="AG25" i="147" s="1"/>
  <c r="AG15" i="155"/>
  <c r="AI15" i="155" s="1"/>
  <c r="L74" i="147"/>
  <c r="N74" i="147" s="1"/>
  <c r="N22" i="147"/>
  <c r="AE18" i="147"/>
  <c r="AG18" i="147" s="1"/>
  <c r="AG48" i="155"/>
  <c r="AI48" i="155" s="1"/>
  <c r="AO20" i="182"/>
  <c r="AO21" i="182" s="1"/>
  <c r="AR11" i="182"/>
  <c r="F217" i="182"/>
  <c r="F16" i="182" s="1"/>
  <c r="Q16" i="182"/>
  <c r="AA34" i="148"/>
  <c r="AE24" i="148"/>
  <c r="Z74" i="147"/>
  <c r="L19" i="155"/>
  <c r="N13" i="155"/>
  <c r="AA21" i="145"/>
  <c r="AE13" i="145"/>
  <c r="AA29" i="147"/>
  <c r="M24" i="148"/>
  <c r="K34" i="148"/>
  <c r="U13" i="153"/>
  <c r="Y13" i="153" s="1"/>
  <c r="J13" i="153"/>
  <c r="AC41" i="147"/>
  <c r="AE31" i="147"/>
  <c r="AF13" i="155"/>
  <c r="AD19" i="155"/>
  <c r="AG16" i="155"/>
  <c r="AI16" i="155" s="1"/>
  <c r="K19" i="151"/>
  <c r="M13" i="151"/>
  <c r="AC22" i="151"/>
  <c r="AE21" i="151"/>
  <c r="AG29" i="155"/>
  <c r="AI29" i="155" s="1"/>
  <c r="L32" i="155"/>
  <c r="N28" i="155"/>
  <c r="AC34" i="151"/>
  <c r="AE24" i="151"/>
  <c r="M31" i="147"/>
  <c r="K41" i="147"/>
  <c r="K14" i="142"/>
  <c r="M13" i="142"/>
  <c r="AD32" i="155"/>
  <c r="AF28" i="155"/>
  <c r="R14" i="182"/>
  <c r="G20" i="180"/>
  <c r="O20" i="180"/>
  <c r="E29" i="180"/>
  <c r="E32" i="180" s="1"/>
  <c r="AA19" i="151"/>
  <c r="N19" i="151"/>
  <c r="L36" i="151"/>
  <c r="N36" i="151" s="1"/>
  <c r="AD21" i="151"/>
  <c r="AB22" i="151"/>
  <c r="AC29" i="147"/>
  <c r="AE24" i="147"/>
  <c r="M43" i="147"/>
  <c r="K52" i="147"/>
  <c r="AD24" i="151"/>
  <c r="AB34" i="151"/>
  <c r="AA41" i="147"/>
  <c r="AG44" i="155"/>
  <c r="AI44" i="155" s="1"/>
  <c r="AA25" i="142"/>
  <c r="AE21" i="142"/>
  <c r="AE32" i="155"/>
  <c r="AG28" i="155"/>
  <c r="AE19" i="155"/>
  <c r="AG13" i="155"/>
  <c r="AD54" i="155"/>
  <c r="AF38" i="155"/>
  <c r="AA22" i="147"/>
  <c r="K19" i="142"/>
  <c r="F13" i="180" s="1"/>
  <c r="M16" i="142"/>
  <c r="M21" i="142"/>
  <c r="K25" i="142"/>
  <c r="F14" i="180" s="1"/>
  <c r="AE17" i="147"/>
  <c r="AG17" i="147" s="1"/>
  <c r="M62" i="147"/>
  <c r="K72" i="147"/>
  <c r="AC26" i="155"/>
  <c r="K22" i="147"/>
  <c r="M13" i="147"/>
  <c r="AA19" i="142"/>
  <c r="AE16" i="142"/>
  <c r="AE16" i="147"/>
  <c r="AG16" i="147" s="1"/>
  <c r="AC19" i="151"/>
  <c r="AC36" i="151" s="1"/>
  <c r="R23" i="180" s="1"/>
  <c r="AE13" i="151"/>
  <c r="AC19" i="155"/>
  <c r="AE15" i="151"/>
  <c r="AG15" i="151" s="1"/>
  <c r="AB29" i="147"/>
  <c r="AD24" i="147"/>
  <c r="AE36" i="155"/>
  <c r="AG34" i="155"/>
  <c r="AC36" i="155"/>
  <c r="AC22" i="147"/>
  <c r="AE13" i="147"/>
  <c r="AA22" i="148"/>
  <c r="AA36" i="148" s="1"/>
  <c r="AE13" i="148"/>
  <c r="AA72" i="147"/>
  <c r="AE62" i="147"/>
  <c r="N21" i="155"/>
  <c r="L26" i="155"/>
  <c r="M54" i="147"/>
  <c r="K60" i="147"/>
  <c r="AE37" i="147"/>
  <c r="AG37" i="147" s="1"/>
  <c r="AG47" i="155"/>
  <c r="AI47" i="155" s="1"/>
  <c r="AB19" i="151"/>
  <c r="AD13" i="151"/>
  <c r="AG51" i="155"/>
  <c r="AI51" i="155" s="1"/>
  <c r="AE20" i="147"/>
  <c r="AG20" i="147" s="1"/>
  <c r="AE54" i="155"/>
  <c r="AG38" i="155"/>
  <c r="AA52" i="147"/>
  <c r="AE43" i="147"/>
  <c r="AG39" i="155"/>
  <c r="AI39" i="155" s="1"/>
  <c r="L36" i="155"/>
  <c r="N34" i="155"/>
  <c r="AB22" i="147"/>
  <c r="AD13" i="147"/>
  <c r="K22" i="148"/>
  <c r="M13" i="148"/>
  <c r="AA60" i="147"/>
  <c r="AE54" i="147"/>
  <c r="Z36" i="151"/>
  <c r="AA14" i="142"/>
  <c r="AE13" i="142"/>
  <c r="M24" i="151"/>
  <c r="K34" i="151"/>
  <c r="AE32" i="147"/>
  <c r="AG32" i="147" s="1"/>
  <c r="X11" i="182"/>
  <c r="AE29" i="151"/>
  <c r="AG29" i="151" s="1"/>
  <c r="AB56" i="155"/>
  <c r="AA30" i="145"/>
  <c r="AE23" i="145"/>
  <c r="B13" i="181"/>
  <c r="C24" i="181"/>
  <c r="B24" i="181" s="1"/>
  <c r="AG50" i="155"/>
  <c r="AI50" i="155" s="1"/>
  <c r="AG40" i="155"/>
  <c r="AI40" i="155" s="1"/>
  <c r="AE14" i="151"/>
  <c r="AG14" i="151" s="1"/>
  <c r="M13" i="144"/>
  <c r="K23" i="144"/>
  <c r="F15" i="180" s="1"/>
  <c r="AG14" i="155"/>
  <c r="AI14" i="155" s="1"/>
  <c r="AG46" i="155"/>
  <c r="AI46" i="155" s="1"/>
  <c r="AC54" i="155"/>
  <c r="AE18" i="151"/>
  <c r="AG18" i="151" s="1"/>
  <c r="M13" i="145"/>
  <c r="K21" i="145"/>
  <c r="AE40" i="147"/>
  <c r="AG40" i="147" s="1"/>
  <c r="AE19" i="147"/>
  <c r="AG19" i="147" s="1"/>
  <c r="AE28" i="151"/>
  <c r="AG28" i="151" s="1"/>
  <c r="AC32" i="155"/>
  <c r="AE38" i="147"/>
  <c r="AG38" i="147" s="1"/>
  <c r="AD36" i="155"/>
  <c r="AF34" i="155"/>
  <c r="O23" i="180"/>
  <c r="G23" i="180"/>
  <c r="I23" i="180" s="1"/>
  <c r="R16" i="182"/>
  <c r="AD26" i="155"/>
  <c r="AF21" i="155"/>
  <c r="AE26" i="147"/>
  <c r="AG26" i="147" s="1"/>
  <c r="AE21" i="147"/>
  <c r="AG21" i="147" s="1"/>
  <c r="AA23" i="144"/>
  <c r="AE13" i="144"/>
  <c r="AD31" i="147"/>
  <c r="AB41" i="147"/>
  <c r="AE17" i="151"/>
  <c r="AG17" i="151" s="1"/>
  <c r="N38" i="155"/>
  <c r="L54" i="155"/>
  <c r="AG24" i="155"/>
  <c r="AI24" i="155" s="1"/>
  <c r="M24" i="147"/>
  <c r="K29" i="147"/>
  <c r="O19" i="155"/>
  <c r="M56" i="155"/>
  <c r="O56" i="155" s="1"/>
  <c r="M23" i="145"/>
  <c r="K30" i="145"/>
  <c r="AE26" i="155"/>
  <c r="AG21" i="155"/>
  <c r="Q14" i="182"/>
  <c r="F157" i="182"/>
  <c r="F14" i="182" s="1"/>
  <c r="AE39" i="147"/>
  <c r="AG39" i="147" s="1"/>
  <c r="Q18" i="182"/>
  <c r="F275" i="182"/>
  <c r="F18" i="182" s="1"/>
  <c r="AG17" i="155"/>
  <c r="AI17" i="155" s="1"/>
  <c r="M21" i="151"/>
  <c r="K22" i="151"/>
  <c r="AE31" i="151"/>
  <c r="AG31" i="151" s="1"/>
  <c r="X15" i="182"/>
  <c r="AA15" i="182" s="1"/>
  <c r="X17" i="182"/>
  <c r="AA17" i="182" s="1"/>
  <c r="AA36" i="151" l="1"/>
  <c r="AA32" i="145"/>
  <c r="AC74" i="147"/>
  <c r="R20" i="180" s="1"/>
  <c r="F20" i="182"/>
  <c r="AB74" i="147"/>
  <c r="Q20" i="180" s="1"/>
  <c r="X16" i="182"/>
  <c r="AA16" i="182" s="1"/>
  <c r="AE25" i="142"/>
  <c r="AG25" i="142" s="1"/>
  <c r="AG21" i="142"/>
  <c r="S20" i="180"/>
  <c r="N19" i="155"/>
  <c r="P13" i="155"/>
  <c r="AI21" i="155"/>
  <c r="AG26" i="155"/>
  <c r="AI26" i="155" s="1"/>
  <c r="O24" i="148"/>
  <c r="M34" i="148"/>
  <c r="O34" i="148" s="1"/>
  <c r="AG13" i="145"/>
  <c r="AE21" i="145"/>
  <c r="M30" i="145"/>
  <c r="O30" i="145" s="1"/>
  <c r="O23" i="145"/>
  <c r="AF36" i="155"/>
  <c r="AH36" i="155" s="1"/>
  <c r="AH34" i="155"/>
  <c r="H14" i="180"/>
  <c r="J14" i="180" s="1"/>
  <c r="P14" i="180"/>
  <c r="AE34" i="148"/>
  <c r="AG34" i="148" s="1"/>
  <c r="AG24" i="148"/>
  <c r="AE60" i="147"/>
  <c r="AG60" i="147" s="1"/>
  <c r="AG54" i="147"/>
  <c r="AG13" i="148"/>
  <c r="AE22" i="148"/>
  <c r="X14" i="182"/>
  <c r="AA14" i="182" s="1"/>
  <c r="M25" i="142"/>
  <c r="O25" i="142" s="1"/>
  <c r="O21" i="142"/>
  <c r="AE22" i="151"/>
  <c r="AG22" i="151" s="1"/>
  <c r="AG21" i="151"/>
  <c r="J15" i="153"/>
  <c r="F24" i="180" s="1"/>
  <c r="L13" i="153"/>
  <c r="O13" i="142"/>
  <c r="M14" i="142"/>
  <c r="P21" i="155"/>
  <c r="N26" i="155"/>
  <c r="P26" i="155" s="1"/>
  <c r="AE30" i="145"/>
  <c r="AG30" i="145" s="1"/>
  <c r="AG23" i="145"/>
  <c r="M19" i="142"/>
  <c r="O19" i="142" s="1"/>
  <c r="O16" i="142"/>
  <c r="AF21" i="151"/>
  <c r="AD22" i="151"/>
  <c r="AF22" i="151" s="1"/>
  <c r="T16" i="182"/>
  <c r="P16" i="182"/>
  <c r="P28" i="155"/>
  <c r="N32" i="155"/>
  <c r="P32" i="155" s="1"/>
  <c r="M19" i="151"/>
  <c r="O13" i="151"/>
  <c r="AF32" i="155"/>
  <c r="AH32" i="155" s="1"/>
  <c r="AH28" i="155"/>
  <c r="O43" i="147"/>
  <c r="M52" i="147"/>
  <c r="O52" i="147" s="1"/>
  <c r="AE22" i="147"/>
  <c r="AG13" i="147"/>
  <c r="AA74" i="147"/>
  <c r="K36" i="151"/>
  <c r="F23" i="180" s="1"/>
  <c r="Y15" i="153"/>
  <c r="AC13" i="153"/>
  <c r="K27" i="142"/>
  <c r="F12" i="180"/>
  <c r="AD22" i="147"/>
  <c r="AF13" i="147"/>
  <c r="P34" i="155"/>
  <c r="N36" i="155"/>
  <c r="P36" i="155" s="1"/>
  <c r="N54" i="155"/>
  <c r="P54" i="155" s="1"/>
  <c r="P38" i="155"/>
  <c r="AF24" i="147"/>
  <c r="AD29" i="147"/>
  <c r="AF29" i="147" s="1"/>
  <c r="AH38" i="155"/>
  <c r="AF54" i="155"/>
  <c r="AH54" i="155" s="1"/>
  <c r="P15" i="180"/>
  <c r="W12" i="182"/>
  <c r="Z12" i="182" s="1"/>
  <c r="H15" i="180"/>
  <c r="J15" i="180" s="1"/>
  <c r="K74" i="147"/>
  <c r="F20" i="180" s="1"/>
  <c r="AG54" i="155"/>
  <c r="AI54" i="155" s="1"/>
  <c r="AI38" i="155"/>
  <c r="AD56" i="155"/>
  <c r="Q25" i="180" s="1"/>
  <c r="S25" i="180" s="1"/>
  <c r="M23" i="144"/>
  <c r="O23" i="144" s="1"/>
  <c r="O13" i="144"/>
  <c r="O13" i="148"/>
  <c r="M22" i="148"/>
  <c r="K36" i="148"/>
  <c r="F22" i="180" s="1"/>
  <c r="AF24" i="151"/>
  <c r="AD34" i="151"/>
  <c r="AF34" i="151" s="1"/>
  <c r="AG19" i="155"/>
  <c r="AI13" i="155"/>
  <c r="O29" i="180"/>
  <c r="O32" i="180" s="1"/>
  <c r="AH13" i="155"/>
  <c r="AF19" i="155"/>
  <c r="AF26" i="155"/>
  <c r="AH26" i="155" s="1"/>
  <c r="AH21" i="155"/>
  <c r="O13" i="147"/>
  <c r="M22" i="147"/>
  <c r="M41" i="147"/>
  <c r="O41" i="147" s="1"/>
  <c r="O31" i="147"/>
  <c r="AE72" i="147"/>
  <c r="AG72" i="147" s="1"/>
  <c r="AG62" i="147"/>
  <c r="O62" i="147"/>
  <c r="M72" i="147"/>
  <c r="O72" i="147" s="1"/>
  <c r="AE29" i="147"/>
  <c r="AG29" i="147" s="1"/>
  <c r="AG24" i="147"/>
  <c r="M29" i="147"/>
  <c r="O29" i="147" s="1"/>
  <c r="O24" i="147"/>
  <c r="AG43" i="147"/>
  <c r="AE52" i="147"/>
  <c r="AG52" i="147" s="1"/>
  <c r="H13" i="180"/>
  <c r="J13" i="180" s="1"/>
  <c r="P13" i="180"/>
  <c r="AA11" i="182"/>
  <c r="AF31" i="147"/>
  <c r="AD41" i="147"/>
  <c r="AF41" i="147" s="1"/>
  <c r="AE14" i="142"/>
  <c r="AG13" i="142"/>
  <c r="AF13" i="151"/>
  <c r="AD19" i="151"/>
  <c r="AC56" i="155"/>
  <c r="AE56" i="155"/>
  <c r="R25" i="180" s="1"/>
  <c r="R29" i="180" s="1"/>
  <c r="R32" i="180" s="1"/>
  <c r="I20" i="180"/>
  <c r="G29" i="180"/>
  <c r="AG31" i="147"/>
  <c r="AE41" i="147"/>
  <c r="AG41" i="147" s="1"/>
  <c r="P14" i="182"/>
  <c r="T14" i="182"/>
  <c r="Q20" i="182"/>
  <c r="AE19" i="142"/>
  <c r="AG19" i="142" s="1"/>
  <c r="AG16" i="142"/>
  <c r="O54" i="147"/>
  <c r="M60" i="147"/>
  <c r="O60" i="147" s="1"/>
  <c r="AG24" i="151"/>
  <c r="AE34" i="151"/>
  <c r="AG34" i="151" s="1"/>
  <c r="L56" i="155"/>
  <c r="F25" i="180" s="1"/>
  <c r="AG36" i="155"/>
  <c r="AI36" i="155" s="1"/>
  <c r="AI34" i="155"/>
  <c r="K32" i="145"/>
  <c r="F19" i="180" s="1"/>
  <c r="O21" i="151"/>
  <c r="M22" i="151"/>
  <c r="O22" i="151" s="1"/>
  <c r="O13" i="145"/>
  <c r="M21" i="145"/>
  <c r="O24" i="151"/>
  <c r="M34" i="151"/>
  <c r="O34" i="151" s="1"/>
  <c r="P18" i="182"/>
  <c r="T18" i="182"/>
  <c r="AG13" i="144"/>
  <c r="AE23" i="144"/>
  <c r="AG23" i="144" s="1"/>
  <c r="AA27" i="142"/>
  <c r="AB36" i="151"/>
  <c r="Q23" i="180" s="1"/>
  <c r="S23" i="180" s="1"/>
  <c r="AE19" i="151"/>
  <c r="AG13" i="151"/>
  <c r="AG32" i="155"/>
  <c r="AI32" i="155" s="1"/>
  <c r="AI28" i="155"/>
  <c r="R20" i="182"/>
  <c r="P20" i="182" l="1"/>
  <c r="AG21" i="145"/>
  <c r="AE32" i="145"/>
  <c r="AG32" i="145" s="1"/>
  <c r="H19" i="180"/>
  <c r="J19" i="180" s="1"/>
  <c r="P19" i="180"/>
  <c r="W13" i="182"/>
  <c r="Z13" i="182" s="1"/>
  <c r="M74" i="147"/>
  <c r="O74" i="147" s="1"/>
  <c r="O22" i="147"/>
  <c r="H25" i="180"/>
  <c r="J25" i="180" s="1"/>
  <c r="P25" i="180"/>
  <c r="U25" i="180" s="1"/>
  <c r="W18" i="182"/>
  <c r="Z18" i="182" s="1"/>
  <c r="AG19" i="151"/>
  <c r="AE36" i="151"/>
  <c r="AG36" i="151" s="1"/>
  <c r="T14" i="180"/>
  <c r="V14" i="180" s="1"/>
  <c r="U14" i="180"/>
  <c r="L15" i="153"/>
  <c r="N15" i="153" s="1"/>
  <c r="N13" i="153"/>
  <c r="O19" i="151"/>
  <c r="M36" i="151"/>
  <c r="O36" i="151" s="1"/>
  <c r="H23" i="180"/>
  <c r="J23" i="180" s="1"/>
  <c r="P23" i="180"/>
  <c r="T23" i="180" s="1"/>
  <c r="V23" i="180" s="1"/>
  <c r="W16" i="182"/>
  <c r="Z16" i="182" s="1"/>
  <c r="M27" i="142"/>
  <c r="O27" i="142" s="1"/>
  <c r="O14" i="142"/>
  <c r="AF56" i="155"/>
  <c r="AH56" i="155" s="1"/>
  <c r="AH19" i="155"/>
  <c r="AE36" i="148"/>
  <c r="AG36" i="148" s="1"/>
  <c r="AG22" i="148"/>
  <c r="P19" i="155"/>
  <c r="N56" i="155"/>
  <c r="P56" i="155" s="1"/>
  <c r="T13" i="180"/>
  <c r="V13" i="180" s="1"/>
  <c r="U13" i="180"/>
  <c r="Q29" i="180"/>
  <c r="Q32" i="180" s="1"/>
  <c r="AG22" i="147"/>
  <c r="AE74" i="147"/>
  <c r="AG74" i="147" s="1"/>
  <c r="P24" i="180"/>
  <c r="W17" i="182"/>
  <c r="Z17" i="182" s="1"/>
  <c r="H24" i="180"/>
  <c r="J24" i="180" s="1"/>
  <c r="U20" i="180"/>
  <c r="S29" i="180"/>
  <c r="U29" i="180" s="1"/>
  <c r="U32" i="180" s="1"/>
  <c r="H20" i="180"/>
  <c r="J20" i="180" s="1"/>
  <c r="P20" i="180"/>
  <c r="T20" i="180" s="1"/>
  <c r="V20" i="180" s="1"/>
  <c r="W14" i="182"/>
  <c r="Z14" i="182" s="1"/>
  <c r="T15" i="180"/>
  <c r="V15" i="180" s="1"/>
  <c r="U15" i="180"/>
  <c r="H22" i="180"/>
  <c r="J22" i="180" s="1"/>
  <c r="W15" i="182"/>
  <c r="Z15" i="182" s="1"/>
  <c r="P22" i="180"/>
  <c r="O22" i="148"/>
  <c r="M36" i="148"/>
  <c r="O36" i="148" s="1"/>
  <c r="G32" i="180"/>
  <c r="I29" i="180"/>
  <c r="I32" i="180" s="1"/>
  <c r="AF19" i="151"/>
  <c r="AD36" i="151"/>
  <c r="AF36" i="151" s="1"/>
  <c r="AG14" i="142"/>
  <c r="AE27" i="142"/>
  <c r="AG27" i="142" s="1"/>
  <c r="AI19" i="155"/>
  <c r="AG56" i="155"/>
  <c r="AI56" i="155" s="1"/>
  <c r="AD74" i="147"/>
  <c r="AF74" i="147" s="1"/>
  <c r="AF22" i="147"/>
  <c r="P12" i="180"/>
  <c r="W11" i="182"/>
  <c r="H12" i="180"/>
  <c r="F29" i="180"/>
  <c r="F32" i="180" s="1"/>
  <c r="M32" i="145"/>
  <c r="O32" i="145" s="1"/>
  <c r="O21" i="145"/>
  <c r="X18" i="182"/>
  <c r="AC15" i="153"/>
  <c r="AE15" i="153" s="1"/>
  <c r="AE13" i="153"/>
  <c r="T25" i="180" l="1"/>
  <c r="V25" i="180" s="1"/>
  <c r="T22" i="180"/>
  <c r="V22" i="180" s="1"/>
  <c r="U22" i="180"/>
  <c r="U19" i="180"/>
  <c r="T19" i="180"/>
  <c r="V19" i="180" s="1"/>
  <c r="U24" i="180"/>
  <c r="T24" i="180"/>
  <c r="V24" i="180" s="1"/>
  <c r="AA18" i="182"/>
  <c r="X20" i="182"/>
  <c r="X21" i="182" s="1"/>
  <c r="J12" i="180"/>
  <c r="H29" i="180"/>
  <c r="Z11" i="182"/>
  <c r="W20" i="182"/>
  <c r="W21" i="182" s="1"/>
  <c r="P29" i="180"/>
  <c r="P32" i="180" s="1"/>
  <c r="U12" i="180"/>
  <c r="T12" i="180"/>
  <c r="U23" i="180"/>
  <c r="J29" i="180" l="1"/>
  <c r="J32" i="180" s="1"/>
  <c r="H32" i="180"/>
  <c r="T29" i="180"/>
  <c r="V12" i="180"/>
  <c r="V29" i="180" l="1"/>
  <c r="V32" i="180" s="1"/>
  <c r="T32" i="180"/>
</calcChain>
</file>

<file path=xl/comments1.xml><?xml version="1.0" encoding="utf-8"?>
<comments xmlns="http://schemas.openxmlformats.org/spreadsheetml/2006/main">
  <authors>
    <author>Puget Sound Energy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used for capital cost allocation for Company finaniced SCHs only
</t>
        </r>
      </text>
    </comment>
    <comment ref="Z20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AK20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because it's already per watt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Data Analysis -&gt; Regression analysis -&gt; Based on Actuals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Data Analysis -&gt; Regression analysis -&gt; Based on Actuals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Puget Sound Energy:
Installation costs already exclude Customer payments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Data Analysis -&gt; Regression analysis -&gt; Based on Actuals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Data Analysis -&gt; Regression analysis -&gt; Based on Actuals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Based on the Sunset/sunrise at each peak day @ time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winter months only: November - February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Includes Direct O&amp;M
Direct - a/c 585
direct - a/c 596
direct - a/c 911(1)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Just direct FERC 373 account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Schedule 51 and 52 Option B system value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C209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do not set the rates on "old" light pole rentals</t>
        </r>
      </text>
    </comment>
  </commentList>
</comments>
</file>

<file path=xl/sharedStrings.xml><?xml version="1.0" encoding="utf-8"?>
<sst xmlns="http://schemas.openxmlformats.org/spreadsheetml/2006/main" count="6506" uniqueCount="1232">
  <si>
    <t>Puget Sound Energy</t>
  </si>
  <si>
    <t>Line No.</t>
  </si>
  <si>
    <t>Description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</si>
  <si>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</si>
  <si>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</si>
  <si>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</si>
  <si>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</si>
  <si>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</si>
  <si>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</si>
  <si>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</si>
  <si>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</si>
  <si>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</si>
  <si>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</si>
  <si>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</si>
  <si>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</si>
  <si>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Revenue Requirement</t>
  </si>
  <si>
    <t>Demand</t>
  </si>
  <si>
    <t>Energy</t>
  </si>
  <si>
    <t>Customer</t>
  </si>
  <si>
    <t>TOTAL</t>
  </si>
  <si>
    <t>Total</t>
  </si>
  <si>
    <t>(f)</t>
  </si>
  <si>
    <t>(i)</t>
  </si>
  <si>
    <t>(j)</t>
  </si>
  <si>
    <t>Expense</t>
  </si>
  <si>
    <t>Total Cost of Service</t>
  </si>
  <si>
    <t>Direct Capital</t>
  </si>
  <si>
    <t>Total Plant</t>
  </si>
  <si>
    <t>Rate of Return</t>
  </si>
  <si>
    <t>O&amp;M Direct - a/c 585</t>
  </si>
  <si>
    <t>O&amp;M Direct - a/c 596</t>
  </si>
  <si>
    <t>O&amp;M Direct - a/c 911 (1)</t>
  </si>
  <si>
    <t>Allocate Deficiency</t>
  </si>
  <si>
    <t>Total Revenue Required from Rates</t>
  </si>
  <si>
    <t>(1) lighting admin programs that serve all lighting customers, regardless of whether PSE or customer maintained</t>
  </si>
  <si>
    <t>Street Lights Plant FERC 373</t>
  </si>
  <si>
    <t>Street Lights Plant FERC 373 Accum Depreciation</t>
  </si>
  <si>
    <t>Other Direct Plant</t>
  </si>
  <si>
    <t>Other Direct Depreciation</t>
  </si>
  <si>
    <t>Other O&amp;M Expense Exp</t>
  </si>
  <si>
    <t>Other A&amp;G Expense</t>
  </si>
  <si>
    <t>Indirect Expenses (Taxes, etc)</t>
  </si>
  <si>
    <t>Depreciation Expense - Direct</t>
  </si>
  <si>
    <t>Distribution O&amp;M Components</t>
  </si>
  <si>
    <t>Subtotal Expense</t>
  </si>
  <si>
    <t xml:space="preserve">  % to total</t>
  </si>
  <si>
    <t>Total Expense</t>
  </si>
  <si>
    <t>Schedule 003</t>
  </si>
  <si>
    <t>Schedule 52</t>
  </si>
  <si>
    <t>Schedule 53 - Company Owned</t>
  </si>
  <si>
    <t>Schedule 53 - Customer Owned</t>
  </si>
  <si>
    <t>Schedule 54</t>
  </si>
  <si>
    <t>Schedule 57</t>
  </si>
  <si>
    <t>Schedule</t>
  </si>
  <si>
    <t>03E</t>
  </si>
  <si>
    <t>50E-A</t>
  </si>
  <si>
    <t>50E-B</t>
  </si>
  <si>
    <t>51-LED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</si>
  <si>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</si>
  <si>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</si>
  <si>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</si>
  <si>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</si>
  <si>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</si>
  <si>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</si>
  <si>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</si>
  <si>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</si>
  <si>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Lamp Size (Watts)</t>
  </si>
  <si>
    <t>Lamp Type</t>
  </si>
  <si>
    <t>53E - Company Owned</t>
  </si>
  <si>
    <t>Sodium Vapor</t>
  </si>
  <si>
    <t>53E - Customer Owned</t>
  </si>
  <si>
    <t>Schedule 50 - A</t>
  </si>
  <si>
    <t>Schedule 50 - B</t>
  </si>
  <si>
    <t>Incandescent</t>
  </si>
  <si>
    <t>Mercury Vapor</t>
  </si>
  <si>
    <t>Lighting Schedules</t>
  </si>
  <si>
    <t>Capital Component</t>
  </si>
  <si>
    <t>O&amp;M Component</t>
  </si>
  <si>
    <t>51E</t>
  </si>
  <si>
    <t xml:space="preserve">52E </t>
  </si>
  <si>
    <t>Metal Halide</t>
  </si>
  <si>
    <t>55E &amp; 56E</t>
  </si>
  <si>
    <t>58E &amp; 59E</t>
  </si>
  <si>
    <t>Directional</t>
  </si>
  <si>
    <t>Horizontal</t>
  </si>
  <si>
    <t>Old Pole - Sch 55</t>
  </si>
  <si>
    <t>New Pole - Sch 55</t>
  </si>
  <si>
    <t>New Pole - Sch 58</t>
  </si>
  <si>
    <t>All Lighting Sch</t>
  </si>
  <si>
    <t>Type</t>
  </si>
  <si>
    <t>Wattage</t>
  </si>
  <si>
    <t xml:space="preserve"> </t>
  </si>
  <si>
    <t>Cost</t>
  </si>
  <si>
    <t>Watt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</si>
  <si>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</si>
  <si>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</si>
  <si>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</si>
  <si>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</si>
  <si>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</si>
  <si>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</si>
  <si>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</si>
  <si>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</si>
  <si>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</si>
  <si>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</si>
  <si>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</si>
  <si>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</si>
  <si>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</si>
  <si>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</si>
  <si>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</si>
  <si>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</si>
  <si>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</si>
  <si>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</si>
  <si>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</si>
  <si>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</si>
  <si>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</si>
  <si>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</si>
  <si>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</si>
  <si>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Light Emitting Diode</t>
  </si>
  <si>
    <t>O&amp;M Frequency Weighting Factor</t>
  </si>
  <si>
    <t>O&amp;M Charge</t>
  </si>
  <si>
    <t>Demand Charge</t>
  </si>
  <si>
    <t>Commodity Charge</t>
  </si>
  <si>
    <t>Capital Charge</t>
  </si>
  <si>
    <t>Company</t>
  </si>
  <si>
    <t>O&amp;M Eligible?</t>
  </si>
  <si>
    <t>Commodity Cost per kWh</t>
  </si>
  <si>
    <t>Demand Cost per kW</t>
  </si>
  <si>
    <t>Total Revenue Required From Rates</t>
  </si>
  <si>
    <t>Total Count of O&amp;M Eligible Lamps</t>
  </si>
  <si>
    <t>Per Lamp O&amp;M Cost (Monthly)</t>
  </si>
  <si>
    <t>Per kW Demand Cost (Monthly)</t>
  </si>
  <si>
    <t>Per Install Dollar Capital Cost (Monthly)</t>
  </si>
  <si>
    <t>Install Cost</t>
  </si>
  <si>
    <t>Yes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</si>
  <si>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</si>
  <si>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</si>
  <si>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</si>
  <si>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</si>
  <si>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</si>
  <si>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</si>
  <si>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</si>
  <si>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Lamp / Chip</t>
  </si>
  <si>
    <t>Photo Control</t>
  </si>
  <si>
    <t>Source Type</t>
  </si>
  <si>
    <t>Life</t>
  </si>
  <si>
    <t xml:space="preserve"> Life</t>
  </si>
  <si>
    <t>Preventative Maintenance Requirements &amp; Relamping Cycle</t>
  </si>
  <si>
    <t xml:space="preserve">LED- Light Emitting Diode </t>
  </si>
  <si>
    <t>20 yrs.</t>
  </si>
  <si>
    <t>20 years</t>
  </si>
  <si>
    <t>HPS –  High Pressure Sodium Vapor</t>
  </si>
  <si>
    <t>4 to 5 yrs.</t>
  </si>
  <si>
    <t>8 years</t>
  </si>
  <si>
    <t>MH - Metal Halide</t>
  </si>
  <si>
    <t>24 to 36 MThs</t>
  </si>
  <si>
    <t>CFL – Old rate, none on the system</t>
  </si>
  <si>
    <t>Mercury Vapor – None on the system</t>
  </si>
  <si>
    <t>All Source Types</t>
  </si>
  <si>
    <t>Weighting factor</t>
  </si>
  <si>
    <t>No</t>
  </si>
  <si>
    <t>Wattage (W)</t>
  </si>
  <si>
    <t>Test Year PSE Financed System Value Estimate</t>
  </si>
  <si>
    <t>Test Year Demand</t>
  </si>
  <si>
    <t>58 &amp; 59</t>
  </si>
  <si>
    <t>55 &amp; 56</t>
  </si>
  <si>
    <t>Pole Rental Rates</t>
  </si>
  <si>
    <t>New</t>
  </si>
  <si>
    <t>Old</t>
  </si>
  <si>
    <t>Pole</t>
  </si>
  <si>
    <t>Demand Component</t>
  </si>
  <si>
    <t>Commodity Component</t>
  </si>
  <si>
    <t>Customer Component</t>
  </si>
  <si>
    <t>$ / kWh (Capital Charge)</t>
  </si>
  <si>
    <t>$ / kWh (O&amp;M Charge)</t>
  </si>
  <si>
    <t>$ / kWh (Demand Charge)</t>
  </si>
  <si>
    <t>$ / kWh (Commodity Charge)</t>
  </si>
  <si>
    <t>$ / kWh (Customer Charge)</t>
  </si>
  <si>
    <t>Total $/kWh</t>
  </si>
  <si>
    <t>Schedule 51 (LED)</t>
  </si>
  <si>
    <t>Schedule 53 - Company Owned (LED)</t>
  </si>
  <si>
    <t>Schedule 53 - Customer Owned (LED)</t>
  </si>
  <si>
    <t>Schedule 54 (LED)</t>
  </si>
  <si>
    <t>Total Revenue Per Month</t>
  </si>
  <si>
    <t>Pole Rental</t>
  </si>
  <si>
    <t>Weighted Count of O&amp;M Bulbs &amp; Lamps</t>
  </si>
  <si>
    <t>Division</t>
  </si>
  <si>
    <t>Rate Category</t>
  </si>
  <si>
    <t>Electric</t>
  </si>
  <si>
    <t>SCH_50E : Limited Street Lighting Service</t>
  </si>
  <si>
    <t>SCH_51E : LED Lighting Service - Company Owned</t>
  </si>
  <si>
    <t>SCH_52E : Custom Lighting Service - Company Owned</t>
  </si>
  <si>
    <t>SCH_53E : Street Lighting Service</t>
  </si>
  <si>
    <t>SCH_54E : Customer Owned Street Lighting Service</t>
  </si>
  <si>
    <t>SCH_55E : Area Lighting Service</t>
  </si>
  <si>
    <t>SCH_56E : Residential &amp; Farm Area Lighting Service</t>
  </si>
  <si>
    <t>SCH_57E : Continuous Lighting Service - Traffic</t>
  </si>
  <si>
    <t>SCH_58E : Flood Lighting Service</t>
  </si>
  <si>
    <t>SCH_59E : Residential&amp;Farm Flood Lighting Service</t>
  </si>
  <si>
    <t>Result</t>
  </si>
  <si>
    <t>Overall Result</t>
  </si>
  <si>
    <t>Schedule 58 &amp; 59</t>
  </si>
  <si>
    <t>Bulb Type</t>
  </si>
  <si>
    <t>X Variable 1</t>
  </si>
  <si>
    <t>Actuals</t>
  </si>
  <si>
    <t>Projected</t>
  </si>
  <si>
    <t>Per Watt Cost</t>
  </si>
  <si>
    <t>Tariff
Rate
Schedule</t>
  </si>
  <si>
    <t>Lamp Size</t>
  </si>
  <si>
    <t>A</t>
  </si>
  <si>
    <t>C</t>
  </si>
  <si>
    <t>D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</si>
  <si>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</si>
  <si>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</si>
  <si>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</si>
  <si>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</si>
  <si>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</si>
  <si>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</si>
  <si>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</si>
  <si>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Company Owned LED Facilities Charge</t>
  </si>
  <si>
    <t>Company Owned LED Lamp Charge</t>
  </si>
  <si>
    <t>Custom Sodium Vapor Lighting</t>
  </si>
  <si>
    <t>Option A O&amp;M Rate</t>
  </si>
  <si>
    <t>Option B O&amp;M Rate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</si>
  <si>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</si>
  <si>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</si>
  <si>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</si>
  <si>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</si>
  <si>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</si>
  <si>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</si>
  <si>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</si>
  <si>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</si>
  <si>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</si>
  <si>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</si>
  <si>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Sodium Vapor Lighting - Customer Owned</t>
  </si>
  <si>
    <t>Metal Halide Lighting - Customer Owned</t>
  </si>
  <si>
    <t>Sodium Vapor Lighting - Energy Only</t>
  </si>
  <si>
    <t>Sodium Vapor Area Lighting</t>
  </si>
  <si>
    <t>Metal Halide Area Lighting</t>
  </si>
  <si>
    <t>Continuous Lighting</t>
  </si>
  <si>
    <t>$ / watt</t>
  </si>
  <si>
    <t>Minimum Charge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</si>
  <si>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</si>
  <si>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</si>
  <si>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</si>
  <si>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</si>
  <si>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Area Lighting</t>
  </si>
  <si>
    <t>Schedule 55 &amp; 56</t>
  </si>
  <si>
    <t>Sch 57</t>
  </si>
  <si>
    <t>Special</t>
  </si>
  <si>
    <t>Per W charge</t>
  </si>
  <si>
    <t>Financier</t>
  </si>
  <si>
    <t>Capital Cost per $ of System value</t>
  </si>
  <si>
    <t>O&amp;M Cost per Weighted O&amp;M Eligible Lamp</t>
  </si>
  <si>
    <t>Continuous</t>
  </si>
  <si>
    <t>Inndividual Lamp Monthly Billed Usage (kWh)</t>
  </si>
  <si>
    <t>Monthly Revenue Estimate (Capital charge)</t>
  </si>
  <si>
    <t>Monthly Revenue Estimate (O&amp;M Charge)</t>
  </si>
  <si>
    <t>Monthly Revenue Estimate (Demand charge)</t>
  </si>
  <si>
    <t>Monthly Revenue Estimate (Commodity charge)</t>
  </si>
  <si>
    <t>Monthly Revenue Estimate (Customer charge)</t>
  </si>
  <si>
    <t>Installed Cost</t>
  </si>
  <si>
    <t>Portion of A&amp;G Customer Costs</t>
  </si>
  <si>
    <t>Customer Charge</t>
  </si>
  <si>
    <t>SCH_58E &amp; 59E: Combined</t>
  </si>
  <si>
    <t>SCH_55E &amp; 56E: Combined</t>
  </si>
  <si>
    <t>Total Less Schedule 57's portion</t>
  </si>
  <si>
    <t>Total Cost of Service of Single lamp</t>
  </si>
  <si>
    <t>Light or Dark?</t>
  </si>
  <si>
    <t>Dark</t>
  </si>
  <si>
    <t>Light</t>
  </si>
  <si>
    <t>Total System Demand</t>
  </si>
  <si>
    <t>Continuous Lighting Portion of Total</t>
  </si>
  <si>
    <t>Max</t>
  </si>
  <si>
    <t>Sum</t>
  </si>
  <si>
    <t>Allocated Production/Transmission Plant Costs</t>
  </si>
  <si>
    <t>Option A (Financed)</t>
  </si>
  <si>
    <t>Portion</t>
  </si>
  <si>
    <t>O&amp;M</t>
  </si>
  <si>
    <t>Quantity</t>
  </si>
  <si>
    <t>Sum of Capital</t>
  </si>
  <si>
    <t>O&amp;M / Capital (annual O&amp;M facilities charge)</t>
  </si>
  <si>
    <t>Monthly O&amp;M Facilities charge</t>
  </si>
  <si>
    <t>Monthly Percentage</t>
  </si>
  <si>
    <t>Amount of O&amp;M Rev Req to subtract</t>
  </si>
  <si>
    <t>Amount of Dist cap rev req to subtract</t>
  </si>
  <si>
    <t>Monthly Recovery</t>
  </si>
  <si>
    <t>Option A</t>
  </si>
  <si>
    <t>Option B</t>
  </si>
  <si>
    <t>Option</t>
  </si>
  <si>
    <t>Total Revenue Required</t>
  </si>
  <si>
    <t>Total Install Cost of other Lamps</t>
  </si>
  <si>
    <t>Revenue Required from Lamps Less Facilities charge Recovery</t>
  </si>
  <si>
    <t>Recovery per Install Dollar Capital Cost (Monthly)</t>
  </si>
  <si>
    <t>Recovery from 51&amp;52 Capital Facilities Charge</t>
  </si>
  <si>
    <t>Recovery from 51&amp;52 O&amp;M Facilities Charge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</si>
  <si>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</si>
  <si>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</si>
  <si>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</si>
  <si>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</si>
  <si>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</si>
  <si>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</si>
  <si>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</si>
  <si>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</si>
  <si>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</si>
  <si>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</si>
  <si>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</si>
  <si>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</si>
  <si>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</si>
  <si>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</si>
  <si>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</si>
  <si>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</si>
  <si>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Annual Ratio of Revenue Requirement to Sum of Capital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</si>
  <si>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</si>
  <si>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</si>
  <si>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</si>
  <si>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</si>
  <si>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Capital  (Lamps)</t>
  </si>
  <si>
    <t>Capital  (Pole)</t>
  </si>
  <si>
    <t>Demand Related Overheads</t>
  </si>
  <si>
    <t>Customer Related Overheads</t>
  </si>
  <si>
    <t>Energy Related Overheads</t>
  </si>
  <si>
    <t>Month</t>
  </si>
  <si>
    <t>Date</t>
  </si>
  <si>
    <t>Hour</t>
  </si>
  <si>
    <t>Losses</t>
  </si>
  <si>
    <t>Street Light: Class Demand @ System Peak (kW)</t>
  </si>
  <si>
    <t>Area Light: Class Demand @ System Peak (kW)</t>
  </si>
  <si>
    <t>Summary Statistics (Totals - kW)</t>
  </si>
  <si>
    <t>Total: Class Demand @ System Peak (kW)</t>
  </si>
  <si>
    <t>Less Losses</t>
  </si>
  <si>
    <t>Continuous Lighting: Schedule Demand @ System Peak (kW) - Subsection of Street Light</t>
  </si>
  <si>
    <t>Non-Continuous Lighting: Schedule Demand @ System Peak (kW) - Subsection of Street Light</t>
  </si>
  <si>
    <t>Continuous Lighting with Losses</t>
  </si>
  <si>
    <t>Class Coincidence</t>
  </si>
  <si>
    <t>NSCL Portion of Peak Demand</t>
  </si>
  <si>
    <t>CSL Portion of Peak Demand</t>
  </si>
  <si>
    <t>NCAL Portion of Peak Demand</t>
  </si>
  <si>
    <t>CSL Portion of Coincidence Factor</t>
  </si>
  <si>
    <t>NSCL Cost of Coincidence Factor</t>
  </si>
  <si>
    <t>NCAL Cost of Coincidence Factor</t>
  </si>
  <si>
    <t>Weighted</t>
  </si>
  <si>
    <t>12 CP</t>
  </si>
  <si>
    <t>4 CP</t>
  </si>
  <si>
    <t>Firm Resale</t>
  </si>
  <si>
    <t>Net Value Report By Utility Account and Retirement Unit</t>
  </si>
  <si>
    <t>Utility Account</t>
  </si>
  <si>
    <t>E373 DST Street Lighting &amp; Signal</t>
  </si>
  <si>
    <t>Retirement Unit</t>
  </si>
  <si>
    <t>Accum Cost</t>
  </si>
  <si>
    <t>Alloc Reserve</t>
  </si>
  <si>
    <t>Net value</t>
  </si>
  <si>
    <t>Area Light</t>
  </si>
  <si>
    <t>Floodlights / Luminaires</t>
  </si>
  <si>
    <t>Non-Unitized</t>
  </si>
  <si>
    <t>Street Light Pole, Concrete</t>
  </si>
  <si>
    <t>Street Light Pole, Fiberglass</t>
  </si>
  <si>
    <t>Street Light Pole, Laminated Wood</t>
  </si>
  <si>
    <t>Street Light Pole, Steel/Alum</t>
  </si>
  <si>
    <t>Combined Pole</t>
  </si>
  <si>
    <t>Combined Lamp</t>
  </si>
  <si>
    <t>To Lamp</t>
  </si>
  <si>
    <t>To Pole</t>
  </si>
  <si>
    <t>Ratio of Lamp to Total</t>
  </si>
  <si>
    <t>Ratio of Pole to Total</t>
  </si>
  <si>
    <t>Final Total</t>
  </si>
  <si>
    <t>Lamp</t>
  </si>
  <si>
    <t>Final Ratio of Lamp to Total</t>
  </si>
  <si>
    <t>Total Revenue Required from Distribution Capital (Poles)</t>
  </si>
  <si>
    <t>Total Revenue Required from Distribution Capital (Lamps)</t>
  </si>
  <si>
    <t>Pole Cost</t>
  </si>
  <si>
    <t>52- Facilities Charge</t>
  </si>
  <si>
    <t>51-Facilities Charge</t>
  </si>
  <si>
    <t>Count</t>
  </si>
  <si>
    <t>Count of FERC 373 Poles</t>
  </si>
  <si>
    <t>Count of Rental Poles</t>
  </si>
  <si>
    <t>Ratio</t>
  </si>
  <si>
    <t>Ratio of Pole Less Transfer to Total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</si>
  <si>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</si>
  <si>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</si>
  <si>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</si>
  <si>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</si>
  <si>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</si>
  <si>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</si>
  <si>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>Distribution Capital (Lamps)</t>
  </si>
  <si>
    <t>Distribution Capital (Poles)</t>
  </si>
  <si>
    <t>Dist. Cap. Rev. Req (Poles)</t>
  </si>
  <si>
    <t>Dist. Cap. Rev. Req (Lamps)</t>
  </si>
  <si>
    <t>Sum of Capital Rev. Req.</t>
  </si>
  <si>
    <t>Weighting Factor</t>
  </si>
  <si>
    <t>Monthly Billed Usage Per Lamp (kWh)</t>
  </si>
  <si>
    <t xml:space="preserve">(e) </t>
  </si>
  <si>
    <t>A&amp;G Cost per kWh</t>
  </si>
  <si>
    <t>51E - Facilities Charge</t>
  </si>
  <si>
    <t>52E - Facilities Charge</t>
  </si>
  <si>
    <t>Capital</t>
  </si>
  <si>
    <t xml:space="preserve">(c) </t>
  </si>
  <si>
    <t>Source</t>
  </si>
  <si>
    <t>Work Papers</t>
  </si>
  <si>
    <t>= (j) - (h)</t>
  </si>
  <si>
    <t>= (k) ÷ (h)</t>
  </si>
  <si>
    <t>= (d) + (e) + (f) + (g) + (h)</t>
  </si>
  <si>
    <t xml:space="preserve">= (d) - (c) </t>
  </si>
  <si>
    <t xml:space="preserve"> Capital  (Sch 51, 52 Facilities Charge)</t>
  </si>
  <si>
    <t xml:space="preserve"> Capital  (Sch 55, 56, 58, 59 Pole Rental)</t>
  </si>
  <si>
    <t>Demand Components (Sch 50, 51, 52, 53, 54)</t>
  </si>
  <si>
    <t>Demand Components (Sch 57)</t>
  </si>
  <si>
    <t>Demand Components (Sch 55, 56, 58, 59)</t>
  </si>
  <si>
    <t>Commodity Components (Sch 50, 51, 52, 53, 54, 55, 56, 57, 58, 59)</t>
  </si>
  <si>
    <t>Billed Hours (Monthly)</t>
  </si>
  <si>
    <t>Annual Proposed Revenue (Base)</t>
  </si>
  <si>
    <t>= (c) * (b)</t>
  </si>
  <si>
    <t>Revenue Required from Rates</t>
  </si>
  <si>
    <t>Marginal Cost Per W</t>
  </si>
  <si>
    <t>Test Year Count (Lamp Inventory)</t>
  </si>
  <si>
    <t>Revenue Recovery</t>
  </si>
  <si>
    <t>= (e) * (b) * 12</t>
  </si>
  <si>
    <t>= (d) * (e) * 12</t>
  </si>
  <si>
    <t>Summary - Rate Spread</t>
  </si>
  <si>
    <t>Voltage Level</t>
  </si>
  <si>
    <t>MWh</t>
  </si>
  <si>
    <t>Proposed Revenue Increase (%)</t>
  </si>
  <si>
    <t>Proposed
Revenue
Increase
($000)</t>
  </si>
  <si>
    <t>Proposed
Revenue
($000)</t>
  </si>
  <si>
    <t>B</t>
  </si>
  <si>
    <t>E</t>
  </si>
  <si>
    <t>G  = B * F</t>
  </si>
  <si>
    <t>H = B + G</t>
  </si>
  <si>
    <t>Residential</t>
  </si>
  <si>
    <t>Secondary Voltage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</si>
  <si>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</si>
  <si>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</si>
  <si>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</si>
  <si>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</si>
  <si>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</si>
  <si>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</si>
  <si>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</si>
  <si>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Primary Voltage</t>
  </si>
  <si>
    <t>Interruptible Total Electric Schools</t>
  </si>
  <si>
    <t>Total Primary Voltage</t>
  </si>
  <si>
    <t>Total High Voltage</t>
  </si>
  <si>
    <t>46 / 49</t>
  </si>
  <si>
    <t>Lighting</t>
  </si>
  <si>
    <t>50-59</t>
  </si>
  <si>
    <t>Total Jurisdictional Retail Sales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</si>
  <si>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</si>
  <si>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</si>
  <si>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</si>
  <si>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</si>
  <si>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</si>
  <si>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Adjustment to Proposed Revenue Recovery (Rate Spread)</t>
  </si>
  <si>
    <t>Proposed Delivered Revenue</t>
  </si>
  <si>
    <t>Increase allocated to lights</t>
  </si>
  <si>
    <t>Customer Cost per kWh</t>
  </si>
  <si>
    <t>Customer Expense  (Sch 50, 51, 52, 53, 54, 55, 56, 58, 59)</t>
  </si>
  <si>
    <t>Customer Expense (Sch 57)</t>
  </si>
  <si>
    <t>Unitized Revenue</t>
  </si>
  <si>
    <t>A&amp;G</t>
  </si>
  <si>
    <t>Production / Transmission Components (Energy Related)</t>
  </si>
  <si>
    <t>Production / Transmission Components (Demand Related)</t>
  </si>
  <si>
    <t>Development of Unitized Lighting Costs</t>
  </si>
  <si>
    <t>Summary of Allocated Costs</t>
  </si>
  <si>
    <t>Allocation of Demand-Related Costs</t>
  </si>
  <si>
    <t>Allocation of Customer Costs</t>
  </si>
  <si>
    <t>Allocation of O&amp;M Costs</t>
  </si>
  <si>
    <t>Allocation of Capital Costs</t>
  </si>
  <si>
    <t>Allocation of Energy-Related Costs</t>
  </si>
  <si>
    <t>Energy-Related</t>
  </si>
  <si>
    <t>Demand-Related</t>
  </si>
  <si>
    <t>Allocated O&amp;M Costs</t>
  </si>
  <si>
    <t>Allocated Customer Costs</t>
  </si>
  <si>
    <t>Allocated Demand Costs</t>
  </si>
  <si>
    <t>Allocated Energy Costs</t>
  </si>
  <si>
    <t>Energy Cost per kWh</t>
  </si>
  <si>
    <t>Schedule 50 - Limited Street Lighting Service</t>
  </si>
  <si>
    <t>Schedule 51 - Company Owned LED (Light Emitting Diode) Lighting Service</t>
  </si>
  <si>
    <t>Schedule 52 - Custom Lighting Service - Company Owned</t>
  </si>
  <si>
    <t>Schedule 51 and 52 Facilities Charge - Customer Lighting Service - Company Owned</t>
  </si>
  <si>
    <t>Schedule 53 - Street Lighting Service - Sodium Vapor</t>
  </si>
  <si>
    <t>Schedule 54 - Street Lighting Service - Energy Only</t>
  </si>
  <si>
    <t>Schedules 55 and 56 - Area Lighting Service</t>
  </si>
  <si>
    <t>Schedule 57 - Continuous Street Lighting Service</t>
  </si>
  <si>
    <t>Schedules 58 and 59 - Flood Lighting Service</t>
  </si>
  <si>
    <t>Pole Rentals - Schedules 55 and 58</t>
  </si>
  <si>
    <t>= (d) * (f) * 12</t>
  </si>
  <si>
    <t>= (d) * (g) * 12</t>
  </si>
  <si>
    <t>= (h) - (f)</t>
  </si>
  <si>
    <t>= (h) - (g)</t>
  </si>
  <si>
    <t>= (i) ÷ (f)</t>
  </si>
  <si>
    <t>= (j) ÷ (g)</t>
  </si>
  <si>
    <t>= (d) * (b) * 12</t>
  </si>
  <si>
    <t>= (f) * (b) * 12</t>
  </si>
  <si>
    <t>= (i) - (g)</t>
  </si>
  <si>
    <t>= (i) - (h)</t>
  </si>
  <si>
    <t>= (k) - (i)</t>
  </si>
  <si>
    <t>= (d) * (b)</t>
  </si>
  <si>
    <t>= (e) * (b)</t>
  </si>
  <si>
    <t>Tariff</t>
  </si>
  <si>
    <t>Production / Transmission (Demand-related) Revenue Requirement</t>
  </si>
  <si>
    <t>Production / Transmission (Energy-related) Revenue Requirement</t>
  </si>
  <si>
    <t>A&amp;G Component of Revenue Requirement</t>
  </si>
  <si>
    <t>Average of Test Year Inventory</t>
  </si>
  <si>
    <t>Lighting Tariff Rates</t>
  </si>
  <si>
    <t>Lighting Inventory &amp; Estimated Usage</t>
  </si>
  <si>
    <t>Estimated Energy Usage (kWh)</t>
  </si>
  <si>
    <t>General Service</t>
  </si>
  <si>
    <t>10 / 31</t>
  </si>
  <si>
    <t>Irrigation</t>
  </si>
  <si>
    <t>Distribution O&amp;M  (Sch 51 Facilities Charge)</t>
  </si>
  <si>
    <t>Distribution O&amp;M  (Sch 52 Facilities Charge)</t>
  </si>
  <si>
    <t>System Value of 51 under option A &amp; B</t>
  </si>
  <si>
    <t>Recovery from 51 O&amp;M Facilities Charge</t>
  </si>
  <si>
    <t>System Value of 52 under option A &amp; B</t>
  </si>
  <si>
    <t>% of Total w/o Schedule 40, 449 &amp; Firm Resale</t>
  </si>
  <si>
    <t>% of Uniform Increase</t>
  </si>
  <si>
    <t>Energy Only</t>
  </si>
  <si>
    <t>Portion of A&amp;G Customer Count</t>
  </si>
  <si>
    <t>LED Lighting - Customer Owned</t>
  </si>
  <si>
    <t>LED Lighting - Company Owned</t>
  </si>
  <si>
    <t>LED Lighting - Area Lighting</t>
  </si>
  <si>
    <t>150.01-180 Watts</t>
  </si>
  <si>
    <t>180.01-210 Watts</t>
  </si>
  <si>
    <t>210.01-240 Watts</t>
  </si>
  <si>
    <t>240.01-270 Watts</t>
  </si>
  <si>
    <t>270.01-300 Watts</t>
  </si>
  <si>
    <t>Pole Charge (Old) (Pre 11/74)</t>
  </si>
  <si>
    <t>Pole Charge (New) (Post 10-28-99)</t>
  </si>
  <si>
    <t>30-60 Watts</t>
  </si>
  <si>
    <t>60.01-90 Watts</t>
  </si>
  <si>
    <t>90.01-120 Watts</t>
  </si>
  <si>
    <t>120.01-150 Watts</t>
  </si>
  <si>
    <t>700 Watts</t>
  </si>
  <si>
    <t>n/a</t>
  </si>
  <si>
    <t>LED Flood Lighting</t>
  </si>
  <si>
    <t>400.01-500 Watts</t>
  </si>
  <si>
    <t>600.01-700 Watts</t>
  </si>
  <si>
    <t>700.01-800 Watts</t>
  </si>
  <si>
    <t>300.01-400 Watts</t>
  </si>
  <si>
    <t>500.01-600 Watts</t>
  </si>
  <si>
    <t>800.01-900 Watts</t>
  </si>
  <si>
    <t>LED 030.01-060</t>
  </si>
  <si>
    <t xml:space="preserve">Customer </t>
  </si>
  <si>
    <t>LED Energy Service - Customer Owned</t>
  </si>
  <si>
    <t>Average Customer Counts</t>
  </si>
  <si>
    <t>LED 060.01-090</t>
  </si>
  <si>
    <t>LED 090.01-120</t>
  </si>
  <si>
    <t>LED 120.01-150</t>
  </si>
  <si>
    <t>LED 150.01-180</t>
  </si>
  <si>
    <t>LED 180.01-210</t>
  </si>
  <si>
    <t>LED 240.01-270</t>
  </si>
  <si>
    <t>LED 270.01-300</t>
  </si>
  <si>
    <t>Facilities charges (SCH 51 &amp; SCH 52)</t>
  </si>
  <si>
    <t xml:space="preserve">Lamp Class </t>
  </si>
  <si>
    <t>Cross check</t>
  </si>
  <si>
    <t xml:space="preserve">Lamp Size </t>
  </si>
  <si>
    <t>MV 100</t>
  </si>
  <si>
    <t>MV 400</t>
  </si>
  <si>
    <t>MV 700</t>
  </si>
  <si>
    <t>MH 70</t>
  </si>
  <si>
    <t>MH 100</t>
  </si>
  <si>
    <t>MH 150</t>
  </si>
  <si>
    <t>MH 250</t>
  </si>
  <si>
    <t>MH 400</t>
  </si>
  <si>
    <t>MH 070</t>
  </si>
  <si>
    <t>SV 1000</t>
  </si>
  <si>
    <t xml:space="preserve">4 or 5 year change-out cycle for lamps depending on amount of budget provided to the maintenance department.  8 or 10 year cycle for photo controls, done at the time of the lamp change-out. </t>
  </si>
  <si>
    <t>4 or 5 year change-out cycle for lamps depending on amount of budget provided to the maintenance department.  8 or 10 year cycle for photo controls, done at the time of the lamp change-out. The lamp life for lower wattages to 400w is around 24 -36 months. It is the 1000w that is short lived 9-12 months</t>
  </si>
  <si>
    <t>PREVENTATIVE MAINTENANCE:</t>
  </si>
  <si>
    <t>CORECTIVE MAINTENANCE:</t>
  </si>
  <si>
    <t>30.01-60</t>
  </si>
  <si>
    <t>60.01-90</t>
  </si>
  <si>
    <t>90.01-120</t>
  </si>
  <si>
    <t>120.01-150</t>
  </si>
  <si>
    <t>150.01-180</t>
  </si>
  <si>
    <t>240.01-270</t>
  </si>
  <si>
    <t>270.01-300</t>
  </si>
  <si>
    <t>SV 50</t>
  </si>
  <si>
    <t>LED 210.01-240</t>
  </si>
  <si>
    <t xml:space="preserve">Company Owned </t>
  </si>
  <si>
    <t>Customer Owned</t>
  </si>
  <si>
    <t>LED 300.01-400</t>
  </si>
  <si>
    <t>LED 400.01-500</t>
  </si>
  <si>
    <t>LED 500.01-600</t>
  </si>
  <si>
    <t>LED 600.01-700</t>
  </si>
  <si>
    <t>LED 700.01-800</t>
  </si>
  <si>
    <t>LED 800.01-900</t>
  </si>
  <si>
    <t>Tracker/Rider</t>
  </si>
  <si>
    <t>210.01-240</t>
  </si>
  <si>
    <t>180.01-210</t>
  </si>
  <si>
    <t>030.01-060</t>
  </si>
  <si>
    <t>060.01-090</t>
  </si>
  <si>
    <t>090.01-120</t>
  </si>
  <si>
    <t>300.01-400</t>
  </si>
  <si>
    <t>400.01-500</t>
  </si>
  <si>
    <t>500.01-600</t>
  </si>
  <si>
    <t>600.01-700</t>
  </si>
  <si>
    <t>700.01-800</t>
  </si>
  <si>
    <t>800.01-900</t>
  </si>
  <si>
    <t>SCH 53:</t>
  </si>
  <si>
    <t xml:space="preserve">Test Year Usage (kWh) </t>
  </si>
  <si>
    <t>Installation Cost</t>
  </si>
  <si>
    <t>N/A</t>
  </si>
  <si>
    <t>Estimated Billed Hours in Test Year*</t>
  </si>
  <si>
    <t>Max System Peak:</t>
  </si>
  <si>
    <t xml:space="preserve">Owner </t>
  </si>
  <si>
    <t>Demand Allocation Analysis</t>
  </si>
  <si>
    <t>HPS</t>
  </si>
  <si>
    <t>PSE Financed?</t>
  </si>
  <si>
    <t>Facilities Charge Type</t>
  </si>
  <si>
    <t>Amount in FERC 373 Direct Plant</t>
  </si>
  <si>
    <t>O&amp;M Percentage in Facilities Charge</t>
  </si>
  <si>
    <t>Finance Percentage in Facilities Charge (Option A Component)</t>
  </si>
  <si>
    <t>SCH 51 Annual Recovery</t>
  </si>
  <si>
    <t>SCH 52 Annual Recovery</t>
  </si>
  <si>
    <t>SCH 51</t>
  </si>
  <si>
    <t>SCH 52</t>
  </si>
  <si>
    <t>Development of Facilities Charge</t>
  </si>
  <si>
    <t xml:space="preserve">Actuals </t>
  </si>
  <si>
    <t>SCH 55-56:</t>
  </si>
  <si>
    <t>SCH 58-59:</t>
  </si>
  <si>
    <t>Most Sch 55-56 are installed on existing wood distribution poles, and the pole cost is not part of the rate</t>
  </si>
  <si>
    <t>Most Sch 58-59 are installed on existing wood distribution poles, and the pole cost is not part of the rate</t>
  </si>
  <si>
    <t>LED Installation Costs Estimates</t>
  </si>
  <si>
    <t>Metal Installation Costs Estimates</t>
  </si>
  <si>
    <t>Total Revenue Per Year</t>
  </si>
  <si>
    <t>Annual  Revenue Estimate (Commodity charge)</t>
  </si>
  <si>
    <t>Annual Revenue Estimate (Demand charge)</t>
  </si>
  <si>
    <t>Annual Revenue Estimate (Customer charge)</t>
  </si>
  <si>
    <t>Annual Revenue Estimate (O&amp;M Charge)</t>
  </si>
  <si>
    <t>Annual Revenue Estimate (Capital charge)</t>
  </si>
  <si>
    <t>O&amp;M Eligible ?</t>
  </si>
  <si>
    <t xml:space="preserve"> Average Customer Counts </t>
  </si>
  <si>
    <t>System Value not included in Dist. Cap.</t>
  </si>
  <si>
    <t>Depreciation Expense - Other</t>
  </si>
  <si>
    <t>Choice / Retail Wheeling / Special Contracts</t>
  </si>
  <si>
    <t>449 / 459 / MSSC</t>
  </si>
  <si>
    <t>System Value (Test Year Average Billed)</t>
  </si>
  <si>
    <t>Annual Current Revenue (Base Rate)</t>
  </si>
  <si>
    <t>E373 Pole Costs Estimates</t>
  </si>
  <si>
    <t>Weighting factor Estimate</t>
  </si>
  <si>
    <t xml:space="preserve">Install Cost </t>
  </si>
  <si>
    <t>Rate Change</t>
  </si>
  <si>
    <t>Proposed  Rates</t>
  </si>
  <si>
    <t>Tariff Rate
Schedule</t>
  </si>
  <si>
    <t>Test Year Ending June 30, 2021</t>
  </si>
  <si>
    <t>Test Year Inventory (Annual)</t>
  </si>
  <si>
    <t>TRFC</t>
  </si>
  <si>
    <t xml:space="preserve">2019 GRC PLR </t>
  </si>
  <si>
    <t xml:space="preserve">(Excluded) </t>
  </si>
  <si>
    <t>Test Year Inventory (Monthly)</t>
  </si>
  <si>
    <t>Schedule 142
(Base rate K Factor)</t>
  </si>
  <si>
    <t xml:space="preserve">Pole Charge (Old) </t>
  </si>
  <si>
    <t>Option B (Paid up Front) - Monthly</t>
  </si>
  <si>
    <t>Estimated Allocation of Non-Unitized</t>
  </si>
  <si>
    <t>Proposed</t>
  </si>
  <si>
    <t>Total of Lamps and Poles</t>
  </si>
  <si>
    <t>Restating &amp; Pro Forma Adjustment to E373</t>
  </si>
  <si>
    <t xml:space="preserve">Classification of Lighting Costs based on 2022 GRC Electric COS Module </t>
  </si>
  <si>
    <t>Effective January 1, 2023</t>
  </si>
  <si>
    <t>Effective January 1, 2024</t>
  </si>
  <si>
    <t>Effective January 1, 2025</t>
  </si>
  <si>
    <t>Charge Type</t>
  </si>
  <si>
    <t>per Lamp</t>
  </si>
  <si>
    <t>kWh/Watt</t>
  </si>
  <si>
    <t>Watts</t>
  </si>
  <si>
    <t>kWh</t>
  </si>
  <si>
    <t>Tariff Reference</t>
  </si>
  <si>
    <t>Sheet No. 50</t>
  </si>
  <si>
    <t>Sheet No. 51-D</t>
  </si>
  <si>
    <t>Sheet No. 51-B</t>
  </si>
  <si>
    <t>Sheet No. 51-C</t>
  </si>
  <si>
    <t>Sheet No. 52-A</t>
  </si>
  <si>
    <t>Sheet No. 52-B</t>
  </si>
  <si>
    <t>Sheet No. 53-A</t>
  </si>
  <si>
    <t>Sheet No. 53-B</t>
  </si>
  <si>
    <t>Sheet No. 53-C</t>
  </si>
  <si>
    <t>Sheet No. 53-G</t>
  </si>
  <si>
    <t>Sheet No. 53-H</t>
  </si>
  <si>
    <t>Sheet No. 54</t>
  </si>
  <si>
    <t>Sheet No. 54-A</t>
  </si>
  <si>
    <t>Sheet No. 54-B</t>
  </si>
  <si>
    <t>Sheet No. 55</t>
  </si>
  <si>
    <t>Sheet No. 55-A</t>
  </si>
  <si>
    <t>Sheet No. 57</t>
  </si>
  <si>
    <t>Sheet No. 58</t>
  </si>
  <si>
    <t>Sheet No. 58-A</t>
  </si>
  <si>
    <t>Sheet No. 58-B</t>
  </si>
  <si>
    <t>Sheet No. 58-C</t>
  </si>
  <si>
    <t>Effective October  1, 2021</t>
  </si>
  <si>
    <t>Current  Rates (2019 GRC PLR filing)</t>
  </si>
  <si>
    <t>Base Lighting Tariffed Rate Components</t>
  </si>
  <si>
    <t>SCH 141N Lighting Tariffed Rate Components</t>
  </si>
  <si>
    <t>Inventory @ 6-30-2021</t>
  </si>
  <si>
    <t xml:space="preserve">*Per Tariffs: Service under those schedules is for dusk-to-dawn lighting which means lighting service for the average number of hours of darkness per month or 4,200 hours per year  </t>
  </si>
  <si>
    <t>2022 GRC Watts (Annual as of June 30, 2021)</t>
  </si>
  <si>
    <t xml:space="preserve">Sch 57 Watt / kwh </t>
  </si>
  <si>
    <t>SCH 141N - Non-Refundable</t>
  </si>
  <si>
    <t>SCH 141R - Refundable</t>
  </si>
  <si>
    <t>MYRP 2023</t>
  </si>
  <si>
    <t>MYRP 2024</t>
  </si>
  <si>
    <t>MYRP 2025</t>
  </si>
  <si>
    <t>Schedule 141N Adjusted $ per kWh</t>
  </si>
  <si>
    <t>Bill Determinants F2021 Forecast (KWhs)</t>
  </si>
  <si>
    <t>SCH 141N - Non-Refundable (Lighting)</t>
  </si>
  <si>
    <t>SCH 141N Rate</t>
  </si>
  <si>
    <t>MYRP 2023, Effective January 1, 2023</t>
  </si>
  <si>
    <t>MYRP 2024, Effective January 1, 2024</t>
  </si>
  <si>
    <t>MYRP 2025, Effective January 1, 2025</t>
  </si>
  <si>
    <t>SCH 141R Lighting Tariffed Rate Components</t>
  </si>
  <si>
    <t>2022 GRC KWHs: Billed + Change in Unbilled (Annual)</t>
  </si>
  <si>
    <t>Proposed Sch 141N Revenue Annual ($)</t>
  </si>
  <si>
    <t>Proposed Revenue</t>
  </si>
  <si>
    <t>SCH 141R - Non-Refundable (Lighting)</t>
  </si>
  <si>
    <t>Schedule 141R Adjusted $ per kWh</t>
  </si>
  <si>
    <t>Proposed Sch 141R Revenue Annual ($)</t>
  </si>
  <si>
    <t>SCH 141R Rate</t>
  </si>
  <si>
    <t>Schedule 141N Lamp / Watt Charge (per month)</t>
  </si>
  <si>
    <t>Schedule 141R Lamp / Watt Charge (per month)</t>
  </si>
  <si>
    <t>(Including Effects of Unbilled Revenue, Unbilled MWh and Weather Normalization)</t>
  </si>
  <si>
    <t>Area and Street Lighting Rate Design</t>
  </si>
  <si>
    <t>Present</t>
  </si>
  <si>
    <t>Present Revenue</t>
  </si>
  <si>
    <t>Proposed Billed Revenue</t>
  </si>
  <si>
    <t>Price</t>
  </si>
  <si>
    <t>Dollars</t>
  </si>
  <si>
    <t>Delivered</t>
  </si>
  <si>
    <t>Billed</t>
  </si>
  <si>
    <t>Change in Unbilled</t>
  </si>
  <si>
    <t>Rounding</t>
  </si>
  <si>
    <t>Revised</t>
  </si>
  <si>
    <t>Lighting COS WP</t>
  </si>
  <si>
    <t>Lighting Summary</t>
  </si>
  <si>
    <t>Pole Rentals - Sch 55, 56, 58 &amp; 59</t>
  </si>
  <si>
    <t>All Lighting</t>
  </si>
  <si>
    <t>SCHEDULE 50</t>
  </si>
  <si>
    <t>Limited Street Lighting Service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</si>
  <si>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</si>
  <si>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</si>
  <si>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</si>
  <si>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</si>
  <si>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</si>
  <si>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</si>
  <si>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</si>
  <si>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Subtotal</t>
  </si>
  <si>
    <t>Billed kWh</t>
  </si>
  <si>
    <t>Unbilled kWh</t>
  </si>
  <si>
    <t>Average Lighting Increase</t>
  </si>
  <si>
    <t>SCHEDULE 51</t>
  </si>
  <si>
    <t>Company Owned LED - 60.01-90 Watts</t>
  </si>
  <si>
    <t>Company Owned LED - 90.01-120 Watts</t>
  </si>
  <si>
    <t>Company Owned LED - 120.01-150 Watts</t>
  </si>
  <si>
    <t>Company Owned LED - 150.01-180 Watts</t>
  </si>
  <si>
    <t>Company Owned LED - 180.01-210 Watts</t>
  </si>
  <si>
    <t>Company Owned LED - 210.01-240 Watts</t>
  </si>
  <si>
    <t>Company Owned LED - 240.01-270 Watts</t>
  </si>
  <si>
    <t>Company Owned LED - 270.01-300 Watts</t>
  </si>
  <si>
    <t>O&amp;M Option A</t>
  </si>
  <si>
    <t xml:space="preserve">O&amp;M Option B </t>
  </si>
  <si>
    <t>SCHEDULE 52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</si>
  <si>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</si>
  <si>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</si>
  <si>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</si>
  <si>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</si>
  <si>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</si>
  <si>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</si>
  <si>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</si>
  <si>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</si>
  <si>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</si>
  <si>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SCHEDULE 53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</si>
  <si>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</si>
  <si>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</si>
  <si>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</si>
  <si>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</si>
  <si>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</si>
  <si>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</si>
  <si>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</si>
  <si>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</si>
  <si>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</si>
  <si>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</si>
  <si>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</si>
  <si>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</si>
  <si>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</si>
  <si>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</si>
  <si>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</si>
  <si>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</si>
  <si>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</si>
  <si>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</si>
  <si>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</si>
  <si>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</si>
  <si>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</si>
  <si>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</si>
  <si>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</si>
  <si>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</si>
  <si>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</si>
  <si>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</si>
  <si>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</si>
  <si>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SCHEDULE 54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</si>
  <si>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</si>
  <si>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</si>
  <si>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</si>
  <si>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</si>
  <si>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</si>
  <si>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</si>
  <si>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</si>
  <si>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</si>
  <si>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</si>
  <si>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</si>
  <si>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- 60.01-90 Watts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</si>
  <si>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</si>
  <si>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</si>
  <si>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</si>
  <si>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</si>
  <si>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</si>
  <si>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</si>
  <si>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</si>
  <si>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SCHEDULES 55 &amp; 56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</si>
  <si>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</si>
  <si>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</si>
  <si>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</si>
  <si>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</si>
  <si>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</si>
  <si>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</si>
  <si>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</si>
  <si>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</si>
  <si>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Area Lighting - 60.01-90 Watts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</si>
  <si>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</si>
  <si>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</si>
  <si>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</si>
  <si>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</si>
  <si>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</si>
  <si>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</si>
  <si>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</si>
  <si>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SCHEDULE 57</t>
  </si>
  <si>
    <t>Continuous Lighting Service</t>
  </si>
  <si>
    <t>per Watt of Connected Load</t>
  </si>
  <si>
    <t>SCHEDULES 58 &amp; 59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</si>
  <si>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</si>
  <si>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</si>
  <si>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</si>
  <si>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</si>
  <si>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</si>
  <si>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</si>
  <si>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</si>
  <si>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</si>
  <si>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</si>
  <si>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</si>
  <si>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</si>
  <si>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</si>
  <si>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</si>
  <si>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</si>
  <si>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</si>
  <si>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</si>
  <si>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</si>
  <si>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</si>
  <si>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- 30.01-60 Watts</t>
  </si>
  <si>
    <t>Company Owned LED Flood Lighting - 60.01-90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</si>
  <si>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</si>
  <si>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</si>
  <si>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</si>
  <si>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</si>
  <si>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</si>
  <si>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</si>
  <si>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</si>
  <si>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- 300.01-400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</si>
  <si>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</si>
  <si>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</si>
  <si>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</si>
  <si>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</si>
  <si>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</si>
  <si>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Annual Customer Counts</t>
  </si>
  <si>
    <t xml:space="preserve">Test year Annual Inventory </t>
  </si>
  <si>
    <t>Test Year Actual Annual Customers</t>
  </si>
  <si>
    <t>3E</t>
  </si>
  <si>
    <t>= (n) ÷ (j)</t>
  </si>
  <si>
    <t>= (m) ÷ (i)</t>
  </si>
  <si>
    <t>= (l) - (j)</t>
  </si>
  <si>
    <t>= (d) * (h) * 12</t>
  </si>
  <si>
    <t>= (l) ÷ (h)</t>
  </si>
  <si>
    <t>(p)</t>
  </si>
  <si>
    <t>Revenue Change (Base)</t>
  </si>
  <si>
    <t>Annual Revenue (Base)</t>
  </si>
  <si>
    <t>Proposed Lamp Charge (Base)</t>
  </si>
  <si>
    <t xml:space="preserve"> Effective January 1, 2025</t>
  </si>
  <si>
    <t xml:space="preserve"> Effective January 1, 2024</t>
  </si>
  <si>
    <t xml:space="preserve"> Effective January 1, 2023</t>
  </si>
  <si>
    <t>2022 General Rate Case (GRC)</t>
  </si>
  <si>
    <t>Rates Effective 1-1-2024 (Base)</t>
  </si>
  <si>
    <t>Current Annual Rate Revenue (Base)</t>
  </si>
  <si>
    <t>Base Change %</t>
  </si>
  <si>
    <t>Rates Effective 1-1-2023 (Base)</t>
  </si>
  <si>
    <t>Monthly Test Year Inventory</t>
  </si>
  <si>
    <t>= (i) ÷ (h)</t>
  </si>
  <si>
    <t>= (k) ÷ (g)</t>
  </si>
  <si>
    <t>= (j) ÷ (h)</t>
  </si>
  <si>
    <t>= (i) ÷ (g)</t>
  </si>
  <si>
    <t>= (j) ÷ (f)</t>
  </si>
  <si>
    <t>Base Charge</t>
  </si>
  <si>
    <t>141N Charge</t>
  </si>
  <si>
    <t>141R Charge</t>
  </si>
  <si>
    <t>Combined Charge</t>
  </si>
  <si>
    <t>Revenue Change from Current (Base)</t>
  </si>
  <si>
    <t>% Change from Current (Base)</t>
  </si>
  <si>
    <t>Current Base Rate vs Proposed</t>
  </si>
  <si>
    <t>Monthly Test Year Connected Watts</t>
  </si>
  <si>
    <t>= (e) * (b) * 13</t>
  </si>
  <si>
    <t>= (g) * (b) * 12</t>
  </si>
  <si>
    <t>= (i) - g)</t>
  </si>
  <si>
    <t>= (f) * (b)</t>
  </si>
  <si>
    <t>= (g) - (f)</t>
  </si>
  <si>
    <t xml:space="preserve">= (e) - (c) </t>
  </si>
  <si>
    <t xml:space="preserve">= (f) ÷ (c) </t>
  </si>
  <si>
    <t xml:space="preserve">= (g) ÷ (c) </t>
  </si>
  <si>
    <t xml:space="preserve">= (g) ÷ (d) </t>
  </si>
  <si>
    <t>Total Count of kWh (Annual)</t>
  </si>
  <si>
    <t>Capital Facilities Charge Percentage (Annual)</t>
  </si>
  <si>
    <t>Capital Facilities Charge Percentage (Monthly)</t>
  </si>
  <si>
    <t>O&amp;M Facilities Charge Percentage (Monthly)</t>
  </si>
  <si>
    <t>Per kWh Commodity Cost</t>
  </si>
  <si>
    <t>Per Watt Customer Cost</t>
  </si>
  <si>
    <t xml:space="preserve">Per kWh Customer Cost </t>
  </si>
  <si>
    <t>Per kW Demand Cost (Annual)</t>
  </si>
  <si>
    <t>Recovery per Install Dollar Capital Cost (Annual)</t>
  </si>
  <si>
    <t>Per Install Dollar Capital Cost (Annual)</t>
  </si>
  <si>
    <t>Per Lamp O&amp;M Cost (Annual)</t>
  </si>
  <si>
    <t>O&amp;M Facilities Charge Percentage (Annual)</t>
  </si>
  <si>
    <t>Per Watt Customer Cost (Annual)</t>
  </si>
  <si>
    <t>NEW SIZE</t>
  </si>
  <si>
    <t xml:space="preserve">New Size </t>
  </si>
  <si>
    <t>Changes</t>
  </si>
  <si>
    <t>Compact Fluorescent</t>
  </si>
  <si>
    <t>0-30 Watts</t>
  </si>
  <si>
    <t>30.01-60 Watts</t>
  </si>
  <si>
    <t>LED 0-030</t>
  </si>
  <si>
    <t>00-30</t>
  </si>
  <si>
    <t>LED 00-030</t>
  </si>
  <si>
    <t>Company Owned LED - 0-30 Watts</t>
  </si>
  <si>
    <t>Company Owned LED - 30.01-60 Watts</t>
  </si>
  <si>
    <t>Customer Owned LED - 0-30 Watts</t>
  </si>
  <si>
    <t>Customer Owned LED - 30.01-60 Watts</t>
  </si>
  <si>
    <t>Customer Owned Energy Only LED 0-30 - Watt</t>
  </si>
  <si>
    <t>Customer Owned Energy Only LED 30.01-60 - Watt</t>
  </si>
  <si>
    <t>Company Owned LED Area Lighting 0-30 Watts</t>
  </si>
  <si>
    <t>Company Owned LED Area Lighting 30.01-60 Watts</t>
  </si>
  <si>
    <t>Company Owned LED Flood Lighting - 0-30 Watts</t>
  </si>
  <si>
    <t xml:space="preserve">Smart lighting Filing </t>
  </si>
  <si>
    <t>(Per KWHs)</t>
  </si>
  <si>
    <t>TOTAL (Per KWhs)</t>
  </si>
  <si>
    <t>TOTAL (Per Lamp)</t>
  </si>
  <si>
    <t>TOTAL (per Lamp)</t>
  </si>
  <si>
    <t>SMART LIGHT</t>
  </si>
  <si>
    <t>Per KWHs</t>
  </si>
  <si>
    <t>51-LED - SMART LIGHT</t>
  </si>
  <si>
    <t>53-LED - SMART LIGHT</t>
  </si>
  <si>
    <t>Lighting Parity Ratios</t>
  </si>
  <si>
    <t xml:space="preserve">Average 2022 GRC test-year Pole Cost </t>
  </si>
  <si>
    <t xml:space="preserve">Installation cost </t>
  </si>
  <si>
    <t xml:space="preserve">Adjusted Test Year Twelve Months ended December 2021 @ ECOS </t>
  </si>
  <si>
    <t>Present Billed Revenue</t>
  </si>
  <si>
    <t>Parity Ratio</t>
  </si>
  <si>
    <t>TOTAL Overall Change %</t>
  </si>
  <si>
    <t>TOAL Overall  Change %</t>
  </si>
  <si>
    <t>(q)</t>
  </si>
  <si>
    <t>(r)</t>
  </si>
  <si>
    <t>(s)</t>
  </si>
  <si>
    <t>(t)</t>
  </si>
  <si>
    <t>(u)</t>
  </si>
  <si>
    <t>(v)</t>
  </si>
  <si>
    <t>(w)</t>
  </si>
  <si>
    <t>Schedule 141R Lamp / Watt  Charge (per month)</t>
  </si>
  <si>
    <t xml:space="preserve">Monthly Billed Usage Per Lamp (kWh) </t>
  </si>
  <si>
    <t>=(i)</t>
  </si>
  <si>
    <t>=(j)</t>
  </si>
  <si>
    <t xml:space="preserve">Allocated Capital Costs </t>
  </si>
  <si>
    <t xml:space="preserve">SMART (per KWHs charge) </t>
  </si>
  <si>
    <t>Test year Annual Inventory</t>
  </si>
  <si>
    <t>Total OLD Pole Revenue</t>
  </si>
  <si>
    <t>Total NEW Pole Revenue</t>
  </si>
  <si>
    <t>(h) =(g)-(h)</t>
  </si>
  <si>
    <t>(j) =(i)-(g)</t>
  </si>
  <si>
    <t>(l) =(k)-(i)</t>
  </si>
  <si>
    <t xml:space="preserve"> Capital  (Sch 50, 51, 52, 53, 54, 55, 56, 57, 58, 59)</t>
  </si>
  <si>
    <t>Distribution O&amp;M (Sch 50, 51, 52, 53, 54, 55, 56, 57, 58, 59)</t>
  </si>
  <si>
    <r>
      <t>Periodic cleaning of the fixture will take place in the future, estimate every 10 years.</t>
    </r>
    <r>
      <rPr>
        <b/>
        <sz val="8"/>
        <rFont val="Arial"/>
        <family val="2"/>
      </rPr>
      <t xml:space="preserve"> Presently not included in rate</t>
    </r>
    <r>
      <rPr>
        <sz val="8"/>
        <rFont val="Arial"/>
        <family val="2"/>
      </rPr>
      <t xml:space="preserve">. Historical data for chip life and repair/replacement requirements unknown at this time, waiting on national data results.  </t>
    </r>
  </si>
  <si>
    <t>Base Rates
Effective (Per Lamp)
10-1-2021</t>
  </si>
  <si>
    <t>Base Rates
Effective (Per KWHs)
10-1-2021</t>
  </si>
  <si>
    <t>Schedule 95 (Power Cost Adjustment) Effective 7-1-2021</t>
  </si>
  <si>
    <t>Schedule 95 (Power Cost Adjustment) Supplemental Effective 12-1-2020</t>
  </si>
  <si>
    <t>Schedule 95A  (Federal Wind Power Credit) Effective 1-1-2022</t>
  </si>
  <si>
    <t>Schedule 120 (Conservation)
Effective 5-1-2021</t>
  </si>
  <si>
    <t>Schedule 129 (Low income)
Effective 10-1-2021</t>
  </si>
  <si>
    <t>Schedule 132 (Merger Credit)
Effective 1-1-2019</t>
  </si>
  <si>
    <t>Schedule 137 (REC)
Effective 1-1-2022</t>
  </si>
  <si>
    <t>Schedule 140
(Property tax)
Effective 5-1-2021</t>
  </si>
  <si>
    <t>Schedule 141/141X
(Base Rate ERF)
Effective 3-1-2019</t>
  </si>
  <si>
    <t>Schedule 141
(EXPEDITED RATE FILING RATE ADJ)
Effective 10-15-2020</t>
  </si>
  <si>
    <t>Schedule 141X
(EXCESS DEFERRED INCOME TAX)
Effective 10-1-2021</t>
  </si>
  <si>
    <t>Schedule 141Y
(TEMPORARY FEDERAL INCOME TAX RATE CREDIT)
Effective 9-1-2021</t>
  </si>
  <si>
    <t>Schedule 141Z
(UNPROTECTED EXCESS DEFERRED INCOME TAX (UP EDIT) REVERSALS ADJ)
Effective 10-15-2020</t>
  </si>
  <si>
    <t>Schedule 194
(BPA) Effective 11-1-2021</t>
  </si>
  <si>
    <t>Base Rates
Effective
10-1-2021</t>
  </si>
  <si>
    <t>18:00</t>
  </si>
  <si>
    <t>Presentational purpose ONLY, rates will only be set for 2023 in 2022 GRC</t>
  </si>
  <si>
    <t>MYRP 2024, Effective January 1, 2025</t>
  </si>
  <si>
    <t>Table of Contents</t>
  </si>
  <si>
    <t xml:space="preserve">Category </t>
  </si>
  <si>
    <t>BDJ-6 Base Revenue (Summary)</t>
  </si>
  <si>
    <t>BDJ-6 Lighting Parity Ratios</t>
  </si>
  <si>
    <t xml:space="preserve">Electric Lighting COS Module </t>
  </si>
  <si>
    <t>BDJ-6 Rate Design Lighting</t>
  </si>
  <si>
    <t>BDJ-6 Unitized Lighting Costs</t>
  </si>
  <si>
    <t>BDJ-6 Classification of Costs</t>
  </si>
  <si>
    <t>BDJ-6 Combined Charges</t>
  </si>
  <si>
    <t xml:space="preserve">Exhibits </t>
  </si>
  <si>
    <t xml:space="preserve">Tariffs </t>
  </si>
  <si>
    <t>Base Lighting Tariff</t>
  </si>
  <si>
    <t>Base Lighting Tariff (Smart)</t>
  </si>
  <si>
    <t>Sch 141N Lighting Tariff</t>
  </si>
  <si>
    <t>Sch 141R Lighting Tariff</t>
  </si>
  <si>
    <t>WP2 Current Light Rates</t>
  </si>
  <si>
    <t>WP3 Current Light Rates (Smart)</t>
  </si>
  <si>
    <t>WP4 Customer Counts</t>
  </si>
  <si>
    <t>WP5 Facilities Charge (51 &amp; 52)</t>
  </si>
  <si>
    <t>WP6 Demand Allocation Analysis</t>
  </si>
  <si>
    <t>WP7 Condensed LED Cost Est.</t>
  </si>
  <si>
    <t>WP8 Metal Halide Cost Est.</t>
  </si>
  <si>
    <t>WP9 Sodium Vapor Cost Est.</t>
  </si>
  <si>
    <t>WP10 O&amp;M Weighting Factor</t>
  </si>
  <si>
    <t>WP11 E373 Pole Cost Estimates</t>
  </si>
  <si>
    <t>WP12 Condensed Sch. Level Costs</t>
  </si>
  <si>
    <t>Schedules 58E &amp; 59E</t>
  </si>
  <si>
    <t>Schedule 57E</t>
  </si>
  <si>
    <t>Schedules 55E &amp; 58E Pole</t>
  </si>
  <si>
    <t>Schedules 55E &amp; 56E</t>
  </si>
  <si>
    <t>Schedule 54E</t>
  </si>
  <si>
    <t>Schedule 53E</t>
  </si>
  <si>
    <t>Sch 51E &amp; 52E Facilities Charge</t>
  </si>
  <si>
    <t>Schedule 52E</t>
  </si>
  <si>
    <t>Schedule 51E</t>
  </si>
  <si>
    <t>Schedule 50E</t>
  </si>
  <si>
    <t>Rate Spread Lighting</t>
  </si>
  <si>
    <t>Charges</t>
  </si>
  <si>
    <t>Energy Charge</t>
  </si>
  <si>
    <t xml:space="preserve">Rate Spread and Design </t>
  </si>
  <si>
    <t>WP1 Light Inventory</t>
  </si>
  <si>
    <t>Lighting Revenues Summary</t>
  </si>
  <si>
    <t>Proposed Effective January 1, 2023</t>
  </si>
  <si>
    <t>Compact Fluorescent - 22 Watts</t>
  </si>
  <si>
    <t>Custom Metal Halide - 70 Watt</t>
  </si>
  <si>
    <t>Custom Metal Halide - 100 Watt</t>
  </si>
  <si>
    <t>Custom Metal Halide - 150 Watt</t>
  </si>
  <si>
    <t>Custom Metal Halide - 175 Watt</t>
  </si>
  <si>
    <t>Custom Metal Halide - 250 Watt</t>
  </si>
  <si>
    <t>Custom Metal Halide - 400 Watt</t>
  </si>
  <si>
    <t>Custom Metal Halide - 1000 Watt</t>
  </si>
  <si>
    <t>Company Owned Metal Halide - 70 Watt</t>
  </si>
  <si>
    <t>Company Owned Metal Halide - 100 Watt</t>
  </si>
  <si>
    <t>Company Owned Metal Halide - 150 Watt</t>
  </si>
  <si>
    <t>Company Owned Metal Halide - 250 Watt</t>
  </si>
  <si>
    <t>Company Owned Metal Halide - 400 Watt</t>
  </si>
  <si>
    <t>Customer Owned Metal Halide - 70 Watt</t>
  </si>
  <si>
    <t>Customer Owned Metal Halide - 100 Watt</t>
  </si>
  <si>
    <t>Customer Owned Metal Halide - 150 Watt</t>
  </si>
  <si>
    <t>Customer Owned Metal Halide - 175 Watt</t>
  </si>
  <si>
    <t>Customer Owned Metal Halide - 250 Watt</t>
  </si>
  <si>
    <t>Customer Owned Metal Halide - 400 Watt</t>
  </si>
  <si>
    <t>Company Owned Area Lighting Pole Charge (Pre 11/74)</t>
  </si>
  <si>
    <t>Company Owned Area Lighting Pole Charge (Post 10-28-99)</t>
  </si>
  <si>
    <t>Company Owned Flood Lighting Pole Charge (Post 10-28-99)</t>
  </si>
  <si>
    <t>Other Rate base - Indirect</t>
  </si>
  <si>
    <t>Return on Rate base</t>
  </si>
  <si>
    <t>Allocate ProForma Revenue (Delivered)</t>
  </si>
  <si>
    <t>Adjustment to ProForma Revenue (Change in Unbilled)</t>
  </si>
  <si>
    <t>Adjusted ProForma Revenue (Billed)</t>
  </si>
  <si>
    <t>Rate base items</t>
  </si>
  <si>
    <t>ProForma
Revenue
($000)</t>
  </si>
  <si>
    <t>ProForma Proposed Revenue</t>
  </si>
  <si>
    <t>Test Year Ending balance of June 30, 2021</t>
  </si>
  <si>
    <t xml:space="preserve">Corrective maintenance takes place as a result of notification of a light out.  By the tariff, Into Light has 3 business days to repair the lights or notify the customer that special additional time is needed order parts. </t>
  </si>
  <si>
    <t xml:space="preserve">Almost always installed on existing PSE Distribution Poles and Pole cost is not part of the rate </t>
  </si>
  <si>
    <t>Continuous Lighting Demand</t>
  </si>
  <si>
    <t>Links from Other Spreadsheets</t>
  </si>
  <si>
    <t>NEW-PSE-WP-BDJ-5-ELEC-RATE-SPREAD-DESIGN-22GRC-01-2022.xlsx</t>
  </si>
  <si>
    <t>NEW-PSE-WP-BDJ-3-ELEC-NORM-MO-REV-22GRC-01-2022.xlsx</t>
  </si>
  <si>
    <t>NEW-PSE-WP-BDJ-5-ELEC-RATE-SPREAD-DESIGN-22GRC-01-2022.xlsx, NEW-PSE-WP-BDJ-3-ELEC-NORM-MO-REV-22GRC-01-2022.xlsx</t>
  </si>
  <si>
    <t>Page</t>
  </si>
  <si>
    <t>page 1-3</t>
  </si>
  <si>
    <t>page 4</t>
  </si>
  <si>
    <t>page 5-9</t>
  </si>
  <si>
    <t>page 10-13</t>
  </si>
  <si>
    <t>page 14</t>
  </si>
  <si>
    <t>page 15-17</t>
  </si>
  <si>
    <t>page 18-21</t>
  </si>
  <si>
    <t>page 22</t>
  </si>
  <si>
    <t>page 23-25</t>
  </si>
  <si>
    <t>page 26-28</t>
  </si>
  <si>
    <t>page 29-31</t>
  </si>
  <si>
    <t>page 32-36</t>
  </si>
  <si>
    <t>page 37-41</t>
  </si>
  <si>
    <t>page 42-46</t>
  </si>
  <si>
    <t>page 47-51</t>
  </si>
  <si>
    <t>page 52-56</t>
  </si>
  <si>
    <t>page 57</t>
  </si>
  <si>
    <t>page 58-60</t>
  </si>
  <si>
    <t>page 61-63</t>
  </si>
  <si>
    <t>page 64-66</t>
  </si>
  <si>
    <t>page 67-69</t>
  </si>
  <si>
    <t>page 70-72</t>
  </si>
  <si>
    <t>page 73-75</t>
  </si>
  <si>
    <t>page 76-78</t>
  </si>
  <si>
    <t>page 79-81</t>
  </si>
  <si>
    <t>page 82-84</t>
  </si>
  <si>
    <t>page 85-87</t>
  </si>
  <si>
    <t>page 88-99</t>
  </si>
  <si>
    <t>page 100</t>
  </si>
  <si>
    <t>page 101</t>
  </si>
  <si>
    <t>page 102</t>
  </si>
  <si>
    <t>page 103</t>
  </si>
  <si>
    <t>page 104</t>
  </si>
  <si>
    <t>page 105</t>
  </si>
  <si>
    <t>page 106</t>
  </si>
  <si>
    <t>page 107</t>
  </si>
  <si>
    <t>page 108</t>
  </si>
  <si>
    <t>page 109-111</t>
  </si>
  <si>
    <t>page 112-116</t>
  </si>
  <si>
    <t>NEW-PSE-WP-BDJ-4-COS-Model-22GRC-01-2022.xlsx</t>
  </si>
  <si>
    <t>Sheet No. 141R-C</t>
  </si>
  <si>
    <t>Sheet No. 141R-D</t>
  </si>
  <si>
    <t>Sheet No. 141R-E</t>
  </si>
  <si>
    <t>Sheet No. 141R-F</t>
  </si>
  <si>
    <t>Sheet No. 141R-G</t>
  </si>
  <si>
    <t>Sheet No. 141R-H</t>
  </si>
  <si>
    <t>Sheet No. 141R-I</t>
  </si>
  <si>
    <t>Sheet No. 141R-J</t>
  </si>
  <si>
    <t>Sheet No. 141N-C</t>
  </si>
  <si>
    <t>Sheet No. 141N-D</t>
  </si>
  <si>
    <t>Sheet No. 141N-E</t>
  </si>
  <si>
    <t>Sheet No. 141N-F</t>
  </si>
  <si>
    <t>Sheet No. 141N-G</t>
  </si>
  <si>
    <t>Sheet No. 141N-H</t>
  </si>
  <si>
    <t>Sheet No. 141N-I</t>
  </si>
  <si>
    <t>Sheet No. 141N-J</t>
  </si>
  <si>
    <t>Sheet No. 141N-B</t>
  </si>
  <si>
    <t>Sheet No. 141R-K</t>
  </si>
  <si>
    <t>Proposed Sch 141DG Revenue Annual ($)</t>
  </si>
  <si>
    <t>(x)</t>
  </si>
  <si>
    <t>(y)</t>
  </si>
  <si>
    <t>(z)</t>
  </si>
  <si>
    <t>= (i) + (l) + (o) + (r) + (u)</t>
  </si>
  <si>
    <t>= (j) + (m) + (p) + (s) + (v)</t>
  </si>
  <si>
    <t>= (k) + (n) + (q) + (t) + (w)</t>
  </si>
  <si>
    <t>Schedule 141A Adjusted $ per kWh</t>
  </si>
  <si>
    <t>Schedule 141A Lamp / Watt Charge (per month)</t>
  </si>
  <si>
    <t>Proposed Sch 141A Revenue Annual ($)</t>
  </si>
  <si>
    <t>SCH 141A Rate</t>
  </si>
  <si>
    <t>Sheet No. 141A</t>
  </si>
  <si>
    <t>SCH 141A Lighting Tariffed Rate Components</t>
  </si>
  <si>
    <t>141A Charge</t>
  </si>
  <si>
    <t>SCH 141A - SCH 139 Energy Charge Credit Recovery (Lighting)</t>
  </si>
  <si>
    <t xml:space="preserve">Proposed Average rate </t>
  </si>
  <si>
    <t xml:space="preserve">Base Average Lighting Rate </t>
  </si>
  <si>
    <t>2023 (141A)</t>
  </si>
  <si>
    <t>2024 (141A)</t>
  </si>
  <si>
    <t>2023 (141N)</t>
  </si>
  <si>
    <t>2024 (141N)</t>
  </si>
  <si>
    <t>2023 (141R)</t>
  </si>
  <si>
    <t>2024 (141R)</t>
  </si>
  <si>
    <t>Note:  Amounts in bold and italics are different from the October 18, 2022 PSE Response to WUTC Bench Request 002.</t>
  </si>
  <si>
    <t>Sch 141COL Lighting Tariff</t>
  </si>
  <si>
    <t>TOTAL Annual Proposed Revenue (Base + 141COL + 141N + 141R + 141A)</t>
  </si>
  <si>
    <t>TOTAL Revenue Change from Current (Base + 141COL + 141N + 141R + 141A)</t>
  </si>
  <si>
    <t>% TOTAL Change from Current  (Base + 141COL + 141N + 141R + 141A)</t>
  </si>
  <si>
    <t>TOTAL Current Annual Revenue  (Base + 141COL + 141N + 141R + 141A)</t>
  </si>
  <si>
    <t>2023 (Base + 141COL + 141N + 141R)</t>
  </si>
  <si>
    <t>2024 (Base + 141COL + 141N + 141R)</t>
  </si>
  <si>
    <t>2023 (141COL)</t>
  </si>
  <si>
    <t>2024 (141COL)</t>
  </si>
  <si>
    <t>141COL Charge</t>
  </si>
  <si>
    <t>SCH 141COL Lighting Tariffed Rate Components</t>
  </si>
  <si>
    <t>SCH 141COL - Colstrip (Lighting)</t>
  </si>
  <si>
    <t>Schedule 141COL Adjusted $ per kWh</t>
  </si>
  <si>
    <t>Proposed Sch 141COL Revenue Annual ($)</t>
  </si>
  <si>
    <t>Schedule 141COL Lamp / Watt Charge (per month)</t>
  </si>
  <si>
    <t>SCH 141COL Rate</t>
  </si>
  <si>
    <t>Sheet No. 141COL-D</t>
  </si>
  <si>
    <t>Sheet No. 141COL-E</t>
  </si>
  <si>
    <t>Sheet No. 141COL-F</t>
  </si>
  <si>
    <t>Sheet No. 141COL-G</t>
  </si>
  <si>
    <t>Sheet No. 141COL-H</t>
  </si>
  <si>
    <t>Sheet No. 141COL-I</t>
  </si>
  <si>
    <t>Sheet No. 141COL-J</t>
  </si>
  <si>
    <t>Sheet No. 141COL-K</t>
  </si>
  <si>
    <t>Sheet No. 141COL-L</t>
  </si>
  <si>
    <t>TOTAL Proposed Charge (Base + 141COL + 141N + 141R + 141A)</t>
  </si>
  <si>
    <t>TOTAL Annual Revenue (Base + 141COL + 141N + 141R + 141A)</t>
  </si>
  <si>
    <t>TOTAL Revenue Change (Base + 141COL + 141N + 141R + 141A)</t>
  </si>
  <si>
    <t>TOTAL Rates Effective 1-1-2023 (Base + 141COL + 141N + 141R + 141A)</t>
  </si>
  <si>
    <t>TOTAL Current Annual Rate Revenue (Base + 141COL + 141N + 141R + 141A)</t>
  </si>
  <si>
    <t>TOTAL Revenue Change  (Base + 141COL + 141N + 141R + 141A)</t>
  </si>
  <si>
    <t>TOTAL Rates Effective 1-1-2024 (Base + 141COL + 141N + 141R + 141A)</t>
  </si>
  <si>
    <t>Rates Effective 1-1-2023 (Base + 141COL + 141N + 141R + 141A)</t>
  </si>
  <si>
    <t>Rates Effective 1-1-2024 (Base + 141COL + 141N + 141R + 141A)</t>
  </si>
  <si>
    <t>Difference</t>
  </si>
  <si>
    <t xml:space="preserve"> $          -  </t>
  </si>
  <si>
    <t>PSE's December 27, 2022 Compliance Filing</t>
  </si>
  <si>
    <t>CF 22</t>
  </si>
  <si>
    <t>MV 175</t>
  </si>
  <si>
    <t>SV 070</t>
  </si>
  <si>
    <t>SV 100</t>
  </si>
  <si>
    <t>SV 150</t>
  </si>
  <si>
    <t>SV 200</t>
  </si>
  <si>
    <t>SV 250</t>
  </si>
  <si>
    <t>SV 310</t>
  </si>
  <si>
    <t>SV 400</t>
  </si>
  <si>
    <t>MH 175</t>
  </si>
  <si>
    <t>MH 1000</t>
  </si>
  <si>
    <t>SV 050</t>
  </si>
  <si>
    <t>DSV 070</t>
  </si>
  <si>
    <t>DSV 100</t>
  </si>
  <si>
    <t>DSV 150</t>
  </si>
  <si>
    <t>DSV 200</t>
  </si>
  <si>
    <t>DSV 250</t>
  </si>
  <si>
    <t>DSV 400</t>
  </si>
  <si>
    <t>HSV 100</t>
  </si>
  <si>
    <t>HSV 150</t>
  </si>
  <si>
    <t>HSV 200</t>
  </si>
  <si>
    <t>HSV 250</t>
  </si>
  <si>
    <t>HSV 400</t>
  </si>
  <si>
    <t>DMH 175</t>
  </si>
  <si>
    <t>DMH 250</t>
  </si>
  <si>
    <t>DMH 400</t>
  </si>
  <si>
    <t>DMH 1000</t>
  </si>
  <si>
    <t>HMH 250</t>
  </si>
  <si>
    <t>HMH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</si>
</sst>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_(&quot;$&quot;* #,##0.000000_);_(&quot;$&quot;* \(#,##0.000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0" formatCode="0.000000"/>
    <numFmt numFmtId="171" formatCode="0.000%"/>
    <numFmt numFmtId="172" formatCode="&quot;$&quot;#,##0.00000"/>
    <numFmt numFmtId="173" formatCode="&quot;$&quot;#,##0.00000_);\(&quot;$&quot;#,##0.00000\)"/>
    <numFmt numFmtId="174" formatCode="&quot;$&quot;#,##0"/>
    <numFmt numFmtId="175" formatCode="#,##0;&quot;-&quot;#,##0"/>
    <numFmt numFmtId="176" formatCode="_(&quot;$&quot;* #,##0.00000_);_(&quot;$&quot;* \(#,##0.00000\);_(&quot;$&quot;* &quot;-&quot;??_);_(@_)"/>
    <numFmt numFmtId="177" formatCode="_(* #,##0.000_);_(* \(#,##0.000\);_(* &quot;-&quot;??_);_(@_)"/>
    <numFmt numFmtId="178" formatCode="0.00000%"/>
    <numFmt numFmtId="179" formatCode="0.0000"/>
    <numFmt numFmtId="180" formatCode="h:mm;@"/>
    <numFmt numFmtId="181" formatCode="&quot;$&quot;#,##0.000000"/>
    <numFmt numFmtId="182" formatCode="&quot;$&quot;#,##0.000000_);\(&quot;$&quot;#,##0.000000\)"/>
    <numFmt numFmtId="183" formatCode="0.000"/>
    <numFmt numFmtId="184" formatCode="0.000_)"/>
    <numFmt numFmtId="185" formatCode="_(* #,##0.000000_);_(* \(#,##0.000000\);_(* &quot;-&quot;??_);_(@_)"/>
    <numFmt numFmtId="186" formatCode="###,000"/>
    <numFmt numFmtId="187" formatCode="&quot;$&quot;#,##0.000000_);[Red]\(&quot;$&quot;#,##0.000000\)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name val="Arial"/>
      <family val="2"/>
    </font>
    <font>
      <b/>
      <u/>
      <sz val="1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2"/>
      <name val="Times New Roman"/>
      <family val="1"/>
    </font>
    <font>
      <b/>
      <i/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0000FF"/>
      <name val="Times New Roman"/>
      <family val="1"/>
    </font>
    <font>
      <sz val="8"/>
      <color rgb="FFFF0000"/>
      <name val="Arial"/>
      <family val="2"/>
    </font>
    <font>
      <b/>
      <i/>
      <sz val="8"/>
      <color rgb="FF0033CC"/>
      <name val="Arial"/>
      <family val="2"/>
    </font>
    <font>
      <sz val="8"/>
      <color rgb="FF008080"/>
      <name val="Arial"/>
      <family val="2"/>
    </font>
    <font>
      <b/>
      <sz val="8"/>
      <color rgb="FF00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5" fillId="2" borderId="60" applyNumberFormat="0" applyAlignment="0" applyProtection="0">
      <alignment horizontal="left" vertical="center" indent="1"/>
    </xf>
    <xf numFmtId="186" fontId="16" fillId="0" borderId="61" applyNumberFormat="0" applyProtection="0">
      <alignment horizontal="right" vertical="center"/>
    </xf>
    <xf numFmtId="186" fontId="15" fillId="0" borderId="62" applyNumberFormat="0" applyProtection="0">
      <alignment horizontal="right" vertical="center"/>
    </xf>
    <xf numFmtId="186" fontId="16" fillId="3" borderId="60" applyNumberFormat="0" applyAlignment="0" applyProtection="0">
      <alignment horizontal="left" vertical="center" indent="1"/>
    </xf>
    <xf numFmtId="0" fontId="17" fillId="4" borderId="62" applyNumberFormat="0" applyAlignment="0">
      <alignment horizontal="left" vertical="center" indent="1"/>
      <protection locked="0"/>
    </xf>
    <xf numFmtId="0" fontId="17" fillId="5" borderId="62" applyNumberFormat="0" applyAlignment="0" applyProtection="0">
      <alignment horizontal="left" vertical="center" indent="1"/>
    </xf>
    <xf numFmtId="186" fontId="16" fillId="6" borderId="61" applyNumberFormat="0" applyBorder="0">
      <alignment horizontal="right" vertical="center"/>
      <protection locked="0"/>
    </xf>
    <xf numFmtId="0" fontId="17" fillId="4" borderId="62" applyNumberFormat="0" applyAlignment="0">
      <alignment horizontal="left" vertical="center" indent="1"/>
      <protection locked="0"/>
    </xf>
    <xf numFmtId="186" fontId="15" fillId="5" borderId="62" applyNumberFormat="0" applyProtection="0">
      <alignment horizontal="right" vertical="center"/>
    </xf>
    <xf numFmtId="186" fontId="15" fillId="6" borderId="62" applyNumberFormat="0" applyBorder="0">
      <alignment horizontal="right" vertical="center"/>
      <protection locked="0"/>
    </xf>
    <xf numFmtId="186" fontId="18" fillId="7" borderId="63" applyNumberFormat="0" applyBorder="0" applyAlignment="0" applyProtection="0">
      <alignment horizontal="right" vertical="center" indent="1"/>
    </xf>
    <xf numFmtId="186" fontId="19" fillId="8" borderId="63" applyNumberFormat="0" applyBorder="0" applyAlignment="0" applyProtection="0">
      <alignment horizontal="right" vertical="center" indent="1"/>
    </xf>
    <xf numFmtId="186" fontId="19" fillId="9" borderId="63" applyNumberFormat="0" applyBorder="0" applyAlignment="0" applyProtection="0">
      <alignment horizontal="right" vertical="center" indent="1"/>
    </xf>
    <xf numFmtId="186" fontId="20" fillId="10" borderId="63" applyNumberFormat="0" applyBorder="0" applyAlignment="0" applyProtection="0">
      <alignment horizontal="right" vertical="center" indent="1"/>
    </xf>
    <xf numFmtId="186" fontId="20" fillId="11" borderId="63" applyNumberFormat="0" applyBorder="0" applyAlignment="0" applyProtection="0">
      <alignment horizontal="right" vertical="center" indent="1"/>
    </xf>
    <xf numFmtId="186" fontId="20" fillId="12" borderId="63" applyNumberFormat="0" applyBorder="0" applyAlignment="0" applyProtection="0">
      <alignment horizontal="right" vertical="center" indent="1"/>
    </xf>
    <xf numFmtId="186" fontId="21" fillId="13" borderId="63" applyNumberFormat="0" applyBorder="0" applyAlignment="0" applyProtection="0">
      <alignment horizontal="right" vertical="center" indent="1"/>
    </xf>
    <xf numFmtId="186" fontId="21" fillId="14" borderId="63" applyNumberFormat="0" applyBorder="0" applyAlignment="0" applyProtection="0">
      <alignment horizontal="right" vertical="center" indent="1"/>
    </xf>
    <xf numFmtId="186" fontId="21" fillId="15" borderId="63" applyNumberFormat="0" applyBorder="0" applyAlignment="0" applyProtection="0">
      <alignment horizontal="right" vertical="center" indent="1"/>
    </xf>
    <xf numFmtId="0" fontId="22" fillId="0" borderId="60" applyNumberFormat="0" applyFont="0" applyFill="0" applyAlignment="0" applyProtection="0"/>
    <xf numFmtId="186" fontId="23" fillId="3" borderId="0" applyNumberFormat="0" applyAlignment="0" applyProtection="0">
      <alignment horizontal="left" vertical="center" indent="1"/>
    </xf>
    <xf numFmtId="0" fontId="22" fillId="0" borderId="64" applyNumberFormat="0" applyFont="0" applyFill="0" applyAlignment="0" applyProtection="0"/>
    <xf numFmtId="186" fontId="16" fillId="0" borderId="61" applyNumberFormat="0" applyFill="0" applyBorder="0" applyAlignment="0" applyProtection="0">
      <alignment horizontal="right" vertical="center"/>
    </xf>
    <xf numFmtId="186" fontId="16" fillId="3" borderId="60" applyNumberFormat="0" applyAlignment="0" applyProtection="0">
      <alignment horizontal="left" vertical="center" indent="1"/>
    </xf>
    <xf numFmtId="0" fontId="15" fillId="2" borderId="62" applyNumberFormat="0" applyAlignment="0" applyProtection="0">
      <alignment horizontal="left" vertical="center" indent="1"/>
    </xf>
    <xf numFmtId="0" fontId="17" fillId="16" borderId="60" applyNumberFormat="0" applyAlignment="0" applyProtection="0">
      <alignment horizontal="left" vertical="center" indent="1"/>
    </xf>
    <xf numFmtId="0" fontId="17" fillId="17" borderId="60" applyNumberFormat="0" applyAlignment="0" applyProtection="0">
      <alignment horizontal="left" vertical="center" indent="1"/>
    </xf>
    <xf numFmtId="0" fontId="17" fillId="18" borderId="60" applyNumberFormat="0" applyAlignment="0" applyProtection="0">
      <alignment horizontal="left" vertical="center" indent="1"/>
    </xf>
    <xf numFmtId="0" fontId="17" fillId="6" borderId="60" applyNumberFormat="0" applyAlignment="0" applyProtection="0">
      <alignment horizontal="left" vertical="center" indent="1"/>
    </xf>
    <xf numFmtId="0" fontId="17" fillId="5" borderId="62" applyNumberFormat="0" applyAlignment="0" applyProtection="0">
      <alignment horizontal="left" vertical="center" indent="1"/>
    </xf>
    <xf numFmtId="0" fontId="24" fillId="0" borderId="65" applyNumberFormat="0" applyFill="0" applyBorder="0" applyAlignment="0" applyProtection="0"/>
    <xf numFmtId="0" fontId="25" fillId="0" borderId="65" applyNumberFormat="0" applyBorder="0" applyAlignment="0" applyProtection="0"/>
    <xf numFmtId="0" fontId="24" fillId="4" borderId="62" applyNumberFormat="0" applyAlignment="0">
      <alignment horizontal="left" vertical="center" indent="1"/>
      <protection locked="0"/>
    </xf>
    <xf numFmtId="0" fontId="24" fillId="4" borderId="62" applyNumberFormat="0" applyAlignment="0">
      <alignment horizontal="left" vertical="center" indent="1"/>
      <protection locked="0"/>
    </xf>
    <xf numFmtId="0" fontId="24" fillId="5" borderId="62" applyNumberFormat="0" applyAlignment="0" applyProtection="0">
      <alignment horizontal="left" vertical="center" indent="1"/>
    </xf>
    <xf numFmtId="186" fontId="26" fillId="5" borderId="62" applyNumberFormat="0" applyProtection="0">
      <alignment horizontal="right" vertical="center"/>
    </xf>
    <xf numFmtId="186" fontId="27" fillId="6" borderId="61" applyNumberFormat="0" applyBorder="0">
      <alignment horizontal="right" vertical="center"/>
      <protection locked="0"/>
    </xf>
    <xf numFmtId="186" fontId="26" fillId="6" borderId="62" applyNumberFormat="0" applyBorder="0">
      <alignment horizontal="right" vertical="center"/>
      <protection locked="0"/>
    </xf>
    <xf numFmtId="186" fontId="16" fillId="0" borderId="61" applyNumberFormat="0" applyFill="0" applyBorder="0" applyAlignment="0" applyProtection="0">
      <alignment horizontal="right" vertical="center"/>
    </xf>
    <xf numFmtId="0" fontId="28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06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8" fontId="2" fillId="0" borderId="2" xfId="0" applyNumberFormat="1" applyFont="1" applyFill="1" applyBorder="1"/>
    <xf numFmtId="10" fontId="2" fillId="0" borderId="0" xfId="0" applyNumberFormat="1" applyFont="1" applyFill="1" applyBorder="1"/>
    <xf numFmtId="167" fontId="2" fillId="0" borderId="0" xfId="0" applyNumberFormat="1" applyFont="1" applyFill="1" applyBorder="1"/>
    <xf numFmtId="168" fontId="2" fillId="0" borderId="0" xfId="0" applyNumberFormat="1" applyFont="1" applyFill="1" applyBorder="1"/>
    <xf numFmtId="10" fontId="2" fillId="0" borderId="0" xfId="0" applyNumberFormat="1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167" fontId="2" fillId="0" borderId="0" xfId="0" applyNumberFormat="1" applyFont="1" applyFill="1"/>
    <xf numFmtId="167" fontId="2" fillId="0" borderId="3" xfId="0" applyNumberFormat="1" applyFont="1" applyFill="1" applyBorder="1"/>
    <xf numFmtId="168" fontId="2" fillId="0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1"/>
    </xf>
    <xf numFmtId="167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/>
    <xf numFmtId="167" fontId="2" fillId="0" borderId="11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 indent="1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167" fontId="2" fillId="0" borderId="0" xfId="0" applyNumberFormat="1" applyFont="1" applyFill="1" applyAlignment="1"/>
    <xf numFmtId="10" fontId="2" fillId="0" borderId="0" xfId="0" applyNumberFormat="1" applyFont="1" applyFill="1" applyAlignment="1">
      <alignment horizontal="right"/>
    </xf>
    <xf numFmtId="167" fontId="2" fillId="0" borderId="3" xfId="0" applyNumberFormat="1" applyFont="1" applyFill="1" applyBorder="1" applyAlignment="1"/>
    <xf numFmtId="10" fontId="2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44" fontId="2" fillId="0" borderId="1" xfId="0" quotePrefix="1" applyNumberFormat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right" wrapText="1"/>
    </xf>
    <xf numFmtId="44" fontId="2" fillId="0" borderId="2" xfId="0" applyNumberFormat="1" applyFont="1" applyFill="1" applyBorder="1"/>
    <xf numFmtId="44" fontId="2" fillId="0" borderId="0" xfId="0" applyNumberFormat="1" applyFont="1" applyFill="1" applyBorder="1"/>
    <xf numFmtId="10" fontId="2" fillId="0" borderId="0" xfId="0" applyNumberFormat="1" applyFont="1" applyFill="1"/>
    <xf numFmtId="4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Alignment="1">
      <alignment horizontal="left" indent="1"/>
    </xf>
    <xf numFmtId="0" fontId="2" fillId="0" borderId="1" xfId="0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/>
    <xf numFmtId="0" fontId="2" fillId="0" borderId="10" xfId="0" applyFont="1" applyFill="1" applyBorder="1" applyAlignment="1">
      <alignment horizontal="left" indent="1"/>
    </xf>
    <xf numFmtId="0" fontId="2" fillId="0" borderId="10" xfId="0" quotePrefix="1" applyFont="1" applyFill="1" applyBorder="1" applyAlignment="1">
      <alignment horizontal="left" indent="1"/>
    </xf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top"/>
    </xf>
    <xf numFmtId="175" fontId="2" fillId="0" borderId="0" xfId="0" applyNumberFormat="1" applyFont="1" applyFill="1" applyBorder="1" applyAlignment="1">
      <alignment horizontal="right" vertical="top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/>
    <xf numFmtId="44" fontId="2" fillId="0" borderId="1" xfId="0" applyNumberFormat="1" applyFont="1" applyFill="1" applyBorder="1"/>
    <xf numFmtId="0" fontId="2" fillId="0" borderId="0" xfId="0" quotePrefix="1" applyFont="1" applyFill="1" applyAlignment="1">
      <alignment horizontal="center"/>
    </xf>
    <xf numFmtId="44" fontId="2" fillId="0" borderId="0" xfId="0" quotePrefix="1" applyNumberFormat="1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left"/>
    </xf>
    <xf numFmtId="0" fontId="2" fillId="0" borderId="10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44" fontId="3" fillId="0" borderId="1" xfId="0" quotePrefix="1" applyNumberFormat="1" applyFont="1" applyFill="1" applyBorder="1" applyAlignment="1">
      <alignment horizontal="center" wrapText="1"/>
    </xf>
    <xf numFmtId="37" fontId="2" fillId="0" borderId="3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44" fontId="2" fillId="0" borderId="15" xfId="0" applyNumberFormat="1" applyFont="1" applyFill="1" applyBorder="1"/>
    <xf numFmtId="44" fontId="2" fillId="0" borderId="42" xfId="0" applyNumberFormat="1" applyFont="1" applyFill="1" applyBorder="1"/>
    <xf numFmtId="10" fontId="2" fillId="0" borderId="6" xfId="0" applyNumberFormat="1" applyFont="1" applyFill="1" applyBorder="1"/>
    <xf numFmtId="172" fontId="2" fillId="0" borderId="1" xfId="0" applyNumberFormat="1" applyFont="1" applyFill="1" applyBorder="1"/>
    <xf numFmtId="0" fontId="2" fillId="0" borderId="0" xfId="0" applyFont="1" applyFill="1"/>
    <xf numFmtId="168" fontId="2" fillId="0" borderId="0" xfId="0" applyNumberFormat="1" applyFont="1" applyFill="1"/>
    <xf numFmtId="44" fontId="2" fillId="0" borderId="0" xfId="0" applyNumberFormat="1" applyFont="1" applyFill="1"/>
    <xf numFmtId="0" fontId="2" fillId="0" borderId="32" xfId="0" applyFont="1" applyFill="1" applyBorder="1"/>
    <xf numFmtId="0" fontId="2" fillId="0" borderId="28" xfId="0" applyFont="1" applyFill="1" applyBorder="1"/>
    <xf numFmtId="168" fontId="2" fillId="0" borderId="33" xfId="0" applyNumberFormat="1" applyFont="1" applyFill="1" applyBorder="1"/>
    <xf numFmtId="168" fontId="2" fillId="0" borderId="29" xfId="0" applyNumberFormat="1" applyFont="1" applyFill="1" applyBorder="1"/>
    <xf numFmtId="164" fontId="2" fillId="0" borderId="0" xfId="0" applyNumberFormat="1" applyFont="1" applyFill="1"/>
    <xf numFmtId="0" fontId="2" fillId="0" borderId="32" xfId="0" quotePrefix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8" xfId="0" quotePrefix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1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8" fontId="2" fillId="0" borderId="0" xfId="0" applyNumberFormat="1" applyFont="1" applyFill="1" applyBorder="1"/>
    <xf numFmtId="168" fontId="2" fillId="0" borderId="0" xfId="0" applyNumberFormat="1" applyFont="1" applyFill="1"/>
    <xf numFmtId="168" fontId="2" fillId="0" borderId="3" xfId="0" applyNumberFormat="1" applyFont="1" applyFill="1" applyBorder="1"/>
    <xf numFmtId="167" fontId="2" fillId="0" borderId="3" xfId="0" applyNumberFormat="1" applyFont="1" applyFill="1" applyBorder="1"/>
    <xf numFmtId="168" fontId="2" fillId="0" borderId="3" xfId="0" applyNumberFormat="1" applyFont="1" applyFill="1" applyBorder="1"/>
    <xf numFmtId="167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quotePrefix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8" fontId="2" fillId="0" borderId="0" xfId="0" applyNumberFormat="1" applyFont="1" applyFill="1"/>
    <xf numFmtId="0" fontId="2" fillId="0" borderId="0" xfId="0" applyFont="1" applyFill="1"/>
    <xf numFmtId="0" fontId="2" fillId="0" borderId="7" xfId="0" applyFont="1" applyFill="1" applyBorder="1"/>
    <xf numFmtId="0" fontId="2" fillId="0" borderId="7" xfId="0" quotePrefix="1" applyFont="1" applyFill="1" applyBorder="1" applyAlignment="1">
      <alignment horizontal="left"/>
    </xf>
    <xf numFmtId="0" fontId="2" fillId="0" borderId="26" xfId="0" quotePrefix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24" xfId="0" quotePrefix="1" applyFont="1" applyFill="1" applyBorder="1" applyAlignment="1">
      <alignment horizontal="left"/>
    </xf>
    <xf numFmtId="0" fontId="2" fillId="0" borderId="22" xfId="0" quotePrefix="1" applyFont="1" applyFill="1" applyBorder="1" applyAlignment="1">
      <alignment horizontal="left"/>
    </xf>
    <xf numFmtId="0" fontId="2" fillId="0" borderId="21" xfId="0" quotePrefix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quotePrefix="1" applyFont="1" applyFill="1" applyAlignment="1">
      <alignment horizontal="center" vertical="top" wrapText="1"/>
    </xf>
    <xf numFmtId="0" fontId="3" fillId="0" borderId="6" xfId="0" quotePrefix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" fontId="2" fillId="0" borderId="0" xfId="0" quotePrefix="1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168" fontId="2" fillId="0" borderId="28" xfId="0" applyNumberFormat="1" applyFont="1" applyFill="1" applyBorder="1"/>
    <xf numFmtId="168" fontId="2" fillId="0" borderId="3" xfId="0" applyNumberFormat="1" applyFont="1" applyFill="1" applyBorder="1"/>
    <xf numFmtId="167" fontId="2" fillId="0" borderId="11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 wrapText="1"/>
    </xf>
    <xf numFmtId="167" fontId="2" fillId="0" borderId="11" xfId="0" applyNumberFormat="1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167" fontId="2" fillId="0" borderId="13" xfId="0" applyNumberFormat="1" applyFont="1" applyFill="1" applyBorder="1" applyAlignment="1">
      <alignment horizontal="center" wrapText="1"/>
    </xf>
    <xf numFmtId="169" fontId="2" fillId="0" borderId="24" xfId="0" applyNumberFormat="1" applyFont="1" applyFill="1" applyBorder="1"/>
    <xf numFmtId="10" fontId="2" fillId="0" borderId="0" xfId="0" applyNumberFormat="1" applyFont="1" applyFill="1" applyBorder="1"/>
    <xf numFmtId="4" fontId="2" fillId="0" borderId="0" xfId="0" applyNumberFormat="1" applyFont="1" applyFill="1" applyBorder="1"/>
    <xf numFmtId="178" fontId="2" fillId="0" borderId="1" xfId="0" applyNumberFormat="1" applyFont="1" applyFill="1" applyBorder="1"/>
    <xf numFmtId="1" fontId="2" fillId="0" borderId="0" xfId="0" applyNumberFormat="1" applyFont="1" applyFill="1" applyBorder="1"/>
    <xf numFmtId="43" fontId="2" fillId="0" borderId="13" xfId="0" applyNumberFormat="1" applyFont="1" applyFill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center" wrapText="1"/>
    </xf>
    <xf numFmtId="0" fontId="2" fillId="0" borderId="10" xfId="0" quotePrefix="1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left" indent="1"/>
    </xf>
    <xf numFmtId="0" fontId="2" fillId="0" borderId="0" xfId="0" quotePrefix="1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44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167" fontId="3" fillId="0" borderId="1" xfId="0" quotePrefix="1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/>
    </xf>
    <xf numFmtId="168" fontId="3" fillId="0" borderId="3" xfId="0" applyNumberFormat="1" applyFont="1" applyFill="1" applyBorder="1"/>
    <xf numFmtId="0" fontId="3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5" fontId="2" fillId="0" borderId="52" xfId="0" applyNumberFormat="1" applyFont="1" applyFill="1" applyBorder="1" applyProtection="1"/>
    <xf numFmtId="5" fontId="2" fillId="0" borderId="0" xfId="0" applyNumberFormat="1" applyFont="1" applyFill="1" applyBorder="1" applyProtection="1"/>
    <xf numFmtId="37" fontId="2" fillId="0" borderId="52" xfId="0" applyNumberFormat="1" applyFont="1" applyFill="1" applyBorder="1" applyProtection="1"/>
    <xf numFmtId="0" fontId="2" fillId="0" borderId="0" xfId="0" applyFont="1" applyFill="1" applyAlignment="1" applyProtection="1">
      <alignment horizontal="left" indent="2"/>
    </xf>
    <xf numFmtId="0" fontId="2" fillId="0" borderId="0" xfId="0" applyFont="1" applyFill="1" applyAlignment="1"/>
    <xf numFmtId="5" fontId="2" fillId="0" borderId="0" xfId="0" applyNumberFormat="1" applyFont="1" applyFill="1" applyProtection="1"/>
    <xf numFmtId="182" fontId="2" fillId="0" borderId="0" xfId="0" applyNumberFormat="1" applyFont="1" applyFill="1" applyBorder="1"/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 applyProtection="1">
      <alignment horizontal="left"/>
    </xf>
    <xf numFmtId="5" fontId="2" fillId="0" borderId="4" xfId="0" applyNumberFormat="1" applyFont="1" applyFill="1" applyBorder="1" applyProtection="1"/>
    <xf numFmtId="0" fontId="2" fillId="0" borderId="0" xfId="0" quotePrefix="1" applyFont="1" applyFill="1" applyAlignment="1">
      <alignment horizontal="left" indent="2"/>
    </xf>
    <xf numFmtId="0" fontId="2" fillId="0" borderId="0" xfId="0" quotePrefix="1" applyFont="1" applyFill="1" applyAlignment="1" applyProtection="1">
      <alignment horizontal="left" indent="1"/>
    </xf>
    <xf numFmtId="5" fontId="2" fillId="0" borderId="0" xfId="0" applyNumberFormat="1" applyFont="1" applyFill="1"/>
    <xf numFmtId="0" fontId="2" fillId="0" borderId="0" xfId="0" applyFont="1" applyFill="1" applyAlignment="1" applyProtection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2" fillId="0" borderId="0" xfId="0" applyFont="1" applyFill="1" applyProtection="1"/>
    <xf numFmtId="184" fontId="2" fillId="0" borderId="0" xfId="0" applyNumberFormat="1" applyFont="1" applyFill="1" applyProtection="1"/>
    <xf numFmtId="184" fontId="2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74" fontId="2" fillId="0" borderId="4" xfId="0" applyNumberFormat="1" applyFont="1" applyFill="1" applyBorder="1"/>
    <xf numFmtId="176" fontId="2" fillId="0" borderId="0" xfId="0" applyNumberFormat="1" applyFont="1" applyFill="1"/>
    <xf numFmtId="167" fontId="2" fillId="0" borderId="52" xfId="0" applyNumberFormat="1" applyFont="1" applyFill="1" applyBorder="1" applyProtection="1"/>
    <xf numFmtId="5" fontId="2" fillId="0" borderId="53" xfId="0" applyNumberFormat="1" applyFont="1" applyFill="1" applyBorder="1" applyProtection="1"/>
    <xf numFmtId="37" fontId="2" fillId="0" borderId="1" xfId="0" applyNumberFormat="1" applyFont="1" applyFill="1" applyBorder="1" applyProtection="1"/>
    <xf numFmtId="0" fontId="2" fillId="0" borderId="0" xfId="0" quotePrefix="1" applyFont="1" applyFill="1" applyAlignment="1">
      <alignment horizontal="left"/>
    </xf>
    <xf numFmtId="5" fontId="2" fillId="0" borderId="3" xfId="0" applyNumberFormat="1" applyFont="1" applyFill="1" applyBorder="1" applyProtection="1"/>
    <xf numFmtId="37" fontId="2" fillId="0" borderId="0" xfId="0" applyNumberFormat="1" applyFont="1" applyFill="1" applyProtection="1"/>
    <xf numFmtId="183" fontId="2" fillId="0" borderId="0" xfId="0" applyNumberFormat="1" applyFont="1" applyFill="1" applyProtection="1"/>
    <xf numFmtId="0" fontId="2" fillId="0" borderId="0" xfId="0" quotePrefix="1" applyFont="1" applyFill="1"/>
    <xf numFmtId="43" fontId="2" fillId="0" borderId="0" xfId="0" applyNumberFormat="1" applyFont="1" applyFill="1"/>
    <xf numFmtId="7" fontId="2" fillId="0" borderId="0" xfId="0" applyNumberFormat="1" applyFont="1" applyFill="1"/>
    <xf numFmtId="168" fontId="2" fillId="0" borderId="0" xfId="0" applyNumberFormat="1" applyFont="1" applyFill="1"/>
    <xf numFmtId="7" fontId="2" fillId="0" borderId="0" xfId="0" applyNumberFormat="1" applyFont="1" applyFill="1" applyProtection="1"/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17" xfId="0" applyFont="1" applyFill="1" applyBorder="1" applyAlignment="1" applyProtection="1">
      <alignment horizontal="center"/>
    </xf>
    <xf numFmtId="37" fontId="3" fillId="0" borderId="17" xfId="0" quotePrefix="1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37" fontId="3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37" fontId="3" fillId="0" borderId="0" xfId="0" applyNumberFormat="1" applyFont="1" applyFill="1" applyAlignment="1" applyProtection="1">
      <alignment horizontal="center"/>
    </xf>
    <xf numFmtId="174" fontId="2" fillId="0" borderId="0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44" fontId="2" fillId="0" borderId="55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left"/>
    </xf>
    <xf numFmtId="166" fontId="2" fillId="0" borderId="55" xfId="0" applyNumberFormat="1" applyFont="1" applyFill="1" applyBorder="1" applyAlignment="1">
      <alignment horizontal="center"/>
    </xf>
    <xf numFmtId="44" fontId="2" fillId="0" borderId="55" xfId="0" applyNumberFormat="1" applyFont="1" applyFill="1" applyBorder="1" applyAlignment="1">
      <alignment horizontal="center"/>
    </xf>
    <xf numFmtId="168" fontId="2" fillId="0" borderId="1" xfId="0" applyNumberFormat="1" applyFont="1" applyFill="1" applyBorder="1"/>
    <xf numFmtId="168" fontId="2" fillId="0" borderId="31" xfId="0" applyNumberFormat="1" applyFont="1" applyFill="1" applyBorder="1"/>
    <xf numFmtId="168" fontId="2" fillId="0" borderId="35" xfId="0" applyNumberFormat="1" applyFont="1" applyFill="1" applyBorder="1"/>
    <xf numFmtId="172" fontId="2" fillId="0" borderId="20" xfId="0" applyNumberFormat="1" applyFont="1" applyFill="1" applyBorder="1"/>
    <xf numFmtId="44" fontId="3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/>
    <xf numFmtId="181" fontId="2" fillId="0" borderId="1" xfId="0" applyNumberFormat="1" applyFont="1" applyFill="1" applyBorder="1"/>
    <xf numFmtId="168" fontId="2" fillId="0" borderId="0" xfId="0" applyNumberFormat="1" applyFont="1" applyFill="1" applyAlignment="1"/>
    <xf numFmtId="168" fontId="2" fillId="0" borderId="3" xfId="0" applyNumberFormat="1" applyFont="1" applyFill="1" applyBorder="1" applyAlignment="1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9" fontId="2" fillId="0" borderId="0" xfId="0" applyNumberFormat="1" applyFont="1" applyFill="1" applyBorder="1"/>
    <xf numFmtId="10" fontId="2" fillId="0" borderId="0" xfId="0" applyNumberFormat="1" applyFont="1" applyFill="1" applyBorder="1"/>
    <xf numFmtId="44" fontId="3" fillId="0" borderId="0" xfId="0" quotePrefix="1" applyNumberFormat="1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168" fontId="2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0" fontId="3" fillId="0" borderId="24" xfId="0" applyFont="1" applyBorder="1"/>
    <xf numFmtId="0" fontId="2" fillId="0" borderId="24" xfId="0" quotePrefix="1" applyFont="1" applyBorder="1" applyAlignment="1">
      <alignment horizontal="left" indent="1"/>
    </xf>
    <xf numFmtId="0" fontId="2" fillId="0" borderId="24" xfId="0" quotePrefix="1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6" fontId="2" fillId="0" borderId="0" xfId="0" applyNumberFormat="1" applyFont="1" applyFill="1" applyBorder="1"/>
    <xf numFmtId="44" fontId="2" fillId="0" borderId="0" xfId="0" applyNumberFormat="1" applyFont="1" applyFill="1"/>
    <xf numFmtId="44" fontId="3" fillId="0" borderId="0" xfId="0" applyNumberFormat="1" applyFont="1" applyFill="1"/>
    <xf numFmtId="166" fontId="2" fillId="0" borderId="0" xfId="0" applyNumberFormat="1" applyFont="1" applyFill="1"/>
    <xf numFmtId="0" fontId="2" fillId="0" borderId="0" xfId="0" applyFont="1" applyFill="1" applyBorder="1" applyAlignment="1"/>
    <xf numFmtId="168" fontId="2" fillId="0" borderId="2" xfId="0" applyNumberFormat="1" applyFont="1" applyFill="1" applyBorder="1"/>
    <xf numFmtId="10" fontId="2" fillId="0" borderId="2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2" xfId="0" applyNumberFormat="1" applyFont="1" applyFill="1" applyBorder="1"/>
    <xf numFmtId="10" fontId="2" fillId="0" borderId="3" xfId="0" applyNumberFormat="1" applyFont="1" applyFill="1" applyBorder="1"/>
    <xf numFmtId="171" fontId="2" fillId="0" borderId="0" xfId="0" quotePrefix="1" applyNumberFormat="1" applyFont="1" applyFill="1" applyBorder="1" applyAlignment="1">
      <alignment horizontal="center" wrapText="1"/>
    </xf>
    <xf numFmtId="37" fontId="2" fillId="0" borderId="2" xfId="0" applyNumberFormat="1" applyFont="1" applyFill="1" applyBorder="1"/>
    <xf numFmtId="37" fontId="2" fillId="0" borderId="4" xfId="0" applyNumberFormat="1" applyFont="1" applyFill="1" applyBorder="1"/>
    <xf numFmtId="44" fontId="2" fillId="0" borderId="4" xfId="0" applyNumberFormat="1" applyFont="1" applyFill="1" applyBorder="1"/>
    <xf numFmtId="168" fontId="2" fillId="0" borderId="4" xfId="0" applyNumberFormat="1" applyFont="1" applyFill="1" applyBorder="1"/>
    <xf numFmtId="10" fontId="2" fillId="0" borderId="4" xfId="0" applyNumberFormat="1" applyFont="1" applyFill="1" applyBorder="1" applyAlignment="1">
      <alignment horizontal="right"/>
    </xf>
    <xf numFmtId="37" fontId="2" fillId="0" borderId="0" xfId="0" applyNumberFormat="1" applyFont="1" applyFill="1" applyBorder="1"/>
    <xf numFmtId="10" fontId="2" fillId="0" borderId="20" xfId="0" applyNumberFormat="1" applyFont="1" applyFill="1" applyBorder="1" applyAlignment="1">
      <alignment horizontal="right"/>
    </xf>
    <xf numFmtId="173" fontId="2" fillId="0" borderId="0" xfId="0" applyNumberFormat="1" applyFont="1" applyFill="1"/>
    <xf numFmtId="168" fontId="2" fillId="0" borderId="0" xfId="0" quotePrefix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5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/>
    <xf numFmtId="167" fontId="2" fillId="0" borderId="0" xfId="0" applyNumberFormat="1" applyFont="1" applyFill="1" applyProtection="1"/>
    <xf numFmtId="171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/>
    <xf numFmtId="0" fontId="2" fillId="0" borderId="2" xfId="0" applyFont="1" applyFill="1" applyBorder="1"/>
    <xf numFmtId="178" fontId="2" fillId="0" borderId="0" xfId="0" applyNumberFormat="1" applyFont="1" applyFill="1" applyBorder="1"/>
    <xf numFmtId="172" fontId="2" fillId="0" borderId="3" xfId="0" applyNumberFormat="1" applyFont="1" applyFill="1" applyBorder="1"/>
    <xf numFmtId="10" fontId="2" fillId="0" borderId="20" xfId="0" applyNumberFormat="1" applyFont="1" applyFill="1" applyBorder="1"/>
    <xf numFmtId="178" fontId="2" fillId="0" borderId="20" xfId="0" applyNumberFormat="1" applyFont="1" applyFill="1" applyBorder="1"/>
    <xf numFmtId="0" fontId="3" fillId="0" borderId="8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8" fontId="2" fillId="0" borderId="32" xfId="0" applyNumberFormat="1" applyFont="1" applyFill="1" applyBorder="1"/>
    <xf numFmtId="44" fontId="2" fillId="0" borderId="28" xfId="0" applyNumberFormat="1" applyFont="1" applyFill="1" applyBorder="1"/>
    <xf numFmtId="44" fontId="2" fillId="0" borderId="32" xfId="0" applyNumberFormat="1" applyFont="1" applyFill="1" applyBorder="1"/>
    <xf numFmtId="0" fontId="3" fillId="0" borderId="0" xfId="0" applyFont="1" applyFill="1" applyBorder="1"/>
    <xf numFmtId="37" fontId="2" fillId="0" borderId="0" xfId="0" applyNumberFormat="1" applyFont="1" applyFill="1"/>
    <xf numFmtId="10" fontId="2" fillId="0" borderId="0" xfId="0" applyNumberFormat="1" applyFont="1" applyFill="1"/>
    <xf numFmtId="178" fontId="2" fillId="0" borderId="0" xfId="0" applyNumberFormat="1" applyFont="1" applyFill="1"/>
    <xf numFmtId="0" fontId="2" fillId="0" borderId="57" xfId="0" quotePrefix="1" applyFont="1" applyFill="1" applyBorder="1" applyAlignment="1">
      <alignment horizontal="center" wrapText="1"/>
    </xf>
    <xf numFmtId="0" fontId="2" fillId="0" borderId="57" xfId="0" applyFont="1" applyFill="1" applyBorder="1"/>
    <xf numFmtId="168" fontId="2" fillId="0" borderId="36" xfId="0" applyNumberFormat="1" applyFont="1" applyFill="1" applyBorder="1"/>
    <xf numFmtId="168" fontId="2" fillId="0" borderId="57" xfId="0" applyNumberFormat="1" applyFont="1" applyFill="1" applyBorder="1"/>
    <xf numFmtId="44" fontId="2" fillId="0" borderId="36" xfId="0" applyNumberFormat="1" applyFont="1" applyFill="1" applyBorder="1"/>
    <xf numFmtId="44" fontId="2" fillId="0" borderId="57" xfId="0" applyNumberFormat="1" applyFont="1" applyFill="1" applyBorder="1"/>
    <xf numFmtId="0" fontId="2" fillId="0" borderId="0" xfId="0" quotePrefix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4" fontId="2" fillId="0" borderId="0" xfId="0" applyNumberFormat="1" applyFont="1" applyFill="1"/>
    <xf numFmtId="170" fontId="2" fillId="0" borderId="0" xfId="0" quotePrefix="1" applyNumberFormat="1" applyFont="1" applyFill="1" applyBorder="1" applyAlignment="1">
      <alignment horizontal="left" indent="1"/>
    </xf>
    <xf numFmtId="170" fontId="2" fillId="0" borderId="0" xfId="0" quotePrefix="1" applyNumberFormat="1" applyFont="1" applyFill="1" applyBorder="1" applyAlignment="1"/>
    <xf numFmtId="170" fontId="2" fillId="0" borderId="0" xfId="0" quotePrefix="1" applyNumberFormat="1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/>
    <xf numFmtId="181" fontId="2" fillId="0" borderId="0" xfId="0" quotePrefix="1" applyNumberFormat="1" applyFont="1" applyFill="1" applyBorder="1" applyAlignment="1">
      <alignment horizontal="left" indent="1"/>
    </xf>
    <xf numFmtId="181" fontId="2" fillId="0" borderId="0" xfId="0" quotePrefix="1" applyNumberFormat="1" applyFont="1" applyFill="1" applyBorder="1" applyAlignment="1"/>
    <xf numFmtId="181" fontId="2" fillId="0" borderId="0" xfId="0" quotePrefix="1" applyNumberFormat="1" applyFont="1" applyFill="1" applyBorder="1" applyAlignment="1">
      <alignment horizontal="right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/>
    <xf numFmtId="167" fontId="2" fillId="0" borderId="0" xfId="0" quotePrefix="1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wrapText="1"/>
    </xf>
    <xf numFmtId="171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21" xfId="0" quotePrefix="1" applyFont="1" applyFill="1" applyBorder="1" applyAlignment="1"/>
    <xf numFmtId="0" fontId="2" fillId="0" borderId="22" xfId="0" quotePrefix="1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0" fontId="3" fillId="0" borderId="38" xfId="0" quotePrefix="1" applyFont="1" applyFill="1" applyBorder="1" applyAlignment="1"/>
    <xf numFmtId="167" fontId="2" fillId="0" borderId="25" xfId="0" applyNumberFormat="1" applyFont="1" applyFill="1" applyBorder="1" applyAlignment="1">
      <alignment horizontal="center"/>
    </xf>
    <xf numFmtId="0" fontId="2" fillId="0" borderId="24" xfId="0" quotePrefix="1" applyFont="1" applyFill="1" applyBorder="1" applyAlignment="1"/>
    <xf numFmtId="0" fontId="2" fillId="0" borderId="26" xfId="0" quotePrefix="1" applyFont="1" applyFill="1" applyBorder="1" applyAlignment="1"/>
    <xf numFmtId="0" fontId="2" fillId="0" borderId="7" xfId="0" quotePrefix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167" fontId="2" fillId="0" borderId="2" xfId="0" applyNumberFormat="1" applyFont="1" applyFill="1" applyBorder="1"/>
    <xf numFmtId="9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44" fontId="3" fillId="0" borderId="0" xfId="0" applyNumberFormat="1" applyFont="1" applyFill="1"/>
    <xf numFmtId="44" fontId="3" fillId="0" borderId="1" xfId="0" applyNumberFormat="1" applyFont="1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/>
    <xf numFmtId="167" fontId="3" fillId="0" borderId="0" xfId="0" applyNumberFormat="1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4" fontId="3" fillId="0" borderId="6" xfId="0" applyNumberFormat="1" applyFont="1" applyFill="1" applyBorder="1" applyAlignment="1">
      <alignment horizontal="center" wrapText="1"/>
    </xf>
    <xf numFmtId="0" fontId="3" fillId="0" borderId="8" xfId="0" applyFont="1" applyFill="1" applyBorder="1"/>
    <xf numFmtId="0" fontId="3" fillId="0" borderId="4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167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176" fontId="2" fillId="0" borderId="4" xfId="0" applyNumberFormat="1" applyFont="1" applyFill="1" applyBorder="1"/>
    <xf numFmtId="167" fontId="2" fillId="0" borderId="0" xfId="0" quotePrefix="1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center"/>
    </xf>
    <xf numFmtId="167" fontId="2" fillId="0" borderId="0" xfId="0" quotePrefix="1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/>
    </xf>
    <xf numFmtId="167" fontId="2" fillId="0" borderId="1" xfId="0" quotePrefix="1" applyNumberFormat="1" applyFont="1" applyFill="1" applyBorder="1" applyAlignment="1">
      <alignment horizontal="center"/>
    </xf>
    <xf numFmtId="176" fontId="2" fillId="0" borderId="1" xfId="0" applyNumberFormat="1" applyFont="1" applyFill="1" applyBorder="1"/>
    <xf numFmtId="174" fontId="2" fillId="0" borderId="1" xfId="0" applyNumberFormat="1" applyFont="1" applyFill="1" applyBorder="1"/>
    <xf numFmtId="164" fontId="6" fillId="0" borderId="0" xfId="0" applyNumberFormat="1" applyFont="1" applyFill="1" applyAlignment="1">
      <alignment horizontal="center" wrapText="1"/>
    </xf>
    <xf numFmtId="0" fontId="3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4" xfId="0" applyFont="1" applyFill="1" applyBorder="1"/>
    <xf numFmtId="164" fontId="2" fillId="0" borderId="25" xfId="0" applyNumberFormat="1" applyFont="1" applyFill="1" applyBorder="1"/>
    <xf numFmtId="0" fontId="2" fillId="0" borderId="25" xfId="0" applyFont="1" applyFill="1" applyBorder="1"/>
    <xf numFmtId="0" fontId="2" fillId="0" borderId="24" xfId="0" applyFont="1" applyFill="1" applyBorder="1"/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14" fontId="2" fillId="0" borderId="0" xfId="0" applyNumberFormat="1" applyFont="1" applyFill="1"/>
    <xf numFmtId="0" fontId="2" fillId="0" borderId="26" xfId="0" applyFont="1" applyFill="1" applyBorder="1" applyAlignment="1">
      <alignment horizontal="right"/>
    </xf>
    <xf numFmtId="0" fontId="2" fillId="0" borderId="7" xfId="0" applyFont="1" applyFill="1" applyBorder="1"/>
    <xf numFmtId="167" fontId="2" fillId="0" borderId="7" xfId="0" applyNumberFormat="1" applyFont="1" applyFill="1" applyBorder="1"/>
    <xf numFmtId="164" fontId="3" fillId="0" borderId="40" xfId="0" applyNumberFormat="1" applyFont="1" applyFill="1" applyBorder="1"/>
    <xf numFmtId="164" fontId="3" fillId="0" borderId="41" xfId="0" applyNumberFormat="1" applyFont="1" applyFill="1" applyBorder="1"/>
    <xf numFmtId="167" fontId="2" fillId="0" borderId="0" xfId="0" applyNumberFormat="1" applyFont="1" applyFill="1"/>
    <xf numFmtId="0" fontId="2" fillId="0" borderId="0" xfId="0" applyFont="1" applyFill="1" applyAlignment="1">
      <alignment horizontal="right"/>
    </xf>
    <xf numFmtId="164" fontId="2" fillId="0" borderId="2" xfId="0" applyNumberFormat="1" applyFont="1" applyFill="1" applyBorder="1"/>
    <xf numFmtId="9" fontId="2" fillId="0" borderId="0" xfId="0" applyNumberFormat="1" applyFont="1" applyFill="1"/>
    <xf numFmtId="0" fontId="2" fillId="0" borderId="8" xfId="0" applyFont="1" applyFill="1" applyBorder="1" applyAlignment="1">
      <alignment horizontal="center"/>
    </xf>
    <xf numFmtId="167" fontId="2" fillId="0" borderId="4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right"/>
    </xf>
    <xf numFmtId="164" fontId="2" fillId="0" borderId="11" xfId="0" applyNumberFormat="1" applyFont="1" applyFill="1" applyBorder="1"/>
    <xf numFmtId="0" fontId="2" fillId="0" borderId="12" xfId="0" applyFont="1" applyFill="1" applyBorder="1" applyAlignment="1">
      <alignment horizontal="right"/>
    </xf>
    <xf numFmtId="167" fontId="2" fillId="0" borderId="1" xfId="0" applyNumberFormat="1" applyFont="1" applyFill="1" applyBorder="1"/>
    <xf numFmtId="164" fontId="2" fillId="0" borderId="13" xfId="0" applyNumberFormat="1" applyFont="1" applyFill="1" applyBorder="1"/>
    <xf numFmtId="0" fontId="3" fillId="0" borderId="8" xfId="0" applyFont="1" applyFill="1" applyBorder="1" applyAlignment="1">
      <alignment horizontal="center"/>
    </xf>
    <xf numFmtId="167" fontId="3" fillId="0" borderId="4" xfId="0" applyNumberFormat="1" applyFont="1" applyFill="1" applyBorder="1"/>
    <xf numFmtId="0" fontId="3" fillId="0" borderId="9" xfId="0" applyFont="1" applyFill="1" applyBorder="1"/>
    <xf numFmtId="0" fontId="3" fillId="0" borderId="46" xfId="0" applyFont="1" applyFill="1" applyBorder="1"/>
    <xf numFmtId="0" fontId="3" fillId="0" borderId="10" xfId="0" applyFont="1" applyFill="1" applyBorder="1" applyAlignment="1">
      <alignment horizontal="right"/>
    </xf>
    <xf numFmtId="167" fontId="3" fillId="0" borderId="0" xfId="0" applyNumberFormat="1" applyFont="1" applyFill="1" applyBorder="1"/>
    <xf numFmtId="164" fontId="3" fillId="0" borderId="11" xfId="0" applyNumberFormat="1" applyFont="1" applyFill="1" applyBorder="1"/>
    <xf numFmtId="164" fontId="3" fillId="0" borderId="15" xfId="0" applyNumberFormat="1" applyFont="1" applyFill="1" applyBorder="1"/>
    <xf numFmtId="0" fontId="3" fillId="0" borderId="12" xfId="0" applyFont="1" applyFill="1" applyBorder="1" applyAlignment="1">
      <alignment horizontal="right"/>
    </xf>
    <xf numFmtId="167" fontId="3" fillId="0" borderId="1" xfId="0" applyNumberFormat="1" applyFont="1" applyFill="1" applyBorder="1"/>
    <xf numFmtId="164" fontId="3" fillId="0" borderId="13" xfId="0" applyNumberFormat="1" applyFont="1" applyFill="1" applyBorder="1"/>
    <xf numFmtId="164" fontId="3" fillId="0" borderId="14" xfId="0" applyNumberFormat="1" applyFont="1" applyFill="1" applyBorder="1"/>
    <xf numFmtId="0" fontId="2" fillId="0" borderId="21" xfId="0" applyFont="1" applyFill="1" applyBorder="1" applyAlignment="1">
      <alignment horizontal="right"/>
    </xf>
    <xf numFmtId="3" fontId="2" fillId="0" borderId="23" xfId="0" applyNumberFormat="1" applyFont="1" applyFill="1" applyBorder="1"/>
    <xf numFmtId="167" fontId="2" fillId="0" borderId="25" xfId="0" applyNumberFormat="1" applyFont="1" applyFill="1" applyBorder="1"/>
    <xf numFmtId="10" fontId="2" fillId="0" borderId="4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/>
    <xf numFmtId="0" fontId="7" fillId="0" borderId="43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2" fillId="0" borderId="24" xfId="0" applyFont="1" applyFill="1" applyBorder="1" applyAlignment="1"/>
    <xf numFmtId="0" fontId="2" fillId="0" borderId="26" xfId="0" applyFont="1" applyFill="1" applyBorder="1" applyAlignment="1"/>
    <xf numFmtId="0" fontId="2" fillId="0" borderId="7" xfId="0" applyFont="1" applyFill="1" applyBorder="1" applyAlignment="1"/>
    <xf numFmtId="0" fontId="7" fillId="0" borderId="0" xfId="0" applyFont="1" applyFill="1"/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25" xfId="0" applyFont="1" applyFill="1" applyBorder="1" applyAlignment="1"/>
    <xf numFmtId="0" fontId="2" fillId="0" borderId="27" xfId="0" applyFont="1" applyFill="1" applyBorder="1" applyAlignment="1"/>
    <xf numFmtId="0" fontId="10" fillId="0" borderId="0" xfId="0" applyFont="1" applyFill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44" fontId="3" fillId="0" borderId="48" xfId="0" applyNumberFormat="1" applyFont="1" applyFill="1" applyBorder="1" applyAlignment="1">
      <alignment horizontal="center" wrapText="1"/>
    </xf>
    <xf numFmtId="164" fontId="3" fillId="0" borderId="48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2" fillId="0" borderId="15" xfId="0" applyFont="1" applyFill="1" applyBorder="1"/>
    <xf numFmtId="44" fontId="2" fillId="0" borderId="15" xfId="0" applyNumberFormat="1" applyFont="1" applyFill="1" applyBorder="1" applyAlignment="1">
      <alignment horizontal="center"/>
    </xf>
    <xf numFmtId="44" fontId="2" fillId="0" borderId="25" xfId="0" applyNumberFormat="1" applyFont="1" applyFill="1" applyBorder="1"/>
    <xf numFmtId="0" fontId="2" fillId="0" borderId="26" xfId="0" applyFont="1" applyFill="1" applyBorder="1"/>
    <xf numFmtId="0" fontId="2" fillId="0" borderId="42" xfId="0" applyFont="1" applyFill="1" applyBorder="1"/>
    <xf numFmtId="44" fontId="2" fillId="0" borderId="42" xfId="0" applyNumberFormat="1" applyFont="1" applyFill="1" applyBorder="1" applyAlignment="1">
      <alignment horizontal="center"/>
    </xf>
    <xf numFmtId="44" fontId="2" fillId="0" borderId="27" xfId="0" applyNumberFormat="1" applyFont="1" applyFill="1" applyBorder="1"/>
    <xf numFmtId="8" fontId="2" fillId="0" borderId="0" xfId="0" applyNumberFormat="1" applyFont="1" applyFill="1" applyBorder="1"/>
    <xf numFmtId="0" fontId="2" fillId="0" borderId="37" xfId="0" applyFont="1" applyFill="1" applyBorder="1"/>
    <xf numFmtId="164" fontId="2" fillId="0" borderId="39" xfId="0" applyNumberFormat="1" applyFont="1" applyFill="1" applyBorder="1"/>
    <xf numFmtId="43" fontId="2" fillId="0" borderId="6" xfId="0" applyNumberFormat="1" applyFont="1" applyFill="1" applyBorder="1"/>
    <xf numFmtId="43" fontId="2" fillId="0" borderId="6" xfId="0" applyNumberFormat="1" applyFont="1" applyFill="1" applyBorder="1"/>
    <xf numFmtId="44" fontId="2" fillId="0" borderId="6" xfId="0" applyNumberFormat="1" applyFont="1" applyFill="1" applyBorder="1"/>
    <xf numFmtId="37" fontId="2" fillId="0" borderId="6" xfId="0" applyNumberFormat="1" applyFont="1" applyFill="1" applyBorder="1"/>
    <xf numFmtId="43" fontId="2" fillId="0" borderId="0" xfId="0" applyNumberFormat="1" applyFont="1" applyFill="1" applyBorder="1"/>
    <xf numFmtId="44" fontId="2" fillId="0" borderId="0" xfId="0" applyNumberFormat="1" applyFont="1" applyFill="1" applyBorder="1"/>
    <xf numFmtId="39" fontId="2" fillId="0" borderId="0" xfId="0" applyNumberFormat="1" applyFont="1" applyFill="1" applyBorder="1"/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7" fontId="2" fillId="0" borderId="10" xfId="0" quotePrefix="1" applyNumberFormat="1" applyFont="1" applyFill="1" applyBorder="1" applyAlignment="1">
      <alignment horizontal="right" indent="1"/>
    </xf>
    <xf numFmtId="14" fontId="2" fillId="0" borderId="0" xfId="0" applyNumberFormat="1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/>
    <xf numFmtId="10" fontId="2" fillId="0" borderId="11" xfId="0" applyNumberFormat="1" applyFont="1" applyFill="1" applyBorder="1"/>
    <xf numFmtId="10" fontId="2" fillId="0" borderId="10" xfId="0" applyNumberFormat="1" applyFont="1" applyFill="1" applyBorder="1"/>
    <xf numFmtId="10" fontId="2" fillId="0" borderId="15" xfId="0" applyNumberFormat="1" applyFont="1" applyFill="1" applyBorder="1"/>
    <xf numFmtId="17" fontId="2" fillId="0" borderId="12" xfId="0" quotePrefix="1" applyNumberFormat="1" applyFont="1" applyFill="1" applyBorder="1" applyAlignment="1">
      <alignment horizontal="right" indent="1"/>
    </xf>
    <xf numFmtId="14" fontId="2" fillId="0" borderId="1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/>
    <xf numFmtId="10" fontId="2" fillId="0" borderId="13" xfId="0" applyNumberFormat="1" applyFont="1" applyFill="1" applyBorder="1"/>
    <xf numFmtId="10" fontId="2" fillId="0" borderId="12" xfId="0" applyNumberFormat="1" applyFont="1" applyFill="1" applyBorder="1"/>
    <xf numFmtId="10" fontId="2" fillId="0" borderId="14" xfId="0" applyNumberFormat="1" applyFont="1" applyFill="1" applyBorder="1"/>
    <xf numFmtId="10" fontId="2" fillId="0" borderId="1" xfId="0" applyNumberFormat="1" applyFont="1" applyFill="1" applyBorder="1"/>
    <xf numFmtId="20" fontId="2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3" fillId="0" borderId="2" xfId="0" applyFont="1" applyFill="1" applyBorder="1"/>
    <xf numFmtId="20" fontId="3" fillId="0" borderId="2" xfId="0" applyNumberFormat="1" applyFont="1" applyFill="1" applyBorder="1"/>
    <xf numFmtId="3" fontId="3" fillId="0" borderId="2" xfId="0" applyNumberFormat="1" applyFont="1" applyFill="1" applyBorder="1"/>
    <xf numFmtId="0" fontId="6" fillId="0" borderId="21" xfId="0" applyFont="1" applyFill="1" applyBorder="1"/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10" fontId="2" fillId="0" borderId="7" xfId="0" applyNumberFormat="1" applyFont="1" applyFill="1" applyBorder="1"/>
    <xf numFmtId="10" fontId="2" fillId="0" borderId="27" xfId="0" applyNumberFormat="1" applyFont="1" applyFill="1" applyBorder="1"/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10" fontId="2" fillId="0" borderId="26" xfId="0" applyNumberFormat="1" applyFont="1" applyFill="1" applyBorder="1"/>
    <xf numFmtId="10" fontId="2" fillId="0" borderId="7" xfId="0" applyNumberFormat="1" applyFont="1" applyFill="1" applyBorder="1"/>
    <xf numFmtId="0" fontId="3" fillId="0" borderId="1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1" xfId="0" applyFont="1" applyFill="1" applyBorder="1"/>
    <xf numFmtId="44" fontId="2" fillId="0" borderId="3" xfId="0" applyNumberFormat="1" applyFont="1" applyFill="1" applyBorder="1"/>
    <xf numFmtId="44" fontId="2" fillId="0" borderId="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9" fontId="2" fillId="0" borderId="0" xfId="0" applyNumberFormat="1" applyFont="1" applyFill="1"/>
    <xf numFmtId="0" fontId="2" fillId="0" borderId="3" xfId="0" applyFont="1" applyFill="1" applyBorder="1"/>
    <xf numFmtId="171" fontId="2" fillId="0" borderId="3" xfId="0" applyNumberFormat="1" applyFont="1" applyFill="1" applyBorder="1"/>
    <xf numFmtId="171" fontId="2" fillId="0" borderId="0" xfId="0" applyNumberFormat="1" applyFont="1" applyFill="1" applyBorder="1"/>
    <xf numFmtId="171" fontId="2" fillId="0" borderId="25" xfId="0" applyNumberFormat="1" applyFont="1" applyFill="1" applyBorder="1"/>
    <xf numFmtId="165" fontId="2" fillId="0" borderId="0" xfId="0" applyNumberFormat="1" applyFont="1" applyFill="1"/>
    <xf numFmtId="164" fontId="2" fillId="0" borderId="4" xfId="0" applyNumberFormat="1" applyFont="1" applyFill="1" applyBorder="1"/>
    <xf numFmtId="164" fontId="2" fillId="0" borderId="20" xfId="0" applyNumberFormat="1" applyFont="1" applyFill="1" applyBorder="1"/>
    <xf numFmtId="0" fontId="2" fillId="0" borderId="7" xfId="0" applyFont="1" applyFill="1" applyBorder="1" applyAlignment="1">
      <alignment horizontal="right"/>
    </xf>
    <xf numFmtId="164" fontId="2" fillId="0" borderId="7" xfId="0" applyNumberFormat="1" applyFont="1" applyFill="1" applyBorder="1"/>
    <xf numFmtId="0" fontId="2" fillId="0" borderId="27" xfId="0" applyFont="1" applyFill="1" applyBorder="1"/>
    <xf numFmtId="0" fontId="3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" fontId="3" fillId="0" borderId="22" xfId="0" applyNumberFormat="1" applyFont="1" applyFill="1" applyBorder="1" applyAlignment="1">
      <alignment horizontal="center" vertical="center"/>
    </xf>
    <xf numFmtId="17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/>
    </xf>
    <xf numFmtId="175" fontId="3" fillId="0" borderId="0" xfId="0" applyNumberFormat="1" applyFont="1" applyFill="1" applyBorder="1" applyAlignment="1">
      <alignment horizontal="right" vertical="top"/>
    </xf>
    <xf numFmtId="175" fontId="3" fillId="0" borderId="25" xfId="0" applyNumberFormat="1" applyFont="1" applyFill="1" applyBorder="1" applyAlignment="1">
      <alignment horizontal="right" vertical="top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 vertical="top"/>
    </xf>
    <xf numFmtId="169" fontId="3" fillId="0" borderId="50" xfId="0" applyNumberFormat="1" applyFont="1" applyFill="1" applyBorder="1"/>
    <xf numFmtId="168" fontId="3" fillId="0" borderId="45" xfId="0" applyNumberFormat="1" applyFont="1" applyFill="1" applyBorder="1"/>
    <xf numFmtId="0" fontId="2" fillId="0" borderId="2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175" fontId="3" fillId="0" borderId="7" xfId="0" applyNumberFormat="1" applyFont="1" applyFill="1" applyBorder="1" applyAlignment="1">
      <alignment horizontal="right" vertical="top"/>
    </xf>
    <xf numFmtId="175" fontId="3" fillId="0" borderId="27" xfId="0" applyNumberFormat="1" applyFont="1" applyFill="1" applyBorder="1" applyAlignment="1">
      <alignment horizontal="right" vertical="top"/>
    </xf>
    <xf numFmtId="169" fontId="3" fillId="0" borderId="51" xfId="0" applyNumberFormat="1" applyFont="1" applyFill="1" applyBorder="1"/>
    <xf numFmtId="168" fontId="3" fillId="0" borderId="44" xfId="0" applyNumberFormat="1" applyFont="1" applyFill="1" applyBorder="1"/>
    <xf numFmtId="0" fontId="3" fillId="0" borderId="0" xfId="0" applyFont="1" applyFill="1"/>
    <xf numFmtId="168" fontId="2" fillId="0" borderId="25" xfId="0" applyNumberFormat="1" applyFont="1" applyFill="1" applyBorder="1"/>
    <xf numFmtId="171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44" fontId="2" fillId="0" borderId="5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7" fontId="3" fillId="0" borderId="18" xfId="0" applyNumberFormat="1" applyFont="1" applyFill="1" applyBorder="1" applyAlignment="1">
      <alignment horizontal="center" wrapText="1"/>
    </xf>
    <xf numFmtId="167" fontId="3" fillId="0" borderId="19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/>
    <xf numFmtId="0" fontId="2" fillId="0" borderId="4" xfId="0" applyFont="1" applyFill="1" applyBorder="1" applyAlignment="1">
      <alignment horizontal="left" indent="1"/>
    </xf>
    <xf numFmtId="167" fontId="2" fillId="0" borderId="4" xfId="0" applyNumberFormat="1" applyFont="1" applyFill="1" applyBorder="1"/>
    <xf numFmtId="167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41" fontId="2" fillId="0" borderId="10" xfId="0" quotePrefix="1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7" fontId="2" fillId="0" borderId="0" xfId="0" quotePrefix="1" applyNumberFormat="1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/>
    <xf numFmtId="0" fontId="1" fillId="0" borderId="0" xfId="0" applyFont="1" applyFill="1"/>
    <xf numFmtId="0" fontId="13" fillId="0" borderId="0" xfId="0" applyFont="1" applyFill="1"/>
    <xf numFmtId="0" fontId="1" fillId="0" borderId="0" xfId="0" applyFont="1"/>
    <xf numFmtId="0" fontId="14" fillId="0" borderId="0" xfId="0" applyFont="1"/>
    <xf numFmtId="16" fontId="1" fillId="0" borderId="0" xfId="0" applyNumberFormat="1" applyFont="1"/>
    <xf numFmtId="0" fontId="12" fillId="0" borderId="0" xfId="0" quotePrefix="1" applyFont="1" applyFill="1" applyAlignment="1">
      <alignment horizontal="left"/>
    </xf>
    <xf numFmtId="16" fontId="2" fillId="0" borderId="0" xfId="0" quotePrefix="1" applyNumberFormat="1" applyFo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1" fillId="0" borderId="0" xfId="4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168" fontId="32" fillId="0" borderId="0" xfId="0" applyNumberFormat="1" applyFont="1" applyFill="1"/>
    <xf numFmtId="10" fontId="29" fillId="0" borderId="0" xfId="0" applyNumberFormat="1" applyFont="1" applyFill="1" applyAlignment="1">
      <alignment horizontal="right"/>
    </xf>
    <xf numFmtId="10" fontId="29" fillId="0" borderId="3" xfId="0" applyNumberFormat="1" applyFont="1" applyFill="1" applyBorder="1" applyAlignment="1">
      <alignment horizontal="right"/>
    </xf>
    <xf numFmtId="43" fontId="2" fillId="0" borderId="0" xfId="41" applyFont="1" applyFill="1" applyBorder="1"/>
    <xf numFmtId="43" fontId="2" fillId="0" borderId="0" xfId="41" applyFont="1" applyFill="1"/>
    <xf numFmtId="0" fontId="31" fillId="0" borderId="0" xfId="0" applyFont="1" applyFill="1"/>
    <xf numFmtId="0" fontId="29" fillId="0" borderId="0" xfId="0" quotePrefix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44" fontId="29" fillId="0" borderId="0" xfId="0" quotePrefix="1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/>
    <xf numFmtId="43" fontId="2" fillId="0" borderId="0" xfId="0" applyNumberFormat="1" applyFont="1"/>
    <xf numFmtId="168" fontId="29" fillId="0" borderId="0" xfId="0" applyNumberFormat="1" applyFont="1" applyFill="1" applyBorder="1" applyAlignment="1">
      <alignment wrapText="1"/>
    </xf>
    <xf numFmtId="168" fontId="29" fillId="0" borderId="0" xfId="0" applyNumberFormat="1" applyFont="1" applyFill="1" applyAlignment="1"/>
    <xf numFmtId="168" fontId="29" fillId="0" borderId="0" xfId="0" applyNumberFormat="1" applyFont="1" applyFill="1" applyBorder="1" applyAlignment="1">
      <alignment horizontal="center" wrapText="1"/>
    </xf>
    <xf numFmtId="168" fontId="29" fillId="0" borderId="3" xfId="0" applyNumberFormat="1" applyFont="1" applyFill="1" applyBorder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3" fontId="2" fillId="0" borderId="0" xfId="0" quotePrefix="1" applyNumberFormat="1" applyFont="1" applyFill="1" applyBorder="1" applyAlignment="1">
      <alignment horizontal="left" indent="1"/>
    </xf>
    <xf numFmtId="43" fontId="2" fillId="0" borderId="2" xfId="0" quotePrefix="1" applyNumberFormat="1" applyFont="1" applyFill="1" applyBorder="1" applyAlignment="1">
      <alignment horizontal="left" indent="1"/>
    </xf>
    <xf numFmtId="42" fontId="2" fillId="0" borderId="0" xfId="0" applyNumberFormat="1" applyFont="1" applyFill="1" applyProtection="1"/>
    <xf numFmtId="167" fontId="2" fillId="0" borderId="3" xfId="0" applyNumberFormat="1" applyFont="1" applyFill="1" applyBorder="1" applyProtection="1"/>
    <xf numFmtId="42" fontId="2" fillId="0" borderId="3" xfId="0" applyNumberFormat="1" applyFont="1" applyFill="1" applyBorder="1" applyProtection="1"/>
    <xf numFmtId="42" fontId="2" fillId="0" borderId="0" xfId="0" applyNumberFormat="1" applyFont="1" applyFill="1"/>
    <xf numFmtId="10" fontId="2" fillId="0" borderId="0" xfId="0" applyNumberFormat="1" applyFont="1" applyFill="1" applyProtection="1"/>
    <xf numFmtId="5" fontId="2" fillId="0" borderId="3" xfId="0" applyNumberFormat="1" applyFont="1" applyFill="1" applyBorder="1"/>
    <xf numFmtId="37" fontId="2" fillId="0" borderId="0" xfId="0" quotePrefix="1" applyNumberFormat="1" applyFont="1" applyFill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164" fontId="2" fillId="0" borderId="3" xfId="0" applyNumberFormat="1" applyFont="1" applyFill="1" applyBorder="1"/>
    <xf numFmtId="9" fontId="2" fillId="0" borderId="28" xfId="0" applyNumberFormat="1" applyFont="1" applyFill="1" applyBorder="1"/>
    <xf numFmtId="9" fontId="2" fillId="0" borderId="32" xfId="0" applyNumberFormat="1" applyFont="1" applyFill="1" applyBorder="1"/>
    <xf numFmtId="9" fontId="2" fillId="0" borderId="57" xfId="0" applyNumberFormat="1" applyFont="1" applyFill="1" applyBorder="1"/>
    <xf numFmtId="10" fontId="2" fillId="0" borderId="28" xfId="0" applyNumberFormat="1" applyFont="1" applyFill="1" applyBorder="1"/>
    <xf numFmtId="10" fontId="2" fillId="0" borderId="32" xfId="0" applyNumberFormat="1" applyFont="1" applyFill="1" applyBorder="1"/>
    <xf numFmtId="10" fontId="2" fillId="0" borderId="57" xfId="0" applyNumberFormat="1" applyFont="1" applyFill="1" applyBorder="1"/>
    <xf numFmtId="168" fontId="2" fillId="0" borderId="30" xfId="0" applyNumberFormat="1" applyFont="1" applyFill="1" applyBorder="1"/>
    <xf numFmtId="168" fontId="2" fillId="0" borderId="34" xfId="0" applyNumberFormat="1" applyFont="1" applyFill="1" applyBorder="1"/>
    <xf numFmtId="168" fontId="2" fillId="0" borderId="59" xfId="0" applyNumberFormat="1" applyFont="1" applyFill="1" applyBorder="1"/>
    <xf numFmtId="168" fontId="2" fillId="0" borderId="40" xfId="0" applyNumberFormat="1" applyFont="1" applyFill="1" applyBorder="1"/>
    <xf numFmtId="10" fontId="3" fillId="0" borderId="25" xfId="0" applyNumberFormat="1" applyFont="1" applyFill="1" applyBorder="1"/>
    <xf numFmtId="179" fontId="3" fillId="0" borderId="25" xfId="0" applyNumberFormat="1" applyFont="1" applyFill="1" applyBorder="1"/>
    <xf numFmtId="10" fontId="3" fillId="0" borderId="27" xfId="0" applyNumberFormat="1" applyFont="1" applyFill="1" applyBorder="1"/>
    <xf numFmtId="166" fontId="3" fillId="0" borderId="0" xfId="0" applyNumberFormat="1" applyFont="1" applyFill="1" applyBorder="1"/>
    <xf numFmtId="168" fontId="33" fillId="0" borderId="0" xfId="0" applyNumberFormat="1" applyFont="1" applyFill="1" applyBorder="1" applyAlignment="1">
      <alignment wrapText="1"/>
    </xf>
    <xf numFmtId="168" fontId="33" fillId="0" borderId="0" xfId="0" applyNumberFormat="1" applyFont="1" applyFill="1" applyAlignment="1"/>
    <xf numFmtId="168" fontId="33" fillId="0" borderId="0" xfId="0" applyNumberFormat="1" applyFont="1" applyFill="1" applyBorder="1" applyAlignment="1">
      <alignment horizontal="center" wrapText="1"/>
    </xf>
    <xf numFmtId="168" fontId="33" fillId="0" borderId="3" xfId="0" applyNumberFormat="1" applyFont="1" applyFill="1" applyBorder="1" applyAlignment="1"/>
    <xf numFmtId="9" fontId="2" fillId="0" borderId="22" xfId="0" applyNumberFormat="1" applyFont="1" applyFill="1" applyBorder="1"/>
    <xf numFmtId="168" fontId="29" fillId="0" borderId="3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168" fontId="2" fillId="0" borderId="58" xfId="0" applyNumberFormat="1" applyFont="1" applyFill="1" applyBorder="1"/>
    <xf numFmtId="168" fontId="34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2" fillId="0" borderId="0" xfId="0" applyFont="1" applyFill="1" applyBorder="1" applyProtection="1"/>
    <xf numFmtId="44" fontId="2" fillId="0" borderId="0" xfId="42" applyFont="1" applyFill="1" applyBorder="1"/>
    <xf numFmtId="168" fontId="2" fillId="0" borderId="0" xfId="42" applyNumberFormat="1" applyFont="1" applyFill="1" applyBorder="1" applyProtection="1"/>
    <xf numFmtId="44" fontId="2" fillId="0" borderId="0" xfId="42" applyFont="1" applyFill="1" applyBorder="1" applyProtection="1"/>
    <xf numFmtId="44" fontId="3" fillId="0" borderId="3" xfId="0" applyNumberFormat="1" applyFont="1" applyFill="1" applyBorder="1" applyProtection="1"/>
    <xf numFmtId="0" fontId="3" fillId="0" borderId="25" xfId="0" applyFont="1" applyFill="1" applyBorder="1"/>
    <xf numFmtId="0" fontId="32" fillId="0" borderId="26" xfId="0" applyFont="1" applyFill="1" applyBorder="1"/>
    <xf numFmtId="0" fontId="32" fillId="0" borderId="7" xfId="0" applyFont="1" applyFill="1" applyBorder="1"/>
    <xf numFmtId="44" fontId="32" fillId="0" borderId="7" xfId="0" applyNumberFormat="1" applyFont="1" applyFill="1" applyBorder="1"/>
    <xf numFmtId="0" fontId="32" fillId="0" borderId="27" xfId="0" applyFont="1" applyFill="1" applyBorder="1"/>
    <xf numFmtId="44" fontId="3" fillId="19" borderId="21" xfId="0" applyNumberFormat="1" applyFont="1" applyFill="1" applyBorder="1"/>
    <xf numFmtId="44" fontId="3" fillId="19" borderId="26" xfId="0" applyNumberFormat="1" applyFont="1" applyFill="1" applyBorder="1"/>
    <xf numFmtId="44" fontId="2" fillId="19" borderId="7" xfId="0" applyNumberFormat="1" applyFont="1" applyFill="1" applyBorder="1"/>
    <xf numFmtId="0" fontId="2" fillId="19" borderId="7" xfId="0" applyFont="1" applyFill="1" applyBorder="1"/>
    <xf numFmtId="0" fontId="2" fillId="19" borderId="27" xfId="0" applyFont="1" applyFill="1" applyBorder="1"/>
    <xf numFmtId="44" fontId="35" fillId="19" borderId="22" xfId="0" applyNumberFormat="1" applyFont="1" applyFill="1" applyBorder="1"/>
    <xf numFmtId="6" fontId="35" fillId="19" borderId="22" xfId="0" applyNumberFormat="1" applyFont="1" applyFill="1" applyBorder="1"/>
    <xf numFmtId="168" fontId="35" fillId="19" borderId="22" xfId="0" applyNumberFormat="1" applyFont="1" applyFill="1" applyBorder="1"/>
    <xf numFmtId="10" fontId="35" fillId="19" borderId="22" xfId="0" applyNumberFormat="1" applyFont="1" applyFill="1" applyBorder="1"/>
    <xf numFmtId="0" fontId="35" fillId="19" borderId="22" xfId="0" applyFont="1" applyFill="1" applyBorder="1"/>
    <xf numFmtId="10" fontId="35" fillId="19" borderId="23" xfId="0" applyNumberFormat="1" applyFont="1" applyFill="1" applyBorder="1"/>
    <xf numFmtId="168" fontId="2" fillId="19" borderId="7" xfId="0" applyNumberFormat="1" applyFont="1" applyFill="1" applyBorder="1"/>
    <xf numFmtId="44" fontId="3" fillId="19" borderId="21" xfId="0" applyNumberFormat="1" applyFont="1" applyFill="1" applyBorder="1" applyAlignment="1">
      <alignment horizontal="center" wrapText="1"/>
    </xf>
    <xf numFmtId="44" fontId="3" fillId="19" borderId="23" xfId="0" applyNumberFormat="1" applyFont="1" applyFill="1" applyBorder="1" applyAlignment="1">
      <alignment horizontal="center"/>
    </xf>
    <xf numFmtId="6" fontId="35" fillId="19" borderId="24" xfId="0" applyNumberFormat="1" applyFont="1" applyFill="1" applyBorder="1"/>
    <xf numFmtId="168" fontId="2" fillId="19" borderId="25" xfId="0" applyNumberFormat="1" applyFont="1" applyFill="1" applyBorder="1"/>
    <xf numFmtId="0" fontId="2" fillId="19" borderId="26" xfId="0" applyFont="1" applyFill="1" applyBorder="1"/>
    <xf numFmtId="167" fontId="35" fillId="19" borderId="24" xfId="41" applyNumberFormat="1" applyFont="1" applyFill="1" applyBorder="1"/>
    <xf numFmtId="187" fontId="35" fillId="19" borderId="24" xfId="0" applyNumberFormat="1" applyFont="1" applyFill="1" applyBorder="1"/>
    <xf numFmtId="166" fontId="2" fillId="19" borderId="25" xfId="0" applyNumberFormat="1" applyFont="1" applyFill="1" applyBorder="1"/>
    <xf numFmtId="10" fontId="2" fillId="19" borderId="27" xfId="43" applyNumberFormat="1" applyFont="1" applyFill="1" applyBorder="1"/>
    <xf numFmtId="10" fontId="2" fillId="19" borderId="7" xfId="43" applyNumberFormat="1" applyFont="1" applyFill="1" applyBorder="1"/>
    <xf numFmtId="44" fontId="3" fillId="20" borderId="1" xfId="0" quotePrefix="1" applyNumberFormat="1" applyFont="1" applyFill="1" applyBorder="1" applyAlignment="1">
      <alignment horizontal="center" wrapText="1"/>
    </xf>
    <xf numFmtId="44" fontId="2" fillId="20" borderId="0" xfId="0" quotePrefix="1" applyNumberFormat="1" applyFont="1" applyFill="1" applyBorder="1" applyAlignment="1">
      <alignment horizontal="right"/>
    </xf>
    <xf numFmtId="44" fontId="2" fillId="20" borderId="0" xfId="0" applyNumberFormat="1" applyFont="1" applyFill="1" applyBorder="1" applyAlignment="1">
      <alignment horizontal="right"/>
    </xf>
    <xf numFmtId="176" fontId="2" fillId="2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37" xfId="0" quotePrefix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8" xfId="0" quotePrefix="1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8" xfId="0" quotePrefix="1" applyFont="1" applyFill="1" applyBorder="1" applyAlignment="1" applyProtection="1">
      <alignment horizontal="center" wrapText="1"/>
    </xf>
    <xf numFmtId="0" fontId="3" fillId="0" borderId="19" xfId="0" applyFont="1" applyFill="1" applyBorder="1" applyAlignment="1" applyProtection="1">
      <alignment horizontal="center" wrapText="1"/>
    </xf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8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19" xfId="0" quotePrefix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3" fillId="0" borderId="45" xfId="0" quotePrefix="1" applyFont="1" applyFill="1" applyBorder="1" applyAlignment="1" applyProtection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2" xfId="0" quotePrefix="1" applyFont="1" applyFill="1" applyBorder="1" applyAlignment="1">
      <alignment horizontal="center" wrapText="1"/>
    </xf>
    <xf numFmtId="0" fontId="3" fillId="0" borderId="35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3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3" fillId="0" borderId="26" xfId="0" quotePrefix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quotePrefix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</cellXfs>
  <cellStyles count="44">
    <cellStyle name="Comma" xfId="41" builtinId="3"/>
    <cellStyle name="Currency" xfId="42" builtinId="4"/>
    <cellStyle name="Normal" xfId="0" builtinId="0"/>
    <cellStyle name="Normal 2" xfId="40"/>
    <cellStyle name="Percent" xfId="43" builtinId="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808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56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57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943596531096071E-3"/>
          <c:y val="3.812636165577341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'WP7 Condensed LED Cost Est.'!$E$43</c:f>
              <c:strCache>
                <c:ptCount val="1"/>
                <c:pt idx="0">
                  <c:v>Marginal Cost Per W</c:v>
                </c:pt>
              </c:strCache>
            </c:strRef>
          </c:tx>
          <c:marker>
            <c:symbol val="none"/>
          </c:marker>
          <c:cat>
            <c:numRef>
              <c:f>'WP7 Condensed LED Cost Est.'!$B$44:$B$59</c:f>
              <c:numCache>
                <c:formatCode>General</c:formatCode>
                <c:ptCount val="16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  <c:pt idx="10">
                  <c:v>350</c:v>
                </c:pt>
                <c:pt idx="11">
                  <c:v>450</c:v>
                </c:pt>
                <c:pt idx="12">
                  <c:v>550</c:v>
                </c:pt>
                <c:pt idx="13">
                  <c:v>650</c:v>
                </c:pt>
                <c:pt idx="14">
                  <c:v>750</c:v>
                </c:pt>
                <c:pt idx="15">
                  <c:v>850</c:v>
                </c:pt>
              </c:numCache>
            </c:numRef>
          </c:cat>
          <c:val>
            <c:numRef>
              <c:f>'WP7 Condensed LED Cost Est.'!$E$44:$E$59</c:f>
              <c:numCache>
                <c:formatCode>_("$"* #,##0.00_);_("$"* \(#,##0.00\);_("$"* "-"??_);_(@_)</c:formatCode>
                <c:ptCount val="16"/>
                <c:pt idx="0">
                  <c:v>50.937333333333314</c:v>
                </c:pt>
                <c:pt idx="1">
                  <c:v>20.396444444444441</c:v>
                </c:pt>
                <c:pt idx="2">
                  <c:v>14.288266666666665</c:v>
                </c:pt>
                <c:pt idx="3">
                  <c:v>11.670476190476192</c:v>
                </c:pt>
                <c:pt idx="4">
                  <c:v>10.21614814814815</c:v>
                </c:pt>
                <c:pt idx="5">
                  <c:v>9.2906666666666702</c:v>
                </c:pt>
                <c:pt idx="6">
                  <c:v>8.6499487179487211</c:v>
                </c:pt>
                <c:pt idx="7">
                  <c:v>8.180088888888891</c:v>
                </c:pt>
                <c:pt idx="8">
                  <c:v>7.8207843137254933</c:v>
                </c:pt>
                <c:pt idx="9">
                  <c:v>7.5371228070175471</c:v>
                </c:pt>
                <c:pt idx="10">
                  <c:v>7.0893428571428609</c:v>
                </c:pt>
                <c:pt idx="11">
                  <c:v>6.6530444444444479</c:v>
                </c:pt>
                <c:pt idx="12">
                  <c:v>6.3754000000000035</c:v>
                </c:pt>
                <c:pt idx="13">
                  <c:v>6.1831846153846195</c:v>
                </c:pt>
                <c:pt idx="14">
                  <c:v>6.0422266666666715</c:v>
                </c:pt>
                <c:pt idx="15">
                  <c:v>5.9344352941176517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A-4612-B775-F0B6857A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304832"/>
        <c:axId val="204166272"/>
      </c:lineChart>
      <c:catAx>
        <c:axId val="1953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166272"/>
        <c:crosses val="autoZero"/>
        <c:auto val="1"/>
        <c:lblAlgn val="ctr"/>
        <c:lblOffset val="100"/>
        <c:noMultiLvlLbl val="0"/>
      </c:catAx>
      <c:valAx>
        <c:axId val="2041662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9530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94385895937765E-3"/>
          <c:y val="9.6339113680154135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'WP7 Condensed LED Cost Est.'!$E$9</c:f>
              <c:strCache>
                <c:ptCount val="1"/>
                <c:pt idx="0">
                  <c:v>Marginal Cost Per W</c:v>
                </c:pt>
              </c:strCache>
            </c:strRef>
          </c:tx>
          <c:marker>
            <c:symbol val="none"/>
          </c:marker>
          <c:cat>
            <c:numRef>
              <c:f>'WP7 Condensed LED Cost Est.'!$B$10:$B$19</c:f>
              <c:numCache>
                <c:formatCode>General</c:formatCode>
                <c:ptCount val="10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</c:numCache>
            </c:numRef>
          </c:cat>
          <c:val>
            <c:numRef>
              <c:f>'WP7 Condensed LED Cost Est.'!$E$10:$E$19</c:f>
              <c:numCache>
                <c:formatCode>_("$"* #,##0.00_);_("$"* \(#,##0.00\);_("$"* "-"??_);_(@_)</c:formatCode>
                <c:ptCount val="10"/>
                <c:pt idx="0">
                  <c:v>58.360845629340794</c:v>
                </c:pt>
                <c:pt idx="1">
                  <c:v>19.343417204301076</c:v>
                </c:pt>
                <c:pt idx="2">
                  <c:v>11.348430476190478</c:v>
                </c:pt>
                <c:pt idx="3">
                  <c:v>8.6695252747252738</c:v>
                </c:pt>
                <c:pt idx="4">
                  <c:v>6.9574074074074073</c:v>
                </c:pt>
                <c:pt idx="5">
                  <c:v>5.5051545454545447</c:v>
                </c:pt>
                <c:pt idx="6">
                  <c:v>4.658207692307692</c:v>
                </c:pt>
                <c:pt idx="7">
                  <c:v>4.0582599999999998</c:v>
                </c:pt>
                <c:pt idx="8">
                  <c:v>3.5808176470588231</c:v>
                </c:pt>
                <c:pt idx="9">
                  <c:v>3.2038894736842103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5-4006-8B9C-4130EACB5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90848"/>
        <c:axId val="204192384"/>
      </c:lineChart>
      <c:catAx>
        <c:axId val="2041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192384"/>
        <c:crosses val="autoZero"/>
        <c:auto val="1"/>
        <c:lblAlgn val="ctr"/>
        <c:lblOffset val="100"/>
        <c:noMultiLvlLbl val="0"/>
      </c:catAx>
      <c:valAx>
        <c:axId val="20419238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0419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943596531096071E-3"/>
          <c:y val="3.812636165577341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'WP7 Condensed LED Cost Est.'!$E$28</c:f>
              <c:strCache>
                <c:ptCount val="1"/>
                <c:pt idx="0">
                  <c:v>Marginal Cost Per W</c:v>
                </c:pt>
              </c:strCache>
            </c:strRef>
          </c:tx>
          <c:marker>
            <c:symbol val="none"/>
          </c:marker>
          <c:cat>
            <c:numRef>
              <c:f>'WP7 Condensed LED Cost Est.'!$B$29:$B$38</c:f>
              <c:numCache>
                <c:formatCode>General</c:formatCode>
                <c:ptCount val="10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</c:numCache>
            </c:numRef>
          </c:cat>
          <c:val>
            <c:numRef>
              <c:f>'WP7 Condensed LED Cost Est.'!$E$29:$E$38</c:f>
              <c:numCache>
                <c:formatCode>_("$"* #,##0.00_);_("$"* \(#,##0.00\);_("$"* "-"??_);_(@_)</c:formatCode>
                <c:ptCount val="10"/>
                <c:pt idx="0">
                  <c:v>46.032222222222224</c:v>
                </c:pt>
                <c:pt idx="1">
                  <c:v>17.759333333333334</c:v>
                </c:pt>
                <c:pt idx="2">
                  <c:v>14.1524</c:v>
                </c:pt>
                <c:pt idx="3">
                  <c:v>10.412666666666667</c:v>
                </c:pt>
                <c:pt idx="4">
                  <c:v>9.4726172839506173</c:v>
                </c:pt>
                <c:pt idx="5">
                  <c:v>8.6417171717171701</c:v>
                </c:pt>
                <c:pt idx="6">
                  <c:v>8.0664786324786313</c:v>
                </c:pt>
                <c:pt idx="7">
                  <c:v>7.6446370370370369</c:v>
                </c:pt>
                <c:pt idx="8">
                  <c:v>7.3220522875816991</c:v>
                </c:pt>
                <c:pt idx="9">
                  <c:v>7.0673801169590638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3-40DB-AD34-8605396E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26240"/>
        <c:axId val="204027776"/>
      </c:lineChart>
      <c:catAx>
        <c:axId val="2040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027776"/>
        <c:crosses val="autoZero"/>
        <c:auto val="1"/>
        <c:lblAlgn val="ctr"/>
        <c:lblOffset val="100"/>
        <c:noMultiLvlLbl val="0"/>
      </c:catAx>
      <c:valAx>
        <c:axId val="20402777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0402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42</xdr:row>
      <xdr:rowOff>9524</xdr:rowOff>
    </xdr:from>
    <xdr:to>
      <xdr:col>13</xdr:col>
      <xdr:colOff>571499</xdr:colOff>
      <xdr:row>58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8</xdr:row>
      <xdr:rowOff>11430</xdr:rowOff>
    </xdr:from>
    <xdr:to>
      <xdr:col>13</xdr:col>
      <xdr:colOff>581025</xdr:colOff>
      <xdr:row>19</xdr:row>
      <xdr:rowOff>34290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27</xdr:row>
      <xdr:rowOff>9525</xdr:rowOff>
    </xdr:from>
    <xdr:to>
      <xdr:col>13</xdr:col>
      <xdr:colOff>590549</xdr:colOff>
      <xdr:row>38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vice-2023-20-PSE-WP-Annual-MYRP-Sch141N-Sch141R-Rate-Design-(04-28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riff Charge Summary===&gt;"/>
      <sheetName val="Exhibit No.__(BDJ-Tariff)"/>
      <sheetName val="Rate Spread-Design====&gt;"/>
      <sheetName val="Exhibit No.__(BDJ-Rate Spread)"/>
      <sheetName val="Exhibit No.__(BDJ-Rate Des Sum)"/>
      <sheetName val="Exhibit No.__(BDJ-Prof-Prop)"/>
      <sheetName val="Exhibit No.__(BDJ-MYRP-SUM)"/>
      <sheetName val="Exhibit No.__(BDJ-141A)"/>
      <sheetName val="Exhibit No.__(BDJ-MYRP)"/>
      <sheetName val="Exhibit No.__(BDJ-141C)"/>
      <sheetName val="Exhibit No.__(BDJ-Res RD)"/>
      <sheetName val="Exhibit No.__(BDJ-SV RD)"/>
      <sheetName val="Exhibit No.__(BDJ-PV RD)"/>
      <sheetName val="Exhibit No.__(BDJ-CONJ  DEM)"/>
      <sheetName val="Exhibit No.__(BDJ-HV RD)"/>
      <sheetName val="Exhibit No.__(BDJ-TRANSP RD)"/>
      <sheetName val="Exhibit No.__(BDJ-LIGHT RD) "/>
      <sheetName val="RevReq&gt;&gt;&gt;"/>
      <sheetName val="Subject to Refund"/>
      <sheetName val="Adj RR Summary"/>
    </sheetNames>
    <sheetDataSet>
      <sheetData sheetId="0"/>
      <sheetData sheetId="1"/>
      <sheetData sheetId="2"/>
      <sheetData sheetId="3"/>
      <sheetData sheetId="4">
        <row r="5">
          <cell r="F5" t="str">
            <v>Proposed Base
Change
Effective
January 2023
($)</v>
          </cell>
          <cell r="O5" t="str">
            <v>ECOS Parity Ratio</v>
          </cell>
          <cell r="Q5" t="str">
            <v>ECOS
Ratebase
(Note 1)</v>
          </cell>
          <cell r="R5" t="str">
            <v>ECOS Ratebase (Note 1) %</v>
          </cell>
          <cell r="S5" t="str">
            <v>MYRP 2023 Increase</v>
          </cell>
          <cell r="T5" t="str">
            <v>MYRP 2024 Increase</v>
          </cell>
          <cell r="U5" t="str">
            <v>MYRP 2025 Increase</v>
          </cell>
          <cell r="W5" t="str">
            <v>MYRP 2023 Increase</v>
          </cell>
          <cell r="X5" t="str">
            <v>MYRP 2024 Increase</v>
          </cell>
          <cell r="Y5" t="str">
            <v>MYRP 2025 Increase</v>
          </cell>
        </row>
        <row r="8">
          <cell r="D8">
            <v>11355354.571603522</v>
          </cell>
          <cell r="E8">
            <v>1231055.182</v>
          </cell>
          <cell r="H8">
            <v>1</v>
          </cell>
          <cell r="O8">
            <v>0.99</v>
          </cell>
          <cell r="Q8">
            <v>3193663.6951851835</v>
          </cell>
          <cell r="R8">
            <v>0.60120247304236629</v>
          </cell>
          <cell r="S8">
            <v>138878.87931888</v>
          </cell>
          <cell r="T8">
            <v>94358.163785459823</v>
          </cell>
          <cell r="W8">
            <v>25961.523441204605</v>
          </cell>
          <cell r="X8">
            <v>89676.632544441381</v>
          </cell>
        </row>
        <row r="11">
          <cell r="D11">
            <v>2658833.1030243803</v>
          </cell>
          <cell r="E11">
            <v>271509.06</v>
          </cell>
          <cell r="H11">
            <v>1</v>
          </cell>
          <cell r="O11">
            <v>1.05</v>
          </cell>
          <cell r="Q11">
            <v>612809.4117816377</v>
          </cell>
          <cell r="R11">
            <v>0.11536046654574114</v>
          </cell>
          <cell r="S11">
            <v>26648.480387150172</v>
          </cell>
          <cell r="T11">
            <v>18105.716933607873</v>
          </cell>
          <cell r="W11">
            <v>4981.5720837936533</v>
          </cell>
          <cell r="X11">
            <v>17207.411200799797</v>
          </cell>
        </row>
        <row r="12">
          <cell r="D12">
            <v>2871339.5605844581</v>
          </cell>
          <cell r="E12">
            <v>267613.61300000001</v>
          </cell>
          <cell r="H12">
            <v>1</v>
          </cell>
          <cell r="O12">
            <v>0.99</v>
          </cell>
          <cell r="Q12">
            <v>689430.47311563278</v>
          </cell>
          <cell r="R12">
            <v>0.12978426815972341</v>
          </cell>
          <cell r="S12">
            <v>29980.405143764652</v>
          </cell>
          <cell r="T12">
            <v>20369.519057065219</v>
          </cell>
          <cell r="W12">
            <v>5604.4302397452129</v>
          </cell>
          <cell r="X12">
            <v>19358.895958813853</v>
          </cell>
        </row>
        <row r="13">
          <cell r="D13">
            <v>1761911.047761543</v>
          </cell>
          <cell r="E13">
            <v>151320.842</v>
          </cell>
          <cell r="H13">
            <v>1</v>
          </cell>
          <cell r="O13">
            <v>0.97</v>
          </cell>
          <cell r="Q13">
            <v>378181.08324080287</v>
          </cell>
          <cell r="R13">
            <v>7.1192030283272534E-2</v>
          </cell>
          <cell r="S13">
            <v>16445.49020589262</v>
          </cell>
          <cell r="T13">
            <v>11173.522323842912</v>
          </cell>
          <cell r="W13">
            <v>3074.2614109238416</v>
          </cell>
          <cell r="X13">
            <v>10619.153822668792</v>
          </cell>
        </row>
        <row r="17">
          <cell r="D17">
            <v>1307770.0591754341</v>
          </cell>
          <cell r="E17">
            <v>110792.823</v>
          </cell>
          <cell r="H17">
            <v>1</v>
          </cell>
          <cell r="O17">
            <v>0.99</v>
          </cell>
          <cell r="Q17">
            <v>266575.57436243602</v>
          </cell>
          <cell r="R17">
            <v>5.0182458096951495E-2</v>
          </cell>
          <cell r="S17">
            <v>11592.240309164794</v>
          </cell>
          <cell r="T17">
            <v>7876.08969122694</v>
          </cell>
          <cell r="W17">
            <v>2167.0121475522701</v>
          </cell>
          <cell r="X17">
            <v>7485.3215958411747</v>
          </cell>
        </row>
        <row r="18">
          <cell r="D18">
            <v>4387.6440000000002</v>
          </cell>
          <cell r="E18">
            <v>275.553</v>
          </cell>
          <cell r="H18">
            <v>0</v>
          </cell>
          <cell r="O18">
            <v>0.61</v>
          </cell>
          <cell r="Q18">
            <v>1313.9304218680002</v>
          </cell>
          <cell r="R18">
            <v>2.4734546102132306E-4</v>
          </cell>
          <cell r="S18">
            <v>57.137257365926317</v>
          </cell>
          <cell r="T18">
            <v>38.820637920089496</v>
          </cell>
          <cell r="W18">
            <v>10.681035545121787</v>
          </cell>
          <cell r="X18">
            <v>36.894572151870626</v>
          </cell>
        </row>
        <row r="19">
          <cell r="D19">
            <v>114099.11728442684</v>
          </cell>
          <cell r="E19">
            <v>10372.369000000001</v>
          </cell>
          <cell r="H19">
            <v>1.25</v>
          </cell>
          <cell r="O19">
            <v>1.08</v>
          </cell>
          <cell r="Q19">
            <v>21337.337501212609</v>
          </cell>
          <cell r="R19">
            <v>4.0167222657815933E-3</v>
          </cell>
          <cell r="S19">
            <v>927.87024641468781</v>
          </cell>
          <cell r="T19">
            <v>630.42078905190112</v>
          </cell>
          <cell r="W19">
            <v>173.4527616498157</v>
          </cell>
          <cell r="X19">
            <v>599.14278934808783</v>
          </cell>
        </row>
        <row r="22">
          <cell r="D22">
            <v>614103.78800000006</v>
          </cell>
          <cell r="E22">
            <v>40943.816999999995</v>
          </cell>
          <cell r="H22">
            <v>1.5</v>
          </cell>
          <cell r="O22">
            <v>1.1399999999999999</v>
          </cell>
          <cell r="Q22">
            <v>64617.314942933976</v>
          </cell>
          <cell r="R22">
            <v>1.2164114087409182E-2</v>
          </cell>
          <cell r="S22">
            <v>2809.9327732594697</v>
          </cell>
          <cell r="T22">
            <v>1909.1462873671369</v>
          </cell>
          <cell r="W22">
            <v>525.27883231030307</v>
          </cell>
          <cell r="X22">
            <v>1814.4249868519516</v>
          </cell>
        </row>
        <row r="24">
          <cell r="D24">
            <v>2223284.478162</v>
          </cell>
          <cell r="E24">
            <v>13316.672930000001</v>
          </cell>
          <cell r="J24">
            <v>-890.14094</v>
          </cell>
          <cell r="Q24">
            <v>18575.415267488221</v>
          </cell>
          <cell r="R24">
            <v>3.4967944851047625E-3</v>
          </cell>
          <cell r="S24">
            <v>807.76597082555145</v>
          </cell>
          <cell r="T24">
            <v>548.81861193933651</v>
          </cell>
          <cell r="W24">
            <v>151.0008958125575</v>
          </cell>
          <cell r="X24">
            <v>521.58926182938558</v>
          </cell>
        </row>
        <row r="26">
          <cell r="D26">
            <v>69892.887000000002</v>
          </cell>
          <cell r="E26">
            <v>17783.762999999999</v>
          </cell>
          <cell r="H26">
            <v>1</v>
          </cell>
          <cell r="O26">
            <v>0.99</v>
          </cell>
          <cell r="Q26">
            <v>64215.680771018015</v>
          </cell>
          <cell r="R26">
            <v>1.2088507047826953E-2</v>
          </cell>
          <cell r="S26">
            <v>2792.4674077684363</v>
          </cell>
          <cell r="T26">
            <v>1897.2798334782635</v>
          </cell>
          <cell r="W26">
            <v>522.01391904322838</v>
          </cell>
          <cell r="X26">
            <v>1803.1472809036081</v>
          </cell>
        </row>
        <row r="30">
          <cell r="D30">
            <v>7372.3372879022108</v>
          </cell>
          <cell r="E30">
            <v>345.54538000000002</v>
          </cell>
          <cell r="J30">
            <v>228.27761999999996</v>
          </cell>
          <cell r="Q30">
            <v>1406.7601743514979</v>
          </cell>
          <cell r="R30">
            <v>2.6482052480124725E-4</v>
          </cell>
          <cell r="S30">
            <v>61.174029306501488</v>
          </cell>
          <cell r="T30">
            <v>41.563332776222005</v>
          </cell>
          <cell r="W30">
            <v>11.435655325149002</v>
          </cell>
          <cell r="X30">
            <v>39.501189628596315</v>
          </cell>
        </row>
        <row r="32">
          <cell r="F32">
            <v>-41561778.390603453</v>
          </cell>
        </row>
        <row r="34">
          <cell r="Q34" t="str">
            <v>SEF-4 Sch 141N/141R</v>
          </cell>
          <cell r="S34">
            <v>231533223.30184406</v>
          </cell>
          <cell r="T34">
            <v>157112808.5643931</v>
          </cell>
          <cell r="W34">
            <v>43182662.422905758</v>
          </cell>
          <cell r="X34">
            <v>149162115.20327851</v>
          </cell>
        </row>
        <row r="35">
          <cell r="I35">
            <v>-1.9647900477427618E-2</v>
          </cell>
          <cell r="Q35" t="str">
            <v>Base Rev Adj for Load</v>
          </cell>
          <cell r="S35">
            <v>-531380.25205124728</v>
          </cell>
          <cell r="T35">
            <v>-163747.28065737145</v>
          </cell>
        </row>
        <row r="36">
          <cell r="I36">
            <v>-1.9460701739365947E-2</v>
          </cell>
          <cell r="Q36" t="str">
            <v>$ to Recover Sch 141N</v>
          </cell>
          <cell r="S36">
            <v>231001843.04979283</v>
          </cell>
          <cell r="T36">
            <v>156949061.28373572</v>
          </cell>
        </row>
        <row r="37">
          <cell r="I37">
            <v>0.98927281021075397</v>
          </cell>
        </row>
        <row r="38">
          <cell r="I38">
            <v>-1.925194309837586E-2</v>
          </cell>
          <cell r="Q38" t="str">
            <v>Rounding Difference</v>
          </cell>
          <cell r="S38">
            <v>-9802.6605399209075</v>
          </cell>
          <cell r="T38">
            <v>29702.351145271678</v>
          </cell>
        </row>
      </sheetData>
      <sheetData sheetId="5"/>
      <sheetData sheetId="6"/>
      <sheetData sheetId="7"/>
      <sheetData sheetId="8">
        <row r="89">
          <cell r="E89">
            <v>124121.45704674396</v>
          </cell>
          <cell r="H89">
            <v>126605.1319180218</v>
          </cell>
        </row>
      </sheetData>
      <sheetData sheetId="9">
        <row r="143">
          <cell r="I143">
            <v>62703000</v>
          </cell>
          <cell r="O143">
            <v>61382000</v>
          </cell>
        </row>
      </sheetData>
      <sheetData sheetId="10">
        <row r="21">
          <cell r="J21">
            <v>36481.368899283305</v>
          </cell>
          <cell r="N21">
            <v>39218.791229867085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2">
          <cell r="I22">
            <v>17128252</v>
          </cell>
          <cell r="J22">
            <v>655511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8.bin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3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4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5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P197"/>
  <sheetViews>
    <sheetView workbookViewId="0">
      <pane ySplit="7" topLeftCell="A8" activePane="bottomLeft" state="frozen"/>
      <selection activeCell="D32" sqref="D32"/>
      <selection pane="bottomLeft" activeCell="G9" sqref="G9"/>
    </sheetView>
  </sheetViews>
  <sheetFormatPr defaultColWidth="8.88671875" defaultRowHeight="10.199999999999999" x14ac:dyDescent="0.2"/>
  <cols>
    <col min="1" max="1" width="6.109375" style="613" bestFit="1" customWidth="1"/>
    <col min="2" max="2" width="10.109375" style="177" customWidth="1"/>
    <col min="3" max="3" width="30.6640625" style="611" bestFit="1" customWidth="1"/>
    <col min="4" max="4" width="26" style="177" bestFit="1" customWidth="1"/>
    <col min="5" max="5" width="11" style="177" bestFit="1" customWidth="1"/>
    <col min="6" max="6" width="13.6640625" style="177" customWidth="1"/>
    <col min="7" max="7" width="14" style="496" customWidth="1"/>
    <col min="8" max="8" width="1" style="496" customWidth="1"/>
    <col min="9" max="9" width="13.109375" style="496" customWidth="1"/>
    <col min="10" max="10" width="9.109375" style="496" bestFit="1" customWidth="1"/>
    <col min="11" max="11" width="1" style="496" customWidth="1"/>
    <col min="12" max="12" width="14" style="496" customWidth="1"/>
    <col min="13" max="13" width="10.88671875" style="496" bestFit="1" customWidth="1"/>
    <col min="14" max="14" width="1" style="496" customWidth="1"/>
    <col min="15" max="15" width="13.5546875" style="496" customWidth="1"/>
    <col min="16" max="16" width="9.109375" style="496" bestFit="1" customWidth="1"/>
    <col min="17" max="17" width="1.5546875" style="177" customWidth="1"/>
    <col min="18" max="16384" width="8.88671875" style="177"/>
  </cols>
  <sheetData>
    <row r="1" spans="1:16" ht="14.4" x14ac:dyDescent="0.3">
      <c r="A1" s="729" t="str">
        <f>'BDJ-6 Base Revenue (Summary)'!A1:I1</f>
        <v>Puget Sound Energy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46"/>
      <c r="M1" s="746"/>
      <c r="N1" s="746"/>
      <c r="O1" s="746"/>
      <c r="P1" s="746"/>
    </row>
    <row r="2" spans="1:16" ht="11.25" customHeight="1" x14ac:dyDescent="0.3">
      <c r="A2" s="729" t="s">
        <v>689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46"/>
      <c r="M2" s="746"/>
      <c r="N2" s="746"/>
      <c r="O2" s="746"/>
      <c r="P2" s="746"/>
    </row>
    <row r="3" spans="1:16" ht="14.4" x14ac:dyDescent="0.3">
      <c r="A3" s="729" t="str">
        <f>'BDJ-6 Base Revenue (Summary)'!A4:I4</f>
        <v>2022 General Rate Case (GRC)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46"/>
      <c r="M3" s="746"/>
      <c r="N3" s="746"/>
      <c r="O3" s="746"/>
      <c r="P3" s="746"/>
    </row>
    <row r="4" spans="1:16" ht="14.4" x14ac:dyDescent="0.3">
      <c r="A4" s="729" t="str">
        <f>'BDJ-6 Base Revenue (Summary)'!A5:I5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46"/>
      <c r="M4" s="746"/>
      <c r="N4" s="746"/>
      <c r="O4" s="746"/>
      <c r="P4" s="746"/>
    </row>
    <row r="5" spans="1:16" ht="14.4" x14ac:dyDescent="0.3">
      <c r="A5" s="609"/>
      <c r="B5" s="609"/>
      <c r="C5" s="345"/>
      <c r="D5" s="609"/>
      <c r="E5" s="609"/>
      <c r="F5" s="609"/>
      <c r="G5" s="616"/>
      <c r="H5" s="616"/>
      <c r="I5" s="616"/>
      <c r="J5" s="616"/>
      <c r="K5" s="616"/>
      <c r="L5" s="346"/>
      <c r="M5" s="346"/>
      <c r="N5" s="346"/>
      <c r="O5" s="346"/>
      <c r="P5" s="346"/>
    </row>
    <row r="6" spans="1:16" ht="20.399999999999999" x14ac:dyDescent="0.2">
      <c r="G6" s="248" t="s">
        <v>687</v>
      </c>
      <c r="I6" s="248" t="s">
        <v>657</v>
      </c>
      <c r="L6" s="248" t="s">
        <v>658</v>
      </c>
      <c r="O6" s="248" t="s">
        <v>659</v>
      </c>
    </row>
    <row r="7" spans="1:16" ht="34.5" customHeight="1" x14ac:dyDescent="0.2">
      <c r="A7" s="614" t="s">
        <v>1</v>
      </c>
      <c r="B7" s="614" t="s">
        <v>642</v>
      </c>
      <c r="C7" s="614" t="s">
        <v>53</v>
      </c>
      <c r="D7" s="614" t="s">
        <v>207</v>
      </c>
      <c r="E7" s="614" t="s">
        <v>660</v>
      </c>
      <c r="F7" s="614" t="s">
        <v>665</v>
      </c>
      <c r="G7" s="248" t="s">
        <v>688</v>
      </c>
      <c r="H7" s="248"/>
      <c r="I7" s="248" t="s">
        <v>641</v>
      </c>
      <c r="J7" s="248" t="s">
        <v>640</v>
      </c>
      <c r="K7" s="248"/>
      <c r="L7" s="248" t="s">
        <v>641</v>
      </c>
      <c r="M7" s="248" t="s">
        <v>640</v>
      </c>
      <c r="N7" s="248"/>
      <c r="O7" s="248" t="s">
        <v>641</v>
      </c>
      <c r="P7" s="248" t="s">
        <v>640</v>
      </c>
    </row>
    <row r="8" spans="1:16" x14ac:dyDescent="0.2">
      <c r="B8" s="596" t="s">
        <v>3</v>
      </c>
      <c r="C8" s="15" t="s">
        <v>4</v>
      </c>
      <c r="D8" s="143" t="s">
        <v>5</v>
      </c>
      <c r="E8" s="169" t="s">
        <v>6</v>
      </c>
      <c r="F8" s="613" t="s">
        <v>390</v>
      </c>
      <c r="G8" s="596" t="s">
        <v>21</v>
      </c>
      <c r="H8" s="596"/>
      <c r="I8" s="596" t="s">
        <v>8</v>
      </c>
      <c r="J8" s="596" t="s">
        <v>976</v>
      </c>
      <c r="K8" s="596"/>
      <c r="L8" s="596" t="s">
        <v>22</v>
      </c>
      <c r="M8" s="596" t="s">
        <v>977</v>
      </c>
      <c r="N8" s="596"/>
      <c r="O8" s="596" t="s">
        <v>10</v>
      </c>
      <c r="P8" s="249" t="s">
        <v>978</v>
      </c>
    </row>
    <row r="9" spans="1:16" x14ac:dyDescent="0.2">
      <c r="A9" s="613">
        <v>1</v>
      </c>
      <c r="B9" s="613">
        <f>'WP2 Current Light Rates'!B10</f>
        <v>3</v>
      </c>
      <c r="C9" s="611" t="str">
        <f>'WP2 Current Light Rates'!C10</f>
        <v>Compact Fluorescent - Energy Only</v>
      </c>
      <c r="D9" s="613" t="str">
        <f>'WP2 Current Light Rates'!D10</f>
        <v>22 Watts</v>
      </c>
      <c r="E9" s="613" t="s">
        <v>661</v>
      </c>
      <c r="F9" s="613" t="s">
        <v>666</v>
      </c>
      <c r="G9" s="553">
        <f>'WP2 Current Light Rates'!E10</f>
        <v>0.7</v>
      </c>
      <c r="I9" s="496">
        <f>'Schedule 50E'!G13</f>
        <v>0.64999999999999991</v>
      </c>
      <c r="J9" s="496">
        <f>I9-G9</f>
        <v>-5.0000000000000044E-2</v>
      </c>
      <c r="L9" s="496">
        <f>I9</f>
        <v>0.64999999999999991</v>
      </c>
      <c r="M9" s="496">
        <f>L9-I9</f>
        <v>0</v>
      </c>
    </row>
    <row r="10" spans="1:16" x14ac:dyDescent="0.2">
      <c r="A10" s="613">
        <f t="shared" ref="A10:A42" si="0">A9+1</f>
        <v>2</v>
      </c>
      <c r="B10" s="613"/>
      <c r="D10" s="613"/>
      <c r="E10" s="613"/>
      <c r="F10" s="613"/>
      <c r="G10" s="553"/>
    </row>
    <row r="11" spans="1:16" x14ac:dyDescent="0.2">
      <c r="A11" s="613">
        <f t="shared" si="0"/>
        <v>3</v>
      </c>
      <c r="B11" s="613">
        <f>'WP2 Current Light Rates'!B12</f>
        <v>50</v>
      </c>
      <c r="C11" s="611" t="str">
        <f>'WP2 Current Light Rates'!C12</f>
        <v>Mercury Vapor Street Lighting</v>
      </c>
      <c r="D11" s="613" t="str">
        <f>'WP2 Current Light Rates'!D12</f>
        <v>100 Watts</v>
      </c>
      <c r="E11" s="613" t="s">
        <v>661</v>
      </c>
      <c r="F11" s="613" t="s">
        <v>666</v>
      </c>
      <c r="G11" s="553">
        <f>'WP2 Current Light Rates'!E12</f>
        <v>4.82</v>
      </c>
      <c r="I11" s="496">
        <f>'Schedule 50E'!G16</f>
        <v>5.2</v>
      </c>
      <c r="J11" s="496">
        <f>I11-G11</f>
        <v>0.37999999999999989</v>
      </c>
      <c r="L11" s="496">
        <f>I11</f>
        <v>5.2</v>
      </c>
      <c r="M11" s="496">
        <f>L11-I11</f>
        <v>0</v>
      </c>
    </row>
    <row r="12" spans="1:16" x14ac:dyDescent="0.2">
      <c r="A12" s="613">
        <f t="shared" si="0"/>
        <v>4</v>
      </c>
      <c r="B12" s="613">
        <f>'WP2 Current Light Rates'!B13</f>
        <v>50</v>
      </c>
      <c r="C12" s="611" t="str">
        <f>'WP2 Current Light Rates'!C13</f>
        <v>Mercury Vapor Street Lighting</v>
      </c>
      <c r="D12" s="613" t="str">
        <f>'WP2 Current Light Rates'!D13</f>
        <v>175 Watts</v>
      </c>
      <c r="E12" s="613" t="s">
        <v>661</v>
      </c>
      <c r="F12" s="613" t="s">
        <v>666</v>
      </c>
      <c r="G12" s="553">
        <f>'WP2 Current Light Rates'!E13</f>
        <v>7.21</v>
      </c>
      <c r="I12" s="496">
        <f>'Schedule 50E'!G17</f>
        <v>7.3999999999999995</v>
      </c>
      <c r="J12" s="496">
        <f>I12-G12</f>
        <v>0.1899999999999995</v>
      </c>
      <c r="L12" s="496">
        <f>I12</f>
        <v>7.3999999999999995</v>
      </c>
      <c r="M12" s="496">
        <f>L12-I12</f>
        <v>0</v>
      </c>
    </row>
    <row r="13" spans="1:16" x14ac:dyDescent="0.2">
      <c r="A13" s="613">
        <f t="shared" si="0"/>
        <v>5</v>
      </c>
      <c r="B13" s="613">
        <f>'WP2 Current Light Rates'!B14</f>
        <v>50</v>
      </c>
      <c r="C13" s="611" t="str">
        <f>'WP2 Current Light Rates'!C14</f>
        <v>Mercury Vapor Street Lighting</v>
      </c>
      <c r="D13" s="613" t="str">
        <f>'WP2 Current Light Rates'!D14</f>
        <v>400 Watts</v>
      </c>
      <c r="E13" s="613" t="s">
        <v>661</v>
      </c>
      <c r="F13" s="613" t="s">
        <v>666</v>
      </c>
      <c r="G13" s="553">
        <f>'WP2 Current Light Rates'!E14</f>
        <v>14.37</v>
      </c>
      <c r="I13" s="496">
        <f>'Schedule 50E'!G18</f>
        <v>14.03</v>
      </c>
      <c r="J13" s="496">
        <f>I13-G13</f>
        <v>-0.33999999999999986</v>
      </c>
      <c r="L13" s="496">
        <f>I13</f>
        <v>14.03</v>
      </c>
      <c r="M13" s="496">
        <f>L13-I13</f>
        <v>0</v>
      </c>
    </row>
    <row r="14" spans="1:16" x14ac:dyDescent="0.2">
      <c r="A14" s="613">
        <f t="shared" si="0"/>
        <v>6</v>
      </c>
      <c r="B14" s="613"/>
      <c r="D14" s="613"/>
      <c r="E14" s="613"/>
      <c r="F14" s="613"/>
      <c r="G14" s="553"/>
    </row>
    <row r="15" spans="1:16" x14ac:dyDescent="0.2">
      <c r="A15" s="613">
        <f t="shared" si="0"/>
        <v>7</v>
      </c>
      <c r="B15" s="613">
        <f>'WP2 Current Light Rates'!B16</f>
        <v>50</v>
      </c>
      <c r="C15" s="611" t="str">
        <f>'WP2 Current Light Rates'!C16</f>
        <v>Mercury Vapor Lighting - Energy Only</v>
      </c>
      <c r="D15" s="613" t="str">
        <f>'WP2 Current Light Rates'!D16</f>
        <v>100 Watts</v>
      </c>
      <c r="E15" s="613" t="s">
        <v>661</v>
      </c>
      <c r="F15" s="613" t="s">
        <v>666</v>
      </c>
      <c r="G15" s="553">
        <f>'WP2 Current Light Rates'!E16</f>
        <v>3.19</v>
      </c>
      <c r="I15" s="496">
        <f>'Schedule 50E'!G21</f>
        <v>2.95</v>
      </c>
      <c r="J15" s="496">
        <f>I15-G15</f>
        <v>-0.23999999999999977</v>
      </c>
      <c r="L15" s="496">
        <f>I15</f>
        <v>2.95</v>
      </c>
      <c r="M15" s="496">
        <f>L15-I15</f>
        <v>0</v>
      </c>
    </row>
    <row r="16" spans="1:16" x14ac:dyDescent="0.2">
      <c r="A16" s="613">
        <f t="shared" si="0"/>
        <v>8</v>
      </c>
      <c r="B16" s="613">
        <f>'WP2 Current Light Rates'!B17</f>
        <v>50</v>
      </c>
      <c r="C16" s="611" t="str">
        <f>'WP2 Current Light Rates'!C17</f>
        <v>Mercury Vapor Lighting - Energy Only</v>
      </c>
      <c r="D16" s="613" t="str">
        <f>'WP2 Current Light Rates'!D17</f>
        <v>175 Watts</v>
      </c>
      <c r="E16" s="613" t="s">
        <v>661</v>
      </c>
      <c r="F16" s="613" t="s">
        <v>666</v>
      </c>
      <c r="G16" s="553">
        <f>'WP2 Current Light Rates'!E17</f>
        <v>5.57</v>
      </c>
      <c r="I16" s="496">
        <f>'Schedule 50E'!G22</f>
        <v>5.15</v>
      </c>
      <c r="J16" s="496">
        <f>I16-G16</f>
        <v>-0.41999999999999993</v>
      </c>
      <c r="L16" s="496">
        <f>I16</f>
        <v>5.15</v>
      </c>
      <c r="M16" s="496">
        <f>L16-I16</f>
        <v>0</v>
      </c>
    </row>
    <row r="17" spans="1:16" x14ac:dyDescent="0.2">
      <c r="A17" s="613">
        <f t="shared" si="0"/>
        <v>9</v>
      </c>
      <c r="B17" s="613">
        <f>'WP2 Current Light Rates'!B18</f>
        <v>50</v>
      </c>
      <c r="C17" s="611" t="str">
        <f>'WP2 Current Light Rates'!C18</f>
        <v>Mercury Vapor Lighting - Energy Only</v>
      </c>
      <c r="D17" s="613" t="str">
        <f>'WP2 Current Light Rates'!D18</f>
        <v>400 Watts</v>
      </c>
      <c r="E17" s="613" t="s">
        <v>661</v>
      </c>
      <c r="F17" s="613" t="s">
        <v>666</v>
      </c>
      <c r="G17" s="553">
        <f>'WP2 Current Light Rates'!E18</f>
        <v>12.74</v>
      </c>
      <c r="I17" s="496">
        <f>'Schedule 50E'!G23</f>
        <v>11.780000000000001</v>
      </c>
      <c r="J17" s="496">
        <f>I17-G17</f>
        <v>-0.95999999999999908</v>
      </c>
      <c r="L17" s="496">
        <f>I17</f>
        <v>11.780000000000001</v>
      </c>
      <c r="M17" s="496">
        <f>L17-I17</f>
        <v>0</v>
      </c>
    </row>
    <row r="18" spans="1:16" x14ac:dyDescent="0.2">
      <c r="A18" s="613">
        <f t="shared" si="0"/>
        <v>10</v>
      </c>
      <c r="B18" s="613">
        <f>'WP2 Current Light Rates'!B19</f>
        <v>50</v>
      </c>
      <c r="C18" s="611" t="str">
        <f>'WP2 Current Light Rates'!C19</f>
        <v>Mercury Vapor Lighting - Energy Only</v>
      </c>
      <c r="D18" s="613" t="str">
        <f>'WP2 Current Light Rates'!D19</f>
        <v>700 Watts</v>
      </c>
      <c r="E18" s="613" t="s">
        <v>661</v>
      </c>
      <c r="F18" s="613" t="s">
        <v>666</v>
      </c>
      <c r="G18" s="553">
        <f>'WP2 Current Light Rates'!E19</f>
        <v>22.3</v>
      </c>
      <c r="I18" s="496">
        <f>'Schedule 50E'!G24</f>
        <v>20.619999999999997</v>
      </c>
      <c r="J18" s="496">
        <f>I18-G18</f>
        <v>-1.6800000000000033</v>
      </c>
      <c r="L18" s="496">
        <f>I18</f>
        <v>20.619999999999997</v>
      </c>
      <c r="M18" s="496">
        <f>L18-I18</f>
        <v>0</v>
      </c>
    </row>
    <row r="19" spans="1:16" x14ac:dyDescent="0.2">
      <c r="A19" s="613">
        <f t="shared" si="0"/>
        <v>11</v>
      </c>
      <c r="B19" s="613"/>
      <c r="D19" s="613"/>
      <c r="E19" s="613"/>
      <c r="F19" s="613"/>
      <c r="G19" s="553"/>
    </row>
    <row r="20" spans="1:16" x14ac:dyDescent="0.2">
      <c r="A20" s="613">
        <f t="shared" si="0"/>
        <v>12</v>
      </c>
      <c r="B20" s="613">
        <f>'WP2 Current Light Rates'!B21</f>
        <v>51</v>
      </c>
      <c r="C20" s="611" t="str">
        <f>'WP2 Current Light Rates'!C21</f>
        <v>Company Owned LED Facilities Charge</v>
      </c>
      <c r="D20" s="613" t="str">
        <f>'WP2 Current Light Rates'!D21</f>
        <v>Option A O&amp;M Rate</v>
      </c>
      <c r="E20" s="613"/>
      <c r="F20" s="613" t="s">
        <v>667</v>
      </c>
      <c r="G20" s="347">
        <f>'WP2 Current Light Rates'!E21</f>
        <v>1.4200000000000001E-2</v>
      </c>
      <c r="H20" s="542"/>
      <c r="I20" s="542">
        <f>'Sch 51E &amp; 52E Facilities Charge'!F13</f>
        <v>1.289E-2</v>
      </c>
      <c r="J20" s="542">
        <f>I20-G20</f>
        <v>-1.3100000000000004E-3</v>
      </c>
      <c r="K20" s="542"/>
      <c r="L20" s="542">
        <f>I20</f>
        <v>1.289E-2</v>
      </c>
      <c r="M20" s="542">
        <f>L20-I20</f>
        <v>0</v>
      </c>
      <c r="N20" s="542"/>
      <c r="O20" s="542"/>
      <c r="P20" s="542"/>
    </row>
    <row r="21" spans="1:16" x14ac:dyDescent="0.2">
      <c r="A21" s="613">
        <f t="shared" si="0"/>
        <v>13</v>
      </c>
      <c r="B21" s="613">
        <f>'WP2 Current Light Rates'!B22</f>
        <v>51</v>
      </c>
      <c r="C21" s="611" t="str">
        <f>'WP2 Current Light Rates'!C22</f>
        <v>Company Owned LED Facilities Charge</v>
      </c>
      <c r="D21" s="613" t="str">
        <f>'WP2 Current Light Rates'!D22</f>
        <v>Option B O&amp;M Rate</v>
      </c>
      <c r="E21" s="613"/>
      <c r="F21" s="613" t="s">
        <v>667</v>
      </c>
      <c r="G21" s="347">
        <f>'WP2 Current Light Rates'!E22</f>
        <v>1.3600000000000001E-3</v>
      </c>
      <c r="H21" s="542"/>
      <c r="I21" s="542">
        <f>'Sch 51E &amp; 52E Facilities Charge'!F14</f>
        <v>1.42E-3</v>
      </c>
      <c r="J21" s="542">
        <f>I21-G21</f>
        <v>5.9999999999999941E-5</v>
      </c>
      <c r="K21" s="542"/>
      <c r="L21" s="542">
        <f>I21</f>
        <v>1.42E-3</v>
      </c>
      <c r="M21" s="542">
        <f>L21-I21</f>
        <v>0</v>
      </c>
      <c r="N21" s="542"/>
      <c r="O21" s="542"/>
      <c r="P21" s="542"/>
    </row>
    <row r="22" spans="1:16" x14ac:dyDescent="0.2">
      <c r="A22" s="613">
        <f t="shared" si="0"/>
        <v>14</v>
      </c>
      <c r="B22" s="613"/>
      <c r="D22" s="613"/>
      <c r="E22" s="613"/>
      <c r="F22" s="613"/>
      <c r="G22" s="553"/>
    </row>
    <row r="23" spans="1:16" x14ac:dyDescent="0.2">
      <c r="A23" s="613">
        <f>A21+1</f>
        <v>14</v>
      </c>
      <c r="B23" s="613">
        <f>'WP2 Current Light Rates'!B24</f>
        <v>51</v>
      </c>
      <c r="C23" s="611" t="str">
        <f>'WP2 Current Light Rates'!C24</f>
        <v>Company Owned LED Lamp Charge</v>
      </c>
      <c r="D23" s="613" t="str">
        <f>'WP2 Current Light Rates'!D24</f>
        <v>0-30 Watts</v>
      </c>
      <c r="E23" s="613" t="s">
        <v>661</v>
      </c>
      <c r="F23" s="613" t="s">
        <v>668</v>
      </c>
      <c r="G23" s="553">
        <f>'WP2 Current Light Rates'!E24</f>
        <v>1.43</v>
      </c>
      <c r="I23" s="496">
        <f>'Schedule 51E'!G13</f>
        <v>0.44</v>
      </c>
      <c r="J23" s="496">
        <f t="shared" ref="J23" si="1">I23-G23</f>
        <v>-0.99</v>
      </c>
      <c r="L23" s="496">
        <f t="shared" ref="L23:L32" si="2">I23</f>
        <v>0.44</v>
      </c>
      <c r="M23" s="496">
        <f t="shared" ref="M23:M32" si="3">L23-I23</f>
        <v>0</v>
      </c>
    </row>
    <row r="24" spans="1:16" x14ac:dyDescent="0.2">
      <c r="A24" s="613">
        <f>A22+1</f>
        <v>15</v>
      </c>
      <c r="B24" s="613">
        <f>'WP2 Current Light Rates'!B25</f>
        <v>51</v>
      </c>
      <c r="C24" s="611" t="str">
        <f>'WP2 Current Light Rates'!C25</f>
        <v>Company Owned LED Lamp Charge</v>
      </c>
      <c r="D24" s="613" t="str">
        <f>'WP2 Current Light Rates'!D25</f>
        <v>30.01-60 Watts</v>
      </c>
      <c r="E24" s="613" t="s">
        <v>661</v>
      </c>
      <c r="F24" s="613" t="s">
        <v>668</v>
      </c>
      <c r="G24" s="553">
        <f>'WP2 Current Light Rates'!E25</f>
        <v>1.43</v>
      </c>
      <c r="I24" s="496">
        <f>'Schedule 51E'!G14</f>
        <v>1.3199999999999998</v>
      </c>
      <c r="J24" s="496">
        <f t="shared" ref="J24:J32" si="4">I24-G24</f>
        <v>-0.1100000000000001</v>
      </c>
      <c r="L24" s="496">
        <f t="shared" si="2"/>
        <v>1.3199999999999998</v>
      </c>
      <c r="M24" s="496">
        <f t="shared" si="3"/>
        <v>0</v>
      </c>
    </row>
    <row r="25" spans="1:16" x14ac:dyDescent="0.2">
      <c r="A25" s="613">
        <f t="shared" si="0"/>
        <v>16</v>
      </c>
      <c r="B25" s="613">
        <f>'WP2 Current Light Rates'!B26</f>
        <v>51</v>
      </c>
      <c r="C25" s="611" t="str">
        <f>'WP2 Current Light Rates'!C26</f>
        <v>Company Owned LED Lamp Charge</v>
      </c>
      <c r="D25" s="613" t="str">
        <f>'WP2 Current Light Rates'!D26</f>
        <v>60.01-90 Watts</v>
      </c>
      <c r="E25" s="613" t="s">
        <v>661</v>
      </c>
      <c r="F25" s="613" t="s">
        <v>668</v>
      </c>
      <c r="G25" s="553">
        <f>'WP2 Current Light Rates'!E26</f>
        <v>2.39</v>
      </c>
      <c r="I25" s="496">
        <f>'Schedule 51E'!G15</f>
        <v>2.2000000000000002</v>
      </c>
      <c r="J25" s="496">
        <f t="shared" si="4"/>
        <v>-0.18999999999999995</v>
      </c>
      <c r="L25" s="496">
        <f t="shared" si="2"/>
        <v>2.2000000000000002</v>
      </c>
      <c r="M25" s="496">
        <f t="shared" si="3"/>
        <v>0</v>
      </c>
    </row>
    <row r="26" spans="1:16" x14ac:dyDescent="0.2">
      <c r="A26" s="613">
        <f t="shared" si="0"/>
        <v>17</v>
      </c>
      <c r="B26" s="613">
        <f>'WP2 Current Light Rates'!B27</f>
        <v>51</v>
      </c>
      <c r="C26" s="611" t="str">
        <f>'WP2 Current Light Rates'!C27</f>
        <v>Company Owned LED Lamp Charge</v>
      </c>
      <c r="D26" s="613" t="str">
        <f>'WP2 Current Light Rates'!D27</f>
        <v>90.01-120 Watts</v>
      </c>
      <c r="E26" s="613" t="s">
        <v>661</v>
      </c>
      <c r="F26" s="613" t="s">
        <v>668</v>
      </c>
      <c r="G26" s="553">
        <f>'WP2 Current Light Rates'!E27</f>
        <v>3.34</v>
      </c>
      <c r="I26" s="496">
        <f>'Schedule 51E'!G16</f>
        <v>3.08</v>
      </c>
      <c r="J26" s="496">
        <f t="shared" si="4"/>
        <v>-0.25999999999999979</v>
      </c>
      <c r="L26" s="496">
        <f t="shared" si="2"/>
        <v>3.08</v>
      </c>
      <c r="M26" s="496">
        <f t="shared" si="3"/>
        <v>0</v>
      </c>
    </row>
    <row r="27" spans="1:16" x14ac:dyDescent="0.2">
      <c r="A27" s="613">
        <f t="shared" si="0"/>
        <v>18</v>
      </c>
      <c r="B27" s="613">
        <f>'WP2 Current Light Rates'!B28</f>
        <v>51</v>
      </c>
      <c r="C27" s="611" t="str">
        <f>'WP2 Current Light Rates'!C28</f>
        <v>Company Owned LED Lamp Charge</v>
      </c>
      <c r="D27" s="613" t="str">
        <f>'WP2 Current Light Rates'!D28</f>
        <v>120.01-150 Watts</v>
      </c>
      <c r="E27" s="613" t="s">
        <v>661</v>
      </c>
      <c r="F27" s="613" t="s">
        <v>668</v>
      </c>
      <c r="G27" s="553">
        <f>'WP2 Current Light Rates'!E28</f>
        <v>4.3</v>
      </c>
      <c r="I27" s="496">
        <f>'Schedule 51E'!G17</f>
        <v>3.97</v>
      </c>
      <c r="J27" s="496">
        <f t="shared" si="4"/>
        <v>-0.32999999999999963</v>
      </c>
      <c r="L27" s="496">
        <f t="shared" si="2"/>
        <v>3.97</v>
      </c>
      <c r="M27" s="496">
        <f t="shared" si="3"/>
        <v>0</v>
      </c>
    </row>
    <row r="28" spans="1:16" x14ac:dyDescent="0.2">
      <c r="A28" s="613">
        <f t="shared" si="0"/>
        <v>19</v>
      </c>
      <c r="B28" s="613">
        <f>'WP2 Current Light Rates'!B29</f>
        <v>51</v>
      </c>
      <c r="C28" s="611" t="str">
        <f>'WP2 Current Light Rates'!C29</f>
        <v>Company Owned LED Lamp Charge</v>
      </c>
      <c r="D28" s="613" t="str">
        <f>'WP2 Current Light Rates'!D29</f>
        <v>150.01-180 Watts</v>
      </c>
      <c r="E28" s="613" t="s">
        <v>661</v>
      </c>
      <c r="F28" s="613" t="s">
        <v>668</v>
      </c>
      <c r="G28" s="553">
        <f>'WP2 Current Light Rates'!E29</f>
        <v>5.26</v>
      </c>
      <c r="I28" s="496">
        <f>'Schedule 51E'!G18</f>
        <v>4.8499999999999996</v>
      </c>
      <c r="J28" s="496">
        <f t="shared" si="4"/>
        <v>-0.41000000000000014</v>
      </c>
      <c r="L28" s="496">
        <f t="shared" si="2"/>
        <v>4.8499999999999996</v>
      </c>
      <c r="M28" s="496">
        <f t="shared" si="3"/>
        <v>0</v>
      </c>
    </row>
    <row r="29" spans="1:16" x14ac:dyDescent="0.2">
      <c r="A29" s="613">
        <f t="shared" si="0"/>
        <v>20</v>
      </c>
      <c r="B29" s="613">
        <f>'WP2 Current Light Rates'!B30</f>
        <v>51</v>
      </c>
      <c r="C29" s="611" t="str">
        <f>'WP2 Current Light Rates'!C30</f>
        <v>Company Owned LED Lamp Charge</v>
      </c>
      <c r="D29" s="613" t="str">
        <f>'WP2 Current Light Rates'!D30</f>
        <v>180.01-210 Watts</v>
      </c>
      <c r="E29" s="613" t="s">
        <v>661</v>
      </c>
      <c r="F29" s="613" t="s">
        <v>669</v>
      </c>
      <c r="G29" s="553">
        <f>'WP2 Current Light Rates'!E30</f>
        <v>6.21</v>
      </c>
      <c r="I29" s="496">
        <f>'Schedule 51E'!G19</f>
        <v>5.74</v>
      </c>
      <c r="J29" s="496">
        <f t="shared" si="4"/>
        <v>-0.46999999999999975</v>
      </c>
      <c r="L29" s="496">
        <f t="shared" si="2"/>
        <v>5.74</v>
      </c>
      <c r="M29" s="496">
        <f t="shared" si="3"/>
        <v>0</v>
      </c>
    </row>
    <row r="30" spans="1:16" x14ac:dyDescent="0.2">
      <c r="A30" s="613">
        <f t="shared" si="0"/>
        <v>21</v>
      </c>
      <c r="B30" s="613">
        <f>'WP2 Current Light Rates'!B31</f>
        <v>51</v>
      </c>
      <c r="C30" s="611" t="str">
        <f>'WP2 Current Light Rates'!C31</f>
        <v>Company Owned LED Lamp Charge</v>
      </c>
      <c r="D30" s="613" t="str">
        <f>'WP2 Current Light Rates'!D31</f>
        <v>210.01-240 Watts</v>
      </c>
      <c r="E30" s="613" t="s">
        <v>661</v>
      </c>
      <c r="F30" s="613" t="s">
        <v>669</v>
      </c>
      <c r="G30" s="553">
        <f>'WP2 Current Light Rates'!E31</f>
        <v>7.17</v>
      </c>
      <c r="I30" s="496">
        <f>'Schedule 51E'!G20</f>
        <v>6.63</v>
      </c>
      <c r="J30" s="496">
        <f t="shared" si="4"/>
        <v>-0.54</v>
      </c>
      <c r="L30" s="496">
        <f t="shared" si="2"/>
        <v>6.63</v>
      </c>
      <c r="M30" s="496">
        <f t="shared" si="3"/>
        <v>0</v>
      </c>
    </row>
    <row r="31" spans="1:16" x14ac:dyDescent="0.2">
      <c r="A31" s="613">
        <f t="shared" si="0"/>
        <v>22</v>
      </c>
      <c r="B31" s="613">
        <f>'WP2 Current Light Rates'!B32</f>
        <v>51</v>
      </c>
      <c r="C31" s="611" t="str">
        <f>'WP2 Current Light Rates'!C32</f>
        <v>Company Owned LED Lamp Charge</v>
      </c>
      <c r="D31" s="613" t="str">
        <f>'WP2 Current Light Rates'!D32</f>
        <v>240.01-270 Watts</v>
      </c>
      <c r="E31" s="613" t="s">
        <v>661</v>
      </c>
      <c r="F31" s="613" t="s">
        <v>669</v>
      </c>
      <c r="G31" s="553">
        <f>'WP2 Current Light Rates'!E32</f>
        <v>8.1199999999999992</v>
      </c>
      <c r="I31" s="496">
        <f>'Schedule 51E'!G21</f>
        <v>7.51</v>
      </c>
      <c r="J31" s="496">
        <f t="shared" si="4"/>
        <v>-0.60999999999999943</v>
      </c>
      <c r="L31" s="496">
        <f t="shared" si="2"/>
        <v>7.51</v>
      </c>
      <c r="M31" s="496">
        <f t="shared" si="3"/>
        <v>0</v>
      </c>
    </row>
    <row r="32" spans="1:16" x14ac:dyDescent="0.2">
      <c r="A32" s="613">
        <f t="shared" si="0"/>
        <v>23</v>
      </c>
      <c r="B32" s="613">
        <f>'WP2 Current Light Rates'!B33</f>
        <v>51</v>
      </c>
      <c r="C32" s="611" t="str">
        <f>'WP2 Current Light Rates'!C33</f>
        <v>Company Owned LED Lamp Charge</v>
      </c>
      <c r="D32" s="613" t="str">
        <f>'WP2 Current Light Rates'!D33</f>
        <v>270.01-300 Watts</v>
      </c>
      <c r="E32" s="613" t="s">
        <v>661</v>
      </c>
      <c r="F32" s="613" t="s">
        <v>669</v>
      </c>
      <c r="G32" s="553">
        <f>'WP2 Current Light Rates'!E33</f>
        <v>9.08</v>
      </c>
      <c r="I32" s="496">
        <f>'Schedule 51E'!G22</f>
        <v>8.39</v>
      </c>
      <c r="J32" s="496">
        <f t="shared" si="4"/>
        <v>-0.6899999999999995</v>
      </c>
      <c r="L32" s="496">
        <f t="shared" si="2"/>
        <v>8.39</v>
      </c>
      <c r="M32" s="496">
        <f t="shared" si="3"/>
        <v>0</v>
      </c>
    </row>
    <row r="33" spans="1:16" x14ac:dyDescent="0.2">
      <c r="A33" s="613">
        <f>A32+1</f>
        <v>24</v>
      </c>
      <c r="B33" s="613"/>
      <c r="D33" s="613"/>
      <c r="E33" s="613"/>
      <c r="F33" s="613"/>
      <c r="G33" s="553"/>
    </row>
    <row r="34" spans="1:16" x14ac:dyDescent="0.2">
      <c r="A34" s="613">
        <f>A33+1</f>
        <v>25</v>
      </c>
      <c r="B34" s="613">
        <f>'WP2 Current Light Rates'!B35</f>
        <v>52</v>
      </c>
      <c r="C34" s="611" t="str">
        <f>'WP2 Current Light Rates'!C35</f>
        <v>Custom Sodium Vapor Lighting</v>
      </c>
      <c r="D34" s="613" t="str">
        <f>'WP2 Current Light Rates'!D35</f>
        <v>Option A O&amp;M Rate</v>
      </c>
      <c r="E34" s="613" t="s">
        <v>661</v>
      </c>
      <c r="F34" s="613" t="s">
        <v>670</v>
      </c>
      <c r="G34" s="347">
        <f>'WP2 Current Light Rates'!E35</f>
        <v>1.4200000000000001E-2</v>
      </c>
      <c r="H34" s="542"/>
      <c r="I34" s="542">
        <f>'Sch 51E &amp; 52E Facilities Charge'!F17</f>
        <v>1.289E-2</v>
      </c>
      <c r="J34" s="542">
        <f>I34-G34</f>
        <v>-1.3100000000000004E-3</v>
      </c>
      <c r="K34" s="542"/>
      <c r="L34" s="542">
        <f>I34</f>
        <v>1.289E-2</v>
      </c>
      <c r="M34" s="542">
        <f>L34-I34</f>
        <v>0</v>
      </c>
      <c r="N34" s="542"/>
      <c r="O34" s="542"/>
      <c r="P34" s="542"/>
    </row>
    <row r="35" spans="1:16" x14ac:dyDescent="0.2">
      <c r="A35" s="613">
        <f t="shared" si="0"/>
        <v>26</v>
      </c>
      <c r="B35" s="613">
        <f>'WP2 Current Light Rates'!B36</f>
        <v>52</v>
      </c>
      <c r="C35" s="611" t="str">
        <f>'WP2 Current Light Rates'!C36</f>
        <v>Custom Sodium Vapor Lighting</v>
      </c>
      <c r="D35" s="613" t="str">
        <f>'WP2 Current Light Rates'!D36</f>
        <v>Option B O&amp;M Rate</v>
      </c>
      <c r="E35" s="613" t="s">
        <v>661</v>
      </c>
      <c r="F35" s="613" t="s">
        <v>671</v>
      </c>
      <c r="G35" s="347">
        <f>'WP2 Current Light Rates'!E36</f>
        <v>1.3600000000000001E-3</v>
      </c>
      <c r="H35" s="542"/>
      <c r="I35" s="542">
        <f>'Sch 51E &amp; 52E Facilities Charge'!F18</f>
        <v>1.42E-3</v>
      </c>
      <c r="J35" s="542">
        <f>I35-G35</f>
        <v>5.9999999999999941E-5</v>
      </c>
      <c r="K35" s="542"/>
      <c r="L35" s="542">
        <f>I35</f>
        <v>1.42E-3</v>
      </c>
      <c r="M35" s="542">
        <f>L35-I35</f>
        <v>0</v>
      </c>
      <c r="N35" s="542"/>
      <c r="O35" s="542"/>
      <c r="P35" s="542"/>
    </row>
    <row r="36" spans="1:16" x14ac:dyDescent="0.2">
      <c r="A36" s="613">
        <f t="shared" si="0"/>
        <v>27</v>
      </c>
      <c r="B36" s="613"/>
      <c r="D36" s="613"/>
      <c r="E36" s="613"/>
      <c r="F36" s="613"/>
      <c r="G36" s="553"/>
    </row>
    <row r="37" spans="1:16" x14ac:dyDescent="0.2">
      <c r="A37" s="613">
        <f t="shared" si="0"/>
        <v>28</v>
      </c>
      <c r="B37" s="613">
        <f>'WP2 Current Light Rates'!B38</f>
        <v>52</v>
      </c>
      <c r="C37" s="611" t="str">
        <f>'WP2 Current Light Rates'!C38</f>
        <v>Custom Sodium Vapor Lighting</v>
      </c>
      <c r="D37" s="613" t="str">
        <f>'WP2 Current Light Rates'!D38</f>
        <v>50 Watts</v>
      </c>
      <c r="E37" s="613" t="s">
        <v>661</v>
      </c>
      <c r="F37" s="613" t="s">
        <v>670</v>
      </c>
      <c r="G37" s="553">
        <f>'WP2 Current Light Rates'!E38</f>
        <v>1.59</v>
      </c>
      <c r="I37" s="496">
        <f>'Schedule 52E'!G13</f>
        <v>1.46</v>
      </c>
      <c r="J37" s="496">
        <f t="shared" ref="J37:J44" si="5">I37-G37</f>
        <v>-0.13000000000000012</v>
      </c>
      <c r="L37" s="496">
        <f t="shared" ref="L37:L44" si="6">I37</f>
        <v>1.46</v>
      </c>
      <c r="M37" s="496">
        <f t="shared" ref="M37:M44" si="7">L37-I37</f>
        <v>0</v>
      </c>
    </row>
    <row r="38" spans="1:16" x14ac:dyDescent="0.2">
      <c r="A38" s="613">
        <f t="shared" si="0"/>
        <v>29</v>
      </c>
      <c r="B38" s="613">
        <f>'WP2 Current Light Rates'!B39</f>
        <v>52</v>
      </c>
      <c r="C38" s="611" t="str">
        <f>'WP2 Current Light Rates'!C39</f>
        <v>Custom Sodium Vapor Lighting</v>
      </c>
      <c r="D38" s="613" t="str">
        <f>'WP2 Current Light Rates'!D39</f>
        <v>70 Watts</v>
      </c>
      <c r="E38" s="613" t="s">
        <v>661</v>
      </c>
      <c r="F38" s="613" t="s">
        <v>670</v>
      </c>
      <c r="G38" s="553">
        <f>'WP2 Current Light Rates'!E39</f>
        <v>2.23</v>
      </c>
      <c r="I38" s="496">
        <f>'Schedule 52E'!G14</f>
        <v>2.0700000000000003</v>
      </c>
      <c r="J38" s="496">
        <f t="shared" si="5"/>
        <v>-0.1599999999999997</v>
      </c>
      <c r="L38" s="496">
        <f t="shared" si="6"/>
        <v>2.0700000000000003</v>
      </c>
      <c r="M38" s="496">
        <f t="shared" si="7"/>
        <v>0</v>
      </c>
    </row>
    <row r="39" spans="1:16" x14ac:dyDescent="0.2">
      <c r="A39" s="613">
        <f t="shared" si="0"/>
        <v>30</v>
      </c>
      <c r="B39" s="613">
        <f>'WP2 Current Light Rates'!B40</f>
        <v>52</v>
      </c>
      <c r="C39" s="611" t="str">
        <f>'WP2 Current Light Rates'!C40</f>
        <v>Custom Sodium Vapor Lighting</v>
      </c>
      <c r="D39" s="613" t="str">
        <f>'WP2 Current Light Rates'!D40</f>
        <v>100 Watts</v>
      </c>
      <c r="E39" s="613" t="s">
        <v>661</v>
      </c>
      <c r="F39" s="613" t="s">
        <v>670</v>
      </c>
      <c r="G39" s="553">
        <f>'WP2 Current Light Rates'!E40</f>
        <v>3.19</v>
      </c>
      <c r="I39" s="496">
        <f>'Schedule 52E'!G15</f>
        <v>2.95</v>
      </c>
      <c r="J39" s="496">
        <f t="shared" si="5"/>
        <v>-0.23999999999999977</v>
      </c>
      <c r="L39" s="496">
        <f t="shared" si="6"/>
        <v>2.95</v>
      </c>
      <c r="M39" s="496">
        <f t="shared" si="7"/>
        <v>0</v>
      </c>
    </row>
    <row r="40" spans="1:16" x14ac:dyDescent="0.2">
      <c r="A40" s="613">
        <f t="shared" si="0"/>
        <v>31</v>
      </c>
      <c r="B40" s="613">
        <f>'WP2 Current Light Rates'!B41</f>
        <v>52</v>
      </c>
      <c r="C40" s="611" t="str">
        <f>'WP2 Current Light Rates'!C41</f>
        <v>Custom Sodium Vapor Lighting</v>
      </c>
      <c r="D40" s="613" t="str">
        <f>'WP2 Current Light Rates'!D41</f>
        <v>150 Watts</v>
      </c>
      <c r="E40" s="613" t="s">
        <v>661</v>
      </c>
      <c r="F40" s="613" t="s">
        <v>670</v>
      </c>
      <c r="G40" s="553">
        <f>'WP2 Current Light Rates'!E41</f>
        <v>4.78</v>
      </c>
      <c r="I40" s="496">
        <f>'Schedule 52E'!G16</f>
        <v>4.41</v>
      </c>
      <c r="J40" s="496">
        <f t="shared" si="5"/>
        <v>-0.37000000000000011</v>
      </c>
      <c r="L40" s="496">
        <f t="shared" si="6"/>
        <v>4.41</v>
      </c>
      <c r="M40" s="496">
        <f t="shared" si="7"/>
        <v>0</v>
      </c>
    </row>
    <row r="41" spans="1:16" x14ac:dyDescent="0.2">
      <c r="A41" s="613">
        <f t="shared" si="0"/>
        <v>32</v>
      </c>
      <c r="B41" s="613">
        <f>'WP2 Current Light Rates'!B42</f>
        <v>52</v>
      </c>
      <c r="C41" s="611" t="str">
        <f>'WP2 Current Light Rates'!C42</f>
        <v>Custom Sodium Vapor Lighting</v>
      </c>
      <c r="D41" s="613" t="str">
        <f>'WP2 Current Light Rates'!D42</f>
        <v>200 Watts</v>
      </c>
      <c r="E41" s="613" t="s">
        <v>661</v>
      </c>
      <c r="F41" s="613" t="s">
        <v>670</v>
      </c>
      <c r="G41" s="553">
        <f>'WP2 Current Light Rates'!E42</f>
        <v>6.37</v>
      </c>
      <c r="I41" s="496">
        <f>'Schedule 52E'!G17</f>
        <v>5.8900000000000006</v>
      </c>
      <c r="J41" s="496">
        <f t="shared" si="5"/>
        <v>-0.47999999999999954</v>
      </c>
      <c r="L41" s="496">
        <f t="shared" si="6"/>
        <v>5.8900000000000006</v>
      </c>
      <c r="M41" s="496">
        <f t="shared" si="7"/>
        <v>0</v>
      </c>
    </row>
    <row r="42" spans="1:16" x14ac:dyDescent="0.2">
      <c r="A42" s="613">
        <f t="shared" si="0"/>
        <v>33</v>
      </c>
      <c r="B42" s="613">
        <f>'WP2 Current Light Rates'!B43</f>
        <v>52</v>
      </c>
      <c r="C42" s="611" t="str">
        <f>'WP2 Current Light Rates'!C43</f>
        <v>Custom Sodium Vapor Lighting</v>
      </c>
      <c r="D42" s="613" t="str">
        <f>'WP2 Current Light Rates'!D43</f>
        <v>250 Watts</v>
      </c>
      <c r="E42" s="613" t="s">
        <v>661</v>
      </c>
      <c r="F42" s="613" t="s">
        <v>670</v>
      </c>
      <c r="G42" s="553">
        <f>'WP2 Current Light Rates'!E43</f>
        <v>7.96</v>
      </c>
      <c r="I42" s="496">
        <f>'Schedule 52E'!G18</f>
        <v>7.35</v>
      </c>
      <c r="J42" s="496">
        <f t="shared" si="5"/>
        <v>-0.61000000000000032</v>
      </c>
      <c r="L42" s="496">
        <f t="shared" si="6"/>
        <v>7.35</v>
      </c>
      <c r="M42" s="496">
        <f t="shared" si="7"/>
        <v>0</v>
      </c>
    </row>
    <row r="43" spans="1:16" x14ac:dyDescent="0.2">
      <c r="A43" s="613">
        <f t="shared" ref="A43:A75" si="8">A42+1</f>
        <v>34</v>
      </c>
      <c r="B43" s="613">
        <f>'WP2 Current Light Rates'!B44</f>
        <v>52</v>
      </c>
      <c r="C43" s="611" t="str">
        <f>'WP2 Current Light Rates'!C44</f>
        <v>Custom Sodium Vapor Lighting</v>
      </c>
      <c r="D43" s="613" t="str">
        <f>'WP2 Current Light Rates'!D44</f>
        <v>310 Watts</v>
      </c>
      <c r="E43" s="613" t="s">
        <v>661</v>
      </c>
      <c r="F43" s="613" t="s">
        <v>670</v>
      </c>
      <c r="G43" s="553">
        <f>'WP2 Current Light Rates'!E44</f>
        <v>9.8699999999999992</v>
      </c>
      <c r="I43" s="496">
        <f>'Schedule 52E'!G19</f>
        <v>9.129999999999999</v>
      </c>
      <c r="J43" s="496">
        <f t="shared" si="5"/>
        <v>-0.74000000000000021</v>
      </c>
      <c r="L43" s="496">
        <f t="shared" si="6"/>
        <v>9.129999999999999</v>
      </c>
      <c r="M43" s="496">
        <f t="shared" si="7"/>
        <v>0</v>
      </c>
    </row>
    <row r="44" spans="1:16" x14ac:dyDescent="0.2">
      <c r="A44" s="613">
        <f t="shared" si="8"/>
        <v>35</v>
      </c>
      <c r="B44" s="613">
        <f>'WP2 Current Light Rates'!B45</f>
        <v>52</v>
      </c>
      <c r="C44" s="611" t="str">
        <f>'WP2 Current Light Rates'!C45</f>
        <v>Custom Sodium Vapor Lighting</v>
      </c>
      <c r="D44" s="613" t="str">
        <f>'WP2 Current Light Rates'!D45</f>
        <v>400 Watts</v>
      </c>
      <c r="E44" s="613" t="s">
        <v>661</v>
      </c>
      <c r="F44" s="613" t="s">
        <v>670</v>
      </c>
      <c r="G44" s="553">
        <f>'WP2 Current Light Rates'!E45</f>
        <v>12.74</v>
      </c>
      <c r="I44" s="496">
        <f>'Schedule 52E'!G20</f>
        <v>11.780000000000001</v>
      </c>
      <c r="J44" s="496">
        <f t="shared" si="5"/>
        <v>-0.95999999999999908</v>
      </c>
      <c r="L44" s="496">
        <f t="shared" si="6"/>
        <v>11.780000000000001</v>
      </c>
      <c r="M44" s="496">
        <f t="shared" si="7"/>
        <v>0</v>
      </c>
    </row>
    <row r="45" spans="1:16" x14ac:dyDescent="0.2">
      <c r="A45" s="613">
        <f t="shared" si="8"/>
        <v>36</v>
      </c>
      <c r="B45" s="613"/>
      <c r="D45" s="613"/>
      <c r="E45" s="613"/>
      <c r="F45" s="613"/>
      <c r="G45" s="553"/>
    </row>
    <row r="46" spans="1:16" x14ac:dyDescent="0.2">
      <c r="A46" s="613">
        <f t="shared" si="8"/>
        <v>37</v>
      </c>
      <c r="B46" s="613">
        <f>'WP2 Current Light Rates'!B47</f>
        <v>52</v>
      </c>
      <c r="C46" s="611" t="str">
        <f>'WP2 Current Light Rates'!C47</f>
        <v>Custom Metal Halide Lighting</v>
      </c>
      <c r="D46" s="613" t="str">
        <f>'WP2 Current Light Rates'!D47</f>
        <v>70 Watts</v>
      </c>
      <c r="E46" s="613" t="s">
        <v>661</v>
      </c>
      <c r="F46" s="613" t="s">
        <v>670</v>
      </c>
      <c r="G46" s="553">
        <f>'WP2 Current Light Rates'!E47</f>
        <v>2.23</v>
      </c>
      <c r="I46" s="496">
        <f>'Schedule 52E'!G23</f>
        <v>2.0700000000000003</v>
      </c>
      <c r="J46" s="496">
        <f t="shared" ref="J46:J52" si="9">I46-G46</f>
        <v>-0.1599999999999997</v>
      </c>
      <c r="L46" s="496">
        <f t="shared" ref="L46:L52" si="10">I46</f>
        <v>2.0700000000000003</v>
      </c>
      <c r="M46" s="496">
        <f t="shared" ref="M46:M52" si="11">L46-I46</f>
        <v>0</v>
      </c>
    </row>
    <row r="47" spans="1:16" x14ac:dyDescent="0.2">
      <c r="A47" s="613">
        <f t="shared" si="8"/>
        <v>38</v>
      </c>
      <c r="B47" s="613">
        <f>'WP2 Current Light Rates'!B48</f>
        <v>52</v>
      </c>
      <c r="C47" s="611" t="str">
        <f>'WP2 Current Light Rates'!C48</f>
        <v>Custom Metal Halide Lighting</v>
      </c>
      <c r="D47" s="613" t="str">
        <f>'WP2 Current Light Rates'!D48</f>
        <v>100 Watts</v>
      </c>
      <c r="E47" s="613" t="s">
        <v>661</v>
      </c>
      <c r="F47" s="613" t="s">
        <v>670</v>
      </c>
      <c r="G47" s="553">
        <f>'WP2 Current Light Rates'!E48</f>
        <v>3.19</v>
      </c>
      <c r="I47" s="496">
        <f>'Schedule 52E'!G24</f>
        <v>2.95</v>
      </c>
      <c r="J47" s="496">
        <f t="shared" si="9"/>
        <v>-0.23999999999999977</v>
      </c>
      <c r="L47" s="496">
        <f t="shared" si="10"/>
        <v>2.95</v>
      </c>
      <c r="M47" s="496">
        <f t="shared" si="11"/>
        <v>0</v>
      </c>
    </row>
    <row r="48" spans="1:16" x14ac:dyDescent="0.2">
      <c r="A48" s="613">
        <f t="shared" si="8"/>
        <v>39</v>
      </c>
      <c r="B48" s="613">
        <f>'WP2 Current Light Rates'!B49</f>
        <v>52</v>
      </c>
      <c r="C48" s="611" t="str">
        <f>'WP2 Current Light Rates'!C49</f>
        <v>Custom Metal Halide Lighting</v>
      </c>
      <c r="D48" s="613" t="str">
        <f>'WP2 Current Light Rates'!D49</f>
        <v>150 Watts</v>
      </c>
      <c r="E48" s="613" t="s">
        <v>661</v>
      </c>
      <c r="F48" s="613" t="s">
        <v>670</v>
      </c>
      <c r="G48" s="553">
        <f>'WP2 Current Light Rates'!E49</f>
        <v>4.78</v>
      </c>
      <c r="I48" s="496">
        <f>'Schedule 52E'!G25</f>
        <v>4.41</v>
      </c>
      <c r="J48" s="496">
        <f t="shared" si="9"/>
        <v>-0.37000000000000011</v>
      </c>
      <c r="L48" s="496">
        <f t="shared" si="10"/>
        <v>4.41</v>
      </c>
      <c r="M48" s="496">
        <f t="shared" si="11"/>
        <v>0</v>
      </c>
    </row>
    <row r="49" spans="1:13" x14ac:dyDescent="0.2">
      <c r="A49" s="613">
        <f t="shared" si="8"/>
        <v>40</v>
      </c>
      <c r="B49" s="613">
        <f>'WP2 Current Light Rates'!B50</f>
        <v>52</v>
      </c>
      <c r="C49" s="611" t="str">
        <f>'WP2 Current Light Rates'!C50</f>
        <v>Custom Metal Halide Lighting</v>
      </c>
      <c r="D49" s="613" t="str">
        <f>'WP2 Current Light Rates'!D50</f>
        <v>175 Watts</v>
      </c>
      <c r="E49" s="613" t="s">
        <v>661</v>
      </c>
      <c r="F49" s="613" t="s">
        <v>670</v>
      </c>
      <c r="G49" s="553">
        <f>'WP2 Current Light Rates'!E50</f>
        <v>5.57</v>
      </c>
      <c r="I49" s="496">
        <f>'Schedule 52E'!G26</f>
        <v>5.15</v>
      </c>
      <c r="J49" s="496">
        <f t="shared" si="9"/>
        <v>-0.41999999999999993</v>
      </c>
      <c r="L49" s="496">
        <f t="shared" si="10"/>
        <v>5.15</v>
      </c>
      <c r="M49" s="496">
        <f t="shared" si="11"/>
        <v>0</v>
      </c>
    </row>
    <row r="50" spans="1:13" x14ac:dyDescent="0.2">
      <c r="A50" s="613">
        <f t="shared" si="8"/>
        <v>41</v>
      </c>
      <c r="B50" s="613">
        <f>'WP2 Current Light Rates'!B51</f>
        <v>52</v>
      </c>
      <c r="C50" s="611" t="str">
        <f>'WP2 Current Light Rates'!C51</f>
        <v>Custom Metal Halide Lighting</v>
      </c>
      <c r="D50" s="613" t="str">
        <f>'WP2 Current Light Rates'!D51</f>
        <v>250 Watts</v>
      </c>
      <c r="E50" s="613" t="s">
        <v>661</v>
      </c>
      <c r="F50" s="613" t="s">
        <v>670</v>
      </c>
      <c r="G50" s="553">
        <f>'WP2 Current Light Rates'!E51</f>
        <v>7.96</v>
      </c>
      <c r="I50" s="496">
        <f>'Schedule 52E'!G27</f>
        <v>7.35</v>
      </c>
      <c r="J50" s="496">
        <f t="shared" si="9"/>
        <v>-0.61000000000000032</v>
      </c>
      <c r="L50" s="496">
        <f t="shared" si="10"/>
        <v>7.35</v>
      </c>
      <c r="M50" s="496">
        <f t="shared" si="11"/>
        <v>0</v>
      </c>
    </row>
    <row r="51" spans="1:13" x14ac:dyDescent="0.2">
      <c r="A51" s="613">
        <f t="shared" si="8"/>
        <v>42</v>
      </c>
      <c r="B51" s="613">
        <f>'WP2 Current Light Rates'!B52</f>
        <v>52</v>
      </c>
      <c r="C51" s="611" t="str">
        <f>'WP2 Current Light Rates'!C52</f>
        <v>Custom Metal Halide Lighting</v>
      </c>
      <c r="D51" s="613" t="str">
        <f>'WP2 Current Light Rates'!D52</f>
        <v>400 Watts</v>
      </c>
      <c r="E51" s="613" t="s">
        <v>661</v>
      </c>
      <c r="F51" s="613" t="s">
        <v>670</v>
      </c>
      <c r="G51" s="553">
        <f>'WP2 Current Light Rates'!E52</f>
        <v>12.74</v>
      </c>
      <c r="I51" s="496">
        <f>'Schedule 52E'!G28</f>
        <v>11.780000000000001</v>
      </c>
      <c r="J51" s="496">
        <f t="shared" si="9"/>
        <v>-0.95999999999999908</v>
      </c>
      <c r="L51" s="496">
        <f t="shared" si="10"/>
        <v>11.780000000000001</v>
      </c>
      <c r="M51" s="496">
        <f t="shared" si="11"/>
        <v>0</v>
      </c>
    </row>
    <row r="52" spans="1:13" x14ac:dyDescent="0.2">
      <c r="A52" s="613">
        <f t="shared" si="8"/>
        <v>43</v>
      </c>
      <c r="B52" s="613">
        <f>'WP2 Current Light Rates'!B53</f>
        <v>52</v>
      </c>
      <c r="C52" s="611" t="str">
        <f>'WP2 Current Light Rates'!C53</f>
        <v>Custom Metal Halide Lighting</v>
      </c>
      <c r="D52" s="613" t="str">
        <f>'WP2 Current Light Rates'!D53</f>
        <v>1000 Watts</v>
      </c>
      <c r="E52" s="613" t="s">
        <v>661</v>
      </c>
      <c r="F52" s="613" t="s">
        <v>670</v>
      </c>
      <c r="G52" s="553">
        <f>'WP2 Current Light Rates'!E53</f>
        <v>31.85</v>
      </c>
      <c r="I52" s="496">
        <f>'Schedule 52E'!G29</f>
        <v>29.439999999999998</v>
      </c>
      <c r="J52" s="496">
        <f t="shared" si="9"/>
        <v>-2.4100000000000037</v>
      </c>
      <c r="L52" s="496">
        <f t="shared" si="10"/>
        <v>29.439999999999998</v>
      </c>
      <c r="M52" s="496">
        <f t="shared" si="11"/>
        <v>0</v>
      </c>
    </row>
    <row r="53" spans="1:13" x14ac:dyDescent="0.2">
      <c r="A53" s="613">
        <f t="shared" si="8"/>
        <v>44</v>
      </c>
      <c r="B53" s="613"/>
      <c r="D53" s="613"/>
      <c r="E53" s="613"/>
      <c r="F53" s="613"/>
      <c r="G53" s="553"/>
    </row>
    <row r="54" spans="1:13" x14ac:dyDescent="0.2">
      <c r="A54" s="613">
        <f t="shared" si="8"/>
        <v>45</v>
      </c>
      <c r="B54" s="613">
        <f>'WP2 Current Light Rates'!B55</f>
        <v>53</v>
      </c>
      <c r="C54" s="611" t="str">
        <f>'WP2 Current Light Rates'!C55</f>
        <v>Sodium Vapor Lighting - Company Owned</v>
      </c>
      <c r="D54" s="613" t="str">
        <f>'WP2 Current Light Rates'!D55</f>
        <v>50 Watts</v>
      </c>
      <c r="E54" s="613" t="s">
        <v>661</v>
      </c>
      <c r="F54" s="613" t="s">
        <v>672</v>
      </c>
      <c r="G54" s="553">
        <f>'WP2 Current Light Rates'!E55</f>
        <v>12.97</v>
      </c>
      <c r="I54" s="496">
        <f>'Schedule 53E'!G13</f>
        <v>12.299999999999999</v>
      </c>
      <c r="J54" s="496">
        <f t="shared" ref="J54:J62" si="12">I54-G54</f>
        <v>-0.67000000000000171</v>
      </c>
      <c r="L54" s="496">
        <f t="shared" ref="L54:L62" si="13">I54</f>
        <v>12.299999999999999</v>
      </c>
      <c r="M54" s="496">
        <f t="shared" ref="M54:M62" si="14">L54-I54</f>
        <v>0</v>
      </c>
    </row>
    <row r="55" spans="1:13" x14ac:dyDescent="0.2">
      <c r="A55" s="613">
        <f t="shared" si="8"/>
        <v>46</v>
      </c>
      <c r="B55" s="613">
        <f>'WP2 Current Light Rates'!B56</f>
        <v>53</v>
      </c>
      <c r="C55" s="611" t="str">
        <f>'WP2 Current Light Rates'!C56</f>
        <v>Sodium Vapor Lighting - Company Owned</v>
      </c>
      <c r="D55" s="613" t="str">
        <f>'WP2 Current Light Rates'!D56</f>
        <v>70 Watts</v>
      </c>
      <c r="E55" s="613" t="s">
        <v>661</v>
      </c>
      <c r="F55" s="613" t="s">
        <v>672</v>
      </c>
      <c r="G55" s="553">
        <f>'WP2 Current Light Rates'!E56</f>
        <v>13.61</v>
      </c>
      <c r="I55" s="496">
        <f>'Schedule 53E'!G14</f>
        <v>13.530000000000001</v>
      </c>
      <c r="J55" s="496">
        <f t="shared" si="12"/>
        <v>-7.9999999999998295E-2</v>
      </c>
      <c r="L55" s="496">
        <f t="shared" si="13"/>
        <v>13.530000000000001</v>
      </c>
      <c r="M55" s="496">
        <f t="shared" si="14"/>
        <v>0</v>
      </c>
    </row>
    <row r="56" spans="1:13" x14ac:dyDescent="0.2">
      <c r="A56" s="613">
        <f t="shared" si="8"/>
        <v>47</v>
      </c>
      <c r="B56" s="613">
        <f>'WP2 Current Light Rates'!B57</f>
        <v>53</v>
      </c>
      <c r="C56" s="611" t="str">
        <f>'WP2 Current Light Rates'!C57</f>
        <v>Sodium Vapor Lighting - Company Owned</v>
      </c>
      <c r="D56" s="613" t="str">
        <f>'WP2 Current Light Rates'!D57</f>
        <v>100 Watts</v>
      </c>
      <c r="E56" s="613" t="s">
        <v>661</v>
      </c>
      <c r="F56" s="613" t="s">
        <v>672</v>
      </c>
      <c r="G56" s="553">
        <f>'WP2 Current Light Rates'!E57</f>
        <v>14.01</v>
      </c>
      <c r="I56" s="496">
        <f>'Schedule 53E'!G15</f>
        <v>13.879999999999999</v>
      </c>
      <c r="J56" s="496">
        <f t="shared" si="12"/>
        <v>-0.13000000000000078</v>
      </c>
      <c r="L56" s="496">
        <f t="shared" si="13"/>
        <v>13.879999999999999</v>
      </c>
      <c r="M56" s="496">
        <f t="shared" si="14"/>
        <v>0</v>
      </c>
    </row>
    <row r="57" spans="1:13" x14ac:dyDescent="0.2">
      <c r="A57" s="613">
        <f t="shared" si="8"/>
        <v>48</v>
      </c>
      <c r="B57" s="613">
        <f>'WP2 Current Light Rates'!B58</f>
        <v>53</v>
      </c>
      <c r="C57" s="611" t="str">
        <f>'WP2 Current Light Rates'!C58</f>
        <v>Sodium Vapor Lighting - Company Owned</v>
      </c>
      <c r="D57" s="613" t="str">
        <f>'WP2 Current Light Rates'!D58</f>
        <v>150 Watts</v>
      </c>
      <c r="E57" s="613" t="s">
        <v>661</v>
      </c>
      <c r="F57" s="613" t="s">
        <v>672</v>
      </c>
      <c r="G57" s="553">
        <f>'WP2 Current Light Rates'!E58</f>
        <v>15.62</v>
      </c>
      <c r="I57" s="496">
        <f>'Schedule 53E'!G16</f>
        <v>15.35</v>
      </c>
      <c r="J57" s="496">
        <f t="shared" si="12"/>
        <v>-0.26999999999999957</v>
      </c>
      <c r="L57" s="496">
        <f t="shared" si="13"/>
        <v>15.35</v>
      </c>
      <c r="M57" s="496">
        <f t="shared" si="14"/>
        <v>0</v>
      </c>
    </row>
    <row r="58" spans="1:13" x14ac:dyDescent="0.2">
      <c r="A58" s="613">
        <f t="shared" si="8"/>
        <v>49</v>
      </c>
      <c r="B58" s="613">
        <f>'WP2 Current Light Rates'!B59</f>
        <v>53</v>
      </c>
      <c r="C58" s="611" t="str">
        <f>'WP2 Current Light Rates'!C59</f>
        <v>Sodium Vapor Lighting - Company Owned</v>
      </c>
      <c r="D58" s="613" t="str">
        <f>'WP2 Current Light Rates'!D59</f>
        <v>200 Watts</v>
      </c>
      <c r="E58" s="613" t="s">
        <v>661</v>
      </c>
      <c r="F58" s="613" t="s">
        <v>672</v>
      </c>
      <c r="G58" s="553">
        <f>'WP2 Current Light Rates'!E59</f>
        <v>17.73</v>
      </c>
      <c r="I58" s="496">
        <f>'Schedule 53E'!G17</f>
        <v>17.329999999999998</v>
      </c>
      <c r="J58" s="496">
        <f t="shared" si="12"/>
        <v>-0.40000000000000213</v>
      </c>
      <c r="L58" s="496">
        <f t="shared" si="13"/>
        <v>17.329999999999998</v>
      </c>
      <c r="M58" s="496">
        <f t="shared" si="14"/>
        <v>0</v>
      </c>
    </row>
    <row r="59" spans="1:13" x14ac:dyDescent="0.2">
      <c r="A59" s="613">
        <f t="shared" si="8"/>
        <v>50</v>
      </c>
      <c r="B59" s="613">
        <f>'WP2 Current Light Rates'!B60</f>
        <v>53</v>
      </c>
      <c r="C59" s="611" t="str">
        <f>'WP2 Current Light Rates'!C60</f>
        <v>Sodium Vapor Lighting - Company Owned</v>
      </c>
      <c r="D59" s="613" t="str">
        <f>'WP2 Current Light Rates'!D60</f>
        <v>250 Watts</v>
      </c>
      <c r="E59" s="613" t="s">
        <v>661</v>
      </c>
      <c r="F59" s="613" t="s">
        <v>672</v>
      </c>
      <c r="G59" s="553">
        <f>'WP2 Current Light Rates'!E60</f>
        <v>19.489999999999998</v>
      </c>
      <c r="I59" s="496">
        <f>'Schedule 53E'!G18</f>
        <v>18.96</v>
      </c>
      <c r="J59" s="496">
        <f t="shared" si="12"/>
        <v>-0.52999999999999758</v>
      </c>
      <c r="L59" s="496">
        <f t="shared" si="13"/>
        <v>18.96</v>
      </c>
      <c r="M59" s="496">
        <f t="shared" si="14"/>
        <v>0</v>
      </c>
    </row>
    <row r="60" spans="1:13" x14ac:dyDescent="0.2">
      <c r="A60" s="613">
        <f t="shared" si="8"/>
        <v>51</v>
      </c>
      <c r="B60" s="613">
        <f>'WP2 Current Light Rates'!B61</f>
        <v>53</v>
      </c>
      <c r="C60" s="611" t="str">
        <f>'WP2 Current Light Rates'!C61</f>
        <v>Sodium Vapor Lighting - Company Owned</v>
      </c>
      <c r="D60" s="613" t="str">
        <f>'WP2 Current Light Rates'!D61</f>
        <v>310 Watts</v>
      </c>
      <c r="E60" s="613" t="s">
        <v>661</v>
      </c>
      <c r="F60" s="613" t="s">
        <v>672</v>
      </c>
      <c r="G60" s="553">
        <f>'WP2 Current Light Rates'!E61</f>
        <v>21.8</v>
      </c>
      <c r="I60" s="496">
        <f>'Schedule 53E'!G19</f>
        <v>21.11</v>
      </c>
      <c r="J60" s="496">
        <f t="shared" si="12"/>
        <v>-0.69000000000000128</v>
      </c>
      <c r="L60" s="496">
        <f t="shared" si="13"/>
        <v>21.11</v>
      </c>
      <c r="M60" s="496">
        <f t="shared" si="14"/>
        <v>0</v>
      </c>
    </row>
    <row r="61" spans="1:13" x14ac:dyDescent="0.2">
      <c r="A61" s="613">
        <f t="shared" si="8"/>
        <v>52</v>
      </c>
      <c r="B61" s="613">
        <f>'WP2 Current Light Rates'!B62</f>
        <v>53</v>
      </c>
      <c r="C61" s="611" t="str">
        <f>'WP2 Current Light Rates'!C62</f>
        <v>Sodium Vapor Lighting - Company Owned</v>
      </c>
      <c r="D61" s="613" t="str">
        <f>'WP2 Current Light Rates'!D62</f>
        <v>400 Watts</v>
      </c>
      <c r="E61" s="613" t="s">
        <v>661</v>
      </c>
      <c r="F61" s="613" t="s">
        <v>672</v>
      </c>
      <c r="G61" s="553">
        <f>'WP2 Current Light Rates'!E62</f>
        <v>25.4</v>
      </c>
      <c r="I61" s="496">
        <f>'Schedule 53E'!G20</f>
        <v>24.47</v>
      </c>
      <c r="J61" s="496">
        <f t="shared" si="12"/>
        <v>-0.92999999999999972</v>
      </c>
      <c r="L61" s="496">
        <f t="shared" si="13"/>
        <v>24.47</v>
      </c>
      <c r="M61" s="496">
        <f t="shared" si="14"/>
        <v>0</v>
      </c>
    </row>
    <row r="62" spans="1:13" x14ac:dyDescent="0.2">
      <c r="A62" s="613">
        <f t="shared" si="8"/>
        <v>53</v>
      </c>
      <c r="B62" s="613">
        <f>'WP2 Current Light Rates'!B63</f>
        <v>53</v>
      </c>
      <c r="C62" s="611" t="str">
        <f>'WP2 Current Light Rates'!C63</f>
        <v>Sodium Vapor Lighting - Company Owned</v>
      </c>
      <c r="D62" s="613" t="str">
        <f>'WP2 Current Light Rates'!D63</f>
        <v>1000 Watts</v>
      </c>
      <c r="E62" s="613" t="s">
        <v>661</v>
      </c>
      <c r="F62" s="613" t="s">
        <v>672</v>
      </c>
      <c r="G62" s="553">
        <f>'WP2 Current Light Rates'!E63</f>
        <v>46.5</v>
      </c>
      <c r="I62" s="496">
        <f>'Schedule 53E'!G21</f>
        <v>44.64</v>
      </c>
      <c r="J62" s="496">
        <f t="shared" si="12"/>
        <v>-1.8599999999999994</v>
      </c>
      <c r="L62" s="496">
        <f t="shared" si="13"/>
        <v>44.64</v>
      </c>
      <c r="M62" s="496">
        <f t="shared" si="14"/>
        <v>0</v>
      </c>
    </row>
    <row r="63" spans="1:13" x14ac:dyDescent="0.2">
      <c r="A63" s="613">
        <f t="shared" si="8"/>
        <v>54</v>
      </c>
      <c r="B63" s="613"/>
      <c r="D63" s="613"/>
      <c r="E63" s="613"/>
      <c r="F63" s="613"/>
      <c r="G63" s="553"/>
    </row>
    <row r="64" spans="1:13" x14ac:dyDescent="0.2">
      <c r="A64" s="613">
        <f t="shared" si="8"/>
        <v>55</v>
      </c>
      <c r="B64" s="613">
        <f>'WP2 Current Light Rates'!B65</f>
        <v>53</v>
      </c>
      <c r="C64" s="611" t="str">
        <f>'WP2 Current Light Rates'!C65</f>
        <v>Metal Halide Lighting - Company Owned</v>
      </c>
      <c r="D64" s="613" t="str">
        <f>'WP2 Current Light Rates'!D65</f>
        <v>70 Watts</v>
      </c>
      <c r="E64" s="613" t="s">
        <v>661</v>
      </c>
      <c r="F64" s="613" t="s">
        <v>673</v>
      </c>
      <c r="G64" s="553">
        <f>'WP2 Current Light Rates'!E65</f>
        <v>14.1</v>
      </c>
      <c r="I64" s="496">
        <f>'Schedule 53E'!G24</f>
        <v>14.73</v>
      </c>
      <c r="J64" s="496">
        <f>I64-G64</f>
        <v>0.63000000000000078</v>
      </c>
      <c r="L64" s="496">
        <f>I64</f>
        <v>14.73</v>
      </c>
      <c r="M64" s="496">
        <f>L64-I64</f>
        <v>0</v>
      </c>
    </row>
    <row r="65" spans="1:13" x14ac:dyDescent="0.2">
      <c r="A65" s="613">
        <f t="shared" si="8"/>
        <v>56</v>
      </c>
      <c r="B65" s="613">
        <f>'WP2 Current Light Rates'!B66</f>
        <v>53</v>
      </c>
      <c r="C65" s="611" t="str">
        <f>'WP2 Current Light Rates'!C66</f>
        <v>Metal Halide Lighting - Company Owned</v>
      </c>
      <c r="D65" s="613" t="str">
        <f>'WP2 Current Light Rates'!D66</f>
        <v>100 Watts</v>
      </c>
      <c r="E65" s="613" t="s">
        <v>661</v>
      </c>
      <c r="F65" s="613" t="s">
        <v>673</v>
      </c>
      <c r="G65" s="553">
        <f>'WP2 Current Light Rates'!E66</f>
        <v>15.2</v>
      </c>
      <c r="I65" s="496">
        <f>'Schedule 53E'!G25</f>
        <v>15.749999999999998</v>
      </c>
      <c r="J65" s="496">
        <f>I65-G65</f>
        <v>0.54999999999999893</v>
      </c>
      <c r="L65" s="496">
        <f>I65</f>
        <v>15.749999999999998</v>
      </c>
      <c r="M65" s="496">
        <f>L65-I65</f>
        <v>0</v>
      </c>
    </row>
    <row r="66" spans="1:13" x14ac:dyDescent="0.2">
      <c r="A66" s="613">
        <f t="shared" si="8"/>
        <v>57</v>
      </c>
      <c r="B66" s="613">
        <f>'WP2 Current Light Rates'!B67</f>
        <v>53</v>
      </c>
      <c r="C66" s="611" t="str">
        <f>'WP2 Current Light Rates'!C67</f>
        <v>Metal Halide Lighting - Company Owned</v>
      </c>
      <c r="D66" s="613" t="str">
        <f>'WP2 Current Light Rates'!D67</f>
        <v>150 Watts</v>
      </c>
      <c r="E66" s="613" t="s">
        <v>661</v>
      </c>
      <c r="F66" s="613" t="s">
        <v>673</v>
      </c>
      <c r="G66" s="553">
        <f>'WP2 Current Light Rates'!E67</f>
        <v>17.04</v>
      </c>
      <c r="I66" s="496">
        <f>'Schedule 53E'!G26</f>
        <v>17.440000000000001</v>
      </c>
      <c r="J66" s="496">
        <f>I66-G66</f>
        <v>0.40000000000000213</v>
      </c>
      <c r="L66" s="496">
        <f>I66</f>
        <v>17.440000000000001</v>
      </c>
      <c r="M66" s="496">
        <f>L66-I66</f>
        <v>0</v>
      </c>
    </row>
    <row r="67" spans="1:13" x14ac:dyDescent="0.2">
      <c r="A67" s="613">
        <f t="shared" si="8"/>
        <v>58</v>
      </c>
      <c r="B67" s="613">
        <f>'WP2 Current Light Rates'!B68</f>
        <v>53</v>
      </c>
      <c r="C67" s="611" t="str">
        <f>'WP2 Current Light Rates'!C68</f>
        <v>Metal Halide Lighting - Company Owned</v>
      </c>
      <c r="D67" s="613" t="str">
        <f>'WP2 Current Light Rates'!D68</f>
        <v>250 Watts</v>
      </c>
      <c r="E67" s="613" t="s">
        <v>661</v>
      </c>
      <c r="F67" s="613" t="s">
        <v>673</v>
      </c>
      <c r="G67" s="553">
        <f>'WP2 Current Light Rates'!E68</f>
        <v>21.03</v>
      </c>
      <c r="I67" s="496">
        <f>'Schedule 53E'!G27</f>
        <v>21.139999999999997</v>
      </c>
      <c r="J67" s="496">
        <f>I67-G67</f>
        <v>0.10999999999999588</v>
      </c>
      <c r="L67" s="496">
        <f>I67</f>
        <v>21.139999999999997</v>
      </c>
      <c r="M67" s="496">
        <f>L67-I67</f>
        <v>0</v>
      </c>
    </row>
    <row r="68" spans="1:13" x14ac:dyDescent="0.2">
      <c r="A68" s="613">
        <f t="shared" si="8"/>
        <v>59</v>
      </c>
      <c r="B68" s="613">
        <f>'WP2 Current Light Rates'!B69</f>
        <v>53</v>
      </c>
      <c r="C68" s="611" t="str">
        <f>'WP2 Current Light Rates'!C69</f>
        <v>Metal Halide Lighting - Company Owned</v>
      </c>
      <c r="D68" s="613" t="str">
        <f>'WP2 Current Light Rates'!D69</f>
        <v>400 Watts</v>
      </c>
      <c r="E68" s="613" t="s">
        <v>661</v>
      </c>
      <c r="F68" s="613" t="s">
        <v>673</v>
      </c>
      <c r="G68" s="553">
        <f>'WP2 Current Light Rates'!E69</f>
        <v>25.85</v>
      </c>
      <c r="I68" s="496">
        <f>'Schedule 53E'!G28</f>
        <v>25.610000000000003</v>
      </c>
      <c r="J68" s="496">
        <f>I68-G68</f>
        <v>-0.23999999999999844</v>
      </c>
      <c r="L68" s="496">
        <f>I68</f>
        <v>25.610000000000003</v>
      </c>
      <c r="M68" s="496">
        <f>L68-I68</f>
        <v>0</v>
      </c>
    </row>
    <row r="69" spans="1:13" x14ac:dyDescent="0.2">
      <c r="A69" s="613">
        <f t="shared" si="8"/>
        <v>60</v>
      </c>
      <c r="B69" s="613"/>
      <c r="D69" s="613"/>
      <c r="E69" s="613"/>
      <c r="F69" s="613"/>
      <c r="G69" s="553"/>
    </row>
    <row r="70" spans="1:13" x14ac:dyDescent="0.2">
      <c r="A70" s="613">
        <f t="shared" si="8"/>
        <v>61</v>
      </c>
      <c r="B70" s="613">
        <f>'WP2 Current Light Rates'!B71</f>
        <v>53</v>
      </c>
      <c r="C70" s="611" t="str">
        <f>'WP2 Current Light Rates'!C71</f>
        <v>LED Lighting - Company Owned</v>
      </c>
      <c r="D70" s="613" t="str">
        <f>'WP2 Current Light Rates'!D71</f>
        <v>0-30 Watts</v>
      </c>
      <c r="E70" s="613" t="s">
        <v>661</v>
      </c>
      <c r="F70" s="613" t="s">
        <v>673</v>
      </c>
      <c r="G70" s="553">
        <f>'WP2 Current Light Rates'!E71</f>
        <v>10.95</v>
      </c>
      <c r="I70" s="496">
        <f>'Schedule 53E'!G31</f>
        <v>9.759999999999998</v>
      </c>
      <c r="J70" s="496">
        <f t="shared" ref="J70:J72" si="15">I70-G70</f>
        <v>-1.1900000000000013</v>
      </c>
      <c r="L70" s="496">
        <f t="shared" ref="L70:L79" si="16">I70</f>
        <v>9.759999999999998</v>
      </c>
      <c r="M70" s="496">
        <f t="shared" ref="M70:M79" si="17">L70-I70</f>
        <v>0</v>
      </c>
    </row>
    <row r="71" spans="1:13" x14ac:dyDescent="0.2">
      <c r="A71" s="613">
        <f t="shared" si="8"/>
        <v>62</v>
      </c>
      <c r="B71" s="613">
        <f>'WP2 Current Light Rates'!B72</f>
        <v>53</v>
      </c>
      <c r="C71" s="611" t="str">
        <f>'WP2 Current Light Rates'!C72</f>
        <v>LED Lighting - Company Owned</v>
      </c>
      <c r="D71" s="613" t="str">
        <f>'WP2 Current Light Rates'!D72</f>
        <v>30.01-60 Watts</v>
      </c>
      <c r="E71" s="613" t="s">
        <v>661</v>
      </c>
      <c r="F71" s="613" t="s">
        <v>673</v>
      </c>
      <c r="G71" s="553">
        <f>'WP2 Current Light Rates'!E72</f>
        <v>10.95</v>
      </c>
      <c r="I71" s="496">
        <f>'Schedule 53E'!G32</f>
        <v>10.59</v>
      </c>
      <c r="J71" s="496">
        <f t="shared" si="15"/>
        <v>-0.35999999999999943</v>
      </c>
      <c r="L71" s="496">
        <f t="shared" si="16"/>
        <v>10.59</v>
      </c>
      <c r="M71" s="496">
        <f t="shared" si="17"/>
        <v>0</v>
      </c>
    </row>
    <row r="72" spans="1:13" x14ac:dyDescent="0.2">
      <c r="A72" s="613">
        <f t="shared" si="8"/>
        <v>63</v>
      </c>
      <c r="B72" s="613">
        <f>'WP2 Current Light Rates'!B73</f>
        <v>53</v>
      </c>
      <c r="C72" s="611" t="str">
        <f>'WP2 Current Light Rates'!C73</f>
        <v>LED Lighting - Company Owned</v>
      </c>
      <c r="D72" s="613" t="str">
        <f>'WP2 Current Light Rates'!D73</f>
        <v>60.01-90 Watts</v>
      </c>
      <c r="E72" s="613" t="s">
        <v>661</v>
      </c>
      <c r="F72" s="613" t="s">
        <v>673</v>
      </c>
      <c r="G72" s="553">
        <f>'WP2 Current Light Rates'!E73</f>
        <v>11.92</v>
      </c>
      <c r="I72" s="496">
        <f>'Schedule 53E'!G33</f>
        <v>11.28</v>
      </c>
      <c r="J72" s="496">
        <f t="shared" si="15"/>
        <v>-0.64000000000000057</v>
      </c>
      <c r="L72" s="496">
        <f t="shared" si="16"/>
        <v>11.28</v>
      </c>
      <c r="M72" s="496">
        <f t="shared" si="17"/>
        <v>0</v>
      </c>
    </row>
    <row r="73" spans="1:13" x14ac:dyDescent="0.2">
      <c r="A73" s="613">
        <f t="shared" si="8"/>
        <v>64</v>
      </c>
      <c r="B73" s="613">
        <f>'WP2 Current Light Rates'!B74</f>
        <v>53</v>
      </c>
      <c r="C73" s="611" t="str">
        <f>'WP2 Current Light Rates'!C74</f>
        <v>LED Lighting - Company Owned</v>
      </c>
      <c r="D73" s="613" t="str">
        <f>'WP2 Current Light Rates'!D74</f>
        <v>90.01-120 Watts</v>
      </c>
      <c r="E73" s="613" t="s">
        <v>661</v>
      </c>
      <c r="F73" s="613" t="s">
        <v>673</v>
      </c>
      <c r="G73" s="553">
        <f>'WP2 Current Light Rates'!E74</f>
        <v>13.4</v>
      </c>
      <c r="I73" s="496">
        <f>'Schedule 53E'!G34</f>
        <v>12.76</v>
      </c>
      <c r="J73" s="496">
        <f t="shared" ref="J73:J79" si="18">I73-G73</f>
        <v>-0.64000000000000057</v>
      </c>
      <c r="L73" s="496">
        <f t="shared" si="16"/>
        <v>12.76</v>
      </c>
      <c r="M73" s="496">
        <f t="shared" si="17"/>
        <v>0</v>
      </c>
    </row>
    <row r="74" spans="1:13" x14ac:dyDescent="0.2">
      <c r="A74" s="613">
        <f t="shared" si="8"/>
        <v>65</v>
      </c>
      <c r="B74" s="613">
        <f>'WP2 Current Light Rates'!B75</f>
        <v>53</v>
      </c>
      <c r="C74" s="611" t="str">
        <f>'WP2 Current Light Rates'!C75</f>
        <v>LED Lighting - Company Owned</v>
      </c>
      <c r="D74" s="613" t="str">
        <f>'WP2 Current Light Rates'!D75</f>
        <v>120.01-150 Watts</v>
      </c>
      <c r="E74" s="613" t="s">
        <v>661</v>
      </c>
      <c r="F74" s="613" t="s">
        <v>673</v>
      </c>
      <c r="G74" s="553">
        <f>'WP2 Current Light Rates'!E75</f>
        <v>13.82</v>
      </c>
      <c r="I74" s="496">
        <f>'Schedule 53E'!G35</f>
        <v>13.94</v>
      </c>
      <c r="J74" s="496">
        <f t="shared" si="18"/>
        <v>0.11999999999999922</v>
      </c>
      <c r="L74" s="496">
        <f t="shared" si="16"/>
        <v>13.94</v>
      </c>
      <c r="M74" s="496">
        <f t="shared" si="17"/>
        <v>0</v>
      </c>
    </row>
    <row r="75" spans="1:13" x14ac:dyDescent="0.2">
      <c r="A75" s="613">
        <f t="shared" si="8"/>
        <v>66</v>
      </c>
      <c r="B75" s="613">
        <f>'WP2 Current Light Rates'!B76</f>
        <v>53</v>
      </c>
      <c r="C75" s="611" t="str">
        <f>'WP2 Current Light Rates'!C76</f>
        <v>LED Lighting - Company Owned</v>
      </c>
      <c r="D75" s="613" t="str">
        <f>'WP2 Current Light Rates'!D76</f>
        <v>150.01-180 Watts</v>
      </c>
      <c r="E75" s="613" t="s">
        <v>661</v>
      </c>
      <c r="F75" s="613" t="s">
        <v>673</v>
      </c>
      <c r="G75" s="553">
        <f>'WP2 Current Light Rates'!E76</f>
        <v>15.48</v>
      </c>
      <c r="I75" s="496">
        <f>'Schedule 53E'!G36</f>
        <v>14.51</v>
      </c>
      <c r="J75" s="496">
        <f t="shared" si="18"/>
        <v>-0.97000000000000064</v>
      </c>
      <c r="L75" s="496">
        <f t="shared" si="16"/>
        <v>14.51</v>
      </c>
      <c r="M75" s="496">
        <f t="shared" si="17"/>
        <v>0</v>
      </c>
    </row>
    <row r="76" spans="1:13" x14ac:dyDescent="0.2">
      <c r="A76" s="613">
        <f t="shared" ref="A76:A108" si="19">A75+1</f>
        <v>67</v>
      </c>
      <c r="B76" s="613">
        <f>'WP2 Current Light Rates'!B77</f>
        <v>53</v>
      </c>
      <c r="C76" s="611" t="str">
        <f>'WP2 Current Light Rates'!C77</f>
        <v>LED Lighting - Company Owned</v>
      </c>
      <c r="D76" s="613" t="str">
        <f>'WP2 Current Light Rates'!D77</f>
        <v>180.01-210 Watts</v>
      </c>
      <c r="E76" s="613" t="s">
        <v>661</v>
      </c>
      <c r="F76" s="613" t="s">
        <v>673</v>
      </c>
      <c r="G76" s="553">
        <f>'WP2 Current Light Rates'!E77</f>
        <v>16.27</v>
      </c>
      <c r="I76" s="496">
        <f>'Schedule 53E'!G37</f>
        <v>15.4</v>
      </c>
      <c r="J76" s="496">
        <f t="shared" si="18"/>
        <v>-0.86999999999999922</v>
      </c>
      <c r="L76" s="496">
        <f t="shared" si="16"/>
        <v>15.4</v>
      </c>
      <c r="M76" s="496">
        <f t="shared" si="17"/>
        <v>0</v>
      </c>
    </row>
    <row r="77" spans="1:13" x14ac:dyDescent="0.2">
      <c r="A77" s="613">
        <f t="shared" si="19"/>
        <v>68</v>
      </c>
      <c r="B77" s="613">
        <f>'WP2 Current Light Rates'!B78</f>
        <v>53</v>
      </c>
      <c r="C77" s="611" t="str">
        <f>'WP2 Current Light Rates'!C78</f>
        <v>LED Lighting - Company Owned</v>
      </c>
      <c r="D77" s="613" t="str">
        <f>'WP2 Current Light Rates'!D78</f>
        <v>210.01-240 Watts</v>
      </c>
      <c r="E77" s="613" t="s">
        <v>661</v>
      </c>
      <c r="F77" s="613" t="s">
        <v>673</v>
      </c>
      <c r="G77" s="553">
        <f>'WP2 Current Light Rates'!E78</f>
        <v>17.78</v>
      </c>
      <c r="I77" s="496">
        <f>'Schedule 53E'!G38</f>
        <v>16.34</v>
      </c>
      <c r="J77" s="496">
        <f t="shared" si="18"/>
        <v>-1.4400000000000013</v>
      </c>
      <c r="L77" s="496">
        <f t="shared" si="16"/>
        <v>16.34</v>
      </c>
      <c r="M77" s="496">
        <f t="shared" si="17"/>
        <v>0</v>
      </c>
    </row>
    <row r="78" spans="1:13" x14ac:dyDescent="0.2">
      <c r="A78" s="613">
        <f t="shared" si="19"/>
        <v>69</v>
      </c>
      <c r="B78" s="613">
        <f>'WP2 Current Light Rates'!B79</f>
        <v>53</v>
      </c>
      <c r="C78" s="611" t="str">
        <f>'WP2 Current Light Rates'!C79</f>
        <v>LED Lighting - Company Owned</v>
      </c>
      <c r="D78" s="613" t="str">
        <f>'WP2 Current Light Rates'!D79</f>
        <v>240.01-270 Watts</v>
      </c>
      <c r="E78" s="613" t="s">
        <v>661</v>
      </c>
      <c r="F78" s="613" t="s">
        <v>673</v>
      </c>
      <c r="G78" s="553">
        <f>'WP2 Current Light Rates'!E79</f>
        <v>19.47</v>
      </c>
      <c r="I78" s="496">
        <f>'Schedule 53E'!G39</f>
        <v>17.22</v>
      </c>
      <c r="J78" s="496">
        <f t="shared" si="18"/>
        <v>-2.25</v>
      </c>
      <c r="L78" s="496">
        <f t="shared" si="16"/>
        <v>17.22</v>
      </c>
      <c r="M78" s="496">
        <f t="shared" si="17"/>
        <v>0</v>
      </c>
    </row>
    <row r="79" spans="1:13" x14ac:dyDescent="0.2">
      <c r="A79" s="613">
        <f t="shared" si="19"/>
        <v>70</v>
      </c>
      <c r="B79" s="613">
        <f>'WP2 Current Light Rates'!B80</f>
        <v>53</v>
      </c>
      <c r="C79" s="611" t="str">
        <f>'WP2 Current Light Rates'!C80</f>
        <v>LED Lighting - Company Owned</v>
      </c>
      <c r="D79" s="613" t="str">
        <f>'WP2 Current Light Rates'!D80</f>
        <v>270.01-300 Watts</v>
      </c>
      <c r="E79" s="613" t="s">
        <v>661</v>
      </c>
      <c r="F79" s="613" t="s">
        <v>673</v>
      </c>
      <c r="G79" s="553">
        <f>'WP2 Current Light Rates'!E80</f>
        <v>20.43</v>
      </c>
      <c r="I79" s="496">
        <f>'Schedule 53E'!G40</f>
        <v>18.100000000000001</v>
      </c>
      <c r="J79" s="496">
        <f t="shared" si="18"/>
        <v>-2.3299999999999983</v>
      </c>
      <c r="L79" s="496">
        <f t="shared" si="16"/>
        <v>18.100000000000001</v>
      </c>
      <c r="M79" s="496">
        <f t="shared" si="17"/>
        <v>0</v>
      </c>
    </row>
    <row r="80" spans="1:13" x14ac:dyDescent="0.2">
      <c r="A80" s="613">
        <f t="shared" si="19"/>
        <v>71</v>
      </c>
      <c r="B80" s="613"/>
      <c r="D80" s="613"/>
      <c r="E80" s="613"/>
      <c r="F80" s="613"/>
      <c r="G80" s="553"/>
    </row>
    <row r="81" spans="1:13" x14ac:dyDescent="0.2">
      <c r="A81" s="613">
        <f t="shared" si="19"/>
        <v>72</v>
      </c>
      <c r="B81" s="613">
        <f>'WP2 Current Light Rates'!B82</f>
        <v>53</v>
      </c>
      <c r="C81" s="611" t="str">
        <f>'WP2 Current Light Rates'!C82</f>
        <v>Sodium Vapor Lighting - Customer Owned</v>
      </c>
      <c r="D81" s="613" t="str">
        <f>'WP2 Current Light Rates'!D82</f>
        <v>50 Watts</v>
      </c>
      <c r="E81" s="613" t="s">
        <v>661</v>
      </c>
      <c r="F81" s="613" t="s">
        <v>675</v>
      </c>
      <c r="G81" s="553">
        <f>'WP2 Current Light Rates'!E82</f>
        <v>3.22</v>
      </c>
      <c r="I81" s="496">
        <f>'Schedule 53E'!G43</f>
        <v>3.71</v>
      </c>
      <c r="J81" s="496">
        <f t="shared" ref="J81:J89" si="20">I81-G81</f>
        <v>0.48999999999999977</v>
      </c>
      <c r="L81" s="496">
        <f t="shared" ref="L81:L89" si="21">I81</f>
        <v>3.71</v>
      </c>
      <c r="M81" s="496">
        <f t="shared" ref="M81:M89" si="22">L81-I81</f>
        <v>0</v>
      </c>
    </row>
    <row r="82" spans="1:13" x14ac:dyDescent="0.2">
      <c r="A82" s="613">
        <f t="shared" si="19"/>
        <v>73</v>
      </c>
      <c r="B82" s="613">
        <f>'WP2 Current Light Rates'!B83</f>
        <v>53</v>
      </c>
      <c r="C82" s="611" t="str">
        <f>'WP2 Current Light Rates'!C83</f>
        <v>Sodium Vapor Lighting - Customer Owned</v>
      </c>
      <c r="D82" s="613" t="str">
        <f>'WP2 Current Light Rates'!D83</f>
        <v>70 Watts</v>
      </c>
      <c r="E82" s="613" t="s">
        <v>661</v>
      </c>
      <c r="F82" s="613" t="s">
        <v>675</v>
      </c>
      <c r="G82" s="553">
        <f>'WP2 Current Light Rates'!E83</f>
        <v>3.86</v>
      </c>
      <c r="I82" s="496">
        <f>'Schedule 53E'!G44</f>
        <v>4.3199999999999994</v>
      </c>
      <c r="J82" s="496">
        <f t="shared" si="20"/>
        <v>0.45999999999999952</v>
      </c>
      <c r="L82" s="496">
        <f t="shared" si="21"/>
        <v>4.3199999999999994</v>
      </c>
      <c r="M82" s="496">
        <f t="shared" si="22"/>
        <v>0</v>
      </c>
    </row>
    <row r="83" spans="1:13" x14ac:dyDescent="0.2">
      <c r="A83" s="613">
        <f t="shared" si="19"/>
        <v>74</v>
      </c>
      <c r="B83" s="613">
        <f>'WP2 Current Light Rates'!B84</f>
        <v>53</v>
      </c>
      <c r="C83" s="611" t="str">
        <f>'WP2 Current Light Rates'!C84</f>
        <v>Sodium Vapor Lighting - Customer Owned</v>
      </c>
      <c r="D83" s="613" t="str">
        <f>'WP2 Current Light Rates'!D84</f>
        <v>100 Watts</v>
      </c>
      <c r="E83" s="613" t="s">
        <v>661</v>
      </c>
      <c r="F83" s="613" t="s">
        <v>675</v>
      </c>
      <c r="G83" s="553">
        <f>'WP2 Current Light Rates'!E84</f>
        <v>4.82</v>
      </c>
      <c r="I83" s="496">
        <f>'Schedule 53E'!G45</f>
        <v>5.2</v>
      </c>
      <c r="J83" s="496">
        <f t="shared" si="20"/>
        <v>0.37999999999999989</v>
      </c>
      <c r="L83" s="496">
        <f t="shared" si="21"/>
        <v>5.2</v>
      </c>
      <c r="M83" s="496">
        <f t="shared" si="22"/>
        <v>0</v>
      </c>
    </row>
    <row r="84" spans="1:13" x14ac:dyDescent="0.2">
      <c r="A84" s="613">
        <f t="shared" si="19"/>
        <v>75</v>
      </c>
      <c r="B84" s="613">
        <f>'WP2 Current Light Rates'!B85</f>
        <v>53</v>
      </c>
      <c r="C84" s="611" t="str">
        <f>'WP2 Current Light Rates'!C85</f>
        <v>Sodium Vapor Lighting - Customer Owned</v>
      </c>
      <c r="D84" s="613" t="str">
        <f>'WP2 Current Light Rates'!D85</f>
        <v>150 Watts</v>
      </c>
      <c r="E84" s="613" t="s">
        <v>661</v>
      </c>
      <c r="F84" s="613" t="s">
        <v>675</v>
      </c>
      <c r="G84" s="553">
        <f>'WP2 Current Light Rates'!E85</f>
        <v>6.41</v>
      </c>
      <c r="I84" s="496">
        <f>'Schedule 53E'!G46</f>
        <v>6.66</v>
      </c>
      <c r="J84" s="496">
        <f t="shared" si="20"/>
        <v>0.25</v>
      </c>
      <c r="L84" s="496">
        <f t="shared" si="21"/>
        <v>6.66</v>
      </c>
      <c r="M84" s="496">
        <f t="shared" si="22"/>
        <v>0</v>
      </c>
    </row>
    <row r="85" spans="1:13" x14ac:dyDescent="0.2">
      <c r="A85" s="613">
        <f t="shared" si="19"/>
        <v>76</v>
      </c>
      <c r="B85" s="613">
        <f>'WP2 Current Light Rates'!B86</f>
        <v>53</v>
      </c>
      <c r="C85" s="611" t="str">
        <f>'WP2 Current Light Rates'!C86</f>
        <v>Sodium Vapor Lighting - Customer Owned</v>
      </c>
      <c r="D85" s="613" t="str">
        <f>'WP2 Current Light Rates'!D86</f>
        <v>200 Watts</v>
      </c>
      <c r="E85" s="613" t="s">
        <v>661</v>
      </c>
      <c r="F85" s="613" t="s">
        <v>675</v>
      </c>
      <c r="G85" s="553">
        <f>'WP2 Current Light Rates'!E86</f>
        <v>8</v>
      </c>
      <c r="I85" s="496">
        <f>'Schedule 53E'!G47</f>
        <v>8.14</v>
      </c>
      <c r="J85" s="496">
        <f t="shared" si="20"/>
        <v>0.14000000000000057</v>
      </c>
      <c r="L85" s="496">
        <f t="shared" si="21"/>
        <v>8.14</v>
      </c>
      <c r="M85" s="496">
        <f t="shared" si="22"/>
        <v>0</v>
      </c>
    </row>
    <row r="86" spans="1:13" x14ac:dyDescent="0.2">
      <c r="A86" s="613">
        <f t="shared" si="19"/>
        <v>77</v>
      </c>
      <c r="B86" s="613">
        <f>'WP2 Current Light Rates'!B87</f>
        <v>53</v>
      </c>
      <c r="C86" s="611" t="str">
        <f>'WP2 Current Light Rates'!C87</f>
        <v>Sodium Vapor Lighting - Customer Owned</v>
      </c>
      <c r="D86" s="613" t="str">
        <f>'WP2 Current Light Rates'!D87</f>
        <v>250 Watts</v>
      </c>
      <c r="E86" s="613" t="s">
        <v>661</v>
      </c>
      <c r="F86" s="613" t="s">
        <v>675</v>
      </c>
      <c r="G86" s="553">
        <f>'WP2 Current Light Rates'!E87</f>
        <v>9.59</v>
      </c>
      <c r="I86" s="496">
        <f>'Schedule 53E'!G48</f>
        <v>9.6</v>
      </c>
      <c r="J86" s="496">
        <f t="shared" si="20"/>
        <v>9.9999999999997868E-3</v>
      </c>
      <c r="L86" s="496">
        <f t="shared" si="21"/>
        <v>9.6</v>
      </c>
      <c r="M86" s="496">
        <f t="shared" si="22"/>
        <v>0</v>
      </c>
    </row>
    <row r="87" spans="1:13" x14ac:dyDescent="0.2">
      <c r="A87" s="613">
        <f t="shared" si="19"/>
        <v>78</v>
      </c>
      <c r="B87" s="613">
        <f>'WP2 Current Light Rates'!B88</f>
        <v>53</v>
      </c>
      <c r="C87" s="611" t="str">
        <f>'WP2 Current Light Rates'!C88</f>
        <v>Sodium Vapor Lighting - Customer Owned</v>
      </c>
      <c r="D87" s="613" t="str">
        <f>'WP2 Current Light Rates'!D88</f>
        <v>310 Watts</v>
      </c>
      <c r="E87" s="613" t="s">
        <v>661</v>
      </c>
      <c r="F87" s="613" t="s">
        <v>675</v>
      </c>
      <c r="G87" s="553">
        <f>'WP2 Current Light Rates'!E88</f>
        <v>11.51</v>
      </c>
      <c r="I87" s="496">
        <f>'Schedule 53E'!G49</f>
        <v>11.379999999999999</v>
      </c>
      <c r="J87" s="496">
        <f t="shared" si="20"/>
        <v>-0.13000000000000078</v>
      </c>
      <c r="L87" s="496">
        <f t="shared" si="21"/>
        <v>11.379999999999999</v>
      </c>
      <c r="M87" s="496">
        <f t="shared" si="22"/>
        <v>0</v>
      </c>
    </row>
    <row r="88" spans="1:13" x14ac:dyDescent="0.2">
      <c r="A88" s="613">
        <f t="shared" si="19"/>
        <v>79</v>
      </c>
      <c r="B88" s="613">
        <f>'WP2 Current Light Rates'!B89</f>
        <v>53</v>
      </c>
      <c r="C88" s="611" t="str">
        <f>'WP2 Current Light Rates'!C89</f>
        <v>Sodium Vapor Lighting - Customer Owned</v>
      </c>
      <c r="D88" s="613" t="str">
        <f>'WP2 Current Light Rates'!D89</f>
        <v>400 Watts</v>
      </c>
      <c r="E88" s="613" t="s">
        <v>661</v>
      </c>
      <c r="F88" s="613" t="s">
        <v>675</v>
      </c>
      <c r="G88" s="553">
        <f>'WP2 Current Light Rates'!E89</f>
        <v>14.37</v>
      </c>
      <c r="I88" s="496">
        <f>'Schedule 53E'!G50</f>
        <v>14.03</v>
      </c>
      <c r="J88" s="496">
        <f t="shared" si="20"/>
        <v>-0.33999999999999986</v>
      </c>
      <c r="L88" s="496">
        <f t="shared" si="21"/>
        <v>14.03</v>
      </c>
      <c r="M88" s="496">
        <f t="shared" si="22"/>
        <v>0</v>
      </c>
    </row>
    <row r="89" spans="1:13" x14ac:dyDescent="0.2">
      <c r="A89" s="613">
        <f t="shared" si="19"/>
        <v>80</v>
      </c>
      <c r="B89" s="613">
        <f>'WP2 Current Light Rates'!B90</f>
        <v>53</v>
      </c>
      <c r="C89" s="611" t="str">
        <f>'WP2 Current Light Rates'!C90</f>
        <v>Sodium Vapor Lighting - Customer Owned</v>
      </c>
      <c r="D89" s="613" t="str">
        <f>'WP2 Current Light Rates'!D90</f>
        <v>1000 Watts</v>
      </c>
      <c r="E89" s="613" t="s">
        <v>661</v>
      </c>
      <c r="F89" s="613" t="s">
        <v>675</v>
      </c>
      <c r="G89" s="553">
        <f>'WP2 Current Light Rates'!E90</f>
        <v>33.479999999999997</v>
      </c>
      <c r="I89" s="496">
        <f>'Schedule 53E'!G51</f>
        <v>31.689999999999998</v>
      </c>
      <c r="J89" s="496">
        <f t="shared" si="20"/>
        <v>-1.7899999999999991</v>
      </c>
      <c r="L89" s="496">
        <f t="shared" si="21"/>
        <v>31.689999999999998</v>
      </c>
      <c r="M89" s="496">
        <f t="shared" si="22"/>
        <v>0</v>
      </c>
    </row>
    <row r="90" spans="1:13" x14ac:dyDescent="0.2">
      <c r="A90" s="613">
        <f t="shared" si="19"/>
        <v>81</v>
      </c>
      <c r="B90" s="613"/>
      <c r="D90" s="613"/>
      <c r="E90" s="613"/>
      <c r="F90" s="613"/>
      <c r="G90" s="553"/>
    </row>
    <row r="91" spans="1:13" x14ac:dyDescent="0.2">
      <c r="A91" s="613">
        <f t="shared" si="19"/>
        <v>82</v>
      </c>
      <c r="B91" s="613">
        <f>'WP2 Current Light Rates'!B92</f>
        <v>53</v>
      </c>
      <c r="C91" s="611" t="str">
        <f>'WP2 Current Light Rates'!C92</f>
        <v>Metal Halide Lighting - Customer Owned</v>
      </c>
      <c r="D91" s="613" t="str">
        <f>'WP2 Current Light Rates'!D92</f>
        <v>70 Watts</v>
      </c>
      <c r="E91" s="613" t="s">
        <v>661</v>
      </c>
      <c r="F91" s="613" t="s">
        <v>675</v>
      </c>
      <c r="G91" s="553">
        <f>'WP2 Current Light Rates'!E92</f>
        <v>5.49</v>
      </c>
      <c r="I91" s="496">
        <f>'Schedule 53E'!G54</f>
        <v>6.5799999999999992</v>
      </c>
      <c r="J91" s="496">
        <f t="shared" ref="J91:J96" si="23">I91-G91</f>
        <v>1.089999999999999</v>
      </c>
      <c r="L91" s="496">
        <f t="shared" ref="L91:L96" si="24">I91</f>
        <v>6.5799999999999992</v>
      </c>
      <c r="M91" s="496">
        <f t="shared" ref="M91:M96" si="25">L91-I91</f>
        <v>0</v>
      </c>
    </row>
    <row r="92" spans="1:13" x14ac:dyDescent="0.2">
      <c r="A92" s="613">
        <f t="shared" si="19"/>
        <v>83</v>
      </c>
      <c r="B92" s="613">
        <f>'WP2 Current Light Rates'!B93</f>
        <v>53</v>
      </c>
      <c r="C92" s="611" t="str">
        <f>'WP2 Current Light Rates'!C93</f>
        <v>Metal Halide Lighting - Customer Owned</v>
      </c>
      <c r="D92" s="613" t="str">
        <f>'WP2 Current Light Rates'!D93</f>
        <v>100 Watts</v>
      </c>
      <c r="E92" s="613" t="s">
        <v>661</v>
      </c>
      <c r="F92" s="613" t="s">
        <v>675</v>
      </c>
      <c r="G92" s="553">
        <f>'WP2 Current Light Rates'!E93</f>
        <v>6.45</v>
      </c>
      <c r="I92" s="496">
        <f>'Schedule 53E'!G55</f>
        <v>7.46</v>
      </c>
      <c r="J92" s="496">
        <f t="shared" si="23"/>
        <v>1.0099999999999998</v>
      </c>
      <c r="L92" s="496">
        <f t="shared" si="24"/>
        <v>7.46</v>
      </c>
      <c r="M92" s="496">
        <f t="shared" si="25"/>
        <v>0</v>
      </c>
    </row>
    <row r="93" spans="1:13" x14ac:dyDescent="0.2">
      <c r="A93" s="613">
        <f t="shared" si="19"/>
        <v>84</v>
      </c>
      <c r="B93" s="613">
        <f>'WP2 Current Light Rates'!B94</f>
        <v>53</v>
      </c>
      <c r="C93" s="611" t="str">
        <f>'WP2 Current Light Rates'!C94</f>
        <v>Metal Halide Lighting - Customer Owned</v>
      </c>
      <c r="D93" s="613" t="str">
        <f>'WP2 Current Light Rates'!D94</f>
        <v>150 Watts</v>
      </c>
      <c r="E93" s="613" t="s">
        <v>661</v>
      </c>
      <c r="F93" s="613" t="s">
        <v>675</v>
      </c>
      <c r="G93" s="553">
        <f>'WP2 Current Light Rates'!E94</f>
        <v>8.0399999999999991</v>
      </c>
      <c r="I93" s="496">
        <f>'Schedule 53E'!G56</f>
        <v>8.92</v>
      </c>
      <c r="J93" s="496">
        <f t="shared" si="23"/>
        <v>0.88000000000000078</v>
      </c>
      <c r="L93" s="496">
        <f t="shared" si="24"/>
        <v>8.92</v>
      </c>
      <c r="M93" s="496">
        <f t="shared" si="25"/>
        <v>0</v>
      </c>
    </row>
    <row r="94" spans="1:13" x14ac:dyDescent="0.2">
      <c r="A94" s="613">
        <f t="shared" si="19"/>
        <v>85</v>
      </c>
      <c r="B94" s="613">
        <f>'WP2 Current Light Rates'!B95</f>
        <v>53</v>
      </c>
      <c r="C94" s="611" t="str">
        <f>'WP2 Current Light Rates'!C95</f>
        <v>Metal Halide Lighting - Customer Owned</v>
      </c>
      <c r="D94" s="613" t="str">
        <f>'WP2 Current Light Rates'!D95</f>
        <v>175 Watts</v>
      </c>
      <c r="E94" s="613" t="s">
        <v>661</v>
      </c>
      <c r="F94" s="613" t="s">
        <v>675</v>
      </c>
      <c r="G94" s="553">
        <f>'WP2 Current Light Rates'!E95</f>
        <v>8.84</v>
      </c>
      <c r="I94" s="496">
        <f>'Schedule 53E'!G57</f>
        <v>9.66</v>
      </c>
      <c r="J94" s="496">
        <f t="shared" si="23"/>
        <v>0.82000000000000028</v>
      </c>
      <c r="L94" s="496">
        <f t="shared" si="24"/>
        <v>9.66</v>
      </c>
      <c r="M94" s="496">
        <f t="shared" si="25"/>
        <v>0</v>
      </c>
    </row>
    <row r="95" spans="1:13" x14ac:dyDescent="0.2">
      <c r="A95" s="613">
        <f t="shared" si="19"/>
        <v>86</v>
      </c>
      <c r="B95" s="613">
        <f>'WP2 Current Light Rates'!B96</f>
        <v>53</v>
      </c>
      <c r="C95" s="611" t="str">
        <f>'WP2 Current Light Rates'!C96</f>
        <v>Metal Halide Lighting - Customer Owned</v>
      </c>
      <c r="D95" s="613" t="str">
        <f>'WP2 Current Light Rates'!D96</f>
        <v>250 Watts</v>
      </c>
      <c r="E95" s="613" t="s">
        <v>661</v>
      </c>
      <c r="F95" s="613" t="s">
        <v>675</v>
      </c>
      <c r="G95" s="553">
        <f>'WP2 Current Light Rates'!E96</f>
        <v>11.23</v>
      </c>
      <c r="I95" s="496">
        <f>'Schedule 53E'!G58</f>
        <v>11.86</v>
      </c>
      <c r="J95" s="496">
        <f t="shared" si="23"/>
        <v>0.62999999999999901</v>
      </c>
      <c r="L95" s="496">
        <f t="shared" si="24"/>
        <v>11.86</v>
      </c>
      <c r="M95" s="496">
        <f t="shared" si="25"/>
        <v>0</v>
      </c>
    </row>
    <row r="96" spans="1:13" x14ac:dyDescent="0.2">
      <c r="A96" s="613">
        <f t="shared" si="19"/>
        <v>87</v>
      </c>
      <c r="B96" s="613">
        <f>'WP2 Current Light Rates'!B97</f>
        <v>53</v>
      </c>
      <c r="C96" s="611" t="str">
        <f>'WP2 Current Light Rates'!C97</f>
        <v>Metal Halide Lighting - Customer Owned</v>
      </c>
      <c r="D96" s="613" t="str">
        <f>'WP2 Current Light Rates'!D97</f>
        <v>400 Watts</v>
      </c>
      <c r="E96" s="613" t="s">
        <v>661</v>
      </c>
      <c r="F96" s="613" t="s">
        <v>675</v>
      </c>
      <c r="G96" s="553">
        <f>'WP2 Current Light Rates'!E97</f>
        <v>16</v>
      </c>
      <c r="I96" s="496">
        <f>'Schedule 53E'!G59</f>
        <v>16.29</v>
      </c>
      <c r="J96" s="496">
        <f t="shared" si="23"/>
        <v>0.28999999999999915</v>
      </c>
      <c r="L96" s="496">
        <f t="shared" si="24"/>
        <v>16.29</v>
      </c>
      <c r="M96" s="496">
        <f t="shared" si="25"/>
        <v>0</v>
      </c>
    </row>
    <row r="97" spans="1:13" x14ac:dyDescent="0.2">
      <c r="A97" s="613">
        <f t="shared" si="19"/>
        <v>88</v>
      </c>
      <c r="B97" s="613"/>
      <c r="D97" s="613"/>
      <c r="E97" s="613"/>
      <c r="F97" s="613"/>
      <c r="G97" s="553"/>
    </row>
    <row r="98" spans="1:13" x14ac:dyDescent="0.2">
      <c r="A98" s="613">
        <f>A96+1</f>
        <v>88</v>
      </c>
      <c r="B98" s="613">
        <f>'WP2 Current Light Rates'!B99</f>
        <v>53</v>
      </c>
      <c r="C98" s="611" t="str">
        <f>'WP2 Current Light Rates'!C99</f>
        <v>LED Lighting - Customer Owned</v>
      </c>
      <c r="D98" s="613" t="str">
        <f>'WP2 Current Light Rates'!D99</f>
        <v>0-30 Watts</v>
      </c>
      <c r="E98" s="613" t="s">
        <v>661</v>
      </c>
      <c r="F98" s="613" t="s">
        <v>675</v>
      </c>
      <c r="G98" s="553">
        <f>'WP2 Current Light Rates'!E99</f>
        <v>1.76</v>
      </c>
      <c r="I98" s="496">
        <f>'Schedule 53E'!G62</f>
        <v>0.89000000000000012</v>
      </c>
      <c r="J98" s="496">
        <f t="shared" ref="J98" si="26">I98-G98</f>
        <v>-0.86999999999999988</v>
      </c>
      <c r="L98" s="496">
        <f t="shared" ref="L98:L107" si="27">I98</f>
        <v>0.89000000000000012</v>
      </c>
      <c r="M98" s="496">
        <f t="shared" ref="M98:M107" si="28">L98-I98</f>
        <v>0</v>
      </c>
    </row>
    <row r="99" spans="1:13" x14ac:dyDescent="0.2">
      <c r="A99" s="613">
        <f>A97+1</f>
        <v>89</v>
      </c>
      <c r="B99" s="613">
        <f>'WP2 Current Light Rates'!B100</f>
        <v>53</v>
      </c>
      <c r="C99" s="611" t="str">
        <f>'WP2 Current Light Rates'!C100</f>
        <v>LED Lighting - Customer Owned</v>
      </c>
      <c r="D99" s="613" t="str">
        <f>'WP2 Current Light Rates'!D100</f>
        <v>30.01-60 Watts</v>
      </c>
      <c r="E99" s="613" t="s">
        <v>661</v>
      </c>
      <c r="F99" s="613" t="s">
        <v>675</v>
      </c>
      <c r="G99" s="553">
        <f>'WP2 Current Light Rates'!E100</f>
        <v>1.76</v>
      </c>
      <c r="I99" s="496">
        <f>'Schedule 53E'!G63</f>
        <v>1.77</v>
      </c>
      <c r="J99" s="496">
        <f t="shared" ref="J99:J107" si="29">I99-G99</f>
        <v>1.0000000000000009E-2</v>
      </c>
      <c r="L99" s="496">
        <f t="shared" si="27"/>
        <v>1.77</v>
      </c>
      <c r="M99" s="496">
        <f t="shared" si="28"/>
        <v>0</v>
      </c>
    </row>
    <row r="100" spans="1:13" x14ac:dyDescent="0.2">
      <c r="A100" s="613">
        <f t="shared" si="19"/>
        <v>90</v>
      </c>
      <c r="B100" s="613">
        <f>'WP2 Current Light Rates'!B101</f>
        <v>53</v>
      </c>
      <c r="C100" s="611" t="str">
        <f>'WP2 Current Light Rates'!C101</f>
        <v>LED Lighting - Customer Owned</v>
      </c>
      <c r="D100" s="613" t="str">
        <f>'WP2 Current Light Rates'!D101</f>
        <v>60.01-90 Watts</v>
      </c>
      <c r="E100" s="613" t="s">
        <v>661</v>
      </c>
      <c r="F100" s="613" t="s">
        <v>675</v>
      </c>
      <c r="G100" s="553">
        <f>'WP2 Current Light Rates'!E101</f>
        <v>2.72</v>
      </c>
      <c r="I100" s="496">
        <f>'Schedule 53E'!G64</f>
        <v>2.65</v>
      </c>
      <c r="J100" s="496">
        <f t="shared" si="29"/>
        <v>-7.0000000000000284E-2</v>
      </c>
      <c r="L100" s="496">
        <f t="shared" si="27"/>
        <v>2.65</v>
      </c>
      <c r="M100" s="496">
        <f t="shared" si="28"/>
        <v>0</v>
      </c>
    </row>
    <row r="101" spans="1:13" x14ac:dyDescent="0.2">
      <c r="A101" s="613">
        <f t="shared" si="19"/>
        <v>91</v>
      </c>
      <c r="B101" s="613">
        <f>'WP2 Current Light Rates'!B102</f>
        <v>53</v>
      </c>
      <c r="C101" s="611" t="str">
        <f>'WP2 Current Light Rates'!C102</f>
        <v>LED Lighting - Customer Owned</v>
      </c>
      <c r="D101" s="613" t="str">
        <f>'WP2 Current Light Rates'!D102</f>
        <v>90.01-120 Watts</v>
      </c>
      <c r="E101" s="613" t="s">
        <v>661</v>
      </c>
      <c r="F101" s="613" t="s">
        <v>675</v>
      </c>
      <c r="G101" s="553">
        <f>'WP2 Current Light Rates'!E102</f>
        <v>3.67</v>
      </c>
      <c r="I101" s="496">
        <f>'Schedule 53E'!G65</f>
        <v>3.53</v>
      </c>
      <c r="J101" s="496">
        <f t="shared" si="29"/>
        <v>-0.14000000000000012</v>
      </c>
      <c r="L101" s="496">
        <f t="shared" si="27"/>
        <v>3.53</v>
      </c>
      <c r="M101" s="496">
        <f t="shared" si="28"/>
        <v>0</v>
      </c>
    </row>
    <row r="102" spans="1:13" x14ac:dyDescent="0.2">
      <c r="A102" s="613">
        <f t="shared" si="19"/>
        <v>92</v>
      </c>
      <c r="B102" s="613">
        <f>'WP2 Current Light Rates'!B103</f>
        <v>53</v>
      </c>
      <c r="C102" s="611" t="str">
        <f>'WP2 Current Light Rates'!C103</f>
        <v>LED Lighting - Customer Owned</v>
      </c>
      <c r="D102" s="613" t="str">
        <f>'WP2 Current Light Rates'!D103</f>
        <v>120.01-150 Watts</v>
      </c>
      <c r="E102" s="613" t="s">
        <v>661</v>
      </c>
      <c r="F102" s="613" t="s">
        <v>675</v>
      </c>
      <c r="G102" s="553">
        <f>'WP2 Current Light Rates'!E103</f>
        <v>4.63</v>
      </c>
      <c r="I102" s="496">
        <f>'Schedule 53E'!G66</f>
        <v>4.42</v>
      </c>
      <c r="J102" s="496">
        <f t="shared" si="29"/>
        <v>-0.20999999999999996</v>
      </c>
      <c r="L102" s="496">
        <f t="shared" si="27"/>
        <v>4.42</v>
      </c>
      <c r="M102" s="496">
        <f t="shared" si="28"/>
        <v>0</v>
      </c>
    </row>
    <row r="103" spans="1:13" x14ac:dyDescent="0.2">
      <c r="A103" s="613">
        <f t="shared" si="19"/>
        <v>93</v>
      </c>
      <c r="B103" s="613">
        <f>'WP2 Current Light Rates'!B104</f>
        <v>53</v>
      </c>
      <c r="C103" s="611" t="str">
        <f>'WP2 Current Light Rates'!C104</f>
        <v>LED Lighting - Customer Owned</v>
      </c>
      <c r="D103" s="613" t="str">
        <f>'WP2 Current Light Rates'!D104</f>
        <v>150.01-180 Watts</v>
      </c>
      <c r="E103" s="613" t="s">
        <v>661</v>
      </c>
      <c r="F103" s="613" t="s">
        <v>675</v>
      </c>
      <c r="G103" s="553">
        <f>'WP2 Current Light Rates'!E104</f>
        <v>5.58</v>
      </c>
      <c r="I103" s="496">
        <f>'Schedule 53E'!G67</f>
        <v>5.3</v>
      </c>
      <c r="J103" s="496">
        <f t="shared" si="29"/>
        <v>-0.28000000000000025</v>
      </c>
      <c r="L103" s="496">
        <f t="shared" si="27"/>
        <v>5.3</v>
      </c>
      <c r="M103" s="496">
        <f t="shared" si="28"/>
        <v>0</v>
      </c>
    </row>
    <row r="104" spans="1:13" x14ac:dyDescent="0.2">
      <c r="A104" s="613">
        <f t="shared" si="19"/>
        <v>94</v>
      </c>
      <c r="B104" s="613">
        <f>'WP2 Current Light Rates'!B105</f>
        <v>53</v>
      </c>
      <c r="C104" s="611" t="str">
        <f>'WP2 Current Light Rates'!C105</f>
        <v>LED Lighting - Customer Owned</v>
      </c>
      <c r="D104" s="613" t="str">
        <f>'WP2 Current Light Rates'!D105</f>
        <v>180.01-210 Watts</v>
      </c>
      <c r="E104" s="613" t="s">
        <v>661</v>
      </c>
      <c r="F104" s="613" t="s">
        <v>676</v>
      </c>
      <c r="G104" s="553">
        <f>'WP2 Current Light Rates'!E105</f>
        <v>6.54</v>
      </c>
      <c r="I104" s="496">
        <f>'Schedule 53E'!G68</f>
        <v>6.1899999999999995</v>
      </c>
      <c r="J104" s="496">
        <f t="shared" si="29"/>
        <v>-0.35000000000000053</v>
      </c>
      <c r="L104" s="496">
        <f t="shared" si="27"/>
        <v>6.1899999999999995</v>
      </c>
      <c r="M104" s="496">
        <f t="shared" si="28"/>
        <v>0</v>
      </c>
    </row>
    <row r="105" spans="1:13" x14ac:dyDescent="0.2">
      <c r="A105" s="613">
        <f t="shared" si="19"/>
        <v>95</v>
      </c>
      <c r="B105" s="613">
        <f>'WP2 Current Light Rates'!B106</f>
        <v>53</v>
      </c>
      <c r="C105" s="611" t="str">
        <f>'WP2 Current Light Rates'!C106</f>
        <v>LED Lighting - Customer Owned</v>
      </c>
      <c r="D105" s="613" t="str">
        <f>'WP2 Current Light Rates'!D106</f>
        <v>210.01-240 Watts</v>
      </c>
      <c r="E105" s="613" t="s">
        <v>661</v>
      </c>
      <c r="F105" s="613" t="s">
        <v>676</v>
      </c>
      <c r="G105" s="553">
        <f>'WP2 Current Light Rates'!E106</f>
        <v>7.49</v>
      </c>
      <c r="I105" s="496">
        <f>'Schedule 53E'!G69</f>
        <v>7.08</v>
      </c>
      <c r="J105" s="496">
        <f t="shared" si="29"/>
        <v>-0.41000000000000014</v>
      </c>
      <c r="L105" s="496">
        <f t="shared" si="27"/>
        <v>7.08</v>
      </c>
      <c r="M105" s="496">
        <f t="shared" si="28"/>
        <v>0</v>
      </c>
    </row>
    <row r="106" spans="1:13" x14ac:dyDescent="0.2">
      <c r="A106" s="613">
        <f t="shared" si="19"/>
        <v>96</v>
      </c>
      <c r="B106" s="613">
        <f>'WP2 Current Light Rates'!B107</f>
        <v>53</v>
      </c>
      <c r="C106" s="611" t="str">
        <f>'WP2 Current Light Rates'!C107</f>
        <v>LED Lighting - Customer Owned</v>
      </c>
      <c r="D106" s="613" t="str">
        <f>'WP2 Current Light Rates'!D107</f>
        <v>240.01-270 Watts</v>
      </c>
      <c r="E106" s="613" t="s">
        <v>661</v>
      </c>
      <c r="F106" s="613" t="s">
        <v>676</v>
      </c>
      <c r="G106" s="553">
        <f>'WP2 Current Light Rates'!E107</f>
        <v>8.4499999999999993</v>
      </c>
      <c r="I106" s="496">
        <f>'Schedule 53E'!G70</f>
        <v>7.9600000000000009</v>
      </c>
      <c r="J106" s="496">
        <f t="shared" si="29"/>
        <v>-0.48999999999999844</v>
      </c>
      <c r="L106" s="496">
        <f t="shared" si="27"/>
        <v>7.9600000000000009</v>
      </c>
      <c r="M106" s="496">
        <f t="shared" si="28"/>
        <v>0</v>
      </c>
    </row>
    <row r="107" spans="1:13" x14ac:dyDescent="0.2">
      <c r="A107" s="613">
        <f t="shared" si="19"/>
        <v>97</v>
      </c>
      <c r="B107" s="613">
        <f>'WP2 Current Light Rates'!B108</f>
        <v>53</v>
      </c>
      <c r="C107" s="611" t="str">
        <f>'WP2 Current Light Rates'!C108</f>
        <v>LED Lighting - Customer Owned</v>
      </c>
      <c r="D107" s="613" t="str">
        <f>'WP2 Current Light Rates'!D108</f>
        <v>270.01-300 Watts</v>
      </c>
      <c r="E107" s="613" t="s">
        <v>661</v>
      </c>
      <c r="F107" s="613" t="s">
        <v>676</v>
      </c>
      <c r="G107" s="553">
        <f>'WP2 Current Light Rates'!E108</f>
        <v>9.4</v>
      </c>
      <c r="I107" s="496">
        <f>'Schedule 53E'!G71</f>
        <v>8.84</v>
      </c>
      <c r="J107" s="496">
        <f t="shared" si="29"/>
        <v>-0.5600000000000005</v>
      </c>
      <c r="L107" s="496">
        <f t="shared" si="27"/>
        <v>8.84</v>
      </c>
      <c r="M107" s="496">
        <f t="shared" si="28"/>
        <v>0</v>
      </c>
    </row>
    <row r="108" spans="1:13" x14ac:dyDescent="0.2">
      <c r="A108" s="613">
        <f t="shared" si="19"/>
        <v>98</v>
      </c>
      <c r="B108" s="613"/>
      <c r="D108" s="613"/>
      <c r="E108" s="613"/>
      <c r="F108" s="613"/>
      <c r="G108" s="553"/>
    </row>
    <row r="109" spans="1:13" x14ac:dyDescent="0.2">
      <c r="A109" s="613">
        <f t="shared" ref="A109:A142" si="30">A108+1</f>
        <v>99</v>
      </c>
      <c r="B109" s="613">
        <f>'WP2 Current Light Rates'!B110</f>
        <v>54</v>
      </c>
      <c r="C109" s="611" t="str">
        <f>'WP2 Current Light Rates'!C110</f>
        <v>Sodium Vapor Lighting - Energy Only</v>
      </c>
      <c r="D109" s="613" t="str">
        <f>'WP2 Current Light Rates'!D110</f>
        <v>50 Watts</v>
      </c>
      <c r="E109" s="613" t="s">
        <v>661</v>
      </c>
      <c r="F109" s="613" t="s">
        <v>677</v>
      </c>
      <c r="G109" s="553">
        <f>'WP2 Current Light Rates'!E110</f>
        <v>1.59</v>
      </c>
      <c r="I109" s="496">
        <f>'Schedule 54E'!G13</f>
        <v>1.46</v>
      </c>
      <c r="J109" s="496">
        <f t="shared" ref="J109:J117" si="31">I109-G109</f>
        <v>-0.13000000000000012</v>
      </c>
      <c r="L109" s="496">
        <f t="shared" ref="L109:L117" si="32">I109</f>
        <v>1.46</v>
      </c>
      <c r="M109" s="496">
        <f t="shared" ref="M109:M117" si="33">L109-I109</f>
        <v>0</v>
      </c>
    </row>
    <row r="110" spans="1:13" x14ac:dyDescent="0.2">
      <c r="A110" s="613">
        <f t="shared" si="30"/>
        <v>100</v>
      </c>
      <c r="B110" s="613">
        <f>'WP2 Current Light Rates'!B111</f>
        <v>54</v>
      </c>
      <c r="C110" s="611" t="str">
        <f>'WP2 Current Light Rates'!C111</f>
        <v>Sodium Vapor Lighting - Energy Only</v>
      </c>
      <c r="D110" s="613" t="str">
        <f>'WP2 Current Light Rates'!D111</f>
        <v>70 Watts</v>
      </c>
      <c r="E110" s="613" t="s">
        <v>661</v>
      </c>
      <c r="F110" s="613" t="s">
        <v>677</v>
      </c>
      <c r="G110" s="553">
        <f>'WP2 Current Light Rates'!E111</f>
        <v>2.23</v>
      </c>
      <c r="I110" s="496">
        <f>'Schedule 54E'!G14</f>
        <v>2.0700000000000003</v>
      </c>
      <c r="J110" s="496">
        <f t="shared" si="31"/>
        <v>-0.1599999999999997</v>
      </c>
      <c r="L110" s="496">
        <f t="shared" si="32"/>
        <v>2.0700000000000003</v>
      </c>
      <c r="M110" s="496">
        <f t="shared" si="33"/>
        <v>0</v>
      </c>
    </row>
    <row r="111" spans="1:13" x14ac:dyDescent="0.2">
      <c r="A111" s="613">
        <f t="shared" si="30"/>
        <v>101</v>
      </c>
      <c r="B111" s="613">
        <f>'WP2 Current Light Rates'!B112</f>
        <v>54</v>
      </c>
      <c r="C111" s="611" t="str">
        <f>'WP2 Current Light Rates'!C112</f>
        <v>Sodium Vapor Lighting - Energy Only</v>
      </c>
      <c r="D111" s="613" t="str">
        <f>'WP2 Current Light Rates'!D112</f>
        <v>100 Watts</v>
      </c>
      <c r="E111" s="613" t="s">
        <v>661</v>
      </c>
      <c r="F111" s="613" t="s">
        <v>677</v>
      </c>
      <c r="G111" s="553">
        <f>'WP2 Current Light Rates'!E112</f>
        <v>3.19</v>
      </c>
      <c r="I111" s="496">
        <f>'Schedule 54E'!G15</f>
        <v>2.95</v>
      </c>
      <c r="J111" s="496">
        <f t="shared" si="31"/>
        <v>-0.23999999999999977</v>
      </c>
      <c r="L111" s="496">
        <f t="shared" si="32"/>
        <v>2.95</v>
      </c>
      <c r="M111" s="496">
        <f t="shared" si="33"/>
        <v>0</v>
      </c>
    </row>
    <row r="112" spans="1:13" x14ac:dyDescent="0.2">
      <c r="A112" s="613">
        <f t="shared" si="30"/>
        <v>102</v>
      </c>
      <c r="B112" s="613">
        <f>'WP2 Current Light Rates'!B113</f>
        <v>54</v>
      </c>
      <c r="C112" s="611" t="str">
        <f>'WP2 Current Light Rates'!C113</f>
        <v>Sodium Vapor Lighting - Energy Only</v>
      </c>
      <c r="D112" s="613" t="str">
        <f>'WP2 Current Light Rates'!D113</f>
        <v>150 Watts</v>
      </c>
      <c r="E112" s="613" t="s">
        <v>661</v>
      </c>
      <c r="F112" s="613" t="s">
        <v>677</v>
      </c>
      <c r="G112" s="553">
        <f>'WP2 Current Light Rates'!E113</f>
        <v>4.78</v>
      </c>
      <c r="I112" s="496">
        <f>'Schedule 54E'!G16</f>
        <v>4.41</v>
      </c>
      <c r="J112" s="496">
        <f t="shared" si="31"/>
        <v>-0.37000000000000011</v>
      </c>
      <c r="L112" s="496">
        <f t="shared" si="32"/>
        <v>4.41</v>
      </c>
      <c r="M112" s="496">
        <f t="shared" si="33"/>
        <v>0</v>
      </c>
    </row>
    <row r="113" spans="1:13" x14ac:dyDescent="0.2">
      <c r="A113" s="613">
        <f t="shared" si="30"/>
        <v>103</v>
      </c>
      <c r="B113" s="613">
        <f>'WP2 Current Light Rates'!B114</f>
        <v>54</v>
      </c>
      <c r="C113" s="611" t="str">
        <f>'WP2 Current Light Rates'!C114</f>
        <v>Sodium Vapor Lighting - Energy Only</v>
      </c>
      <c r="D113" s="613" t="str">
        <f>'WP2 Current Light Rates'!D114</f>
        <v>200 Watts</v>
      </c>
      <c r="E113" s="613" t="s">
        <v>661</v>
      </c>
      <c r="F113" s="613" t="s">
        <v>677</v>
      </c>
      <c r="G113" s="553">
        <f>'WP2 Current Light Rates'!E114</f>
        <v>6.37</v>
      </c>
      <c r="I113" s="496">
        <f>'Schedule 54E'!G17</f>
        <v>5.8900000000000006</v>
      </c>
      <c r="J113" s="496">
        <f t="shared" si="31"/>
        <v>-0.47999999999999954</v>
      </c>
      <c r="L113" s="496">
        <f t="shared" si="32"/>
        <v>5.8900000000000006</v>
      </c>
      <c r="M113" s="496">
        <f t="shared" si="33"/>
        <v>0</v>
      </c>
    </row>
    <row r="114" spans="1:13" x14ac:dyDescent="0.2">
      <c r="A114" s="613">
        <f t="shared" si="30"/>
        <v>104</v>
      </c>
      <c r="B114" s="613">
        <f>'WP2 Current Light Rates'!B115</f>
        <v>54</v>
      </c>
      <c r="C114" s="611" t="str">
        <f>'WP2 Current Light Rates'!C115</f>
        <v>Sodium Vapor Lighting - Energy Only</v>
      </c>
      <c r="D114" s="613" t="str">
        <f>'WP2 Current Light Rates'!D115</f>
        <v>250 Watts</v>
      </c>
      <c r="E114" s="613" t="s">
        <v>661</v>
      </c>
      <c r="F114" s="613" t="s">
        <v>677</v>
      </c>
      <c r="G114" s="553">
        <f>'WP2 Current Light Rates'!E115</f>
        <v>7.96</v>
      </c>
      <c r="I114" s="496">
        <f>'Schedule 54E'!G18</f>
        <v>7.35</v>
      </c>
      <c r="J114" s="496">
        <f t="shared" si="31"/>
        <v>-0.61000000000000032</v>
      </c>
      <c r="L114" s="496">
        <f t="shared" si="32"/>
        <v>7.35</v>
      </c>
      <c r="M114" s="496">
        <f t="shared" si="33"/>
        <v>0</v>
      </c>
    </row>
    <row r="115" spans="1:13" x14ac:dyDescent="0.2">
      <c r="A115" s="613">
        <f t="shared" si="30"/>
        <v>105</v>
      </c>
      <c r="B115" s="613">
        <f>'WP2 Current Light Rates'!B116</f>
        <v>54</v>
      </c>
      <c r="C115" s="611" t="str">
        <f>'WP2 Current Light Rates'!C116</f>
        <v>Sodium Vapor Lighting - Energy Only</v>
      </c>
      <c r="D115" s="613" t="str">
        <f>'WP2 Current Light Rates'!D116</f>
        <v>310 Watts</v>
      </c>
      <c r="E115" s="613" t="s">
        <v>661</v>
      </c>
      <c r="F115" s="613" t="s">
        <v>677</v>
      </c>
      <c r="G115" s="553">
        <f>'WP2 Current Light Rates'!E116</f>
        <v>9.8699999999999992</v>
      </c>
      <c r="I115" s="496">
        <f>'Schedule 54E'!G19</f>
        <v>9.129999999999999</v>
      </c>
      <c r="J115" s="496">
        <f t="shared" si="31"/>
        <v>-0.74000000000000021</v>
      </c>
      <c r="L115" s="496">
        <f t="shared" si="32"/>
        <v>9.129999999999999</v>
      </c>
      <c r="M115" s="496">
        <f t="shared" si="33"/>
        <v>0</v>
      </c>
    </row>
    <row r="116" spans="1:13" x14ac:dyDescent="0.2">
      <c r="A116" s="613">
        <f t="shared" si="30"/>
        <v>106</v>
      </c>
      <c r="B116" s="613">
        <f>'WP2 Current Light Rates'!B117</f>
        <v>54</v>
      </c>
      <c r="C116" s="611" t="str">
        <f>'WP2 Current Light Rates'!C117</f>
        <v>Sodium Vapor Lighting - Energy Only</v>
      </c>
      <c r="D116" s="613" t="str">
        <f>'WP2 Current Light Rates'!D117</f>
        <v>400 Watts</v>
      </c>
      <c r="E116" s="613" t="s">
        <v>661</v>
      </c>
      <c r="F116" s="613" t="s">
        <v>677</v>
      </c>
      <c r="G116" s="553">
        <f>'WP2 Current Light Rates'!E117</f>
        <v>12.74</v>
      </c>
      <c r="I116" s="496">
        <f>'Schedule 54E'!G20</f>
        <v>11.780000000000001</v>
      </c>
      <c r="J116" s="496">
        <f t="shared" si="31"/>
        <v>-0.95999999999999908</v>
      </c>
      <c r="L116" s="496">
        <f t="shared" si="32"/>
        <v>11.780000000000001</v>
      </c>
      <c r="M116" s="496">
        <f t="shared" si="33"/>
        <v>0</v>
      </c>
    </row>
    <row r="117" spans="1:13" x14ac:dyDescent="0.2">
      <c r="A117" s="613">
        <f t="shared" si="30"/>
        <v>107</v>
      </c>
      <c r="B117" s="613">
        <f>'WP2 Current Light Rates'!B118</f>
        <v>54</v>
      </c>
      <c r="C117" s="611" t="str">
        <f>'WP2 Current Light Rates'!C118</f>
        <v>Sodium Vapor Lighting - Energy Only</v>
      </c>
      <c r="D117" s="613" t="str">
        <f>'WP2 Current Light Rates'!D118</f>
        <v>1000 Watts</v>
      </c>
      <c r="E117" s="613" t="s">
        <v>661</v>
      </c>
      <c r="F117" s="613" t="s">
        <v>677</v>
      </c>
      <c r="G117" s="553">
        <f>'WP2 Current Light Rates'!E118</f>
        <v>31.85</v>
      </c>
      <c r="I117" s="496">
        <f>'Schedule 54E'!G21</f>
        <v>29.439999999999998</v>
      </c>
      <c r="J117" s="496">
        <f t="shared" si="31"/>
        <v>-2.4100000000000037</v>
      </c>
      <c r="L117" s="496">
        <f t="shared" si="32"/>
        <v>29.439999999999998</v>
      </c>
      <c r="M117" s="496">
        <f t="shared" si="33"/>
        <v>0</v>
      </c>
    </row>
    <row r="118" spans="1:13" x14ac:dyDescent="0.2">
      <c r="A118" s="613">
        <f t="shared" si="30"/>
        <v>108</v>
      </c>
      <c r="B118" s="613"/>
      <c r="D118" s="613"/>
      <c r="E118" s="613"/>
      <c r="F118" s="613"/>
      <c r="G118" s="553"/>
    </row>
    <row r="119" spans="1:13" x14ac:dyDescent="0.2">
      <c r="A119" s="613">
        <f t="shared" si="30"/>
        <v>109</v>
      </c>
      <c r="B119" s="613">
        <f>'WP2 Current Light Rates'!B120</f>
        <v>54</v>
      </c>
      <c r="C119" s="611" t="str">
        <f>'WP2 Current Light Rates'!C120</f>
        <v>LED Energy Service - Customer Owned</v>
      </c>
      <c r="D119" s="613" t="str">
        <f>'WP2 Current Light Rates'!D120</f>
        <v>0-30 Watts</v>
      </c>
      <c r="E119" s="613" t="s">
        <v>661</v>
      </c>
      <c r="F119" s="613" t="s">
        <v>678</v>
      </c>
      <c r="G119" s="553">
        <f>'WP2 Current Light Rates'!E120</f>
        <v>1.43</v>
      </c>
      <c r="I119" s="496">
        <f>'Schedule 54E'!G24</f>
        <v>0.44</v>
      </c>
      <c r="J119" s="496">
        <f t="shared" ref="J119" si="34">I119-G119</f>
        <v>-0.99</v>
      </c>
      <c r="L119" s="496">
        <f t="shared" ref="L119:L128" si="35">I119</f>
        <v>0.44</v>
      </c>
      <c r="M119" s="496">
        <f t="shared" ref="M119:M128" si="36">L119-I119</f>
        <v>0</v>
      </c>
    </row>
    <row r="120" spans="1:13" x14ac:dyDescent="0.2">
      <c r="A120" s="613">
        <f t="shared" si="30"/>
        <v>110</v>
      </c>
      <c r="B120" s="613">
        <f>'WP2 Current Light Rates'!B121</f>
        <v>54</v>
      </c>
      <c r="C120" s="611" t="str">
        <f>'WP2 Current Light Rates'!C121</f>
        <v>LED Energy Service - Customer Owned</v>
      </c>
      <c r="D120" s="613" t="str">
        <f>'WP2 Current Light Rates'!D121</f>
        <v>30-60 Watts</v>
      </c>
      <c r="E120" s="613" t="s">
        <v>661</v>
      </c>
      <c r="F120" s="613" t="s">
        <v>678</v>
      </c>
      <c r="G120" s="553">
        <f>'WP2 Current Light Rates'!E121</f>
        <v>1.43</v>
      </c>
      <c r="I120" s="496">
        <f>'Schedule 54E'!G25</f>
        <v>1.3199999999999998</v>
      </c>
      <c r="J120" s="496">
        <f t="shared" ref="J120:J128" si="37">I120-G120</f>
        <v>-0.1100000000000001</v>
      </c>
      <c r="L120" s="496">
        <f t="shared" si="35"/>
        <v>1.3199999999999998</v>
      </c>
      <c r="M120" s="496">
        <f t="shared" si="36"/>
        <v>0</v>
      </c>
    </row>
    <row r="121" spans="1:13" x14ac:dyDescent="0.2">
      <c r="A121" s="613">
        <f t="shared" si="30"/>
        <v>111</v>
      </c>
      <c r="B121" s="613">
        <f>'WP2 Current Light Rates'!B122</f>
        <v>54</v>
      </c>
      <c r="C121" s="611" t="str">
        <f>'WP2 Current Light Rates'!C122</f>
        <v>LED Energy Service - Customer Owned</v>
      </c>
      <c r="D121" s="613" t="str">
        <f>'WP2 Current Light Rates'!D122</f>
        <v>60.01-90 Watts</v>
      </c>
      <c r="E121" s="613" t="s">
        <v>661</v>
      </c>
      <c r="F121" s="613" t="s">
        <v>678</v>
      </c>
      <c r="G121" s="553">
        <f>'WP2 Current Light Rates'!E122</f>
        <v>2.39</v>
      </c>
      <c r="I121" s="496">
        <f>'Schedule 54E'!G26</f>
        <v>2.2000000000000002</v>
      </c>
      <c r="J121" s="496">
        <f t="shared" si="37"/>
        <v>-0.18999999999999995</v>
      </c>
      <c r="L121" s="496">
        <f t="shared" si="35"/>
        <v>2.2000000000000002</v>
      </c>
      <c r="M121" s="496">
        <f t="shared" si="36"/>
        <v>0</v>
      </c>
    </row>
    <row r="122" spans="1:13" x14ac:dyDescent="0.2">
      <c r="A122" s="613">
        <f t="shared" si="30"/>
        <v>112</v>
      </c>
      <c r="B122" s="613">
        <f>'WP2 Current Light Rates'!B123</f>
        <v>54</v>
      </c>
      <c r="C122" s="611" t="str">
        <f>'WP2 Current Light Rates'!C123</f>
        <v>LED Energy Service - Customer Owned</v>
      </c>
      <c r="D122" s="613" t="str">
        <f>'WP2 Current Light Rates'!D123</f>
        <v>90.01-120 Watts</v>
      </c>
      <c r="E122" s="613" t="s">
        <v>661</v>
      </c>
      <c r="F122" s="613" t="s">
        <v>678</v>
      </c>
      <c r="G122" s="553">
        <f>'WP2 Current Light Rates'!E123</f>
        <v>3.34</v>
      </c>
      <c r="I122" s="496">
        <f>'Schedule 54E'!G27</f>
        <v>3.08</v>
      </c>
      <c r="J122" s="496">
        <f t="shared" si="37"/>
        <v>-0.25999999999999979</v>
      </c>
      <c r="L122" s="496">
        <f t="shared" si="35"/>
        <v>3.08</v>
      </c>
      <c r="M122" s="496">
        <f t="shared" si="36"/>
        <v>0</v>
      </c>
    </row>
    <row r="123" spans="1:13" x14ac:dyDescent="0.2">
      <c r="A123" s="613">
        <f t="shared" si="30"/>
        <v>113</v>
      </c>
      <c r="B123" s="613">
        <f>'WP2 Current Light Rates'!B124</f>
        <v>54</v>
      </c>
      <c r="C123" s="611" t="str">
        <f>'WP2 Current Light Rates'!C124</f>
        <v>LED Energy Service - Customer Owned</v>
      </c>
      <c r="D123" s="613" t="str">
        <f>'WP2 Current Light Rates'!D124</f>
        <v>120.01-150 Watts</v>
      </c>
      <c r="E123" s="613" t="s">
        <v>661</v>
      </c>
      <c r="F123" s="613" t="s">
        <v>678</v>
      </c>
      <c r="G123" s="553">
        <f>'WP2 Current Light Rates'!E124</f>
        <v>4.3</v>
      </c>
      <c r="I123" s="496">
        <f>'Schedule 54E'!G28</f>
        <v>3.97</v>
      </c>
      <c r="J123" s="496">
        <f t="shared" si="37"/>
        <v>-0.32999999999999963</v>
      </c>
      <c r="L123" s="496">
        <f t="shared" si="35"/>
        <v>3.97</v>
      </c>
      <c r="M123" s="496">
        <f t="shared" si="36"/>
        <v>0</v>
      </c>
    </row>
    <row r="124" spans="1:13" x14ac:dyDescent="0.2">
      <c r="A124" s="613">
        <f t="shared" si="30"/>
        <v>114</v>
      </c>
      <c r="B124" s="613">
        <f>'WP2 Current Light Rates'!B125</f>
        <v>54</v>
      </c>
      <c r="C124" s="611" t="str">
        <f>'WP2 Current Light Rates'!C125</f>
        <v>LED Energy Service - Customer Owned</v>
      </c>
      <c r="D124" s="613" t="str">
        <f>'WP2 Current Light Rates'!D125</f>
        <v>150.01-180 Watts</v>
      </c>
      <c r="E124" s="613" t="s">
        <v>661</v>
      </c>
      <c r="F124" s="613" t="s">
        <v>678</v>
      </c>
      <c r="G124" s="553">
        <f>'WP2 Current Light Rates'!E125</f>
        <v>5.26</v>
      </c>
      <c r="I124" s="496">
        <f>'Schedule 54E'!G29</f>
        <v>4.8499999999999996</v>
      </c>
      <c r="J124" s="496">
        <f t="shared" si="37"/>
        <v>-0.41000000000000014</v>
      </c>
      <c r="L124" s="496">
        <f t="shared" si="35"/>
        <v>4.8499999999999996</v>
      </c>
      <c r="M124" s="496">
        <f t="shared" si="36"/>
        <v>0</v>
      </c>
    </row>
    <row r="125" spans="1:13" x14ac:dyDescent="0.2">
      <c r="A125" s="613">
        <f t="shared" si="30"/>
        <v>115</v>
      </c>
      <c r="B125" s="613">
        <f>'WP2 Current Light Rates'!B126</f>
        <v>54</v>
      </c>
      <c r="C125" s="611" t="str">
        <f>'WP2 Current Light Rates'!C126</f>
        <v>LED Energy Service - Customer Owned</v>
      </c>
      <c r="D125" s="613" t="str">
        <f>'WP2 Current Light Rates'!D126</f>
        <v>180.01-210 Watts</v>
      </c>
      <c r="E125" s="613" t="s">
        <v>661</v>
      </c>
      <c r="F125" s="613" t="s">
        <v>679</v>
      </c>
      <c r="G125" s="553">
        <f>'WP2 Current Light Rates'!E126</f>
        <v>6.21</v>
      </c>
      <c r="I125" s="496">
        <f>'Schedule 54E'!G30</f>
        <v>5.74</v>
      </c>
      <c r="J125" s="496">
        <f t="shared" si="37"/>
        <v>-0.46999999999999975</v>
      </c>
      <c r="L125" s="496">
        <f t="shared" si="35"/>
        <v>5.74</v>
      </c>
      <c r="M125" s="496">
        <f t="shared" si="36"/>
        <v>0</v>
      </c>
    </row>
    <row r="126" spans="1:13" x14ac:dyDescent="0.2">
      <c r="A126" s="613">
        <f t="shared" si="30"/>
        <v>116</v>
      </c>
      <c r="B126" s="613">
        <f>'WP2 Current Light Rates'!B127</f>
        <v>54</v>
      </c>
      <c r="C126" s="611" t="str">
        <f>'WP2 Current Light Rates'!C127</f>
        <v>LED Energy Service - Customer Owned</v>
      </c>
      <c r="D126" s="613" t="str">
        <f>'WP2 Current Light Rates'!D127</f>
        <v>210.01-240 Watts</v>
      </c>
      <c r="E126" s="613" t="s">
        <v>661</v>
      </c>
      <c r="F126" s="613" t="s">
        <v>679</v>
      </c>
      <c r="G126" s="553">
        <f>'WP2 Current Light Rates'!E127</f>
        <v>7.17</v>
      </c>
      <c r="I126" s="496">
        <f>'Schedule 54E'!G31</f>
        <v>6.63</v>
      </c>
      <c r="J126" s="496">
        <f t="shared" si="37"/>
        <v>-0.54</v>
      </c>
      <c r="L126" s="496">
        <f t="shared" si="35"/>
        <v>6.63</v>
      </c>
      <c r="M126" s="496">
        <f t="shared" si="36"/>
        <v>0</v>
      </c>
    </row>
    <row r="127" spans="1:13" x14ac:dyDescent="0.2">
      <c r="A127" s="613">
        <f t="shared" si="30"/>
        <v>117</v>
      </c>
      <c r="B127" s="613">
        <f>'WP2 Current Light Rates'!B128</f>
        <v>54</v>
      </c>
      <c r="C127" s="611" t="str">
        <f>'WP2 Current Light Rates'!C128</f>
        <v>LED Energy Service - Customer Owned</v>
      </c>
      <c r="D127" s="613" t="str">
        <f>'WP2 Current Light Rates'!D128</f>
        <v>240.01-270 Watts</v>
      </c>
      <c r="E127" s="613" t="s">
        <v>661</v>
      </c>
      <c r="F127" s="613" t="s">
        <v>679</v>
      </c>
      <c r="G127" s="553">
        <f>'WP2 Current Light Rates'!E128</f>
        <v>8.1199999999999992</v>
      </c>
      <c r="I127" s="496">
        <f>'Schedule 54E'!G32</f>
        <v>7.51</v>
      </c>
      <c r="J127" s="496">
        <f t="shared" si="37"/>
        <v>-0.60999999999999943</v>
      </c>
      <c r="L127" s="496">
        <f t="shared" si="35"/>
        <v>7.51</v>
      </c>
      <c r="M127" s="496">
        <f t="shared" si="36"/>
        <v>0</v>
      </c>
    </row>
    <row r="128" spans="1:13" x14ac:dyDescent="0.2">
      <c r="A128" s="613">
        <f t="shared" si="30"/>
        <v>118</v>
      </c>
      <c r="B128" s="613">
        <f>'WP2 Current Light Rates'!B129</f>
        <v>54</v>
      </c>
      <c r="C128" s="611" t="str">
        <f>'WP2 Current Light Rates'!C129</f>
        <v>LED Energy Service - Customer Owned</v>
      </c>
      <c r="D128" s="613" t="str">
        <f>'WP2 Current Light Rates'!D129</f>
        <v>270.01-300 Watts</v>
      </c>
      <c r="E128" s="613" t="s">
        <v>661</v>
      </c>
      <c r="F128" s="613" t="s">
        <v>679</v>
      </c>
      <c r="G128" s="553">
        <f>'WP2 Current Light Rates'!E129</f>
        <v>9.08</v>
      </c>
      <c r="I128" s="496">
        <f>'Schedule 54E'!G33</f>
        <v>8.39</v>
      </c>
      <c r="J128" s="496">
        <f t="shared" si="37"/>
        <v>-0.6899999999999995</v>
      </c>
      <c r="L128" s="496">
        <f t="shared" si="35"/>
        <v>8.39</v>
      </c>
      <c r="M128" s="496">
        <f t="shared" si="36"/>
        <v>0</v>
      </c>
    </row>
    <row r="129" spans="1:13" x14ac:dyDescent="0.2">
      <c r="A129" s="613">
        <f t="shared" si="30"/>
        <v>119</v>
      </c>
      <c r="B129" s="613"/>
      <c r="D129" s="613"/>
      <c r="E129" s="613"/>
      <c r="F129" s="613"/>
      <c r="G129" s="553"/>
    </row>
    <row r="130" spans="1:13" x14ac:dyDescent="0.2">
      <c r="A130" s="613">
        <f t="shared" si="30"/>
        <v>120</v>
      </c>
      <c r="B130" s="613" t="str">
        <f>'WP2 Current Light Rates'!B131</f>
        <v>55 &amp; 56</v>
      </c>
      <c r="C130" s="611" t="str">
        <f>'WP2 Current Light Rates'!C131</f>
        <v>Sodium Vapor Area Lighting</v>
      </c>
      <c r="D130" s="613" t="str">
        <f>'WP2 Current Light Rates'!D131</f>
        <v>70 Watts</v>
      </c>
      <c r="E130" s="613" t="s">
        <v>661</v>
      </c>
      <c r="F130" s="613" t="s">
        <v>680</v>
      </c>
      <c r="G130" s="553">
        <f>'WP2 Current Light Rates'!E131</f>
        <v>13.618687765672663</v>
      </c>
      <c r="I130" s="496">
        <f>'Schedules 55E &amp; 56E'!G13</f>
        <v>13.530000000000001</v>
      </c>
      <c r="J130" s="496">
        <f t="shared" ref="J130:J135" si="38">I130-G130</f>
        <v>-8.8687765672661456E-2</v>
      </c>
      <c r="L130" s="496">
        <f t="shared" ref="L130:L135" si="39">I130</f>
        <v>13.530000000000001</v>
      </c>
      <c r="M130" s="496">
        <f t="shared" ref="M130:M135" si="40">L130-I130</f>
        <v>0</v>
      </c>
    </row>
    <row r="131" spans="1:13" x14ac:dyDescent="0.2">
      <c r="A131" s="613">
        <f t="shared" si="30"/>
        <v>121</v>
      </c>
      <c r="B131" s="613" t="str">
        <f>'WP2 Current Light Rates'!B132</f>
        <v>55 &amp; 56</v>
      </c>
      <c r="C131" s="611" t="str">
        <f>'WP2 Current Light Rates'!C132</f>
        <v>Sodium Vapor Area Lighting</v>
      </c>
      <c r="D131" s="613" t="str">
        <f>'WP2 Current Light Rates'!D132</f>
        <v>100 Watts</v>
      </c>
      <c r="E131" s="613" t="s">
        <v>661</v>
      </c>
      <c r="F131" s="613" t="s">
        <v>680</v>
      </c>
      <c r="G131" s="553">
        <f>'WP2 Current Light Rates'!E132</f>
        <v>14.02804053242096</v>
      </c>
      <c r="I131" s="496">
        <f>'Schedules 55E &amp; 56E'!G14</f>
        <v>13.879999999999999</v>
      </c>
      <c r="J131" s="496">
        <f t="shared" si="38"/>
        <v>-0.1480405324209606</v>
      </c>
      <c r="L131" s="496">
        <f t="shared" si="39"/>
        <v>13.879999999999999</v>
      </c>
      <c r="M131" s="496">
        <f t="shared" si="40"/>
        <v>0</v>
      </c>
    </row>
    <row r="132" spans="1:13" x14ac:dyDescent="0.2">
      <c r="A132" s="613">
        <f t="shared" si="30"/>
        <v>122</v>
      </c>
      <c r="B132" s="613" t="str">
        <f>'WP2 Current Light Rates'!B133</f>
        <v>55 &amp; 56</v>
      </c>
      <c r="C132" s="611" t="str">
        <f>'WP2 Current Light Rates'!C133</f>
        <v>Sodium Vapor Area Lighting</v>
      </c>
      <c r="D132" s="613" t="str">
        <f>'WP2 Current Light Rates'!D133</f>
        <v>150 Watts</v>
      </c>
      <c r="E132" s="613" t="s">
        <v>661</v>
      </c>
      <c r="F132" s="613" t="s">
        <v>680</v>
      </c>
      <c r="G132" s="553">
        <f>'WP2 Current Light Rates'!E133</f>
        <v>15.645435774644971</v>
      </c>
      <c r="I132" s="496">
        <f>'Schedules 55E &amp; 56E'!G15</f>
        <v>15.36</v>
      </c>
      <c r="J132" s="496">
        <f t="shared" si="38"/>
        <v>-0.28543577464497183</v>
      </c>
      <c r="L132" s="496">
        <f t="shared" si="39"/>
        <v>15.36</v>
      </c>
      <c r="M132" s="496">
        <f t="shared" si="40"/>
        <v>0</v>
      </c>
    </row>
    <row r="133" spans="1:13" x14ac:dyDescent="0.2">
      <c r="A133" s="613">
        <f t="shared" si="30"/>
        <v>123</v>
      </c>
      <c r="B133" s="613" t="str">
        <f>'WP2 Current Light Rates'!B134</f>
        <v>55 &amp; 56</v>
      </c>
      <c r="C133" s="611" t="str">
        <f>'WP2 Current Light Rates'!C134</f>
        <v>Sodium Vapor Area Lighting</v>
      </c>
      <c r="D133" s="613" t="str">
        <f>'WP2 Current Light Rates'!D134</f>
        <v>200 Watts</v>
      </c>
      <c r="E133" s="613" t="s">
        <v>661</v>
      </c>
      <c r="F133" s="613" t="s">
        <v>680</v>
      </c>
      <c r="G133" s="553">
        <f>'WP2 Current Light Rates'!E134</f>
        <v>17.769437053484459</v>
      </c>
      <c r="I133" s="496">
        <f>'Schedules 55E &amp; 56E'!G16</f>
        <v>17.34</v>
      </c>
      <c r="J133" s="496">
        <f t="shared" si="38"/>
        <v>-0.4294370534844596</v>
      </c>
      <c r="L133" s="496">
        <f t="shared" si="39"/>
        <v>17.34</v>
      </c>
      <c r="M133" s="496">
        <f t="shared" si="40"/>
        <v>0</v>
      </c>
    </row>
    <row r="134" spans="1:13" x14ac:dyDescent="0.2">
      <c r="A134" s="613">
        <f t="shared" si="30"/>
        <v>124</v>
      </c>
      <c r="B134" s="613" t="str">
        <f>'WP2 Current Light Rates'!B135</f>
        <v>55 &amp; 56</v>
      </c>
      <c r="C134" s="611" t="str">
        <f>'WP2 Current Light Rates'!C135</f>
        <v>Sodium Vapor Area Lighting</v>
      </c>
      <c r="D134" s="613" t="str">
        <f>'WP2 Current Light Rates'!D135</f>
        <v>250 Watts</v>
      </c>
      <c r="E134" s="613" t="s">
        <v>661</v>
      </c>
      <c r="F134" s="613" t="s">
        <v>680</v>
      </c>
      <c r="G134" s="553">
        <f>'WP2 Current Light Rates'!E135</f>
        <v>19.541445099369465</v>
      </c>
      <c r="I134" s="496">
        <f>'Schedules 55E &amp; 56E'!G17</f>
        <v>18.979999999999997</v>
      </c>
      <c r="J134" s="496">
        <f t="shared" si="38"/>
        <v>-0.56144509936946818</v>
      </c>
      <c r="L134" s="496">
        <f t="shared" si="39"/>
        <v>18.979999999999997</v>
      </c>
      <c r="M134" s="496">
        <f t="shared" si="40"/>
        <v>0</v>
      </c>
    </row>
    <row r="135" spans="1:13" x14ac:dyDescent="0.2">
      <c r="A135" s="613">
        <f t="shared" si="30"/>
        <v>125</v>
      </c>
      <c r="B135" s="613" t="str">
        <f>'WP2 Current Light Rates'!B136</f>
        <v>55 &amp; 56</v>
      </c>
      <c r="C135" s="611" t="str">
        <f>'WP2 Current Light Rates'!C136</f>
        <v>Sodium Vapor Area Lighting</v>
      </c>
      <c r="D135" s="613" t="str">
        <f>'WP2 Current Light Rates'!D136</f>
        <v>400 Watts</v>
      </c>
      <c r="E135" s="613" t="s">
        <v>661</v>
      </c>
      <c r="F135" s="613" t="s">
        <v>680</v>
      </c>
      <c r="G135" s="553">
        <f>'WP2 Current Light Rates'!E136</f>
        <v>25.472897609019007</v>
      </c>
      <c r="I135" s="496">
        <f>'Schedules 55E &amp; 56E'!G18</f>
        <v>24.49</v>
      </c>
      <c r="J135" s="496">
        <f t="shared" si="38"/>
        <v>-0.98289760901900891</v>
      </c>
      <c r="L135" s="496">
        <f t="shared" si="39"/>
        <v>24.49</v>
      </c>
      <c r="M135" s="496">
        <f t="shared" si="40"/>
        <v>0</v>
      </c>
    </row>
    <row r="136" spans="1:13" x14ac:dyDescent="0.2">
      <c r="A136" s="613">
        <f t="shared" si="30"/>
        <v>126</v>
      </c>
      <c r="B136" s="613"/>
      <c r="D136" s="613"/>
      <c r="E136" s="613"/>
      <c r="F136" s="613"/>
      <c r="G136" s="553"/>
    </row>
    <row r="137" spans="1:13" x14ac:dyDescent="0.2">
      <c r="A137" s="613">
        <f t="shared" si="30"/>
        <v>127</v>
      </c>
      <c r="B137" s="613" t="str">
        <f>'WP2 Current Light Rates'!B138</f>
        <v>55 &amp; 56</v>
      </c>
      <c r="C137" s="611" t="str">
        <f>'WP2 Current Light Rates'!C138</f>
        <v>Metal Halide Area Lighting</v>
      </c>
      <c r="D137" s="613" t="str">
        <f>'WP2 Current Light Rates'!D138</f>
        <v>250 Watts</v>
      </c>
      <c r="E137" s="613" t="s">
        <v>661</v>
      </c>
      <c r="F137" s="613" t="s">
        <v>680</v>
      </c>
      <c r="G137" s="553">
        <f>'WP2 Current Light Rates'!E138</f>
        <v>21.078079212012458</v>
      </c>
      <c r="I137" s="496">
        <f>'Schedules 55E &amp; 56E'!G21</f>
        <v>21.16</v>
      </c>
      <c r="J137" s="496">
        <f>I137-G137</f>
        <v>8.1920787987542099E-2</v>
      </c>
      <c r="L137" s="496">
        <f>I137</f>
        <v>21.16</v>
      </c>
      <c r="M137" s="496">
        <f>L137-I137</f>
        <v>0</v>
      </c>
    </row>
    <row r="138" spans="1:13" x14ac:dyDescent="0.2">
      <c r="A138" s="613">
        <f t="shared" si="30"/>
        <v>128</v>
      </c>
      <c r="B138" s="613"/>
      <c r="D138" s="613"/>
      <c r="E138" s="613"/>
      <c r="F138" s="613"/>
      <c r="G138" s="553"/>
    </row>
    <row r="139" spans="1:13" x14ac:dyDescent="0.2">
      <c r="A139" s="613">
        <f t="shared" si="30"/>
        <v>129</v>
      </c>
      <c r="B139" s="613" t="str">
        <f>'WP2 Current Light Rates'!B140</f>
        <v>55 &amp; 56</v>
      </c>
      <c r="C139" s="611" t="str">
        <f>'WP2 Current Light Rates'!C140</f>
        <v>LED Lighting - Area Lighting</v>
      </c>
      <c r="D139" s="613" t="str">
        <f>'WP2 Current Light Rates'!D140</f>
        <v>0-30 Watts</v>
      </c>
      <c r="E139" s="613" t="s">
        <v>661</v>
      </c>
      <c r="F139" s="613" t="s">
        <v>680</v>
      </c>
      <c r="G139" s="553">
        <f>'WP2 Current Light Rates'!E140</f>
        <v>10.35</v>
      </c>
      <c r="I139" s="496">
        <f>'Schedules 55E &amp; 56E'!G24</f>
        <v>7.8999999999999995</v>
      </c>
      <c r="J139" s="496">
        <f t="shared" ref="J139" si="41">I139-G139</f>
        <v>-2.4500000000000002</v>
      </c>
      <c r="L139" s="496">
        <f t="shared" ref="L139:L148" si="42">I139</f>
        <v>7.8999999999999995</v>
      </c>
      <c r="M139" s="496">
        <f t="shared" ref="M139:M148" si="43">L139-I139</f>
        <v>0</v>
      </c>
    </row>
    <row r="140" spans="1:13" x14ac:dyDescent="0.2">
      <c r="A140" s="613">
        <f t="shared" si="30"/>
        <v>130</v>
      </c>
      <c r="B140" s="613" t="str">
        <f>'WP2 Current Light Rates'!B141</f>
        <v>55 &amp; 56</v>
      </c>
      <c r="C140" s="611" t="str">
        <f>'WP2 Current Light Rates'!C141</f>
        <v>LED Lighting - Area Lighting</v>
      </c>
      <c r="D140" s="613" t="str">
        <f>'WP2 Current Light Rates'!D141</f>
        <v>30.01-60 Watts</v>
      </c>
      <c r="E140" s="613" t="s">
        <v>661</v>
      </c>
      <c r="F140" s="613" t="s">
        <v>680</v>
      </c>
      <c r="G140" s="553">
        <f>'WP2 Current Light Rates'!E141</f>
        <v>10.35</v>
      </c>
      <c r="I140" s="496">
        <f>'Schedules 55E &amp; 56E'!G25</f>
        <v>9.879999999999999</v>
      </c>
      <c r="J140" s="496">
        <f t="shared" ref="J140:J148" si="44">I140-G140</f>
        <v>-0.47000000000000064</v>
      </c>
      <c r="L140" s="496">
        <f t="shared" si="42"/>
        <v>9.879999999999999</v>
      </c>
      <c r="M140" s="496">
        <f t="shared" si="43"/>
        <v>0</v>
      </c>
    </row>
    <row r="141" spans="1:13" x14ac:dyDescent="0.2">
      <c r="A141" s="613">
        <f t="shared" si="30"/>
        <v>131</v>
      </c>
      <c r="B141" s="613" t="str">
        <f>'WP2 Current Light Rates'!B142</f>
        <v>55 &amp; 56</v>
      </c>
      <c r="C141" s="611" t="str">
        <f>'WP2 Current Light Rates'!C142</f>
        <v>LED Lighting - Area Lighting</v>
      </c>
      <c r="D141" s="613" t="str">
        <f>'WP2 Current Light Rates'!D142</f>
        <v>60.01-90 Watts</v>
      </c>
      <c r="E141" s="613" t="s">
        <v>661</v>
      </c>
      <c r="F141" s="613" t="s">
        <v>681</v>
      </c>
      <c r="G141" s="553">
        <f>'WP2 Current Light Rates'!E142</f>
        <v>12.72</v>
      </c>
      <c r="I141" s="496">
        <f>'Schedules 55E &amp; 56E'!G26</f>
        <v>13.419999999999998</v>
      </c>
      <c r="J141" s="496">
        <f t="shared" si="44"/>
        <v>0.69999999999999751</v>
      </c>
      <c r="L141" s="496">
        <f t="shared" si="42"/>
        <v>13.419999999999998</v>
      </c>
      <c r="M141" s="496">
        <f t="shared" si="43"/>
        <v>0</v>
      </c>
    </row>
    <row r="142" spans="1:13" x14ac:dyDescent="0.2">
      <c r="A142" s="613">
        <f t="shared" si="30"/>
        <v>132</v>
      </c>
      <c r="B142" s="613" t="str">
        <f>'WP2 Current Light Rates'!B143</f>
        <v>55 &amp; 56</v>
      </c>
      <c r="C142" s="611" t="str">
        <f>'WP2 Current Light Rates'!C143</f>
        <v>LED Lighting - Area Lighting</v>
      </c>
      <c r="D142" s="613" t="str">
        <f>'WP2 Current Light Rates'!D143</f>
        <v>90.01-120 Watts</v>
      </c>
      <c r="E142" s="613" t="s">
        <v>661</v>
      </c>
      <c r="F142" s="613" t="s">
        <v>681</v>
      </c>
      <c r="G142" s="553">
        <f>'WP2 Current Light Rates'!E143</f>
        <v>15.09</v>
      </c>
      <c r="I142" s="496">
        <f>'Schedules 55E &amp; 56E'!G27</f>
        <v>14.62</v>
      </c>
      <c r="J142" s="496">
        <f t="shared" si="44"/>
        <v>-0.47000000000000064</v>
      </c>
      <c r="L142" s="496">
        <f t="shared" si="42"/>
        <v>14.62</v>
      </c>
      <c r="M142" s="496">
        <f t="shared" si="43"/>
        <v>0</v>
      </c>
    </row>
    <row r="143" spans="1:13" x14ac:dyDescent="0.2">
      <c r="A143" s="613">
        <f t="shared" ref="A143:A180" si="45">A142+1</f>
        <v>133</v>
      </c>
      <c r="B143" s="613" t="str">
        <f>'WP2 Current Light Rates'!B144</f>
        <v>55 &amp; 56</v>
      </c>
      <c r="C143" s="611" t="str">
        <f>'WP2 Current Light Rates'!C144</f>
        <v>LED Lighting - Area Lighting</v>
      </c>
      <c r="D143" s="613" t="str">
        <f>'WP2 Current Light Rates'!D144</f>
        <v>120.01-150 Watts</v>
      </c>
      <c r="E143" s="613" t="s">
        <v>661</v>
      </c>
      <c r="F143" s="613" t="s">
        <v>681</v>
      </c>
      <c r="G143" s="553">
        <f>'WP2 Current Light Rates'!E144</f>
        <v>16.38</v>
      </c>
      <c r="I143" s="496">
        <f>'Schedules 55E &amp; 56E'!G28</f>
        <v>17.39</v>
      </c>
      <c r="J143" s="496">
        <f t="shared" si="44"/>
        <v>1.0100000000000016</v>
      </c>
      <c r="L143" s="496">
        <f t="shared" si="42"/>
        <v>17.39</v>
      </c>
      <c r="M143" s="496">
        <f t="shared" si="43"/>
        <v>0</v>
      </c>
    </row>
    <row r="144" spans="1:13" x14ac:dyDescent="0.2">
      <c r="A144" s="613">
        <f t="shared" si="45"/>
        <v>134</v>
      </c>
      <c r="B144" s="613" t="str">
        <f>'WP2 Current Light Rates'!B145</f>
        <v>55 &amp; 56</v>
      </c>
      <c r="C144" s="611" t="str">
        <f>'WP2 Current Light Rates'!C145</f>
        <v>LED Lighting - Area Lighting</v>
      </c>
      <c r="D144" s="613" t="str">
        <f>'WP2 Current Light Rates'!D145</f>
        <v>150.01-180 Watts</v>
      </c>
      <c r="E144" s="613" t="s">
        <v>661</v>
      </c>
      <c r="F144" s="613" t="s">
        <v>681</v>
      </c>
      <c r="G144" s="553">
        <f>'WP2 Current Light Rates'!E145</f>
        <v>18.75</v>
      </c>
      <c r="I144" s="496">
        <f>'Schedules 55E &amp; 56E'!G29</f>
        <v>19.77</v>
      </c>
      <c r="J144" s="496">
        <f t="shared" si="44"/>
        <v>1.0199999999999996</v>
      </c>
      <c r="L144" s="496">
        <f t="shared" si="42"/>
        <v>19.77</v>
      </c>
      <c r="M144" s="496">
        <f t="shared" si="43"/>
        <v>0</v>
      </c>
    </row>
    <row r="145" spans="1:16" x14ac:dyDescent="0.2">
      <c r="A145" s="613">
        <f t="shared" si="45"/>
        <v>135</v>
      </c>
      <c r="B145" s="613" t="str">
        <f>'WP2 Current Light Rates'!B146</f>
        <v>55 &amp; 56</v>
      </c>
      <c r="C145" s="611" t="str">
        <f>'WP2 Current Light Rates'!C146</f>
        <v>LED Lighting - Area Lighting</v>
      </c>
      <c r="D145" s="613" t="str">
        <f>'WP2 Current Light Rates'!D146</f>
        <v>180.01-210 Watts</v>
      </c>
      <c r="E145" s="613" t="s">
        <v>661</v>
      </c>
      <c r="F145" s="613" t="s">
        <v>681</v>
      </c>
      <c r="G145" s="553">
        <f>'WP2 Current Light Rates'!E146</f>
        <v>20.8</v>
      </c>
      <c r="I145" s="496">
        <f>'Schedules 55E &amp; 56E'!G30</f>
        <v>22.149999999999995</v>
      </c>
      <c r="J145" s="496">
        <f t="shared" si="44"/>
        <v>1.3499999999999943</v>
      </c>
      <c r="L145" s="496">
        <f t="shared" si="42"/>
        <v>22.149999999999995</v>
      </c>
      <c r="M145" s="496">
        <f t="shared" si="43"/>
        <v>0</v>
      </c>
    </row>
    <row r="146" spans="1:16" x14ac:dyDescent="0.2">
      <c r="A146" s="613">
        <f t="shared" si="45"/>
        <v>136</v>
      </c>
      <c r="B146" s="613" t="str">
        <f>'WP2 Current Light Rates'!B147</f>
        <v>55 &amp; 56</v>
      </c>
      <c r="C146" s="611" t="str">
        <f>'WP2 Current Light Rates'!C147</f>
        <v>LED Lighting - Area Lighting</v>
      </c>
      <c r="D146" s="613" t="str">
        <f>'WP2 Current Light Rates'!D147</f>
        <v>210.01-240 Watts</v>
      </c>
      <c r="E146" s="613" t="s">
        <v>661</v>
      </c>
      <c r="F146" s="613" t="s">
        <v>681</v>
      </c>
      <c r="G146" s="553">
        <f>'WP2 Current Light Rates'!E147</f>
        <v>22.84</v>
      </c>
      <c r="I146" s="496">
        <f>'Schedules 55E &amp; 56E'!G31</f>
        <v>24.53</v>
      </c>
      <c r="J146" s="496">
        <f t="shared" si="44"/>
        <v>1.6900000000000013</v>
      </c>
      <c r="L146" s="496">
        <f t="shared" si="42"/>
        <v>24.53</v>
      </c>
      <c r="M146" s="496">
        <f t="shared" si="43"/>
        <v>0</v>
      </c>
    </row>
    <row r="147" spans="1:16" x14ac:dyDescent="0.2">
      <c r="A147" s="613">
        <f t="shared" si="45"/>
        <v>137</v>
      </c>
      <c r="B147" s="613" t="str">
        <f>'WP2 Current Light Rates'!B148</f>
        <v>55 &amp; 56</v>
      </c>
      <c r="C147" s="611" t="str">
        <f>'WP2 Current Light Rates'!C148</f>
        <v>LED Lighting - Area Lighting</v>
      </c>
      <c r="D147" s="613" t="str">
        <f>'WP2 Current Light Rates'!D148</f>
        <v>240.01-270 Watts</v>
      </c>
      <c r="E147" s="613" t="s">
        <v>661</v>
      </c>
      <c r="F147" s="613" t="s">
        <v>681</v>
      </c>
      <c r="G147" s="553">
        <f>'WP2 Current Light Rates'!E148</f>
        <v>24.89</v>
      </c>
      <c r="I147" s="496">
        <f>'Schedules 55E &amp; 56E'!G32</f>
        <v>26.900000000000002</v>
      </c>
      <c r="J147" s="496">
        <f t="shared" si="44"/>
        <v>2.0100000000000016</v>
      </c>
      <c r="L147" s="496">
        <f t="shared" si="42"/>
        <v>26.900000000000002</v>
      </c>
      <c r="M147" s="496">
        <f t="shared" si="43"/>
        <v>0</v>
      </c>
    </row>
    <row r="148" spans="1:16" x14ac:dyDescent="0.2">
      <c r="A148" s="613">
        <f t="shared" si="45"/>
        <v>138</v>
      </c>
      <c r="B148" s="613" t="str">
        <f>'WP2 Current Light Rates'!B149</f>
        <v>55 &amp; 56</v>
      </c>
      <c r="C148" s="611" t="str">
        <f>'WP2 Current Light Rates'!C149</f>
        <v>LED Lighting - Area Lighting</v>
      </c>
      <c r="D148" s="613" t="str">
        <f>'WP2 Current Light Rates'!D149</f>
        <v>270.01-300 Watts</v>
      </c>
      <c r="E148" s="613" t="s">
        <v>661</v>
      </c>
      <c r="F148" s="613" t="s">
        <v>681</v>
      </c>
      <c r="G148" s="553">
        <f>'WP2 Current Light Rates'!E149</f>
        <v>26.94</v>
      </c>
      <c r="I148" s="496">
        <f>'Schedules 55E &amp; 56E'!G33</f>
        <v>29.28</v>
      </c>
      <c r="J148" s="496">
        <f t="shared" si="44"/>
        <v>2.34</v>
      </c>
      <c r="L148" s="496">
        <f t="shared" si="42"/>
        <v>29.28</v>
      </c>
      <c r="M148" s="496">
        <f t="shared" si="43"/>
        <v>0</v>
      </c>
    </row>
    <row r="149" spans="1:16" x14ac:dyDescent="0.2">
      <c r="A149" s="613">
        <f t="shared" si="45"/>
        <v>139</v>
      </c>
      <c r="B149" s="613"/>
      <c r="D149" s="613"/>
      <c r="E149" s="613"/>
      <c r="F149" s="613"/>
      <c r="G149" s="553"/>
    </row>
    <row r="150" spans="1:16" x14ac:dyDescent="0.2">
      <c r="A150" s="613">
        <f t="shared" si="45"/>
        <v>140</v>
      </c>
      <c r="B150" s="613">
        <f>'WP2 Current Light Rates'!B151</f>
        <v>55</v>
      </c>
      <c r="C150" s="611" t="str">
        <f>'WP2 Current Light Rates'!C151</f>
        <v>Area Lighting</v>
      </c>
      <c r="D150" s="613" t="str">
        <f>'WP2 Current Light Rates'!D151</f>
        <v>Pole Charge (Old) (Pre 11/74)</v>
      </c>
      <c r="E150" s="613" t="s">
        <v>661</v>
      </c>
      <c r="F150" s="613" t="s">
        <v>681</v>
      </c>
      <c r="G150" s="553">
        <f>'WP2 Current Light Rates'!E151</f>
        <v>6.34</v>
      </c>
      <c r="I150" s="496">
        <f>'Schedules 55E &amp; 58E Pole'!E13</f>
        <v>5.29</v>
      </c>
      <c r="J150" s="496">
        <f>I150-G150</f>
        <v>-1.0499999999999998</v>
      </c>
      <c r="L150" s="496">
        <f>I150</f>
        <v>5.29</v>
      </c>
      <c r="M150" s="496">
        <f>L150-I150</f>
        <v>0</v>
      </c>
    </row>
    <row r="151" spans="1:16" x14ac:dyDescent="0.2">
      <c r="A151" s="613">
        <f t="shared" si="45"/>
        <v>141</v>
      </c>
      <c r="B151" s="613">
        <f>'WP2 Current Light Rates'!B152</f>
        <v>55</v>
      </c>
      <c r="C151" s="611" t="str">
        <f>'WP2 Current Light Rates'!C152</f>
        <v>Area Lighting</v>
      </c>
      <c r="D151" s="613" t="str">
        <f>'WP2 Current Light Rates'!D152</f>
        <v>Pole Charge (New) (Post 10-28-99)</v>
      </c>
      <c r="E151" s="613" t="s">
        <v>661</v>
      </c>
      <c r="F151" s="613" t="s">
        <v>681</v>
      </c>
      <c r="G151" s="553">
        <f>'WP2 Current Light Rates'!E152</f>
        <v>11.05</v>
      </c>
      <c r="I151" s="496">
        <f>'Schedules 55E &amp; 58E Pole'!E14</f>
        <v>8.32</v>
      </c>
      <c r="J151" s="496">
        <f>I151-G151</f>
        <v>-2.7300000000000004</v>
      </c>
      <c r="L151" s="496">
        <f>I151</f>
        <v>8.32</v>
      </c>
      <c r="M151" s="496">
        <f>L151-I151</f>
        <v>0</v>
      </c>
    </row>
    <row r="152" spans="1:16" x14ac:dyDescent="0.2">
      <c r="A152" s="613">
        <f t="shared" si="45"/>
        <v>142</v>
      </c>
      <c r="B152" s="613"/>
      <c r="D152" s="613"/>
      <c r="E152" s="613"/>
      <c r="F152" s="613"/>
      <c r="G152" s="553"/>
    </row>
    <row r="153" spans="1:16" x14ac:dyDescent="0.2">
      <c r="A153" s="613">
        <f t="shared" si="45"/>
        <v>143</v>
      </c>
      <c r="B153" s="613">
        <f>'WP2 Current Light Rates'!B154</f>
        <v>57</v>
      </c>
      <c r="C153" s="611" t="str">
        <f>'WP2 Current Light Rates'!C154</f>
        <v>Continuous Lighting</v>
      </c>
      <c r="D153" s="613" t="str">
        <f>'WP2 Current Light Rates'!D154</f>
        <v>$ / watt</v>
      </c>
      <c r="E153" s="613" t="s">
        <v>239</v>
      </c>
      <c r="F153" s="613" t="s">
        <v>682</v>
      </c>
      <c r="G153" s="348">
        <f>'WP2 Current Light Rates'!E154</f>
        <v>4.1930000000000002E-2</v>
      </c>
      <c r="H153" s="261"/>
      <c r="I153" s="261">
        <f>'Schedule 57E'!F13</f>
        <v>4.3869999999999999E-2</v>
      </c>
      <c r="J153" s="261">
        <f>I153-G153</f>
        <v>1.9399999999999973E-3</v>
      </c>
      <c r="K153" s="261"/>
      <c r="L153" s="261">
        <f>I153</f>
        <v>4.3869999999999999E-2</v>
      </c>
      <c r="M153" s="261">
        <f>L153-I153</f>
        <v>0</v>
      </c>
      <c r="N153" s="261"/>
      <c r="O153" s="261"/>
      <c r="P153" s="261"/>
    </row>
    <row r="154" spans="1:16" x14ac:dyDescent="0.2">
      <c r="A154" s="613">
        <f t="shared" si="45"/>
        <v>144</v>
      </c>
      <c r="B154" s="613">
        <f>'WP2 Current Light Rates'!B155</f>
        <v>57</v>
      </c>
      <c r="C154" s="611" t="str">
        <f>'WP2 Current Light Rates'!C155</f>
        <v>Continuous Lighting</v>
      </c>
      <c r="D154" s="613" t="str">
        <f>'WP2 Current Light Rates'!D155</f>
        <v>Minimum Charge</v>
      </c>
      <c r="E154" s="613"/>
      <c r="F154" s="613" t="s">
        <v>682</v>
      </c>
      <c r="G154" s="553" t="str">
        <f>'WP2 Current Light Rates'!E155</f>
        <v>n/a</v>
      </c>
      <c r="H154" s="553"/>
      <c r="I154" s="553" t="s">
        <v>531</v>
      </c>
      <c r="J154" s="553" t="s">
        <v>531</v>
      </c>
      <c r="K154" s="553"/>
      <c r="L154" s="553" t="str">
        <f>I154</f>
        <v>n/a</v>
      </c>
      <c r="M154" s="553" t="s">
        <v>531</v>
      </c>
      <c r="N154" s="553"/>
      <c r="O154" s="553"/>
      <c r="P154" s="553"/>
    </row>
    <row r="155" spans="1:16" x14ac:dyDescent="0.2">
      <c r="A155" s="613">
        <f t="shared" si="45"/>
        <v>145</v>
      </c>
      <c r="B155" s="613"/>
      <c r="D155" s="613"/>
      <c r="E155" s="613"/>
      <c r="F155" s="613"/>
      <c r="G155" s="553"/>
    </row>
    <row r="156" spans="1:16" x14ac:dyDescent="0.2">
      <c r="A156" s="613">
        <f t="shared" si="45"/>
        <v>146</v>
      </c>
      <c r="B156" s="613" t="str">
        <f>'WP2 Current Light Rates'!B157</f>
        <v>58 &amp; 59</v>
      </c>
      <c r="C156" s="611" t="str">
        <f>'WP2 Current Light Rates'!C157</f>
        <v>Sodium Vapor Flood Lighting - Directional</v>
      </c>
      <c r="D156" s="613" t="str">
        <f>'WP2 Current Light Rates'!D157</f>
        <v>70 Watts</v>
      </c>
      <c r="E156" s="613" t="s">
        <v>661</v>
      </c>
      <c r="F156" s="613" t="s">
        <v>683</v>
      </c>
      <c r="G156" s="553">
        <f>'WP2 Current Light Rates'!E157</f>
        <v>13.62</v>
      </c>
      <c r="I156" s="496">
        <f>'Schedules 58E &amp; 59E'!H13</f>
        <v>13.530000000000001</v>
      </c>
      <c r="J156" s="496">
        <f t="shared" ref="J156:J161" si="46">I156-G156</f>
        <v>-8.9999999999998082E-2</v>
      </c>
      <c r="L156" s="496">
        <f t="shared" ref="L156:L161" si="47">I156</f>
        <v>13.530000000000001</v>
      </c>
      <c r="M156" s="496">
        <f t="shared" ref="M156:M161" si="48">L156-I156</f>
        <v>0</v>
      </c>
    </row>
    <row r="157" spans="1:16" x14ac:dyDescent="0.2">
      <c r="A157" s="613">
        <f t="shared" si="45"/>
        <v>147</v>
      </c>
      <c r="B157" s="613" t="str">
        <f>'WP2 Current Light Rates'!B158</f>
        <v>58 &amp; 59</v>
      </c>
      <c r="C157" s="611" t="str">
        <f>'WP2 Current Light Rates'!C158</f>
        <v>Sodium Vapor Flood Lighting - Directional</v>
      </c>
      <c r="D157" s="613" t="str">
        <f>'WP2 Current Light Rates'!D158</f>
        <v>100 Watts</v>
      </c>
      <c r="E157" s="613" t="s">
        <v>661</v>
      </c>
      <c r="F157" s="613" t="s">
        <v>683</v>
      </c>
      <c r="G157" s="553">
        <f>'WP2 Current Light Rates'!E158</f>
        <v>14.03</v>
      </c>
      <c r="I157" s="496">
        <f>'Schedules 58E &amp; 59E'!H14</f>
        <v>13.879999999999999</v>
      </c>
      <c r="J157" s="496">
        <f t="shared" si="46"/>
        <v>-0.15000000000000036</v>
      </c>
      <c r="L157" s="496">
        <f t="shared" si="47"/>
        <v>13.879999999999999</v>
      </c>
      <c r="M157" s="496">
        <f t="shared" si="48"/>
        <v>0</v>
      </c>
    </row>
    <row r="158" spans="1:16" x14ac:dyDescent="0.2">
      <c r="A158" s="613">
        <f t="shared" si="45"/>
        <v>148</v>
      </c>
      <c r="B158" s="613" t="str">
        <f>'WP2 Current Light Rates'!B159</f>
        <v>58 &amp; 59</v>
      </c>
      <c r="C158" s="611" t="str">
        <f>'WP2 Current Light Rates'!C159</f>
        <v>Sodium Vapor Flood Lighting - Directional</v>
      </c>
      <c r="D158" s="613" t="str">
        <f>'WP2 Current Light Rates'!D159</f>
        <v>150 Watts</v>
      </c>
      <c r="E158" s="613" t="s">
        <v>661</v>
      </c>
      <c r="F158" s="613" t="s">
        <v>683</v>
      </c>
      <c r="G158" s="553">
        <f>'WP2 Current Light Rates'!E159</f>
        <v>15.65</v>
      </c>
      <c r="I158" s="496">
        <f>'Schedules 58E &amp; 59E'!H15</f>
        <v>15.36</v>
      </c>
      <c r="J158" s="496">
        <f t="shared" si="46"/>
        <v>-0.29000000000000092</v>
      </c>
      <c r="L158" s="496">
        <f t="shared" si="47"/>
        <v>15.36</v>
      </c>
      <c r="M158" s="496">
        <f t="shared" si="48"/>
        <v>0</v>
      </c>
    </row>
    <row r="159" spans="1:16" x14ac:dyDescent="0.2">
      <c r="A159" s="613">
        <f t="shared" si="45"/>
        <v>149</v>
      </c>
      <c r="B159" s="613" t="str">
        <f>'WP2 Current Light Rates'!B160</f>
        <v>58 &amp; 59</v>
      </c>
      <c r="C159" s="611" t="str">
        <f>'WP2 Current Light Rates'!C160</f>
        <v>Sodium Vapor Flood Lighting - Directional</v>
      </c>
      <c r="D159" s="613" t="str">
        <f>'WP2 Current Light Rates'!D160</f>
        <v>200 Watts</v>
      </c>
      <c r="E159" s="613" t="s">
        <v>661</v>
      </c>
      <c r="F159" s="613" t="s">
        <v>683</v>
      </c>
      <c r="G159" s="553">
        <f>'WP2 Current Light Rates'!E160</f>
        <v>17.77</v>
      </c>
      <c r="I159" s="496">
        <f>'Schedules 58E &amp; 59E'!H16</f>
        <v>17.34</v>
      </c>
      <c r="J159" s="496">
        <f t="shared" si="46"/>
        <v>-0.42999999999999972</v>
      </c>
      <c r="L159" s="496">
        <f t="shared" si="47"/>
        <v>17.34</v>
      </c>
      <c r="M159" s="496">
        <f t="shared" si="48"/>
        <v>0</v>
      </c>
    </row>
    <row r="160" spans="1:16" x14ac:dyDescent="0.2">
      <c r="A160" s="613">
        <f t="shared" si="45"/>
        <v>150</v>
      </c>
      <c r="B160" s="613" t="str">
        <f>'WP2 Current Light Rates'!B161</f>
        <v>58 &amp; 59</v>
      </c>
      <c r="C160" s="611" t="str">
        <f>'WP2 Current Light Rates'!C161</f>
        <v>Sodium Vapor Flood Lighting - Directional</v>
      </c>
      <c r="D160" s="613" t="str">
        <f>'WP2 Current Light Rates'!D161</f>
        <v>250 Watts</v>
      </c>
      <c r="E160" s="613" t="s">
        <v>661</v>
      </c>
      <c r="F160" s="613" t="s">
        <v>683</v>
      </c>
      <c r="G160" s="553">
        <f>'WP2 Current Light Rates'!E161</f>
        <v>19.54</v>
      </c>
      <c r="I160" s="496">
        <f>'Schedules 58E &amp; 59E'!H17</f>
        <v>18.979999999999997</v>
      </c>
      <c r="J160" s="496">
        <f t="shared" si="46"/>
        <v>-0.56000000000000227</v>
      </c>
      <c r="L160" s="496">
        <f t="shared" si="47"/>
        <v>18.979999999999997</v>
      </c>
      <c r="M160" s="496">
        <f t="shared" si="48"/>
        <v>0</v>
      </c>
    </row>
    <row r="161" spans="1:13" x14ac:dyDescent="0.2">
      <c r="A161" s="613">
        <f t="shared" si="45"/>
        <v>151</v>
      </c>
      <c r="B161" s="613" t="str">
        <f>'WP2 Current Light Rates'!B162</f>
        <v>58 &amp; 59</v>
      </c>
      <c r="C161" s="611" t="str">
        <f>'WP2 Current Light Rates'!C162</f>
        <v>Sodium Vapor Flood Lighting - Directional</v>
      </c>
      <c r="D161" s="613" t="str">
        <f>'WP2 Current Light Rates'!D162</f>
        <v>400 Watts</v>
      </c>
      <c r="E161" s="613" t="s">
        <v>661</v>
      </c>
      <c r="F161" s="613" t="s">
        <v>683</v>
      </c>
      <c r="G161" s="553">
        <f>'WP2 Current Light Rates'!E162</f>
        <v>25.47</v>
      </c>
      <c r="I161" s="496">
        <f>'Schedules 58E &amp; 59E'!H18</f>
        <v>24.49</v>
      </c>
      <c r="J161" s="496">
        <f t="shared" si="46"/>
        <v>-0.98000000000000043</v>
      </c>
      <c r="L161" s="496">
        <f t="shared" si="47"/>
        <v>24.49</v>
      </c>
      <c r="M161" s="496">
        <f t="shared" si="48"/>
        <v>0</v>
      </c>
    </row>
    <row r="162" spans="1:13" x14ac:dyDescent="0.2">
      <c r="A162" s="613">
        <f t="shared" si="45"/>
        <v>152</v>
      </c>
      <c r="B162" s="613"/>
      <c r="D162" s="613"/>
      <c r="E162" s="613"/>
      <c r="F162" s="613"/>
      <c r="G162" s="553"/>
    </row>
    <row r="163" spans="1:13" x14ac:dyDescent="0.2">
      <c r="A163" s="613">
        <f t="shared" si="45"/>
        <v>153</v>
      </c>
      <c r="B163" s="613" t="str">
        <f>'WP2 Current Light Rates'!B164</f>
        <v>58 &amp; 59</v>
      </c>
      <c r="C163" s="611" t="str">
        <f>'WP2 Current Light Rates'!C164</f>
        <v>Metal Halide Flood Lighting - Directional</v>
      </c>
      <c r="D163" s="613" t="str">
        <f>'WP2 Current Light Rates'!D164</f>
        <v>175 Watts</v>
      </c>
      <c r="E163" s="613" t="s">
        <v>661</v>
      </c>
      <c r="F163" s="613" t="s">
        <v>683</v>
      </c>
      <c r="G163" s="553">
        <f>'WP2 Current Light Rates'!E164</f>
        <v>18</v>
      </c>
      <c r="I163" s="496">
        <f>'Schedules 58E &amp; 59E'!H28</f>
        <v>18.310000000000002</v>
      </c>
      <c r="J163" s="496">
        <f>I163-G163</f>
        <v>0.31000000000000227</v>
      </c>
      <c r="L163" s="496">
        <f>I163</f>
        <v>18.310000000000002</v>
      </c>
      <c r="M163" s="496">
        <f>L163-I163</f>
        <v>0</v>
      </c>
    </row>
    <row r="164" spans="1:13" x14ac:dyDescent="0.2">
      <c r="A164" s="613">
        <f t="shared" si="45"/>
        <v>154</v>
      </c>
      <c r="B164" s="613" t="str">
        <f>'WP2 Current Light Rates'!B165</f>
        <v>58 &amp; 59</v>
      </c>
      <c r="C164" s="611" t="str">
        <f>'WP2 Current Light Rates'!C165</f>
        <v>Metal Halide Flood Lighting - Directional</v>
      </c>
      <c r="D164" s="613" t="str">
        <f>'WP2 Current Light Rates'!D165</f>
        <v>250 Watts</v>
      </c>
      <c r="E164" s="613" t="s">
        <v>661</v>
      </c>
      <c r="F164" s="613" t="s">
        <v>683</v>
      </c>
      <c r="G164" s="553">
        <f>'WP2 Current Light Rates'!E165</f>
        <v>21.08</v>
      </c>
      <c r="I164" s="496">
        <f>'Schedules 58E &amp; 59E'!H29</f>
        <v>21.16</v>
      </c>
      <c r="J164" s="496">
        <f>I164-G164</f>
        <v>8.0000000000001847E-2</v>
      </c>
      <c r="L164" s="496">
        <f>I164</f>
        <v>21.16</v>
      </c>
      <c r="M164" s="496">
        <f>L164-I164</f>
        <v>0</v>
      </c>
    </row>
    <row r="165" spans="1:13" x14ac:dyDescent="0.2">
      <c r="A165" s="613">
        <f t="shared" si="45"/>
        <v>155</v>
      </c>
      <c r="B165" s="613" t="str">
        <f>'WP2 Current Light Rates'!B166</f>
        <v>58 &amp; 59</v>
      </c>
      <c r="C165" s="611" t="str">
        <f>'WP2 Current Light Rates'!C166</f>
        <v>Metal Halide Flood Lighting - Directional</v>
      </c>
      <c r="D165" s="613" t="str">
        <f>'WP2 Current Light Rates'!D166</f>
        <v>400 Watts</v>
      </c>
      <c r="E165" s="613" t="s">
        <v>661</v>
      </c>
      <c r="F165" s="613" t="s">
        <v>683</v>
      </c>
      <c r="G165" s="553">
        <f>'WP2 Current Light Rates'!E166</f>
        <v>25.92</v>
      </c>
      <c r="I165" s="496">
        <f>'Schedules 58E &amp; 59E'!H30</f>
        <v>25.630000000000003</v>
      </c>
      <c r="J165" s="496">
        <f>I165-G165</f>
        <v>-0.28999999999999915</v>
      </c>
      <c r="L165" s="496">
        <f>I165</f>
        <v>25.630000000000003</v>
      </c>
      <c r="M165" s="496">
        <f>L165-I165</f>
        <v>0</v>
      </c>
    </row>
    <row r="166" spans="1:13" x14ac:dyDescent="0.2">
      <c r="A166" s="613">
        <f t="shared" si="45"/>
        <v>156</v>
      </c>
      <c r="B166" s="613" t="str">
        <f>'WP2 Current Light Rates'!B167</f>
        <v>58 &amp; 59</v>
      </c>
      <c r="C166" s="611" t="str">
        <f>'WP2 Current Light Rates'!C167</f>
        <v>Metal Halide Flood Lighting - Directional</v>
      </c>
      <c r="D166" s="613" t="str">
        <f>'WP2 Current Light Rates'!D167</f>
        <v>1000 Watts</v>
      </c>
      <c r="E166" s="613" t="s">
        <v>661</v>
      </c>
      <c r="F166" s="613" t="s">
        <v>683</v>
      </c>
      <c r="G166" s="553">
        <f>'WP2 Current Light Rates'!E167</f>
        <v>48.57</v>
      </c>
      <c r="I166" s="496">
        <f>'Schedules 58E &amp; 59E'!H31</f>
        <v>46.539999999999992</v>
      </c>
      <c r="J166" s="496">
        <f>I166-G166</f>
        <v>-2.0300000000000082</v>
      </c>
      <c r="L166" s="496">
        <f>I166</f>
        <v>46.539999999999992</v>
      </c>
      <c r="M166" s="496">
        <f>L166-I166</f>
        <v>0</v>
      </c>
    </row>
    <row r="167" spans="1:13" x14ac:dyDescent="0.2">
      <c r="A167" s="613">
        <f t="shared" si="45"/>
        <v>157</v>
      </c>
      <c r="B167" s="613"/>
      <c r="D167" s="613"/>
      <c r="E167" s="613"/>
      <c r="F167" s="613"/>
      <c r="G167" s="553"/>
    </row>
    <row r="168" spans="1:13" x14ac:dyDescent="0.2">
      <c r="A168" s="613">
        <f t="shared" si="45"/>
        <v>158</v>
      </c>
      <c r="B168" s="613" t="str">
        <f>'WP2 Current Light Rates'!B169</f>
        <v>58 &amp; 59</v>
      </c>
      <c r="C168" s="611" t="str">
        <f>'WP2 Current Light Rates'!C169</f>
        <v>Sodium Vapor Flood Lighting - Horizontal</v>
      </c>
      <c r="D168" s="613" t="str">
        <f>'WP2 Current Light Rates'!D169</f>
        <v>100 Watts</v>
      </c>
      <c r="E168" s="613" t="s">
        <v>661</v>
      </c>
      <c r="F168" s="613" t="s">
        <v>684</v>
      </c>
      <c r="G168" s="553">
        <f>'WP2 Current Light Rates'!E169</f>
        <v>14.03</v>
      </c>
      <c r="I168" s="496">
        <f>'Schedules 58E &amp; 59E'!H21</f>
        <v>13.879999999999999</v>
      </c>
      <c r="J168" s="496">
        <f>I168-G168</f>
        <v>-0.15000000000000036</v>
      </c>
      <c r="L168" s="496">
        <f>I168</f>
        <v>13.879999999999999</v>
      </c>
      <c r="M168" s="496">
        <f>L168-I168</f>
        <v>0</v>
      </c>
    </row>
    <row r="169" spans="1:13" x14ac:dyDescent="0.2">
      <c r="A169" s="613">
        <f t="shared" si="45"/>
        <v>159</v>
      </c>
      <c r="B169" s="613" t="str">
        <f>'WP2 Current Light Rates'!B170</f>
        <v>58 &amp; 59</v>
      </c>
      <c r="C169" s="611" t="str">
        <f>'WP2 Current Light Rates'!C170</f>
        <v>Sodium Vapor Flood Lighting - Horizontal</v>
      </c>
      <c r="D169" s="613" t="str">
        <f>'WP2 Current Light Rates'!D170</f>
        <v>150 Watts</v>
      </c>
      <c r="E169" s="613" t="s">
        <v>661</v>
      </c>
      <c r="F169" s="613" t="s">
        <v>684</v>
      </c>
      <c r="G169" s="553">
        <f>'WP2 Current Light Rates'!E170</f>
        <v>15.65</v>
      </c>
      <c r="I169" s="496">
        <f>'Schedules 58E &amp; 59E'!H22</f>
        <v>15.36</v>
      </c>
      <c r="J169" s="496">
        <f>I169-G169</f>
        <v>-0.29000000000000092</v>
      </c>
      <c r="L169" s="496">
        <f>I169</f>
        <v>15.36</v>
      </c>
      <c r="M169" s="496">
        <f>L169-I169</f>
        <v>0</v>
      </c>
    </row>
    <row r="170" spans="1:13" x14ac:dyDescent="0.2">
      <c r="A170" s="613">
        <f t="shared" si="45"/>
        <v>160</v>
      </c>
      <c r="B170" s="613" t="str">
        <f>'WP2 Current Light Rates'!B171</f>
        <v>58 &amp; 59</v>
      </c>
      <c r="C170" s="611" t="str">
        <f>'WP2 Current Light Rates'!C171</f>
        <v>Sodium Vapor Flood Lighting - Horizontal</v>
      </c>
      <c r="D170" s="613" t="str">
        <f>'WP2 Current Light Rates'!D171</f>
        <v>200 Watts</v>
      </c>
      <c r="E170" s="613" t="s">
        <v>661</v>
      </c>
      <c r="F170" s="613" t="s">
        <v>684</v>
      </c>
      <c r="G170" s="553">
        <f>'WP2 Current Light Rates'!E171</f>
        <v>17.77</v>
      </c>
      <c r="I170" s="496">
        <f>'Schedules 58E &amp; 59E'!H23</f>
        <v>17.34</v>
      </c>
      <c r="J170" s="496">
        <f>I170-G170</f>
        <v>-0.42999999999999972</v>
      </c>
      <c r="L170" s="496">
        <f>I170</f>
        <v>17.34</v>
      </c>
      <c r="M170" s="496">
        <f>L170-I170</f>
        <v>0</v>
      </c>
    </row>
    <row r="171" spans="1:13" x14ac:dyDescent="0.2">
      <c r="A171" s="613">
        <f t="shared" si="45"/>
        <v>161</v>
      </c>
      <c r="B171" s="613" t="str">
        <f>'WP2 Current Light Rates'!B172</f>
        <v>58 &amp; 59</v>
      </c>
      <c r="C171" s="611" t="str">
        <f>'WP2 Current Light Rates'!C172</f>
        <v>Sodium Vapor Flood Lighting - Horizontal</v>
      </c>
      <c r="D171" s="613" t="str">
        <f>'WP2 Current Light Rates'!D172</f>
        <v>250 Watts</v>
      </c>
      <c r="E171" s="613" t="s">
        <v>661</v>
      </c>
      <c r="F171" s="613" t="s">
        <v>684</v>
      </c>
      <c r="G171" s="553">
        <f>'WP2 Current Light Rates'!E172</f>
        <v>19.54</v>
      </c>
      <c r="I171" s="496">
        <f>'Schedules 58E &amp; 59E'!H24</f>
        <v>18.979999999999997</v>
      </c>
      <c r="J171" s="496">
        <f>I171-G171</f>
        <v>-0.56000000000000227</v>
      </c>
      <c r="L171" s="496">
        <f>I171</f>
        <v>18.979999999999997</v>
      </c>
      <c r="M171" s="496">
        <f>L171-I171</f>
        <v>0</v>
      </c>
    </row>
    <row r="172" spans="1:13" x14ac:dyDescent="0.2">
      <c r="A172" s="613">
        <f t="shared" si="45"/>
        <v>162</v>
      </c>
      <c r="B172" s="613" t="str">
        <f>'WP2 Current Light Rates'!B173</f>
        <v>58 &amp; 59</v>
      </c>
      <c r="C172" s="611" t="str">
        <f>'WP2 Current Light Rates'!C173</f>
        <v>Sodium Vapor Flood Lighting - Horizontal</v>
      </c>
      <c r="D172" s="613" t="str">
        <f>'WP2 Current Light Rates'!D173</f>
        <v>400 Watts</v>
      </c>
      <c r="E172" s="613" t="s">
        <v>661</v>
      </c>
      <c r="F172" s="613" t="s">
        <v>684</v>
      </c>
      <c r="G172" s="553">
        <f>'WP2 Current Light Rates'!E173</f>
        <v>25.47</v>
      </c>
      <c r="I172" s="496">
        <f>'Schedules 58E &amp; 59E'!H25</f>
        <v>24.49</v>
      </c>
      <c r="J172" s="496">
        <f>I172-G172</f>
        <v>-0.98000000000000043</v>
      </c>
      <c r="L172" s="496">
        <f>I172</f>
        <v>24.49</v>
      </c>
      <c r="M172" s="496">
        <f>L172-I172</f>
        <v>0</v>
      </c>
    </row>
    <row r="173" spans="1:13" x14ac:dyDescent="0.2">
      <c r="A173" s="613">
        <f t="shared" si="45"/>
        <v>163</v>
      </c>
      <c r="B173" s="613"/>
      <c r="D173" s="613"/>
      <c r="E173" s="613"/>
      <c r="F173" s="613"/>
      <c r="G173" s="553"/>
    </row>
    <row r="174" spans="1:13" x14ac:dyDescent="0.2">
      <c r="A174" s="613">
        <f t="shared" si="45"/>
        <v>164</v>
      </c>
      <c r="B174" s="613" t="str">
        <f>'WP2 Current Light Rates'!B175</f>
        <v>58 &amp; 59</v>
      </c>
      <c r="C174" s="611" t="str">
        <f>'WP2 Current Light Rates'!C175</f>
        <v>Metal Halide Flood Lighting - Horizontal</v>
      </c>
      <c r="D174" s="613" t="str">
        <f>'WP2 Current Light Rates'!D175</f>
        <v>250 Watts</v>
      </c>
      <c r="E174" s="613" t="s">
        <v>661</v>
      </c>
      <c r="F174" s="613" t="s">
        <v>684</v>
      </c>
      <c r="G174" s="553">
        <f>'WP2 Current Light Rates'!E175</f>
        <v>21.08</v>
      </c>
      <c r="I174" s="496">
        <f>'Schedules 58E &amp; 59E'!H34</f>
        <v>21.16</v>
      </c>
      <c r="J174" s="496">
        <f>I174-G174</f>
        <v>8.0000000000001847E-2</v>
      </c>
      <c r="L174" s="496">
        <f>I174</f>
        <v>21.16</v>
      </c>
      <c r="M174" s="496">
        <f>L174-I174</f>
        <v>0</v>
      </c>
    </row>
    <row r="175" spans="1:13" x14ac:dyDescent="0.2">
      <c r="A175" s="613">
        <f t="shared" si="45"/>
        <v>165</v>
      </c>
      <c r="B175" s="613" t="str">
        <f>'WP2 Current Light Rates'!B176</f>
        <v>58 &amp; 59</v>
      </c>
      <c r="C175" s="611" t="str">
        <f>'WP2 Current Light Rates'!C176</f>
        <v>Metal Halide Flood Lighting - Horizontal</v>
      </c>
      <c r="D175" s="613" t="str">
        <f>'WP2 Current Light Rates'!D176</f>
        <v>400 Watts</v>
      </c>
      <c r="E175" s="613" t="s">
        <v>661</v>
      </c>
      <c r="F175" s="613" t="s">
        <v>684</v>
      </c>
      <c r="G175" s="553">
        <f>'WP2 Current Light Rates'!E176</f>
        <v>25.92</v>
      </c>
      <c r="I175" s="496">
        <f>'Schedules 58E &amp; 59E'!H35</f>
        <v>25.630000000000003</v>
      </c>
      <c r="J175" s="496">
        <f>I175-G175</f>
        <v>-0.28999999999999915</v>
      </c>
      <c r="L175" s="496">
        <f>I175</f>
        <v>25.630000000000003</v>
      </c>
      <c r="M175" s="496">
        <f>L175-I175</f>
        <v>0</v>
      </c>
    </row>
    <row r="176" spans="1:13" x14ac:dyDescent="0.2">
      <c r="A176" s="613">
        <f t="shared" si="45"/>
        <v>166</v>
      </c>
      <c r="B176" s="613"/>
      <c r="D176" s="613"/>
      <c r="E176" s="613"/>
      <c r="F176" s="613"/>
      <c r="G176" s="553"/>
    </row>
    <row r="177" spans="1:13" x14ac:dyDescent="0.2">
      <c r="A177" s="613">
        <f t="shared" si="45"/>
        <v>167</v>
      </c>
      <c r="B177" s="613" t="str">
        <f>'WP2 Current Light Rates'!B178</f>
        <v>58 &amp; 59</v>
      </c>
      <c r="C177" s="611" t="str">
        <f>'WP2 Current Light Rates'!C178</f>
        <v>LED Flood Lighting</v>
      </c>
      <c r="D177" s="613" t="str">
        <f>'WP2 Current Light Rates'!D178</f>
        <v>0-30 Watts</v>
      </c>
      <c r="E177" s="613" t="s">
        <v>661</v>
      </c>
      <c r="F177" s="613" t="s">
        <v>685</v>
      </c>
      <c r="G177" s="553">
        <f>'WP2 Current Light Rates'!E178</f>
        <v>12.16</v>
      </c>
      <c r="I177" s="496">
        <f>'Schedules 58E &amp; 59E'!H38</f>
        <v>8.6499999999999986</v>
      </c>
      <c r="J177" s="496">
        <f t="shared" ref="J177" si="49">I177-G177</f>
        <v>-3.5100000000000016</v>
      </c>
      <c r="L177" s="496">
        <f t="shared" ref="L177:L192" si="50">I177</f>
        <v>8.6499999999999986</v>
      </c>
      <c r="M177" s="496">
        <f t="shared" ref="M177:M192" si="51">L177-I177</f>
        <v>0</v>
      </c>
    </row>
    <row r="178" spans="1:13" x14ac:dyDescent="0.2">
      <c r="A178" s="613">
        <f t="shared" si="45"/>
        <v>168</v>
      </c>
      <c r="B178" s="613" t="str">
        <f>'WP2 Current Light Rates'!B179</f>
        <v>58 &amp; 59</v>
      </c>
      <c r="C178" s="611" t="str">
        <f>'WP2 Current Light Rates'!C179</f>
        <v>LED Flood Lighting</v>
      </c>
      <c r="D178" s="613" t="str">
        <f>'WP2 Current Light Rates'!D179</f>
        <v>30.01-60 Watts</v>
      </c>
      <c r="E178" s="613" t="s">
        <v>661</v>
      </c>
      <c r="F178" s="613" t="s">
        <v>685</v>
      </c>
      <c r="G178" s="553">
        <f>'WP2 Current Light Rates'!E179</f>
        <v>12.16</v>
      </c>
      <c r="I178" s="496">
        <f>'Schedules 58E &amp; 59E'!H39</f>
        <v>11.08</v>
      </c>
      <c r="J178" s="496">
        <f t="shared" ref="J178:J192" si="52">I178-G178</f>
        <v>-1.08</v>
      </c>
      <c r="L178" s="496">
        <f t="shared" si="50"/>
        <v>11.08</v>
      </c>
      <c r="M178" s="496">
        <f t="shared" si="51"/>
        <v>0</v>
      </c>
    </row>
    <row r="179" spans="1:13" x14ac:dyDescent="0.2">
      <c r="A179" s="613">
        <f t="shared" si="45"/>
        <v>169</v>
      </c>
      <c r="B179" s="613" t="str">
        <f>'WP2 Current Light Rates'!B180</f>
        <v>58 &amp; 59</v>
      </c>
      <c r="C179" s="611" t="str">
        <f>'WP2 Current Light Rates'!C180</f>
        <v>LED Flood Lighting</v>
      </c>
      <c r="D179" s="613" t="str">
        <f>'WP2 Current Light Rates'!D180</f>
        <v>60.01-90 Watts</v>
      </c>
      <c r="E179" s="613" t="s">
        <v>661</v>
      </c>
      <c r="F179" s="613" t="s">
        <v>685</v>
      </c>
      <c r="G179" s="553">
        <f>'WP2 Current Light Rates'!E180</f>
        <v>14.03</v>
      </c>
      <c r="I179" s="496">
        <f>'Schedules 58E &amp; 59E'!H40</f>
        <v>13.519999999999998</v>
      </c>
      <c r="J179" s="496">
        <f t="shared" si="52"/>
        <v>-0.51000000000000156</v>
      </c>
      <c r="L179" s="496">
        <f t="shared" si="50"/>
        <v>13.519999999999998</v>
      </c>
      <c r="M179" s="496">
        <f t="shared" si="51"/>
        <v>0</v>
      </c>
    </row>
    <row r="180" spans="1:13" x14ac:dyDescent="0.2">
      <c r="A180" s="613">
        <f t="shared" si="45"/>
        <v>170</v>
      </c>
      <c r="B180" s="613" t="str">
        <f>'WP2 Current Light Rates'!B181</f>
        <v>58 &amp; 59</v>
      </c>
      <c r="C180" s="611" t="str">
        <f>'WP2 Current Light Rates'!C181</f>
        <v>LED Flood Lighting</v>
      </c>
      <c r="D180" s="613" t="str">
        <f>'WP2 Current Light Rates'!D181</f>
        <v>90.01-120 Watts</v>
      </c>
      <c r="E180" s="613" t="s">
        <v>661</v>
      </c>
      <c r="F180" s="613" t="s">
        <v>685</v>
      </c>
      <c r="G180" s="553">
        <f>'WP2 Current Light Rates'!E181</f>
        <v>15.89</v>
      </c>
      <c r="I180" s="496">
        <f>'Schedules 58E &amp; 59E'!H41</f>
        <v>15.959999999999999</v>
      </c>
      <c r="J180" s="496">
        <f t="shared" si="52"/>
        <v>6.9999999999998508E-2</v>
      </c>
      <c r="L180" s="496">
        <f t="shared" si="50"/>
        <v>15.959999999999999</v>
      </c>
      <c r="M180" s="496">
        <f t="shared" si="51"/>
        <v>0</v>
      </c>
    </row>
    <row r="181" spans="1:13" x14ac:dyDescent="0.2">
      <c r="A181" s="613">
        <f t="shared" ref="A181:A194" si="53">A180+1</f>
        <v>171</v>
      </c>
      <c r="B181" s="613" t="str">
        <f>'WP2 Current Light Rates'!B182</f>
        <v>58 &amp; 59</v>
      </c>
      <c r="C181" s="611" t="str">
        <f>'WP2 Current Light Rates'!C182</f>
        <v>LED Flood Lighting</v>
      </c>
      <c r="D181" s="613" t="str">
        <f>'WP2 Current Light Rates'!D182</f>
        <v>120.01-150 Watts</v>
      </c>
      <c r="E181" s="613" t="s">
        <v>661</v>
      </c>
      <c r="F181" s="613" t="s">
        <v>685</v>
      </c>
      <c r="G181" s="553">
        <f>'WP2 Current Light Rates'!E182</f>
        <v>17.760000000000002</v>
      </c>
      <c r="I181" s="496">
        <f>'Schedules 58E &amp; 59E'!H42</f>
        <v>18.41</v>
      </c>
      <c r="J181" s="496">
        <f t="shared" si="52"/>
        <v>0.64999999999999858</v>
      </c>
      <c r="L181" s="496">
        <f t="shared" si="50"/>
        <v>18.41</v>
      </c>
      <c r="M181" s="496">
        <f t="shared" si="51"/>
        <v>0</v>
      </c>
    </row>
    <row r="182" spans="1:13" x14ac:dyDescent="0.2">
      <c r="A182" s="613">
        <f t="shared" si="53"/>
        <v>172</v>
      </c>
      <c r="B182" s="613" t="str">
        <f>'WP2 Current Light Rates'!B183</f>
        <v>58 &amp; 59</v>
      </c>
      <c r="C182" s="611" t="str">
        <f>'WP2 Current Light Rates'!C183</f>
        <v>LED Flood Lighting</v>
      </c>
      <c r="D182" s="613" t="str">
        <f>'WP2 Current Light Rates'!D183</f>
        <v>150.01-180 Watts</v>
      </c>
      <c r="E182" s="613" t="s">
        <v>661</v>
      </c>
      <c r="F182" s="613" t="s">
        <v>685</v>
      </c>
      <c r="G182" s="553">
        <f>'WP2 Current Light Rates'!E183</f>
        <v>19.62</v>
      </c>
      <c r="I182" s="496">
        <f>'Schedules 58E &amp; 59E'!H43</f>
        <v>20.849999999999998</v>
      </c>
      <c r="J182" s="496">
        <f t="shared" si="52"/>
        <v>1.2299999999999969</v>
      </c>
      <c r="L182" s="496">
        <f t="shared" si="50"/>
        <v>20.849999999999998</v>
      </c>
      <c r="M182" s="496">
        <f t="shared" si="51"/>
        <v>0</v>
      </c>
    </row>
    <row r="183" spans="1:13" x14ac:dyDescent="0.2">
      <c r="A183" s="613">
        <f t="shared" si="53"/>
        <v>173</v>
      </c>
      <c r="B183" s="613" t="str">
        <f>'WP2 Current Light Rates'!B184</f>
        <v>58 &amp; 59</v>
      </c>
      <c r="C183" s="611" t="str">
        <f>'WP2 Current Light Rates'!C184</f>
        <v>LED Flood Lighting</v>
      </c>
      <c r="D183" s="613" t="str">
        <f>'WP2 Current Light Rates'!D184</f>
        <v>180.01-210 Watts</v>
      </c>
      <c r="E183" s="613" t="s">
        <v>661</v>
      </c>
      <c r="F183" s="613" t="s">
        <v>685</v>
      </c>
      <c r="G183" s="553">
        <f>'WP2 Current Light Rates'!E184</f>
        <v>21.49</v>
      </c>
      <c r="I183" s="496">
        <f>'Schedules 58E &amp; 59E'!H44</f>
        <v>23.299999999999997</v>
      </c>
      <c r="J183" s="496">
        <f t="shared" si="52"/>
        <v>1.8099999999999987</v>
      </c>
      <c r="L183" s="496">
        <f t="shared" si="50"/>
        <v>23.299999999999997</v>
      </c>
      <c r="M183" s="496">
        <f t="shared" si="51"/>
        <v>0</v>
      </c>
    </row>
    <row r="184" spans="1:13" x14ac:dyDescent="0.2">
      <c r="A184" s="613">
        <f t="shared" si="53"/>
        <v>174</v>
      </c>
      <c r="B184" s="613" t="str">
        <f>'WP2 Current Light Rates'!B185</f>
        <v>58 &amp; 59</v>
      </c>
      <c r="C184" s="611" t="str">
        <f>'WP2 Current Light Rates'!C185</f>
        <v>LED Flood Lighting</v>
      </c>
      <c r="D184" s="613" t="str">
        <f>'WP2 Current Light Rates'!D185</f>
        <v>210.01-240 Watts</v>
      </c>
      <c r="E184" s="613" t="s">
        <v>661</v>
      </c>
      <c r="F184" s="613" t="s">
        <v>685</v>
      </c>
      <c r="G184" s="553">
        <f>'WP2 Current Light Rates'!E185</f>
        <v>23.35</v>
      </c>
      <c r="I184" s="496">
        <f>'Schedules 58E &amp; 59E'!H45</f>
        <v>25.75</v>
      </c>
      <c r="J184" s="496">
        <f t="shared" si="52"/>
        <v>2.3999999999999986</v>
      </c>
      <c r="L184" s="496">
        <f t="shared" si="50"/>
        <v>25.75</v>
      </c>
      <c r="M184" s="496">
        <f t="shared" si="51"/>
        <v>0</v>
      </c>
    </row>
    <row r="185" spans="1:13" x14ac:dyDescent="0.2">
      <c r="A185" s="613">
        <f t="shared" si="53"/>
        <v>175</v>
      </c>
      <c r="B185" s="613" t="str">
        <f>'WP2 Current Light Rates'!B186</f>
        <v>58 &amp; 59</v>
      </c>
      <c r="C185" s="611" t="str">
        <f>'WP2 Current Light Rates'!C186</f>
        <v>LED Flood Lighting</v>
      </c>
      <c r="D185" s="613" t="str">
        <f>'WP2 Current Light Rates'!D186</f>
        <v>240.01-270 Watts</v>
      </c>
      <c r="E185" s="613" t="s">
        <v>661</v>
      </c>
      <c r="F185" s="613" t="s">
        <v>685</v>
      </c>
      <c r="G185" s="553">
        <f>'WP2 Current Light Rates'!E186</f>
        <v>25.22</v>
      </c>
      <c r="I185" s="496">
        <f>'Schedules 58E &amp; 59E'!H46</f>
        <v>28.19</v>
      </c>
      <c r="J185" s="496">
        <f t="shared" si="52"/>
        <v>2.9700000000000024</v>
      </c>
      <c r="L185" s="496">
        <f t="shared" si="50"/>
        <v>28.19</v>
      </c>
      <c r="M185" s="496">
        <f t="shared" si="51"/>
        <v>0</v>
      </c>
    </row>
    <row r="186" spans="1:13" x14ac:dyDescent="0.2">
      <c r="A186" s="613">
        <f t="shared" si="53"/>
        <v>176</v>
      </c>
      <c r="B186" s="613" t="str">
        <f>'WP2 Current Light Rates'!B187</f>
        <v>58 &amp; 59</v>
      </c>
      <c r="C186" s="611" t="str">
        <f>'WP2 Current Light Rates'!C187</f>
        <v>LED Flood Lighting</v>
      </c>
      <c r="D186" s="613" t="str">
        <f>'WP2 Current Light Rates'!D187</f>
        <v>270.01-300 Watts</v>
      </c>
      <c r="E186" s="613" t="s">
        <v>661</v>
      </c>
      <c r="F186" s="613" t="s">
        <v>685</v>
      </c>
      <c r="G186" s="553">
        <f>'WP2 Current Light Rates'!E187</f>
        <v>27.08</v>
      </c>
      <c r="I186" s="496">
        <f>'Schedules 58E &amp; 59E'!H47</f>
        <v>30.64</v>
      </c>
      <c r="J186" s="496">
        <f t="shared" si="52"/>
        <v>3.5600000000000023</v>
      </c>
      <c r="L186" s="496">
        <f t="shared" si="50"/>
        <v>30.64</v>
      </c>
      <c r="M186" s="496">
        <f t="shared" si="51"/>
        <v>0</v>
      </c>
    </row>
    <row r="187" spans="1:13" x14ac:dyDescent="0.2">
      <c r="A187" s="613">
        <f t="shared" si="53"/>
        <v>177</v>
      </c>
      <c r="B187" s="613" t="str">
        <f>'WP2 Current Light Rates'!B188</f>
        <v>58 &amp; 59</v>
      </c>
      <c r="C187" s="611" t="str">
        <f>'WP2 Current Light Rates'!C188</f>
        <v>LED Flood Lighting</v>
      </c>
      <c r="D187" s="613" t="str">
        <f>'WP2 Current Light Rates'!D188</f>
        <v>300.01-400 Watts</v>
      </c>
      <c r="E187" s="613" t="s">
        <v>661</v>
      </c>
      <c r="F187" s="613" t="s">
        <v>685</v>
      </c>
      <c r="G187" s="553">
        <f>'WP2 Current Light Rates'!E188</f>
        <v>31.12</v>
      </c>
      <c r="I187" s="496">
        <f>'Schedules 58E &amp; 59E'!H48</f>
        <v>35.92</v>
      </c>
      <c r="J187" s="496">
        <f t="shared" si="52"/>
        <v>4.8000000000000007</v>
      </c>
      <c r="L187" s="496">
        <f t="shared" si="50"/>
        <v>35.92</v>
      </c>
      <c r="M187" s="496">
        <f t="shared" si="51"/>
        <v>0</v>
      </c>
    </row>
    <row r="188" spans="1:13" x14ac:dyDescent="0.2">
      <c r="A188" s="613">
        <f t="shared" si="53"/>
        <v>178</v>
      </c>
      <c r="B188" s="613" t="str">
        <f>'WP2 Current Light Rates'!B189</f>
        <v>58 &amp; 59</v>
      </c>
      <c r="C188" s="611" t="str">
        <f>'WP2 Current Light Rates'!C189</f>
        <v>LED Flood Lighting</v>
      </c>
      <c r="D188" s="613" t="str">
        <f>'WP2 Current Light Rates'!D189</f>
        <v>400.01-500 Watts</v>
      </c>
      <c r="E188" s="613" t="s">
        <v>661</v>
      </c>
      <c r="F188" s="613" t="s">
        <v>685</v>
      </c>
      <c r="G188" s="553">
        <f>'WP2 Current Light Rates'!E189</f>
        <v>37.340000000000003</v>
      </c>
      <c r="I188" s="496">
        <f>'Schedules 58E &amp; 59E'!H49</f>
        <v>44.070000000000007</v>
      </c>
      <c r="J188" s="496">
        <f t="shared" si="52"/>
        <v>6.730000000000004</v>
      </c>
      <c r="L188" s="496">
        <f t="shared" si="50"/>
        <v>44.070000000000007</v>
      </c>
      <c r="M188" s="496">
        <f t="shared" si="51"/>
        <v>0</v>
      </c>
    </row>
    <row r="189" spans="1:13" x14ac:dyDescent="0.2">
      <c r="A189" s="613">
        <f t="shared" si="53"/>
        <v>179</v>
      </c>
      <c r="B189" s="613" t="str">
        <f>'WP2 Current Light Rates'!B190</f>
        <v>58 &amp; 59</v>
      </c>
      <c r="C189" s="611" t="str">
        <f>'WP2 Current Light Rates'!C190</f>
        <v>LED Flood Lighting</v>
      </c>
      <c r="D189" s="613" t="str">
        <f>'WP2 Current Light Rates'!D190</f>
        <v>500.01-600 Watts</v>
      </c>
      <c r="E189" s="613" t="s">
        <v>661</v>
      </c>
      <c r="F189" s="613" t="s">
        <v>685</v>
      </c>
      <c r="G189" s="553">
        <f>'WP2 Current Light Rates'!E190</f>
        <v>43.55</v>
      </c>
      <c r="I189" s="496">
        <f>'Schedules 58E &amp; 59E'!H50</f>
        <v>52.22</v>
      </c>
      <c r="J189" s="496">
        <f t="shared" si="52"/>
        <v>8.6700000000000017</v>
      </c>
      <c r="L189" s="496">
        <f t="shared" si="50"/>
        <v>52.22</v>
      </c>
      <c r="M189" s="496">
        <f t="shared" si="51"/>
        <v>0</v>
      </c>
    </row>
    <row r="190" spans="1:13" x14ac:dyDescent="0.2">
      <c r="A190" s="613">
        <f t="shared" si="53"/>
        <v>180</v>
      </c>
      <c r="B190" s="613" t="str">
        <f>'WP2 Current Light Rates'!B191</f>
        <v>58 &amp; 59</v>
      </c>
      <c r="C190" s="611" t="str">
        <f>'WP2 Current Light Rates'!C191</f>
        <v>LED Flood Lighting</v>
      </c>
      <c r="D190" s="613" t="str">
        <f>'WP2 Current Light Rates'!D191</f>
        <v>600.01-700 Watts</v>
      </c>
      <c r="E190" s="613" t="s">
        <v>661</v>
      </c>
      <c r="F190" s="613" t="s">
        <v>685</v>
      </c>
      <c r="G190" s="553">
        <f>'WP2 Current Light Rates'!E191</f>
        <v>49.77</v>
      </c>
      <c r="I190" s="496">
        <f>'Schedules 58E &amp; 59E'!H51</f>
        <v>60.36</v>
      </c>
      <c r="J190" s="496">
        <f t="shared" si="52"/>
        <v>10.589999999999996</v>
      </c>
      <c r="L190" s="496">
        <f t="shared" si="50"/>
        <v>60.36</v>
      </c>
      <c r="M190" s="496">
        <f t="shared" si="51"/>
        <v>0</v>
      </c>
    </row>
    <row r="191" spans="1:13" x14ac:dyDescent="0.2">
      <c r="A191" s="613">
        <f t="shared" si="53"/>
        <v>181</v>
      </c>
      <c r="B191" s="613" t="str">
        <f>'WP2 Current Light Rates'!B192</f>
        <v>58 &amp; 59</v>
      </c>
      <c r="C191" s="611" t="str">
        <f>'WP2 Current Light Rates'!C192</f>
        <v>LED Flood Lighting</v>
      </c>
      <c r="D191" s="613" t="str">
        <f>'WP2 Current Light Rates'!D192</f>
        <v>700.01-800 Watts</v>
      </c>
      <c r="E191" s="613" t="s">
        <v>661</v>
      </c>
      <c r="F191" s="613" t="s">
        <v>685</v>
      </c>
      <c r="G191" s="553">
        <f>'WP2 Current Light Rates'!E192</f>
        <v>55.99</v>
      </c>
      <c r="I191" s="496">
        <f>'Schedules 58E &amp; 59E'!H52</f>
        <v>68.509999999999991</v>
      </c>
      <c r="J191" s="496">
        <f t="shared" si="52"/>
        <v>12.519999999999989</v>
      </c>
      <c r="L191" s="496">
        <f t="shared" si="50"/>
        <v>68.509999999999991</v>
      </c>
      <c r="M191" s="496">
        <f t="shared" si="51"/>
        <v>0</v>
      </c>
    </row>
    <row r="192" spans="1:13" x14ac:dyDescent="0.2">
      <c r="A192" s="613">
        <f t="shared" si="53"/>
        <v>182</v>
      </c>
      <c r="B192" s="613" t="str">
        <f>'WP2 Current Light Rates'!B193</f>
        <v>58 &amp; 59</v>
      </c>
      <c r="C192" s="611" t="str">
        <f>'WP2 Current Light Rates'!C193</f>
        <v>LED Flood Lighting</v>
      </c>
      <c r="D192" s="613" t="str">
        <f>'WP2 Current Light Rates'!D193</f>
        <v>800.01-900 Watts</v>
      </c>
      <c r="E192" s="613" t="s">
        <v>661</v>
      </c>
      <c r="F192" s="613" t="s">
        <v>685</v>
      </c>
      <c r="G192" s="553">
        <f>'WP2 Current Light Rates'!E193</f>
        <v>62.2</v>
      </c>
      <c r="I192" s="496">
        <f>'Schedules 58E &amp; 59E'!H53</f>
        <v>76.66</v>
      </c>
      <c r="J192" s="496">
        <f t="shared" si="52"/>
        <v>14.459999999999994</v>
      </c>
      <c r="L192" s="496">
        <f t="shared" si="50"/>
        <v>76.66</v>
      </c>
      <c r="M192" s="496">
        <f t="shared" si="51"/>
        <v>0</v>
      </c>
    </row>
    <row r="193" spans="1:13" x14ac:dyDescent="0.2">
      <c r="A193" s="613">
        <f t="shared" si="53"/>
        <v>183</v>
      </c>
      <c r="B193" s="613"/>
      <c r="D193" s="613"/>
      <c r="E193" s="613"/>
      <c r="F193" s="613"/>
      <c r="G193" s="553"/>
    </row>
    <row r="194" spans="1:13" x14ac:dyDescent="0.2">
      <c r="A194" s="613">
        <f t="shared" si="53"/>
        <v>184</v>
      </c>
      <c r="B194" s="613" t="str">
        <f>'WP2 Current Light Rates'!B196</f>
        <v>58 &amp; 59</v>
      </c>
      <c r="C194" s="611" t="str">
        <f>'WP2 Current Light Rates'!C196</f>
        <v>Area Lighting</v>
      </c>
      <c r="D194" s="613" t="str">
        <f>'WP2 Current Light Rates'!D196</f>
        <v>Pole Charge (New) (Post 10-28-99)</v>
      </c>
      <c r="E194" s="613" t="s">
        <v>661</v>
      </c>
      <c r="F194" s="613" t="s">
        <v>686</v>
      </c>
      <c r="G194" s="553">
        <f>'WP2 Current Light Rates'!E196</f>
        <v>11.05</v>
      </c>
      <c r="I194" s="496">
        <f>'Schedules 55E &amp; 58E Pole'!E16</f>
        <v>8.32</v>
      </c>
      <c r="J194" s="496">
        <f>I194-G194</f>
        <v>-2.7300000000000004</v>
      </c>
      <c r="L194" s="496">
        <f>I194</f>
        <v>8.32</v>
      </c>
      <c r="M194" s="496">
        <f>L194-I194</f>
        <v>0</v>
      </c>
    </row>
    <row r="197" spans="1:13" ht="13.8" x14ac:dyDescent="0.3">
      <c r="B197" s="641"/>
    </row>
  </sheetData>
  <autoFilter ref="A7:P194"/>
  <mergeCells count="4">
    <mergeCell ref="A1:P1"/>
    <mergeCell ref="A2:P2"/>
    <mergeCell ref="A3:P3"/>
    <mergeCell ref="A4:P4"/>
  </mergeCells>
  <pageMargins left="0.7" right="0.7" top="0.75" bottom="0.75" header="0.3" footer="0.3"/>
  <pageSetup scale="66" fitToHeight="4" orientation="landscape" r:id="rId1"/>
  <headerFooter>
    <oddFooter>&amp;R&amp;F
&amp;A
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P55"/>
  <sheetViews>
    <sheetView workbookViewId="0">
      <pane ySplit="7" topLeftCell="A8" activePane="bottomLeft" state="frozen"/>
      <selection activeCell="D32" sqref="D32"/>
      <selection pane="bottomLeft" activeCell="E20" sqref="E20"/>
    </sheetView>
  </sheetViews>
  <sheetFormatPr defaultColWidth="8.88671875" defaultRowHeight="10.199999999999999" x14ac:dyDescent="0.2"/>
  <cols>
    <col min="1" max="1" width="6.109375" style="613" bestFit="1" customWidth="1"/>
    <col min="2" max="2" width="8" style="177" customWidth="1"/>
    <col min="3" max="3" width="30.6640625" style="177" bestFit="1" customWidth="1"/>
    <col min="4" max="4" width="26" style="177" bestFit="1" customWidth="1"/>
    <col min="5" max="5" width="11" style="177" bestFit="1" customWidth="1"/>
    <col min="6" max="6" width="13.6640625" style="177" customWidth="1"/>
    <col min="7" max="7" width="14" style="330" customWidth="1"/>
    <col min="8" max="8" width="0.6640625" style="177" customWidth="1"/>
    <col min="9" max="9" width="13.109375" style="330" customWidth="1"/>
    <col min="10" max="10" width="10" style="330" bestFit="1" customWidth="1"/>
    <col min="11" max="11" width="0.6640625" style="177" customWidth="1"/>
    <col min="12" max="12" width="14" style="330" customWidth="1"/>
    <col min="13" max="13" width="10.6640625" style="330" bestFit="1" customWidth="1"/>
    <col min="14" max="14" width="0.88671875" style="177" customWidth="1"/>
    <col min="15" max="15" width="13.5546875" style="330" customWidth="1"/>
    <col min="16" max="16" width="9.109375" style="330" bestFit="1" customWidth="1"/>
    <col min="17" max="16384" width="8.88671875" style="177"/>
  </cols>
  <sheetData>
    <row r="1" spans="1:16" ht="14.4" x14ac:dyDescent="0.3">
      <c r="A1" s="729" t="str">
        <f>'BDJ-6 Base Revenue (Summary)'!A1:I1</f>
        <v>Puget Sound Energy</v>
      </c>
      <c r="B1" s="729"/>
      <c r="C1" s="729"/>
      <c r="D1" s="729"/>
      <c r="E1" s="729"/>
      <c r="F1" s="729"/>
      <c r="G1" s="729"/>
      <c r="H1" s="729"/>
      <c r="I1" s="729"/>
      <c r="J1" s="729"/>
      <c r="K1" s="768"/>
      <c r="L1" s="768"/>
      <c r="M1" s="768"/>
      <c r="N1" s="768"/>
      <c r="O1" s="768"/>
      <c r="P1" s="768"/>
    </row>
    <row r="2" spans="1:16" ht="11.25" customHeight="1" x14ac:dyDescent="0.3">
      <c r="A2" s="729" t="s">
        <v>689</v>
      </c>
      <c r="B2" s="729"/>
      <c r="C2" s="729"/>
      <c r="D2" s="729"/>
      <c r="E2" s="729"/>
      <c r="F2" s="729"/>
      <c r="G2" s="729"/>
      <c r="H2" s="729"/>
      <c r="I2" s="729"/>
      <c r="J2" s="729"/>
      <c r="K2" s="768"/>
      <c r="L2" s="768"/>
      <c r="M2" s="768"/>
      <c r="N2" s="768"/>
      <c r="O2" s="768"/>
      <c r="P2" s="768"/>
    </row>
    <row r="3" spans="1:16" ht="14.4" x14ac:dyDescent="0.3">
      <c r="A3" s="729" t="str">
        <f>'BDJ-6 Base Revenue (Summary)'!A4:I4</f>
        <v>2022 General Rate Case (GRC)</v>
      </c>
      <c r="B3" s="729"/>
      <c r="C3" s="729"/>
      <c r="D3" s="729"/>
      <c r="E3" s="729"/>
      <c r="F3" s="729"/>
      <c r="G3" s="729"/>
      <c r="H3" s="729"/>
      <c r="I3" s="729"/>
      <c r="J3" s="729"/>
      <c r="K3" s="768"/>
      <c r="L3" s="768"/>
      <c r="M3" s="768"/>
      <c r="N3" s="768"/>
      <c r="O3" s="768"/>
      <c r="P3" s="768"/>
    </row>
    <row r="4" spans="1:16" ht="14.4" x14ac:dyDescent="0.3">
      <c r="A4" s="729" t="str">
        <f>'BDJ-6 Base Revenue (Summary)'!A5:I5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68"/>
      <c r="L4" s="768"/>
      <c r="M4" s="768"/>
      <c r="N4" s="768"/>
      <c r="O4" s="768"/>
      <c r="P4" s="768"/>
    </row>
    <row r="5" spans="1:16" ht="14.4" x14ac:dyDescent="0.3">
      <c r="A5" s="609"/>
      <c r="B5" s="609"/>
      <c r="C5" s="609"/>
      <c r="D5" s="609"/>
      <c r="E5" s="609"/>
      <c r="F5" s="609"/>
      <c r="G5" s="609"/>
      <c r="H5" s="615"/>
      <c r="I5" s="609"/>
      <c r="J5" s="609"/>
      <c r="K5" s="615"/>
      <c r="L5" s="615"/>
      <c r="M5" s="615"/>
      <c r="N5" s="615"/>
      <c r="O5" s="615"/>
      <c r="P5" s="615"/>
    </row>
    <row r="6" spans="1:16" s="574" customFormat="1" ht="20.399999999999999" x14ac:dyDescent="0.2">
      <c r="A6" s="610"/>
      <c r="G6" s="81" t="s">
        <v>687</v>
      </c>
      <c r="I6" s="81" t="s">
        <v>657</v>
      </c>
      <c r="J6" s="373"/>
      <c r="L6" s="81" t="s">
        <v>658</v>
      </c>
      <c r="M6" s="373"/>
      <c r="O6" s="81" t="s">
        <v>659</v>
      </c>
      <c r="P6" s="373"/>
    </row>
    <row r="7" spans="1:16" s="574" customFormat="1" ht="30.6" x14ac:dyDescent="0.2">
      <c r="A7" s="614" t="s">
        <v>1</v>
      </c>
      <c r="B7" s="614" t="s">
        <v>642</v>
      </c>
      <c r="C7" s="614" t="s">
        <v>53</v>
      </c>
      <c r="D7" s="614" t="s">
        <v>207</v>
      </c>
      <c r="E7" s="614" t="s">
        <v>660</v>
      </c>
      <c r="F7" s="614" t="s">
        <v>665</v>
      </c>
      <c r="G7" s="81" t="s">
        <v>688</v>
      </c>
      <c r="I7" s="81" t="s">
        <v>641</v>
      </c>
      <c r="J7" s="81" t="s">
        <v>640</v>
      </c>
      <c r="L7" s="81" t="s">
        <v>641</v>
      </c>
      <c r="M7" s="81" t="s">
        <v>640</v>
      </c>
      <c r="O7" s="81" t="s">
        <v>641</v>
      </c>
      <c r="P7" s="81" t="s">
        <v>640</v>
      </c>
    </row>
    <row r="8" spans="1:16" x14ac:dyDescent="0.2">
      <c r="B8" s="596" t="s">
        <v>3</v>
      </c>
      <c r="C8" s="15" t="s">
        <v>4</v>
      </c>
      <c r="D8" s="143" t="s">
        <v>5</v>
      </c>
      <c r="E8" s="169" t="s">
        <v>6</v>
      </c>
      <c r="F8" s="613" t="s">
        <v>390</v>
      </c>
      <c r="G8" s="596" t="s">
        <v>21</v>
      </c>
      <c r="H8" s="596"/>
      <c r="I8" s="596" t="s">
        <v>8</v>
      </c>
      <c r="J8" s="596" t="s">
        <v>976</v>
      </c>
      <c r="K8" s="596"/>
      <c r="L8" s="596" t="s">
        <v>22</v>
      </c>
      <c r="M8" s="596" t="s">
        <v>977</v>
      </c>
      <c r="N8" s="596"/>
      <c r="O8" s="596" t="s">
        <v>10</v>
      </c>
      <c r="P8" s="249" t="s">
        <v>978</v>
      </c>
    </row>
    <row r="9" spans="1:16" x14ac:dyDescent="0.2">
      <c r="A9" s="613">
        <v>1</v>
      </c>
      <c r="B9" s="613">
        <f>'WP2 Current Light Rates'!B24</f>
        <v>51</v>
      </c>
      <c r="C9" s="613" t="str">
        <f>'WP2 Current Light Rates'!C24</f>
        <v>Company Owned LED Lamp Charge</v>
      </c>
      <c r="D9" s="613" t="str">
        <f>'WP2 Current Light Rates'!D24</f>
        <v>0-30 Watts</v>
      </c>
      <c r="E9" s="613" t="s">
        <v>661</v>
      </c>
      <c r="F9" s="613"/>
      <c r="G9" s="350">
        <f>'WP3 Current Light Rates (Smart)'!E14</f>
        <v>0.36</v>
      </c>
      <c r="I9" s="330">
        <v>0</v>
      </c>
      <c r="J9" s="330">
        <f t="shared" ref="J9:J29" si="0">I9-G9</f>
        <v>-0.36</v>
      </c>
      <c r="L9" s="330">
        <f>I9</f>
        <v>0</v>
      </c>
      <c r="M9" s="330">
        <f t="shared" ref="M9:M18" si="1">L9-I9</f>
        <v>0</v>
      </c>
    </row>
    <row r="10" spans="1:16" x14ac:dyDescent="0.2">
      <c r="A10" s="613">
        <f>A9+1</f>
        <v>2</v>
      </c>
      <c r="B10" s="613">
        <f>'WP2 Current Light Rates'!B25</f>
        <v>51</v>
      </c>
      <c r="C10" s="613" t="str">
        <f>'WP2 Current Light Rates'!C25</f>
        <v>Company Owned LED Lamp Charge</v>
      </c>
      <c r="D10" s="613" t="str">
        <f>'WP2 Current Light Rates'!D25</f>
        <v>30.01-60 Watts</v>
      </c>
      <c r="E10" s="613" t="s">
        <v>661</v>
      </c>
      <c r="F10" s="613"/>
      <c r="G10" s="350">
        <f>'WP3 Current Light Rates (Smart)'!E15</f>
        <v>0.36</v>
      </c>
      <c r="I10" s="330">
        <v>0</v>
      </c>
      <c r="J10" s="330">
        <f t="shared" si="0"/>
        <v>-0.36</v>
      </c>
      <c r="L10" s="330">
        <f t="shared" ref="L10:L18" si="2">I10</f>
        <v>0</v>
      </c>
      <c r="M10" s="330">
        <f t="shared" si="1"/>
        <v>0</v>
      </c>
    </row>
    <row r="11" spans="1:16" x14ac:dyDescent="0.2">
      <c r="A11" s="613">
        <f t="shared" ref="A11:A51" si="3">A10+1</f>
        <v>3</v>
      </c>
      <c r="B11" s="613">
        <f>'WP2 Current Light Rates'!B26</f>
        <v>51</v>
      </c>
      <c r="C11" s="613" t="str">
        <f>'WP2 Current Light Rates'!C26</f>
        <v>Company Owned LED Lamp Charge</v>
      </c>
      <c r="D11" s="613" t="str">
        <f>'WP2 Current Light Rates'!D26</f>
        <v>60.01-90 Watts</v>
      </c>
      <c r="E11" s="613" t="s">
        <v>661</v>
      </c>
      <c r="F11" s="613"/>
      <c r="G11" s="350">
        <f>'WP3 Current Light Rates (Smart)'!E16</f>
        <v>0.6</v>
      </c>
      <c r="I11" s="330">
        <v>0</v>
      </c>
      <c r="J11" s="330">
        <f t="shared" si="0"/>
        <v>-0.6</v>
      </c>
      <c r="L11" s="330">
        <f t="shared" si="2"/>
        <v>0</v>
      </c>
      <c r="M11" s="330">
        <f t="shared" si="1"/>
        <v>0</v>
      </c>
    </row>
    <row r="12" spans="1:16" x14ac:dyDescent="0.2">
      <c r="A12" s="613">
        <f t="shared" si="3"/>
        <v>4</v>
      </c>
      <c r="B12" s="613">
        <f>'WP2 Current Light Rates'!B27</f>
        <v>51</v>
      </c>
      <c r="C12" s="613" t="str">
        <f>'WP2 Current Light Rates'!C27</f>
        <v>Company Owned LED Lamp Charge</v>
      </c>
      <c r="D12" s="613" t="str">
        <f>'WP2 Current Light Rates'!D27</f>
        <v>90.01-120 Watts</v>
      </c>
      <c r="E12" s="613" t="s">
        <v>661</v>
      </c>
      <c r="F12" s="613"/>
      <c r="G12" s="350">
        <f>'WP3 Current Light Rates (Smart)'!E17</f>
        <v>0.85</v>
      </c>
      <c r="I12" s="330">
        <v>0</v>
      </c>
      <c r="J12" s="330">
        <f t="shared" si="0"/>
        <v>-0.85</v>
      </c>
      <c r="L12" s="330">
        <f t="shared" si="2"/>
        <v>0</v>
      </c>
      <c r="M12" s="330">
        <f t="shared" si="1"/>
        <v>0</v>
      </c>
    </row>
    <row r="13" spans="1:16" x14ac:dyDescent="0.2">
      <c r="A13" s="613">
        <f t="shared" si="3"/>
        <v>5</v>
      </c>
      <c r="B13" s="613">
        <f>'WP2 Current Light Rates'!B28</f>
        <v>51</v>
      </c>
      <c r="C13" s="613" t="str">
        <f>'WP2 Current Light Rates'!C28</f>
        <v>Company Owned LED Lamp Charge</v>
      </c>
      <c r="D13" s="613" t="str">
        <f>'WP2 Current Light Rates'!D28</f>
        <v>120.01-150 Watts</v>
      </c>
      <c r="E13" s="613" t="s">
        <v>661</v>
      </c>
      <c r="F13" s="613"/>
      <c r="G13" s="350">
        <f>'WP3 Current Light Rates (Smart)'!E18</f>
        <v>1.0900000000000001</v>
      </c>
      <c r="I13" s="330">
        <v>0</v>
      </c>
      <c r="J13" s="330">
        <f t="shared" si="0"/>
        <v>-1.0900000000000001</v>
      </c>
      <c r="L13" s="330">
        <f t="shared" si="2"/>
        <v>0</v>
      </c>
      <c r="M13" s="330">
        <f t="shared" si="1"/>
        <v>0</v>
      </c>
    </row>
    <row r="14" spans="1:16" x14ac:dyDescent="0.2">
      <c r="A14" s="613">
        <f t="shared" si="3"/>
        <v>6</v>
      </c>
      <c r="B14" s="613">
        <f>'WP2 Current Light Rates'!B29</f>
        <v>51</v>
      </c>
      <c r="C14" s="613" t="str">
        <f>'WP2 Current Light Rates'!C29</f>
        <v>Company Owned LED Lamp Charge</v>
      </c>
      <c r="D14" s="613" t="str">
        <f>'WP2 Current Light Rates'!D29</f>
        <v>150.01-180 Watts</v>
      </c>
      <c r="E14" s="613" t="s">
        <v>661</v>
      </c>
      <c r="F14" s="613"/>
      <c r="G14" s="350">
        <f>'WP3 Current Light Rates (Smart)'!E19</f>
        <v>1.33</v>
      </c>
      <c r="I14" s="330">
        <v>0</v>
      </c>
      <c r="J14" s="330">
        <f t="shared" si="0"/>
        <v>-1.33</v>
      </c>
      <c r="L14" s="330">
        <f t="shared" si="2"/>
        <v>0</v>
      </c>
      <c r="M14" s="330">
        <f t="shared" si="1"/>
        <v>0</v>
      </c>
    </row>
    <row r="15" spans="1:16" x14ac:dyDescent="0.2">
      <c r="A15" s="613">
        <f t="shared" si="3"/>
        <v>7</v>
      </c>
      <c r="B15" s="613">
        <f>'WP2 Current Light Rates'!B30</f>
        <v>51</v>
      </c>
      <c r="C15" s="613" t="str">
        <f>'WP2 Current Light Rates'!C30</f>
        <v>Company Owned LED Lamp Charge</v>
      </c>
      <c r="D15" s="613" t="str">
        <f>'WP2 Current Light Rates'!D30</f>
        <v>180.01-210 Watts</v>
      </c>
      <c r="E15" s="613" t="s">
        <v>661</v>
      </c>
      <c r="F15" s="613"/>
      <c r="G15" s="350">
        <f>'WP3 Current Light Rates (Smart)'!E20</f>
        <v>1.57</v>
      </c>
      <c r="I15" s="330">
        <v>0</v>
      </c>
      <c r="J15" s="330">
        <f t="shared" si="0"/>
        <v>-1.57</v>
      </c>
      <c r="L15" s="330">
        <f t="shared" si="2"/>
        <v>0</v>
      </c>
      <c r="M15" s="330">
        <f t="shared" si="1"/>
        <v>0</v>
      </c>
    </row>
    <row r="16" spans="1:16" x14ac:dyDescent="0.2">
      <c r="A16" s="613">
        <f t="shared" si="3"/>
        <v>8</v>
      </c>
      <c r="B16" s="613">
        <f>'WP2 Current Light Rates'!B31</f>
        <v>51</v>
      </c>
      <c r="C16" s="613" t="str">
        <f>'WP2 Current Light Rates'!C31</f>
        <v>Company Owned LED Lamp Charge</v>
      </c>
      <c r="D16" s="613" t="str">
        <f>'WP2 Current Light Rates'!D31</f>
        <v>210.01-240 Watts</v>
      </c>
      <c r="E16" s="613" t="s">
        <v>661</v>
      </c>
      <c r="F16" s="613"/>
      <c r="G16" s="350">
        <f>'WP3 Current Light Rates (Smart)'!E21</f>
        <v>1.81</v>
      </c>
      <c r="I16" s="330">
        <v>0</v>
      </c>
      <c r="J16" s="330">
        <f t="shared" si="0"/>
        <v>-1.81</v>
      </c>
      <c r="L16" s="330">
        <f t="shared" si="2"/>
        <v>0</v>
      </c>
      <c r="M16" s="330">
        <f t="shared" si="1"/>
        <v>0</v>
      </c>
    </row>
    <row r="17" spans="1:16" x14ac:dyDescent="0.2">
      <c r="A17" s="613">
        <f t="shared" si="3"/>
        <v>9</v>
      </c>
      <c r="B17" s="613">
        <f>'WP2 Current Light Rates'!B32</f>
        <v>51</v>
      </c>
      <c r="C17" s="613" t="str">
        <f>'WP2 Current Light Rates'!C32</f>
        <v>Company Owned LED Lamp Charge</v>
      </c>
      <c r="D17" s="613" t="str">
        <f>'WP2 Current Light Rates'!D32</f>
        <v>240.01-270 Watts</v>
      </c>
      <c r="E17" s="613" t="s">
        <v>661</v>
      </c>
      <c r="F17" s="613"/>
      <c r="G17" s="350">
        <f>'WP3 Current Light Rates (Smart)'!E22</f>
        <v>2.06</v>
      </c>
      <c r="I17" s="330">
        <v>0</v>
      </c>
      <c r="J17" s="330">
        <f t="shared" si="0"/>
        <v>-2.06</v>
      </c>
      <c r="L17" s="330">
        <f t="shared" si="2"/>
        <v>0</v>
      </c>
      <c r="M17" s="330">
        <f t="shared" si="1"/>
        <v>0</v>
      </c>
    </row>
    <row r="18" spans="1:16" x14ac:dyDescent="0.2">
      <c r="A18" s="613">
        <f t="shared" si="3"/>
        <v>10</v>
      </c>
      <c r="B18" s="613">
        <f>'WP2 Current Light Rates'!B33</f>
        <v>51</v>
      </c>
      <c r="C18" s="613" t="str">
        <f>'WP2 Current Light Rates'!C33</f>
        <v>Company Owned LED Lamp Charge</v>
      </c>
      <c r="D18" s="613" t="str">
        <f>'WP2 Current Light Rates'!D33</f>
        <v>270.01-300 Watts</v>
      </c>
      <c r="E18" s="613" t="s">
        <v>661</v>
      </c>
      <c r="F18" s="613"/>
      <c r="G18" s="350">
        <f>'WP3 Current Light Rates (Smart)'!E23</f>
        <v>2.2999999999999998</v>
      </c>
      <c r="I18" s="330">
        <v>0</v>
      </c>
      <c r="J18" s="330">
        <f t="shared" si="0"/>
        <v>-2.2999999999999998</v>
      </c>
      <c r="L18" s="330">
        <f t="shared" si="2"/>
        <v>0</v>
      </c>
      <c r="M18" s="330">
        <f t="shared" si="1"/>
        <v>0</v>
      </c>
    </row>
    <row r="19" spans="1:16" x14ac:dyDescent="0.2">
      <c r="A19" s="613">
        <f t="shared" si="3"/>
        <v>11</v>
      </c>
      <c r="B19" s="613"/>
      <c r="C19" s="613"/>
      <c r="D19" s="613"/>
      <c r="E19" s="613"/>
      <c r="F19" s="613"/>
      <c r="G19" s="350"/>
    </row>
    <row r="20" spans="1:16" x14ac:dyDescent="0.2">
      <c r="A20" s="613">
        <f t="shared" si="3"/>
        <v>12</v>
      </c>
      <c r="B20" s="613">
        <f>B9</f>
        <v>51</v>
      </c>
      <c r="C20" s="613" t="str">
        <f t="shared" ref="C20:D20" si="4">C9</f>
        <v>Company Owned LED Lamp Charge</v>
      </c>
      <c r="D20" s="613" t="str">
        <f t="shared" si="4"/>
        <v>0-30 Watts</v>
      </c>
      <c r="E20" s="613" t="s">
        <v>949</v>
      </c>
      <c r="F20" s="613" t="s">
        <v>669</v>
      </c>
      <c r="G20" s="351">
        <f>'WP3 Current Light Rates (Smart)'!F14</f>
        <v>6.2974000000000002E-2</v>
      </c>
      <c r="I20" s="351">
        <f>'BDJ-6 Combined Charges'!K35</f>
        <v>8.412E-2</v>
      </c>
      <c r="J20" s="264">
        <f t="shared" si="0"/>
        <v>2.1145999999999998E-2</v>
      </c>
      <c r="L20" s="264">
        <f>I20</f>
        <v>8.412E-2</v>
      </c>
      <c r="M20" s="264">
        <f t="shared" ref="M20:M29" si="5">L20-I20</f>
        <v>0</v>
      </c>
      <c r="N20" s="264"/>
      <c r="O20" s="264"/>
      <c r="P20" s="264"/>
    </row>
    <row r="21" spans="1:16" x14ac:dyDescent="0.2">
      <c r="A21" s="613">
        <f t="shared" si="3"/>
        <v>13</v>
      </c>
      <c r="B21" s="613">
        <f t="shared" ref="B21:D29" si="6">B10</f>
        <v>51</v>
      </c>
      <c r="C21" s="613" t="str">
        <f t="shared" si="6"/>
        <v>Company Owned LED Lamp Charge</v>
      </c>
      <c r="D21" s="613" t="str">
        <f t="shared" si="6"/>
        <v>30.01-60 Watts</v>
      </c>
      <c r="E21" s="613" t="s">
        <v>949</v>
      </c>
      <c r="F21" s="613" t="s">
        <v>669</v>
      </c>
      <c r="G21" s="351">
        <f>'WP3 Current Light Rates (Smart)'!F15</f>
        <v>6.2974000000000002E-2</v>
      </c>
      <c r="I21" s="351">
        <f>'BDJ-6 Combined Charges'!K36</f>
        <v>8.412E-2</v>
      </c>
      <c r="J21" s="264">
        <f t="shared" si="0"/>
        <v>2.1145999999999998E-2</v>
      </c>
      <c r="L21" s="264">
        <f t="shared" ref="L21:L29" si="7">I21</f>
        <v>8.412E-2</v>
      </c>
      <c r="M21" s="264">
        <f t="shared" si="5"/>
        <v>0</v>
      </c>
      <c r="N21" s="264"/>
      <c r="O21" s="264"/>
      <c r="P21" s="264"/>
    </row>
    <row r="22" spans="1:16" x14ac:dyDescent="0.2">
      <c r="A22" s="613">
        <f t="shared" si="3"/>
        <v>14</v>
      </c>
      <c r="B22" s="613">
        <f t="shared" si="6"/>
        <v>51</v>
      </c>
      <c r="C22" s="613" t="str">
        <f t="shared" si="6"/>
        <v>Company Owned LED Lamp Charge</v>
      </c>
      <c r="D22" s="613" t="str">
        <f t="shared" si="6"/>
        <v>60.01-90 Watts</v>
      </c>
      <c r="E22" s="613" t="s">
        <v>949</v>
      </c>
      <c r="F22" s="613" t="s">
        <v>669</v>
      </c>
      <c r="G22" s="351">
        <f>'WP3 Current Light Rates (Smart)'!F16</f>
        <v>6.2974000000000002E-2</v>
      </c>
      <c r="I22" s="351">
        <f>'BDJ-6 Combined Charges'!K37</f>
        <v>8.412E-2</v>
      </c>
      <c r="J22" s="264">
        <f t="shared" si="0"/>
        <v>2.1145999999999998E-2</v>
      </c>
      <c r="L22" s="264">
        <f t="shared" si="7"/>
        <v>8.412E-2</v>
      </c>
      <c r="M22" s="264">
        <f t="shared" si="5"/>
        <v>0</v>
      </c>
      <c r="N22" s="264"/>
      <c r="O22" s="264"/>
      <c r="P22" s="264"/>
    </row>
    <row r="23" spans="1:16" x14ac:dyDescent="0.2">
      <c r="A23" s="613">
        <f t="shared" si="3"/>
        <v>15</v>
      </c>
      <c r="B23" s="613">
        <f t="shared" si="6"/>
        <v>51</v>
      </c>
      <c r="C23" s="613" t="str">
        <f t="shared" si="6"/>
        <v>Company Owned LED Lamp Charge</v>
      </c>
      <c r="D23" s="613" t="str">
        <f t="shared" si="6"/>
        <v>90.01-120 Watts</v>
      </c>
      <c r="E23" s="613" t="s">
        <v>949</v>
      </c>
      <c r="F23" s="613" t="s">
        <v>669</v>
      </c>
      <c r="G23" s="351">
        <f>'WP3 Current Light Rates (Smart)'!F17</f>
        <v>6.2974000000000002E-2</v>
      </c>
      <c r="I23" s="351">
        <f>'BDJ-6 Combined Charges'!K38</f>
        <v>8.412E-2</v>
      </c>
      <c r="J23" s="264">
        <f t="shared" si="0"/>
        <v>2.1145999999999998E-2</v>
      </c>
      <c r="L23" s="264">
        <f t="shared" si="7"/>
        <v>8.412E-2</v>
      </c>
      <c r="M23" s="264">
        <f t="shared" si="5"/>
        <v>0</v>
      </c>
      <c r="N23" s="264"/>
      <c r="O23" s="264"/>
      <c r="P23" s="264"/>
    </row>
    <row r="24" spans="1:16" x14ac:dyDescent="0.2">
      <c r="A24" s="613">
        <f t="shared" si="3"/>
        <v>16</v>
      </c>
      <c r="B24" s="613">
        <f t="shared" si="6"/>
        <v>51</v>
      </c>
      <c r="C24" s="613" t="str">
        <f t="shared" si="6"/>
        <v>Company Owned LED Lamp Charge</v>
      </c>
      <c r="D24" s="613" t="str">
        <f t="shared" si="6"/>
        <v>120.01-150 Watts</v>
      </c>
      <c r="E24" s="613" t="s">
        <v>949</v>
      </c>
      <c r="F24" s="613" t="s">
        <v>669</v>
      </c>
      <c r="G24" s="351">
        <f>'WP3 Current Light Rates (Smart)'!F18</f>
        <v>6.2974000000000002E-2</v>
      </c>
      <c r="I24" s="351">
        <f>'BDJ-6 Combined Charges'!K39</f>
        <v>8.412E-2</v>
      </c>
      <c r="J24" s="264">
        <f t="shared" si="0"/>
        <v>2.1145999999999998E-2</v>
      </c>
      <c r="L24" s="264">
        <f t="shared" si="7"/>
        <v>8.412E-2</v>
      </c>
      <c r="M24" s="264">
        <f t="shared" si="5"/>
        <v>0</v>
      </c>
      <c r="N24" s="264"/>
      <c r="O24" s="264"/>
      <c r="P24" s="264"/>
    </row>
    <row r="25" spans="1:16" x14ac:dyDescent="0.2">
      <c r="A25" s="613">
        <f t="shared" si="3"/>
        <v>17</v>
      </c>
      <c r="B25" s="613">
        <f t="shared" si="6"/>
        <v>51</v>
      </c>
      <c r="C25" s="613" t="str">
        <f t="shared" si="6"/>
        <v>Company Owned LED Lamp Charge</v>
      </c>
      <c r="D25" s="613" t="str">
        <f t="shared" si="6"/>
        <v>150.01-180 Watts</v>
      </c>
      <c r="E25" s="613" t="s">
        <v>949</v>
      </c>
      <c r="F25" s="613" t="s">
        <v>669</v>
      </c>
      <c r="G25" s="351">
        <f>'WP3 Current Light Rates (Smart)'!F19</f>
        <v>6.2974000000000002E-2</v>
      </c>
      <c r="I25" s="351">
        <f>'BDJ-6 Combined Charges'!K40</f>
        <v>8.412E-2</v>
      </c>
      <c r="J25" s="264">
        <f t="shared" si="0"/>
        <v>2.1145999999999998E-2</v>
      </c>
      <c r="L25" s="264">
        <f t="shared" si="7"/>
        <v>8.412E-2</v>
      </c>
      <c r="M25" s="264">
        <f t="shared" si="5"/>
        <v>0</v>
      </c>
      <c r="N25" s="264"/>
      <c r="O25" s="264"/>
      <c r="P25" s="264"/>
    </row>
    <row r="26" spans="1:16" x14ac:dyDescent="0.2">
      <c r="A26" s="613">
        <f t="shared" si="3"/>
        <v>18</v>
      </c>
      <c r="B26" s="613">
        <f t="shared" si="6"/>
        <v>51</v>
      </c>
      <c r="C26" s="613" t="str">
        <f t="shared" si="6"/>
        <v>Company Owned LED Lamp Charge</v>
      </c>
      <c r="D26" s="613" t="str">
        <f t="shared" si="6"/>
        <v>180.01-210 Watts</v>
      </c>
      <c r="E26" s="613" t="s">
        <v>949</v>
      </c>
      <c r="F26" s="613" t="s">
        <v>669</v>
      </c>
      <c r="G26" s="351">
        <f>'WP3 Current Light Rates (Smart)'!F20</f>
        <v>6.2974000000000002E-2</v>
      </c>
      <c r="I26" s="351">
        <f>'BDJ-6 Combined Charges'!K41</f>
        <v>8.412E-2</v>
      </c>
      <c r="J26" s="264">
        <f t="shared" si="0"/>
        <v>2.1145999999999998E-2</v>
      </c>
      <c r="L26" s="264">
        <f t="shared" si="7"/>
        <v>8.412E-2</v>
      </c>
      <c r="M26" s="264">
        <f t="shared" si="5"/>
        <v>0</v>
      </c>
      <c r="N26" s="264"/>
      <c r="O26" s="264"/>
      <c r="P26" s="264"/>
    </row>
    <row r="27" spans="1:16" x14ac:dyDescent="0.2">
      <c r="A27" s="613">
        <f t="shared" si="3"/>
        <v>19</v>
      </c>
      <c r="B27" s="613">
        <f t="shared" si="6"/>
        <v>51</v>
      </c>
      <c r="C27" s="613" t="str">
        <f t="shared" si="6"/>
        <v>Company Owned LED Lamp Charge</v>
      </c>
      <c r="D27" s="613" t="str">
        <f t="shared" si="6"/>
        <v>210.01-240 Watts</v>
      </c>
      <c r="E27" s="613" t="s">
        <v>949</v>
      </c>
      <c r="F27" s="613" t="s">
        <v>669</v>
      </c>
      <c r="G27" s="351">
        <f>'WP3 Current Light Rates (Smart)'!F21</f>
        <v>6.2974000000000002E-2</v>
      </c>
      <c r="I27" s="351">
        <f>'BDJ-6 Combined Charges'!K42</f>
        <v>8.412E-2</v>
      </c>
      <c r="J27" s="264">
        <f t="shared" si="0"/>
        <v>2.1145999999999998E-2</v>
      </c>
      <c r="L27" s="264">
        <f t="shared" si="7"/>
        <v>8.412E-2</v>
      </c>
      <c r="M27" s="264">
        <f t="shared" si="5"/>
        <v>0</v>
      </c>
      <c r="N27" s="264"/>
      <c r="O27" s="264"/>
      <c r="P27" s="264"/>
    </row>
    <row r="28" spans="1:16" x14ac:dyDescent="0.2">
      <c r="A28" s="613">
        <f t="shared" si="3"/>
        <v>20</v>
      </c>
      <c r="B28" s="613">
        <f t="shared" si="6"/>
        <v>51</v>
      </c>
      <c r="C28" s="613" t="str">
        <f t="shared" si="6"/>
        <v>Company Owned LED Lamp Charge</v>
      </c>
      <c r="D28" s="613" t="str">
        <f t="shared" si="6"/>
        <v>240.01-270 Watts</v>
      </c>
      <c r="E28" s="613" t="s">
        <v>949</v>
      </c>
      <c r="F28" s="613" t="s">
        <v>669</v>
      </c>
      <c r="G28" s="351">
        <f>'WP3 Current Light Rates (Smart)'!F22</f>
        <v>6.2974000000000002E-2</v>
      </c>
      <c r="I28" s="351">
        <f>'BDJ-6 Combined Charges'!K43</f>
        <v>8.412E-2</v>
      </c>
      <c r="J28" s="264">
        <f t="shared" si="0"/>
        <v>2.1145999999999998E-2</v>
      </c>
      <c r="L28" s="264">
        <f t="shared" si="7"/>
        <v>8.412E-2</v>
      </c>
      <c r="M28" s="264">
        <f t="shared" si="5"/>
        <v>0</v>
      </c>
      <c r="N28" s="264"/>
      <c r="O28" s="264"/>
      <c r="P28" s="264"/>
    </row>
    <row r="29" spans="1:16" x14ac:dyDescent="0.2">
      <c r="A29" s="613">
        <f t="shared" si="3"/>
        <v>21</v>
      </c>
      <c r="B29" s="613">
        <f t="shared" si="6"/>
        <v>51</v>
      </c>
      <c r="C29" s="613" t="str">
        <f t="shared" si="6"/>
        <v>Company Owned LED Lamp Charge</v>
      </c>
      <c r="D29" s="613" t="str">
        <f t="shared" si="6"/>
        <v>270.01-300 Watts</v>
      </c>
      <c r="E29" s="613" t="s">
        <v>949</v>
      </c>
      <c r="F29" s="613" t="s">
        <v>669</v>
      </c>
      <c r="G29" s="351">
        <f>'WP3 Current Light Rates (Smart)'!F23</f>
        <v>6.2974000000000002E-2</v>
      </c>
      <c r="I29" s="351">
        <f>'BDJ-6 Combined Charges'!K44</f>
        <v>8.412E-2</v>
      </c>
      <c r="J29" s="264">
        <f t="shared" si="0"/>
        <v>2.1145999999999998E-2</v>
      </c>
      <c r="L29" s="264">
        <f t="shared" si="7"/>
        <v>8.412E-2</v>
      </c>
      <c r="M29" s="264">
        <f t="shared" si="5"/>
        <v>0</v>
      </c>
      <c r="N29" s="264"/>
      <c r="O29" s="264"/>
      <c r="P29" s="264"/>
    </row>
    <row r="30" spans="1:16" x14ac:dyDescent="0.2">
      <c r="A30" s="613">
        <f t="shared" si="3"/>
        <v>22</v>
      </c>
      <c r="B30" s="613"/>
      <c r="C30" s="613"/>
      <c r="D30" s="613"/>
      <c r="E30" s="613"/>
      <c r="F30" s="613"/>
      <c r="G30" s="350"/>
    </row>
    <row r="31" spans="1:16" x14ac:dyDescent="0.2">
      <c r="A31" s="613">
        <f t="shared" si="3"/>
        <v>23</v>
      </c>
      <c r="B31" s="613">
        <f>'WP2 Current Light Rates'!B71</f>
        <v>53</v>
      </c>
      <c r="C31" s="613" t="str">
        <f>'WP2 Current Light Rates'!C71</f>
        <v>LED Lighting - Company Owned</v>
      </c>
      <c r="D31" s="613" t="str">
        <f>'WP2 Current Light Rates'!D71</f>
        <v>0-30 Watts</v>
      </c>
      <c r="E31" s="613" t="s">
        <v>661</v>
      </c>
      <c r="F31" s="613"/>
      <c r="G31" s="350">
        <f>'WP3 Current Light Rates (Smart)'!E26</f>
        <v>9.879999999999999</v>
      </c>
      <c r="I31" s="330">
        <v>0</v>
      </c>
      <c r="J31" s="330">
        <f t="shared" ref="J31:J32" si="8">I31-G31</f>
        <v>-9.879999999999999</v>
      </c>
      <c r="L31" s="330">
        <f t="shared" ref="L31:L32" si="9">I31</f>
        <v>0</v>
      </c>
      <c r="M31" s="330">
        <f t="shared" ref="M31:M32" si="10">L31-I31</f>
        <v>0</v>
      </c>
    </row>
    <row r="32" spans="1:16" x14ac:dyDescent="0.2">
      <c r="A32" s="613">
        <f t="shared" si="3"/>
        <v>24</v>
      </c>
      <c r="B32" s="613">
        <f>'WP2 Current Light Rates'!B72</f>
        <v>53</v>
      </c>
      <c r="C32" s="613" t="str">
        <f>'WP2 Current Light Rates'!C72</f>
        <v>LED Lighting - Company Owned</v>
      </c>
      <c r="D32" s="613" t="str">
        <f>'WP2 Current Light Rates'!D72</f>
        <v>30.01-60 Watts</v>
      </c>
      <c r="E32" s="613" t="s">
        <v>661</v>
      </c>
      <c r="F32" s="613"/>
      <c r="G32" s="350">
        <f>'WP3 Current Light Rates (Smart)'!E27</f>
        <v>9.879999999999999</v>
      </c>
      <c r="I32" s="330">
        <v>0</v>
      </c>
      <c r="J32" s="330">
        <f t="shared" si="8"/>
        <v>-9.879999999999999</v>
      </c>
      <c r="L32" s="330">
        <f t="shared" si="9"/>
        <v>0</v>
      </c>
      <c r="M32" s="330">
        <f t="shared" si="10"/>
        <v>0</v>
      </c>
    </row>
    <row r="33" spans="1:16" x14ac:dyDescent="0.2">
      <c r="A33" s="613">
        <f t="shared" si="3"/>
        <v>25</v>
      </c>
      <c r="B33" s="613">
        <f>'WP2 Current Light Rates'!B73</f>
        <v>53</v>
      </c>
      <c r="C33" s="613" t="str">
        <f>'WP2 Current Light Rates'!C73</f>
        <v>LED Lighting - Company Owned</v>
      </c>
      <c r="D33" s="613" t="str">
        <f>'WP2 Current Light Rates'!D73</f>
        <v>60.01-90 Watts</v>
      </c>
      <c r="E33" s="613" t="s">
        <v>661</v>
      </c>
      <c r="F33" s="613"/>
      <c r="G33" s="350">
        <f>'WP3 Current Light Rates (Smart)'!E28</f>
        <v>10.14</v>
      </c>
      <c r="I33" s="330">
        <v>0</v>
      </c>
      <c r="J33" s="330">
        <f t="shared" ref="J33:J40" si="11">I33-G33</f>
        <v>-10.14</v>
      </c>
      <c r="L33" s="330">
        <f t="shared" ref="L33:L40" si="12">I33</f>
        <v>0</v>
      </c>
      <c r="M33" s="330">
        <f t="shared" ref="M33:M40" si="13">L33-I33</f>
        <v>0</v>
      </c>
    </row>
    <row r="34" spans="1:16" x14ac:dyDescent="0.2">
      <c r="A34" s="613">
        <f t="shared" si="3"/>
        <v>26</v>
      </c>
      <c r="B34" s="613">
        <f>'WP2 Current Light Rates'!B74</f>
        <v>53</v>
      </c>
      <c r="C34" s="613" t="str">
        <f>'WP2 Current Light Rates'!C74</f>
        <v>LED Lighting - Company Owned</v>
      </c>
      <c r="D34" s="613" t="str">
        <f>'WP2 Current Light Rates'!D74</f>
        <v>90.01-120 Watts</v>
      </c>
      <c r="E34" s="613" t="s">
        <v>661</v>
      </c>
      <c r="F34" s="613"/>
      <c r="G34" s="350">
        <f>'WP3 Current Light Rates (Smart)'!E29</f>
        <v>10.91</v>
      </c>
      <c r="I34" s="330">
        <v>0</v>
      </c>
      <c r="J34" s="330">
        <f t="shared" si="11"/>
        <v>-10.91</v>
      </c>
      <c r="L34" s="330">
        <f t="shared" si="12"/>
        <v>0</v>
      </c>
      <c r="M34" s="330">
        <f t="shared" si="13"/>
        <v>0</v>
      </c>
    </row>
    <row r="35" spans="1:16" x14ac:dyDescent="0.2">
      <c r="A35" s="613">
        <f t="shared" si="3"/>
        <v>27</v>
      </c>
      <c r="B35" s="613">
        <f>'WP2 Current Light Rates'!B75</f>
        <v>53</v>
      </c>
      <c r="C35" s="613" t="str">
        <f>'WP2 Current Light Rates'!C75</f>
        <v>LED Lighting - Company Owned</v>
      </c>
      <c r="D35" s="613" t="str">
        <f>'WP2 Current Light Rates'!D75</f>
        <v>120.01-150 Watts</v>
      </c>
      <c r="E35" s="613" t="s">
        <v>661</v>
      </c>
      <c r="F35" s="613"/>
      <c r="G35" s="350">
        <f>'WP3 Current Light Rates (Smart)'!E30</f>
        <v>10.61</v>
      </c>
      <c r="I35" s="330">
        <v>0</v>
      </c>
      <c r="J35" s="330">
        <f t="shared" si="11"/>
        <v>-10.61</v>
      </c>
      <c r="L35" s="330">
        <f t="shared" si="12"/>
        <v>0</v>
      </c>
      <c r="M35" s="330">
        <f t="shared" si="13"/>
        <v>0</v>
      </c>
    </row>
    <row r="36" spans="1:16" x14ac:dyDescent="0.2">
      <c r="A36" s="613">
        <f t="shared" si="3"/>
        <v>28</v>
      </c>
      <c r="B36" s="613">
        <f>'WP2 Current Light Rates'!B76</f>
        <v>53</v>
      </c>
      <c r="C36" s="613" t="str">
        <f>'WP2 Current Light Rates'!C76</f>
        <v>LED Lighting - Company Owned</v>
      </c>
      <c r="D36" s="613" t="str">
        <f>'WP2 Current Light Rates'!D76</f>
        <v>150.01-180 Watts</v>
      </c>
      <c r="E36" s="613" t="s">
        <v>661</v>
      </c>
      <c r="F36" s="613"/>
      <c r="G36" s="350">
        <f>'WP3 Current Light Rates (Smart)'!E31</f>
        <v>11.56</v>
      </c>
      <c r="I36" s="330">
        <v>0</v>
      </c>
      <c r="J36" s="330">
        <f t="shared" si="11"/>
        <v>-11.56</v>
      </c>
      <c r="L36" s="330">
        <f t="shared" si="12"/>
        <v>0</v>
      </c>
      <c r="M36" s="330">
        <f t="shared" si="13"/>
        <v>0</v>
      </c>
    </row>
    <row r="37" spans="1:16" x14ac:dyDescent="0.2">
      <c r="A37" s="613">
        <f t="shared" si="3"/>
        <v>29</v>
      </c>
      <c r="B37" s="613">
        <f>'WP2 Current Light Rates'!B77</f>
        <v>53</v>
      </c>
      <c r="C37" s="613" t="str">
        <f>'WP2 Current Light Rates'!C77</f>
        <v>LED Lighting - Company Owned</v>
      </c>
      <c r="D37" s="613" t="str">
        <f>'WP2 Current Light Rates'!D77</f>
        <v>180.01-210 Watts</v>
      </c>
      <c r="E37" s="613" t="s">
        <v>661</v>
      </c>
      <c r="F37" s="613"/>
      <c r="G37" s="350">
        <f>'WP3 Current Light Rates (Smart)'!E32</f>
        <v>11.63</v>
      </c>
      <c r="I37" s="330">
        <v>0</v>
      </c>
      <c r="J37" s="330">
        <f t="shared" si="11"/>
        <v>-11.63</v>
      </c>
      <c r="L37" s="330">
        <f t="shared" si="12"/>
        <v>0</v>
      </c>
      <c r="M37" s="330">
        <f t="shared" si="13"/>
        <v>0</v>
      </c>
    </row>
    <row r="38" spans="1:16" x14ac:dyDescent="0.2">
      <c r="A38" s="613">
        <f t="shared" si="3"/>
        <v>30</v>
      </c>
      <c r="B38" s="613">
        <f>'WP2 Current Light Rates'!B78</f>
        <v>53</v>
      </c>
      <c r="C38" s="613" t="str">
        <f>'WP2 Current Light Rates'!C78</f>
        <v>LED Lighting - Company Owned</v>
      </c>
      <c r="D38" s="613" t="str">
        <f>'WP2 Current Light Rates'!D78</f>
        <v>210.01-240 Watts</v>
      </c>
      <c r="E38" s="613" t="s">
        <v>661</v>
      </c>
      <c r="F38" s="613"/>
      <c r="G38" s="350">
        <f>'WP3 Current Light Rates (Smart)'!E33</f>
        <v>12.43</v>
      </c>
      <c r="I38" s="330">
        <v>0</v>
      </c>
      <c r="J38" s="330">
        <f t="shared" si="11"/>
        <v>-12.43</v>
      </c>
      <c r="L38" s="330">
        <f t="shared" si="12"/>
        <v>0</v>
      </c>
      <c r="M38" s="330">
        <f t="shared" si="13"/>
        <v>0</v>
      </c>
    </row>
    <row r="39" spans="1:16" x14ac:dyDescent="0.2">
      <c r="A39" s="613">
        <f t="shared" si="3"/>
        <v>31</v>
      </c>
      <c r="B39" s="613">
        <f>'WP2 Current Light Rates'!B79</f>
        <v>53</v>
      </c>
      <c r="C39" s="613" t="str">
        <f>'WP2 Current Light Rates'!C79</f>
        <v>LED Lighting - Company Owned</v>
      </c>
      <c r="D39" s="613" t="str">
        <f>'WP2 Current Light Rates'!D79</f>
        <v>240.01-270 Watts</v>
      </c>
      <c r="E39" s="613" t="s">
        <v>661</v>
      </c>
      <c r="F39" s="613"/>
      <c r="G39" s="350">
        <f>'WP3 Current Light Rates (Smart)'!E34</f>
        <v>13.41</v>
      </c>
      <c r="I39" s="330">
        <v>0</v>
      </c>
      <c r="J39" s="330">
        <f t="shared" si="11"/>
        <v>-13.41</v>
      </c>
      <c r="L39" s="330">
        <f t="shared" si="12"/>
        <v>0</v>
      </c>
      <c r="M39" s="330">
        <f t="shared" si="13"/>
        <v>0</v>
      </c>
    </row>
    <row r="40" spans="1:16" x14ac:dyDescent="0.2">
      <c r="A40" s="613">
        <f t="shared" si="3"/>
        <v>32</v>
      </c>
      <c r="B40" s="613">
        <f>'WP2 Current Light Rates'!B80</f>
        <v>53</v>
      </c>
      <c r="C40" s="613" t="str">
        <f>'WP2 Current Light Rates'!C80</f>
        <v>LED Lighting - Company Owned</v>
      </c>
      <c r="D40" s="613" t="str">
        <f>'WP2 Current Light Rates'!D80</f>
        <v>270.01-300 Watts</v>
      </c>
      <c r="E40" s="613" t="s">
        <v>661</v>
      </c>
      <c r="F40" s="613"/>
      <c r="G40" s="350">
        <f>'WP3 Current Light Rates (Smart)'!E35</f>
        <v>13.649999999999999</v>
      </c>
      <c r="I40" s="330">
        <v>0</v>
      </c>
      <c r="J40" s="330">
        <f t="shared" si="11"/>
        <v>-13.649999999999999</v>
      </c>
      <c r="L40" s="330">
        <f t="shared" si="12"/>
        <v>0</v>
      </c>
      <c r="M40" s="330">
        <f t="shared" si="13"/>
        <v>0</v>
      </c>
    </row>
    <row r="41" spans="1:16" x14ac:dyDescent="0.2">
      <c r="A41" s="613">
        <f t="shared" si="3"/>
        <v>33</v>
      </c>
      <c r="B41" s="613"/>
      <c r="C41" s="613"/>
      <c r="D41" s="613"/>
      <c r="E41" s="613"/>
      <c r="F41" s="613"/>
      <c r="G41" s="350"/>
      <c r="H41" s="350"/>
      <c r="I41" s="350"/>
      <c r="J41" s="350"/>
      <c r="K41" s="350"/>
      <c r="L41" s="350"/>
      <c r="M41" s="350"/>
      <c r="N41" s="350"/>
      <c r="O41" s="350"/>
      <c r="P41" s="350"/>
    </row>
    <row r="42" spans="1:16" x14ac:dyDescent="0.2">
      <c r="A42" s="613">
        <f t="shared" si="3"/>
        <v>34</v>
      </c>
      <c r="B42" s="613">
        <f>B31</f>
        <v>53</v>
      </c>
      <c r="C42" s="613" t="str">
        <f t="shared" ref="C42:D42" si="14">C31</f>
        <v>LED Lighting - Company Owned</v>
      </c>
      <c r="D42" s="613" t="str">
        <f t="shared" si="14"/>
        <v>0-30 Watts</v>
      </c>
      <c r="E42" s="613" t="s">
        <v>949</v>
      </c>
      <c r="F42" s="613" t="s">
        <v>674</v>
      </c>
      <c r="G42" s="351">
        <f>'WP3 Current Light Rates (Smart)'!F26</f>
        <v>6.2974000000000002E-2</v>
      </c>
      <c r="I42" s="351">
        <f>'BDJ-6 Combined Charges'!K92</f>
        <v>1.8603769999999999</v>
      </c>
      <c r="J42" s="264">
        <f t="shared" ref="J42:J51" si="15">I42-G42</f>
        <v>1.7974029999999999</v>
      </c>
      <c r="L42" s="264">
        <f>I42</f>
        <v>1.8603769999999999</v>
      </c>
      <c r="M42" s="264">
        <f t="shared" ref="M42:M51" si="16">L42-I42</f>
        <v>0</v>
      </c>
      <c r="N42" s="264"/>
      <c r="O42" s="264"/>
      <c r="P42" s="264"/>
    </row>
    <row r="43" spans="1:16" x14ac:dyDescent="0.2">
      <c r="A43" s="613">
        <f t="shared" si="3"/>
        <v>35</v>
      </c>
      <c r="B43" s="613">
        <f t="shared" ref="B43:D43" si="17">B32</f>
        <v>53</v>
      </c>
      <c r="C43" s="613" t="str">
        <f t="shared" si="17"/>
        <v>LED Lighting - Company Owned</v>
      </c>
      <c r="D43" s="613" t="str">
        <f t="shared" si="17"/>
        <v>30.01-60 Watts</v>
      </c>
      <c r="E43" s="613" t="s">
        <v>949</v>
      </c>
      <c r="F43" s="613" t="s">
        <v>674</v>
      </c>
      <c r="G43" s="351">
        <f>'WP3 Current Light Rates (Smart)'!F27</f>
        <v>6.2974000000000002E-2</v>
      </c>
      <c r="I43" s="351">
        <f>'BDJ-6 Combined Charges'!K93</f>
        <v>0.67301400000000011</v>
      </c>
      <c r="J43" s="264">
        <f t="shared" si="15"/>
        <v>0.61004000000000014</v>
      </c>
      <c r="L43" s="264">
        <f t="shared" ref="L43:L51" si="18">I43</f>
        <v>0.67301400000000011</v>
      </c>
      <c r="M43" s="264">
        <f t="shared" si="16"/>
        <v>0</v>
      </c>
      <c r="N43" s="264"/>
      <c r="O43" s="264"/>
      <c r="P43" s="264"/>
    </row>
    <row r="44" spans="1:16" x14ac:dyDescent="0.2">
      <c r="A44" s="613">
        <f t="shared" si="3"/>
        <v>36</v>
      </c>
      <c r="B44" s="613">
        <f t="shared" ref="B44:D44" si="19">B33</f>
        <v>53</v>
      </c>
      <c r="C44" s="613" t="str">
        <f t="shared" si="19"/>
        <v>LED Lighting - Company Owned</v>
      </c>
      <c r="D44" s="613" t="str">
        <f t="shared" si="19"/>
        <v>60.01-90 Watts</v>
      </c>
      <c r="E44" s="613" t="s">
        <v>949</v>
      </c>
      <c r="F44" s="613" t="s">
        <v>674</v>
      </c>
      <c r="G44" s="351">
        <f>'WP3 Current Light Rates (Smart)'!F28</f>
        <v>6.2974000000000002E-2</v>
      </c>
      <c r="I44" s="351">
        <f>'BDJ-6 Combined Charges'!K94</f>
        <v>0.42999499999999996</v>
      </c>
      <c r="J44" s="264">
        <f t="shared" si="15"/>
        <v>0.36702099999999993</v>
      </c>
      <c r="L44" s="264">
        <f t="shared" si="18"/>
        <v>0.42999499999999996</v>
      </c>
      <c r="M44" s="264">
        <f t="shared" si="16"/>
        <v>0</v>
      </c>
      <c r="N44" s="264"/>
      <c r="O44" s="264"/>
      <c r="P44" s="264"/>
    </row>
    <row r="45" spans="1:16" x14ac:dyDescent="0.2">
      <c r="A45" s="613">
        <f t="shared" si="3"/>
        <v>37</v>
      </c>
      <c r="B45" s="613">
        <f t="shared" ref="B45:D45" si="20">B34</f>
        <v>53</v>
      </c>
      <c r="C45" s="613" t="str">
        <f t="shared" si="20"/>
        <v>LED Lighting - Company Owned</v>
      </c>
      <c r="D45" s="613" t="str">
        <f t="shared" si="20"/>
        <v>90.01-120 Watts</v>
      </c>
      <c r="E45" s="613" t="s">
        <v>949</v>
      </c>
      <c r="F45" s="613" t="s">
        <v>674</v>
      </c>
      <c r="G45" s="351">
        <f>'WP3 Current Light Rates (Smart)'!F29</f>
        <v>6.2974000000000002E-2</v>
      </c>
      <c r="I45" s="351">
        <f>'BDJ-6 Combined Charges'!K95</f>
        <v>0.347495</v>
      </c>
      <c r="J45" s="264">
        <f t="shared" si="15"/>
        <v>0.28452100000000002</v>
      </c>
      <c r="L45" s="264">
        <f t="shared" si="18"/>
        <v>0.347495</v>
      </c>
      <c r="M45" s="264">
        <f t="shared" si="16"/>
        <v>0</v>
      </c>
      <c r="N45" s="264"/>
      <c r="O45" s="264"/>
      <c r="P45" s="264"/>
    </row>
    <row r="46" spans="1:16" x14ac:dyDescent="0.2">
      <c r="A46" s="613">
        <f t="shared" si="3"/>
        <v>38</v>
      </c>
      <c r="B46" s="613">
        <f t="shared" ref="B46:D46" si="21">B35</f>
        <v>53</v>
      </c>
      <c r="C46" s="613" t="str">
        <f t="shared" si="21"/>
        <v>LED Lighting - Company Owned</v>
      </c>
      <c r="D46" s="613" t="str">
        <f t="shared" si="21"/>
        <v>120.01-150 Watts</v>
      </c>
      <c r="E46" s="613" t="s">
        <v>949</v>
      </c>
      <c r="F46" s="613" t="s">
        <v>674</v>
      </c>
      <c r="G46" s="351">
        <f>'WP3 Current Light Rates (Smart)'!F30</f>
        <v>6.2974000000000002E-2</v>
      </c>
      <c r="I46" s="351">
        <f>'BDJ-6 Combined Charges'!K96</f>
        <v>0.295178</v>
      </c>
      <c r="J46" s="264">
        <f t="shared" si="15"/>
        <v>0.23220399999999999</v>
      </c>
      <c r="L46" s="264">
        <f t="shared" si="18"/>
        <v>0.295178</v>
      </c>
      <c r="M46" s="264">
        <f t="shared" si="16"/>
        <v>0</v>
      </c>
      <c r="N46" s="264"/>
      <c r="O46" s="264"/>
      <c r="P46" s="264"/>
    </row>
    <row r="47" spans="1:16" x14ac:dyDescent="0.2">
      <c r="A47" s="613">
        <f t="shared" si="3"/>
        <v>39</v>
      </c>
      <c r="B47" s="613">
        <f t="shared" ref="B47:D47" si="22">B36</f>
        <v>53</v>
      </c>
      <c r="C47" s="613" t="str">
        <f t="shared" si="22"/>
        <v>LED Lighting - Company Owned</v>
      </c>
      <c r="D47" s="613" t="str">
        <f t="shared" si="22"/>
        <v>150.01-180 Watts</v>
      </c>
      <c r="E47" s="613" t="s">
        <v>949</v>
      </c>
      <c r="F47" s="613" t="s">
        <v>674</v>
      </c>
      <c r="G47" s="351">
        <f>'WP3 Current Light Rates (Smart)'!F31</f>
        <v>6.2974000000000002E-2</v>
      </c>
      <c r="I47" s="351">
        <f>'BDJ-6 Combined Charges'!K97</f>
        <v>0.25137999999999999</v>
      </c>
      <c r="J47" s="264">
        <f t="shared" si="15"/>
        <v>0.18840599999999999</v>
      </c>
      <c r="L47" s="264">
        <f t="shared" si="18"/>
        <v>0.25137999999999999</v>
      </c>
      <c r="M47" s="264">
        <f t="shared" si="16"/>
        <v>0</v>
      </c>
      <c r="N47" s="264"/>
      <c r="O47" s="264"/>
      <c r="P47" s="264"/>
    </row>
    <row r="48" spans="1:16" x14ac:dyDescent="0.2">
      <c r="A48" s="613">
        <f t="shared" si="3"/>
        <v>40</v>
      </c>
      <c r="B48" s="613">
        <f t="shared" ref="B48:D48" si="23">B37</f>
        <v>53</v>
      </c>
      <c r="C48" s="613" t="str">
        <f t="shared" si="23"/>
        <v>LED Lighting - Company Owned</v>
      </c>
      <c r="D48" s="613" t="str">
        <f t="shared" si="23"/>
        <v>180.01-210 Watts</v>
      </c>
      <c r="E48" s="613" t="s">
        <v>949</v>
      </c>
      <c r="F48" s="613" t="s">
        <v>674</v>
      </c>
      <c r="G48" s="351">
        <f>'WP3 Current Light Rates (Smart)'!F32</f>
        <v>6.2974000000000002E-2</v>
      </c>
      <c r="I48" s="351">
        <f>'BDJ-6 Combined Charges'!K98</f>
        <v>0.22564799999999999</v>
      </c>
      <c r="J48" s="264">
        <f t="shared" si="15"/>
        <v>0.16267399999999999</v>
      </c>
      <c r="L48" s="264">
        <f t="shared" si="18"/>
        <v>0.22564799999999999</v>
      </c>
      <c r="M48" s="264">
        <f t="shared" si="16"/>
        <v>0</v>
      </c>
      <c r="N48" s="264"/>
      <c r="O48" s="264"/>
      <c r="P48" s="264"/>
    </row>
    <row r="49" spans="1:16" x14ac:dyDescent="0.2">
      <c r="A49" s="613">
        <f t="shared" si="3"/>
        <v>41</v>
      </c>
      <c r="B49" s="613">
        <f t="shared" ref="B49:D49" si="24">B38</f>
        <v>53</v>
      </c>
      <c r="C49" s="613" t="str">
        <f t="shared" si="24"/>
        <v>LED Lighting - Company Owned</v>
      </c>
      <c r="D49" s="613" t="str">
        <f t="shared" si="24"/>
        <v>210.01-240 Watts</v>
      </c>
      <c r="E49" s="613" t="s">
        <v>949</v>
      </c>
      <c r="F49" s="613" t="s">
        <v>674</v>
      </c>
      <c r="G49" s="351">
        <f>'WP3 Current Light Rates (Smart)'!F33</f>
        <v>6.2974000000000002E-2</v>
      </c>
      <c r="I49" s="351">
        <f>'BDJ-6 Combined Charges'!K99</f>
        <v>0.20738999999999999</v>
      </c>
      <c r="J49" s="264">
        <f t="shared" si="15"/>
        <v>0.14441599999999999</v>
      </c>
      <c r="L49" s="264">
        <f t="shared" si="18"/>
        <v>0.20738999999999999</v>
      </c>
      <c r="M49" s="264">
        <f t="shared" si="16"/>
        <v>0</v>
      </c>
      <c r="N49" s="264"/>
      <c r="O49" s="264"/>
      <c r="P49" s="264"/>
    </row>
    <row r="50" spans="1:16" x14ac:dyDescent="0.2">
      <c r="A50" s="613">
        <f t="shared" si="3"/>
        <v>42</v>
      </c>
      <c r="B50" s="613">
        <f t="shared" ref="B50:D50" si="25">B39</f>
        <v>53</v>
      </c>
      <c r="C50" s="613" t="str">
        <f t="shared" si="25"/>
        <v>LED Lighting - Company Owned</v>
      </c>
      <c r="D50" s="613" t="str">
        <f t="shared" si="25"/>
        <v>240.01-270 Watts</v>
      </c>
      <c r="E50" s="613" t="s">
        <v>949</v>
      </c>
      <c r="F50" s="613" t="s">
        <v>674</v>
      </c>
      <c r="G50" s="351">
        <f>'WP3 Current Light Rates (Smart)'!F34</f>
        <v>6.2974000000000002E-2</v>
      </c>
      <c r="I50" s="351">
        <f>'BDJ-6 Combined Charges'!K100</f>
        <v>0.192888</v>
      </c>
      <c r="J50" s="264">
        <f t="shared" si="15"/>
        <v>0.129914</v>
      </c>
      <c r="L50" s="264">
        <f t="shared" si="18"/>
        <v>0.192888</v>
      </c>
      <c r="M50" s="264">
        <f t="shared" si="16"/>
        <v>0</v>
      </c>
      <c r="N50" s="264"/>
      <c r="O50" s="264"/>
      <c r="P50" s="264"/>
    </row>
    <row r="51" spans="1:16" x14ac:dyDescent="0.2">
      <c r="A51" s="613">
        <f t="shared" si="3"/>
        <v>43</v>
      </c>
      <c r="B51" s="613">
        <f t="shared" ref="B51:D51" si="26">B40</f>
        <v>53</v>
      </c>
      <c r="C51" s="613" t="str">
        <f t="shared" si="26"/>
        <v>LED Lighting - Company Owned</v>
      </c>
      <c r="D51" s="613" t="str">
        <f t="shared" si="26"/>
        <v>270.01-300 Watts</v>
      </c>
      <c r="E51" s="613" t="s">
        <v>949</v>
      </c>
      <c r="F51" s="613" t="s">
        <v>674</v>
      </c>
      <c r="G51" s="351">
        <f>'WP3 Current Light Rates (Smart)'!F35</f>
        <v>6.2974000000000002E-2</v>
      </c>
      <c r="I51" s="351">
        <f>'BDJ-6 Combined Charges'!K101</f>
        <v>0.18143799999999999</v>
      </c>
      <c r="J51" s="264">
        <f t="shared" si="15"/>
        <v>0.11846399999999999</v>
      </c>
      <c r="L51" s="264">
        <f t="shared" si="18"/>
        <v>0.18143799999999999</v>
      </c>
      <c r="M51" s="264">
        <f t="shared" si="16"/>
        <v>0</v>
      </c>
      <c r="N51" s="264"/>
      <c r="O51" s="264"/>
      <c r="P51" s="264"/>
    </row>
    <row r="55" spans="1:16" ht="13.8" x14ac:dyDescent="0.3">
      <c r="B55" s="641"/>
      <c r="C55" s="245"/>
      <c r="D55" s="244"/>
      <c r="E55" s="244"/>
      <c r="F55" s="244"/>
      <c r="G55" s="364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67" orientation="landscape" r:id="rId1"/>
  <headerFooter>
    <oddFooter>&amp;R&amp;F
&amp;A
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H225"/>
  <sheetViews>
    <sheetView topLeftCell="N1" zoomScaleNormal="100" workbookViewId="0">
      <pane ySplit="7" topLeftCell="A8" activePane="bottomLeft" state="frozen"/>
      <selection activeCell="D32" sqref="D32"/>
      <selection pane="bottomLeft" activeCell="AG7" sqref="AG7"/>
    </sheetView>
  </sheetViews>
  <sheetFormatPr defaultColWidth="9.109375" defaultRowHeight="10.199999999999999" x14ac:dyDescent="0.2"/>
  <cols>
    <col min="1" max="1" width="7.44140625" style="621" bestFit="1" customWidth="1"/>
    <col min="2" max="2" width="9.6640625" style="244" customWidth="1"/>
    <col min="3" max="3" width="16.33203125" style="244" bestFit="1" customWidth="1"/>
    <col min="4" max="4" width="16.44140625" style="244" customWidth="1"/>
    <col min="5" max="5" width="12.109375" style="244" bestFit="1" customWidth="1"/>
    <col min="6" max="6" width="10.33203125" style="244" customWidth="1"/>
    <col min="7" max="7" width="10.5546875" style="364" bestFit="1" customWidth="1"/>
    <col min="8" max="8" width="9.33203125" style="244" customWidth="1"/>
    <col min="9" max="9" width="12.88671875" style="364" customWidth="1"/>
    <col min="10" max="10" width="13.44140625" style="163" customWidth="1"/>
    <col min="11" max="11" width="1.109375" style="163" customWidth="1"/>
    <col min="12" max="12" width="9.33203125" style="244" customWidth="1"/>
    <col min="13" max="13" width="12.88671875" style="364" bestFit="1" customWidth="1"/>
    <col min="14" max="14" width="13.44140625" style="163" customWidth="1"/>
    <col min="15" max="15" width="1.109375" style="163" customWidth="1"/>
    <col min="16" max="16" width="10.5546875" style="244" customWidth="1"/>
    <col min="17" max="17" width="12.109375" style="364" bestFit="1" customWidth="1"/>
    <col min="18" max="18" width="13.44140625" style="163" customWidth="1"/>
    <col min="19" max="19" width="1.109375" style="163" customWidth="1"/>
    <col min="20" max="20" width="14.109375" style="317" customWidth="1"/>
    <col min="21" max="21" width="1" style="244" customWidth="1"/>
    <col min="22" max="22" width="9.33203125" style="244" bestFit="1" customWidth="1"/>
    <col min="23" max="23" width="10.6640625" style="244" bestFit="1" customWidth="1"/>
    <col min="24" max="24" width="12.5546875" style="244" bestFit="1" customWidth="1"/>
    <col min="25" max="25" width="10.44140625" style="244" customWidth="1"/>
    <col min="26" max="26" width="0.88671875" style="244" customWidth="1"/>
    <col min="27" max="27" width="10" style="244" customWidth="1"/>
    <col min="28" max="28" width="10.44140625" style="244" bestFit="1" customWidth="1"/>
    <col min="29" max="29" width="1.109375" style="244" customWidth="1"/>
    <col min="30" max="30" width="11.109375" style="244" customWidth="1"/>
    <col min="31" max="31" width="10.33203125" style="244" bestFit="1" customWidth="1"/>
    <col min="32" max="32" width="1.109375" style="244" customWidth="1"/>
    <col min="33" max="33" width="10.44140625" style="244" customWidth="1"/>
    <col min="34" max="34" width="10.33203125" style="244" bestFit="1" customWidth="1"/>
    <col min="35" max="16384" width="9.109375" style="244"/>
  </cols>
  <sheetData>
    <row r="1" spans="1:34" ht="14.4" x14ac:dyDescent="0.3">
      <c r="A1" s="729" t="str">
        <f>'BDJ-6 Base Revenue (Summary)'!A1:I1</f>
        <v>Puget Sound Energy</v>
      </c>
      <c r="B1" s="729"/>
      <c r="C1" s="729"/>
      <c r="D1" s="729"/>
      <c r="E1" s="729"/>
      <c r="F1" s="729"/>
      <c r="G1" s="729"/>
      <c r="H1" s="729"/>
      <c r="I1" s="729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</row>
    <row r="2" spans="1:34" ht="14.4" x14ac:dyDescent="0.3">
      <c r="A2" s="729" t="s">
        <v>1154</v>
      </c>
      <c r="B2" s="729"/>
      <c r="C2" s="729"/>
      <c r="D2" s="729"/>
      <c r="E2" s="729"/>
      <c r="F2" s="729"/>
      <c r="G2" s="729"/>
      <c r="H2" s="729"/>
      <c r="I2" s="729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</row>
    <row r="3" spans="1:34" ht="15" customHeight="1" x14ac:dyDescent="0.3">
      <c r="A3" s="729" t="str">
        <f>'BDJ-6 Base Revenue (Summary)'!A3:I3</f>
        <v>Current Base Rate vs Proposed</v>
      </c>
      <c r="B3" s="729"/>
      <c r="C3" s="729"/>
      <c r="D3" s="729"/>
      <c r="E3" s="729"/>
      <c r="F3" s="729"/>
      <c r="G3" s="729"/>
      <c r="H3" s="729"/>
      <c r="I3" s="729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34" ht="15" customHeight="1" thickBot="1" x14ac:dyDescent="0.25">
      <c r="A4" s="729" t="str">
        <f>'BDJ-6 Base Revenue (Summary)'!A5:I5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</row>
    <row r="5" spans="1:34" ht="15" thickBot="1" x14ac:dyDescent="0.35">
      <c r="A5" s="620"/>
      <c r="B5" s="620"/>
      <c r="C5" s="620"/>
      <c r="D5" s="620"/>
      <c r="E5" s="620"/>
      <c r="F5" s="620"/>
      <c r="G5" s="620"/>
      <c r="H5" s="620"/>
      <c r="I5" s="620"/>
      <c r="J5" s="622"/>
      <c r="K5" s="622"/>
      <c r="L5" s="770" t="s">
        <v>1000</v>
      </c>
      <c r="M5" s="771"/>
      <c r="N5" s="771"/>
      <c r="O5" s="771"/>
      <c r="P5" s="771"/>
      <c r="Q5" s="771"/>
      <c r="R5" s="772"/>
      <c r="S5" s="622"/>
      <c r="T5" s="622"/>
      <c r="U5" s="622"/>
    </row>
    <row r="6" spans="1:34" ht="28.5" customHeight="1" thickBot="1" x14ac:dyDescent="0.35">
      <c r="H6" s="732" t="s">
        <v>704</v>
      </c>
      <c r="I6" s="733"/>
      <c r="J6" s="769"/>
      <c r="L6" s="773" t="s">
        <v>705</v>
      </c>
      <c r="M6" s="774"/>
      <c r="N6" s="775"/>
      <c r="P6" s="773" t="s">
        <v>706</v>
      </c>
      <c r="Q6" s="774"/>
      <c r="R6" s="775"/>
      <c r="W6" s="732" t="s">
        <v>1156</v>
      </c>
      <c r="X6" s="733"/>
      <c r="Y6" s="769"/>
    </row>
    <row r="7" spans="1:34" s="300" customFormat="1" ht="57.75" customHeight="1" x14ac:dyDescent="0.2">
      <c r="A7" s="625" t="s">
        <v>1</v>
      </c>
      <c r="B7" s="625" t="s">
        <v>53</v>
      </c>
      <c r="C7" s="625"/>
      <c r="D7" s="625" t="s">
        <v>67</v>
      </c>
      <c r="E7" s="625" t="s">
        <v>160</v>
      </c>
      <c r="F7" s="172" t="s">
        <v>691</v>
      </c>
      <c r="G7" s="171" t="s">
        <v>968</v>
      </c>
      <c r="H7" s="625" t="s">
        <v>1149</v>
      </c>
      <c r="I7" s="623" t="s">
        <v>1142</v>
      </c>
      <c r="J7" s="81" t="s">
        <v>1150</v>
      </c>
      <c r="K7" s="81"/>
      <c r="L7" s="625" t="s">
        <v>1149</v>
      </c>
      <c r="M7" s="623" t="s">
        <v>1151</v>
      </c>
      <c r="N7" s="81" t="s">
        <v>1150</v>
      </c>
      <c r="O7" s="81"/>
      <c r="P7" s="625" t="s">
        <v>1149</v>
      </c>
      <c r="Q7" s="623" t="s">
        <v>1151</v>
      </c>
      <c r="R7" s="81" t="s">
        <v>1150</v>
      </c>
      <c r="S7" s="40"/>
      <c r="T7" s="623" t="s">
        <v>665</v>
      </c>
      <c r="V7" s="244"/>
      <c r="W7" s="171" t="s">
        <v>710</v>
      </c>
      <c r="X7" s="171" t="s">
        <v>701</v>
      </c>
      <c r="Y7" s="171" t="s">
        <v>1152</v>
      </c>
      <c r="AA7" s="715" t="s">
        <v>1202</v>
      </c>
      <c r="AB7" s="716" t="s">
        <v>1200</v>
      </c>
      <c r="AD7" s="715" t="s">
        <v>1202</v>
      </c>
      <c r="AE7" s="716" t="s">
        <v>1200</v>
      </c>
      <c r="AG7" s="715" t="s">
        <v>1202</v>
      </c>
      <c r="AH7" s="716" t="s">
        <v>1200</v>
      </c>
    </row>
    <row r="8" spans="1:34" x14ac:dyDescent="0.2">
      <c r="A8" s="621">
        <v>1</v>
      </c>
      <c r="B8" s="596"/>
      <c r="C8" s="175"/>
      <c r="D8" s="363"/>
      <c r="E8" s="170"/>
      <c r="F8" s="364"/>
      <c r="G8" s="397"/>
      <c r="H8" s="642"/>
      <c r="I8" s="643"/>
      <c r="J8" s="644"/>
      <c r="K8" s="168"/>
      <c r="L8" s="642"/>
      <c r="M8" s="643"/>
      <c r="N8" s="644"/>
      <c r="O8" s="168"/>
      <c r="P8" s="642"/>
      <c r="Q8" s="643"/>
      <c r="R8" s="644"/>
      <c r="S8" s="168"/>
      <c r="V8" s="600" t="s">
        <v>697</v>
      </c>
      <c r="W8" s="645">
        <f>'[1]Exhibit No.__(BDJ-141A)'!$E$89</f>
        <v>124121.45704674396</v>
      </c>
      <c r="X8" s="689">
        <f>'[1]Exhibit No.__(BDJ-MYRP)'!$I$143</f>
        <v>62703000</v>
      </c>
      <c r="Y8" s="679">
        <f>ROUND(W8/X8,6)</f>
        <v>1.98E-3</v>
      </c>
      <c r="AA8" s="717">
        <v>124121</v>
      </c>
      <c r="AB8" s="718">
        <f>W8-AA8</f>
        <v>0.45704674396256451</v>
      </c>
      <c r="AD8" s="720">
        <v>62703000</v>
      </c>
      <c r="AE8" s="718">
        <f>X8-AD8</f>
        <v>0</v>
      </c>
      <c r="AG8" s="721">
        <v>1.98E-3</v>
      </c>
      <c r="AH8" s="722">
        <f>Y8-AG8</f>
        <v>0</v>
      </c>
    </row>
    <row r="9" spans="1:34" x14ac:dyDescent="0.2">
      <c r="A9" s="621">
        <f>A8+1</f>
        <v>2</v>
      </c>
      <c r="B9" s="164" t="s">
        <v>134</v>
      </c>
      <c r="C9" s="164"/>
      <c r="F9" s="364"/>
      <c r="G9" s="399"/>
      <c r="H9" s="596"/>
      <c r="I9" s="244"/>
      <c r="L9" s="596"/>
      <c r="M9" s="244"/>
      <c r="P9" s="596"/>
      <c r="Q9" s="244"/>
      <c r="V9" s="600" t="s">
        <v>698</v>
      </c>
      <c r="W9" s="645">
        <f>'[1]Exhibit No.__(BDJ-141A)'!$H$89</f>
        <v>126605.1319180218</v>
      </c>
      <c r="X9" s="689">
        <f>'[1]Exhibit No.__(BDJ-MYRP)'!$O$143</f>
        <v>61382000</v>
      </c>
      <c r="Y9" s="679">
        <f>ROUND(W9/X9,6)</f>
        <v>2.0630000000000002E-3</v>
      </c>
      <c r="AA9" s="717">
        <v>126605</v>
      </c>
      <c r="AB9" s="718">
        <f>W9-AA9</f>
        <v>0.13191802179790102</v>
      </c>
      <c r="AD9" s="720">
        <v>61382000</v>
      </c>
      <c r="AE9" s="718">
        <f>X9-AD9</f>
        <v>0</v>
      </c>
      <c r="AG9" s="721">
        <v>2.0630000000000002E-3</v>
      </c>
      <c r="AH9" s="722">
        <f>Y9-AG9</f>
        <v>0</v>
      </c>
    </row>
    <row r="10" spans="1:34" ht="10.8" thickBot="1" x14ac:dyDescent="0.25">
      <c r="A10" s="621">
        <f t="shared" ref="A10:A73" si="0">A9+1</f>
        <v>3</v>
      </c>
      <c r="B10" s="164">
        <f>'WP1 Light Inventory'!A9</f>
        <v>3</v>
      </c>
      <c r="C10" s="164"/>
      <c r="D10" s="327" t="str">
        <f>'WP1 Light Inventory'!D9</f>
        <v>Compact Fluorescent</v>
      </c>
      <c r="E10" s="165" t="str">
        <f>'WP1 Light Inventory'!E9</f>
        <v>CF 22</v>
      </c>
      <c r="F10" s="364">
        <f>'WP1 Light Inventory'!J9</f>
        <v>59</v>
      </c>
      <c r="G10" s="366">
        <f>'WP12 Condensed Sch. Level Costs'!O8</f>
        <v>7.7</v>
      </c>
      <c r="H10" s="339">
        <f>$Y$8</f>
        <v>1.98E-3</v>
      </c>
      <c r="I10" s="295">
        <f>+F10*J10*12</f>
        <v>14.16</v>
      </c>
      <c r="J10" s="163">
        <f>ROUND(+H10*G10,2)</f>
        <v>0.02</v>
      </c>
      <c r="L10" s="339">
        <f>$Y$9</f>
        <v>2.0630000000000002E-3</v>
      </c>
      <c r="M10" s="295">
        <f>+F10*N10*12</f>
        <v>14.16</v>
      </c>
      <c r="N10" s="163">
        <f>ROUND(+L10*G10,2)</f>
        <v>0.02</v>
      </c>
      <c r="P10" s="339">
        <f>$Y$10</f>
        <v>0</v>
      </c>
      <c r="Q10" s="295">
        <f>+F10*R10*12</f>
        <v>0</v>
      </c>
      <c r="R10" s="163">
        <f>ROUND(+P10*G10,2)</f>
        <v>0</v>
      </c>
      <c r="T10" s="621" t="s">
        <v>1153</v>
      </c>
      <c r="V10" s="600" t="s">
        <v>699</v>
      </c>
      <c r="W10" s="645"/>
      <c r="X10" s="646"/>
      <c r="Y10" s="679"/>
      <c r="AA10" s="719"/>
      <c r="AB10" s="707"/>
      <c r="AD10" s="719"/>
      <c r="AE10" s="707"/>
      <c r="AG10" s="719"/>
      <c r="AH10" s="707"/>
    </row>
    <row r="11" spans="1:34" x14ac:dyDescent="0.2">
      <c r="A11" s="621">
        <f t="shared" si="0"/>
        <v>4</v>
      </c>
      <c r="B11" s="164"/>
      <c r="C11" s="164"/>
      <c r="D11" s="327"/>
      <c r="E11" s="165"/>
      <c r="F11" s="364"/>
      <c r="G11" s="399"/>
      <c r="H11" s="342"/>
      <c r="I11" s="295"/>
      <c r="L11" s="342"/>
      <c r="M11" s="295"/>
      <c r="P11" s="342"/>
      <c r="Q11" s="295"/>
    </row>
    <row r="12" spans="1:34" x14ac:dyDescent="0.2">
      <c r="A12" s="621">
        <f t="shared" si="0"/>
        <v>5</v>
      </c>
      <c r="B12" s="164" t="str">
        <f>'WP1 Light Inventory'!A11</f>
        <v>50E-A</v>
      </c>
      <c r="C12" s="164"/>
      <c r="D12" s="327" t="str">
        <f>'WP1 Light Inventory'!D11</f>
        <v>Mercury Vapor</v>
      </c>
      <c r="E12" s="165" t="str">
        <f>'WP1 Light Inventory'!E11</f>
        <v>MV 100</v>
      </c>
      <c r="F12" s="364">
        <f>'WP1 Light Inventory'!J11</f>
        <v>2</v>
      </c>
      <c r="G12" s="366">
        <f>'WP12 Condensed Sch. Level Costs'!O10</f>
        <v>35</v>
      </c>
      <c r="H12" s="339">
        <f t="shared" ref="H12:H14" si="1">$Y$8</f>
        <v>1.98E-3</v>
      </c>
      <c r="I12" s="295">
        <f t="shared" ref="I12:I14" si="2">+F12*J12*12</f>
        <v>1.6800000000000002</v>
      </c>
      <c r="J12" s="163">
        <f t="shared" ref="J12:J14" si="3">ROUND(+H12*G12,2)</f>
        <v>7.0000000000000007E-2</v>
      </c>
      <c r="L12" s="339">
        <f t="shared" ref="L12:L14" si="4">$Y$9</f>
        <v>2.0630000000000002E-3</v>
      </c>
      <c r="M12" s="295">
        <f t="shared" ref="M12:M14" si="5">+F12*N12*12</f>
        <v>1.6800000000000002</v>
      </c>
      <c r="N12" s="163">
        <f t="shared" ref="N12:N14" si="6">ROUND(+L12*G12,2)</f>
        <v>7.0000000000000007E-2</v>
      </c>
      <c r="P12" s="339">
        <f t="shared" ref="P12:P14" si="7">$Y$10</f>
        <v>0</v>
      </c>
      <c r="Q12" s="295">
        <f t="shared" ref="Q12:Q14" si="8">+F12*R12*12</f>
        <v>0</v>
      </c>
      <c r="R12" s="163">
        <f t="shared" ref="R12:R14" si="9">ROUND(+P12*G12,2)</f>
        <v>0</v>
      </c>
      <c r="T12" s="621" t="s">
        <v>1153</v>
      </c>
    </row>
    <row r="13" spans="1:34" x14ac:dyDescent="0.2">
      <c r="A13" s="621">
        <f t="shared" si="0"/>
        <v>6</v>
      </c>
      <c r="B13" s="164" t="str">
        <f>'WP1 Light Inventory'!A12</f>
        <v>50E-A</v>
      </c>
      <c r="C13" s="164"/>
      <c r="D13" s="327" t="str">
        <f>'WP1 Light Inventory'!D12</f>
        <v>Mercury Vapor</v>
      </c>
      <c r="E13" s="165" t="str">
        <f>'WP1 Light Inventory'!E12</f>
        <v>MV 175</v>
      </c>
      <c r="F13" s="364">
        <f>'WP1 Light Inventory'!J12</f>
        <v>19</v>
      </c>
      <c r="G13" s="366">
        <f>'WP12 Condensed Sch. Level Costs'!O11</f>
        <v>61.25</v>
      </c>
      <c r="H13" s="339">
        <f t="shared" si="1"/>
        <v>1.98E-3</v>
      </c>
      <c r="I13" s="295">
        <f t="shared" si="2"/>
        <v>27.36</v>
      </c>
      <c r="J13" s="163">
        <f t="shared" si="3"/>
        <v>0.12</v>
      </c>
      <c r="L13" s="339">
        <f t="shared" si="4"/>
        <v>2.0630000000000002E-3</v>
      </c>
      <c r="M13" s="295">
        <f t="shared" si="5"/>
        <v>29.64</v>
      </c>
      <c r="N13" s="163">
        <f t="shared" si="6"/>
        <v>0.13</v>
      </c>
      <c r="P13" s="339">
        <f t="shared" si="7"/>
        <v>0</v>
      </c>
      <c r="Q13" s="295">
        <f t="shared" si="8"/>
        <v>0</v>
      </c>
      <c r="R13" s="163">
        <f t="shared" si="9"/>
        <v>0</v>
      </c>
      <c r="T13" s="621" t="s">
        <v>1153</v>
      </c>
    </row>
    <row r="14" spans="1:34" x14ac:dyDescent="0.2">
      <c r="A14" s="621">
        <f t="shared" si="0"/>
        <v>7</v>
      </c>
      <c r="B14" s="164" t="str">
        <f>'WP1 Light Inventory'!A13</f>
        <v>50E-A</v>
      </c>
      <c r="C14" s="164"/>
      <c r="D14" s="327" t="str">
        <f>'WP1 Light Inventory'!D13</f>
        <v>Mercury Vapor</v>
      </c>
      <c r="E14" s="165" t="str">
        <f>'WP1 Light Inventory'!E13</f>
        <v>MV 400</v>
      </c>
      <c r="F14" s="364">
        <f>'WP1 Light Inventory'!J13</f>
        <v>20</v>
      </c>
      <c r="G14" s="366">
        <f>'WP12 Condensed Sch. Level Costs'!O12</f>
        <v>140</v>
      </c>
      <c r="H14" s="339">
        <f t="shared" si="1"/>
        <v>1.98E-3</v>
      </c>
      <c r="I14" s="295">
        <f t="shared" si="2"/>
        <v>67.2</v>
      </c>
      <c r="J14" s="163">
        <f t="shared" si="3"/>
        <v>0.28000000000000003</v>
      </c>
      <c r="L14" s="339">
        <f t="shared" si="4"/>
        <v>2.0630000000000002E-3</v>
      </c>
      <c r="M14" s="295">
        <f t="shared" si="5"/>
        <v>69.599999999999994</v>
      </c>
      <c r="N14" s="163">
        <f t="shared" si="6"/>
        <v>0.28999999999999998</v>
      </c>
      <c r="P14" s="339">
        <f t="shared" si="7"/>
        <v>0</v>
      </c>
      <c r="Q14" s="295">
        <f t="shared" si="8"/>
        <v>0</v>
      </c>
      <c r="R14" s="163">
        <f t="shared" si="9"/>
        <v>0</v>
      </c>
      <c r="T14" s="621" t="s">
        <v>1153</v>
      </c>
    </row>
    <row r="15" spans="1:34" x14ac:dyDescent="0.2">
      <c r="A15" s="621">
        <f t="shared" si="0"/>
        <v>8</v>
      </c>
      <c r="B15" s="164"/>
      <c r="C15" s="164"/>
      <c r="D15" s="327"/>
      <c r="E15" s="165"/>
      <c r="F15" s="364"/>
      <c r="G15" s="399"/>
      <c r="H15" s="342"/>
      <c r="I15" s="295"/>
      <c r="L15" s="342"/>
      <c r="M15" s="295"/>
      <c r="P15" s="342"/>
      <c r="Q15" s="295"/>
    </row>
    <row r="16" spans="1:34" x14ac:dyDescent="0.2">
      <c r="A16" s="621">
        <f t="shared" si="0"/>
        <v>9</v>
      </c>
      <c r="B16" s="164" t="str">
        <f>'WP1 Light Inventory'!A15</f>
        <v>50E-B</v>
      </c>
      <c r="C16" s="164" t="str">
        <f>'WP1 Light Inventory'!C15</f>
        <v>Energy Only</v>
      </c>
      <c r="D16" s="327" t="str">
        <f>'WP1 Light Inventory'!D15</f>
        <v>Mercury Vapor</v>
      </c>
      <c r="E16" s="165" t="str">
        <f>'WP1 Light Inventory'!E15</f>
        <v>MV 100</v>
      </c>
      <c r="F16" s="364">
        <f>'WP1 Light Inventory'!J15</f>
        <v>0</v>
      </c>
      <c r="G16" s="366">
        <f>'WP12 Condensed Sch. Level Costs'!O14</f>
        <v>35</v>
      </c>
      <c r="H16" s="339">
        <f t="shared" ref="H16:H19" si="10">$Y$8</f>
        <v>1.98E-3</v>
      </c>
      <c r="I16" s="295">
        <f t="shared" ref="I16:I19" si="11">+F16*J16*12</f>
        <v>0</v>
      </c>
      <c r="J16" s="163">
        <f t="shared" ref="J16:J19" si="12">ROUND(+H16*G16,2)</f>
        <v>7.0000000000000007E-2</v>
      </c>
      <c r="L16" s="339">
        <f t="shared" ref="L16:L19" si="13">$Y$9</f>
        <v>2.0630000000000002E-3</v>
      </c>
      <c r="M16" s="295">
        <f t="shared" ref="M16:M19" si="14">+F16*N16*12</f>
        <v>0</v>
      </c>
      <c r="N16" s="163">
        <f t="shared" ref="N16:N19" si="15">ROUND(+L16*G16,2)</f>
        <v>7.0000000000000007E-2</v>
      </c>
      <c r="P16" s="339">
        <f t="shared" ref="P16:P19" si="16">$Y$10</f>
        <v>0</v>
      </c>
      <c r="Q16" s="295">
        <f t="shared" ref="Q16:Q19" si="17">+F16*R16*12</f>
        <v>0</v>
      </c>
      <c r="R16" s="163">
        <f t="shared" ref="R16:R19" si="18">ROUND(+P16*G16,2)</f>
        <v>0</v>
      </c>
      <c r="T16" s="621" t="s">
        <v>1153</v>
      </c>
    </row>
    <row r="17" spans="1:20" x14ac:dyDescent="0.2">
      <c r="A17" s="621">
        <f t="shared" si="0"/>
        <v>10</v>
      </c>
      <c r="B17" s="164" t="str">
        <f>'WP1 Light Inventory'!A16</f>
        <v>50E-B</v>
      </c>
      <c r="C17" s="164" t="str">
        <f>'WP1 Light Inventory'!C16</f>
        <v>Energy Only</v>
      </c>
      <c r="D17" s="327" t="str">
        <f>'WP1 Light Inventory'!D16</f>
        <v>Mercury Vapor</v>
      </c>
      <c r="E17" s="165" t="str">
        <f>'WP1 Light Inventory'!E16</f>
        <v>MV 175</v>
      </c>
      <c r="F17" s="364">
        <f>'WP1 Light Inventory'!J16</f>
        <v>1</v>
      </c>
      <c r="G17" s="366">
        <f>'WP12 Condensed Sch. Level Costs'!O15</f>
        <v>61.25</v>
      </c>
      <c r="H17" s="339">
        <f t="shared" si="10"/>
        <v>1.98E-3</v>
      </c>
      <c r="I17" s="295">
        <f t="shared" si="11"/>
        <v>1.44</v>
      </c>
      <c r="J17" s="163">
        <f t="shared" si="12"/>
        <v>0.12</v>
      </c>
      <c r="L17" s="339">
        <f t="shared" si="13"/>
        <v>2.0630000000000002E-3</v>
      </c>
      <c r="M17" s="295">
        <f t="shared" si="14"/>
        <v>1.56</v>
      </c>
      <c r="N17" s="163">
        <f t="shared" si="15"/>
        <v>0.13</v>
      </c>
      <c r="P17" s="339">
        <f t="shared" si="16"/>
        <v>0</v>
      </c>
      <c r="Q17" s="295">
        <f t="shared" si="17"/>
        <v>0</v>
      </c>
      <c r="R17" s="163">
        <f t="shared" si="18"/>
        <v>0</v>
      </c>
      <c r="T17" s="621" t="s">
        <v>1153</v>
      </c>
    </row>
    <row r="18" spans="1:20" x14ac:dyDescent="0.2">
      <c r="A18" s="621">
        <f t="shared" si="0"/>
        <v>11</v>
      </c>
      <c r="B18" s="164" t="str">
        <f>'WP1 Light Inventory'!A17</f>
        <v>50E-B</v>
      </c>
      <c r="C18" s="164" t="str">
        <f>'WP1 Light Inventory'!C17</f>
        <v>Energy Only</v>
      </c>
      <c r="D18" s="327" t="str">
        <f>'WP1 Light Inventory'!D17</f>
        <v>Mercury Vapor</v>
      </c>
      <c r="E18" s="165" t="str">
        <f>'WP1 Light Inventory'!E17</f>
        <v>MV 400</v>
      </c>
      <c r="F18" s="364">
        <f>'WP1 Light Inventory'!J17</f>
        <v>0</v>
      </c>
      <c r="G18" s="366">
        <f>'WP12 Condensed Sch. Level Costs'!O16</f>
        <v>140</v>
      </c>
      <c r="H18" s="339">
        <f t="shared" si="10"/>
        <v>1.98E-3</v>
      </c>
      <c r="I18" s="295">
        <f t="shared" si="11"/>
        <v>0</v>
      </c>
      <c r="J18" s="163">
        <f t="shared" si="12"/>
        <v>0.28000000000000003</v>
      </c>
      <c r="L18" s="339">
        <f t="shared" si="13"/>
        <v>2.0630000000000002E-3</v>
      </c>
      <c r="M18" s="295">
        <f t="shared" si="14"/>
        <v>0</v>
      </c>
      <c r="N18" s="163">
        <f t="shared" si="15"/>
        <v>0.28999999999999998</v>
      </c>
      <c r="P18" s="339">
        <f t="shared" si="16"/>
        <v>0</v>
      </c>
      <c r="Q18" s="295">
        <f t="shared" si="17"/>
        <v>0</v>
      </c>
      <c r="R18" s="163">
        <f t="shared" si="18"/>
        <v>0</v>
      </c>
      <c r="T18" s="621" t="s">
        <v>1153</v>
      </c>
    </row>
    <row r="19" spans="1:20" x14ac:dyDescent="0.2">
      <c r="A19" s="621">
        <f t="shared" si="0"/>
        <v>12</v>
      </c>
      <c r="B19" s="164" t="str">
        <f>'WP1 Light Inventory'!A18</f>
        <v>50E-B</v>
      </c>
      <c r="C19" s="164" t="str">
        <f>'WP1 Light Inventory'!C18</f>
        <v>Energy Only</v>
      </c>
      <c r="D19" s="327" t="str">
        <f>'WP1 Light Inventory'!D18</f>
        <v>Mercury Vapor</v>
      </c>
      <c r="E19" s="165" t="str">
        <f>'WP1 Light Inventory'!E18</f>
        <v>MV 700</v>
      </c>
      <c r="F19" s="364">
        <f>'WP1 Light Inventory'!J18</f>
        <v>0</v>
      </c>
      <c r="G19" s="366">
        <f>'WP12 Condensed Sch. Level Costs'!O17</f>
        <v>245</v>
      </c>
      <c r="H19" s="339">
        <f t="shared" si="10"/>
        <v>1.98E-3</v>
      </c>
      <c r="I19" s="295">
        <f t="shared" si="11"/>
        <v>0</v>
      </c>
      <c r="J19" s="163">
        <f t="shared" si="12"/>
        <v>0.49</v>
      </c>
      <c r="L19" s="339">
        <f t="shared" si="13"/>
        <v>2.0630000000000002E-3</v>
      </c>
      <c r="M19" s="295">
        <f t="shared" si="14"/>
        <v>0</v>
      </c>
      <c r="N19" s="163">
        <f t="shared" si="15"/>
        <v>0.51</v>
      </c>
      <c r="P19" s="339">
        <f t="shared" si="16"/>
        <v>0</v>
      </c>
      <c r="Q19" s="295">
        <f t="shared" si="17"/>
        <v>0</v>
      </c>
      <c r="R19" s="163">
        <f t="shared" si="18"/>
        <v>0</v>
      </c>
      <c r="T19" s="621" t="s">
        <v>1153</v>
      </c>
    </row>
    <row r="20" spans="1:20" x14ac:dyDescent="0.2">
      <c r="A20" s="621">
        <f t="shared" si="0"/>
        <v>13</v>
      </c>
      <c r="B20" s="164"/>
      <c r="C20" s="164"/>
      <c r="D20" s="327"/>
      <c r="E20" s="165"/>
      <c r="F20" s="364"/>
      <c r="G20" s="399"/>
      <c r="H20" s="342"/>
      <c r="I20" s="295"/>
      <c r="L20" s="342"/>
      <c r="M20" s="295"/>
      <c r="P20" s="342"/>
      <c r="Q20" s="295"/>
    </row>
    <row r="21" spans="1:20" x14ac:dyDescent="0.2">
      <c r="A21" s="621">
        <f t="shared" si="0"/>
        <v>14</v>
      </c>
      <c r="B21" s="164" t="s">
        <v>135</v>
      </c>
      <c r="C21" s="164"/>
      <c r="D21" s="327"/>
      <c r="E21" s="165"/>
      <c r="F21" s="364"/>
      <c r="G21" s="399"/>
      <c r="H21" s="342"/>
      <c r="I21" s="295"/>
      <c r="L21" s="342"/>
      <c r="M21" s="295"/>
      <c r="P21" s="342"/>
      <c r="Q21" s="295"/>
    </row>
    <row r="22" spans="1:20" ht="11.25" customHeight="1" x14ac:dyDescent="0.2">
      <c r="A22" s="621">
        <f t="shared" si="0"/>
        <v>15</v>
      </c>
      <c r="B22" s="164" t="str">
        <f>'WP1 Light Inventory'!A20</f>
        <v>51E</v>
      </c>
      <c r="C22" s="164"/>
      <c r="D22" s="327" t="str">
        <f>'WP1 Light Inventory'!D20</f>
        <v>Light Emitting Diode</v>
      </c>
      <c r="E22" s="165" t="str">
        <f>'WP1 Light Inventory'!E20</f>
        <v>LED 0-030</v>
      </c>
      <c r="F22" s="364">
        <f>'WP1 Light Inventory'!J20</f>
        <v>0</v>
      </c>
      <c r="G22" s="366">
        <f>'WP12 Condensed Sch. Level Costs'!O19</f>
        <v>5.25</v>
      </c>
      <c r="H22" s="339">
        <f t="shared" ref="H22:H31" si="19">$Y$8</f>
        <v>1.98E-3</v>
      </c>
      <c r="I22" s="295">
        <f t="shared" ref="I22:I31" si="20">+F22*J22*12</f>
        <v>0</v>
      </c>
      <c r="J22" s="163">
        <f t="shared" ref="J22:J31" si="21">ROUND(+H22*G22,2)</f>
        <v>0.01</v>
      </c>
      <c r="L22" s="339">
        <f t="shared" ref="L22:L31" si="22">$Y$9</f>
        <v>2.0630000000000002E-3</v>
      </c>
      <c r="M22" s="295">
        <f t="shared" ref="M22:M31" si="23">+F22*N22*12</f>
        <v>0</v>
      </c>
      <c r="N22" s="163">
        <f t="shared" ref="N22:N31" si="24">ROUND(+L22*G22,2)</f>
        <v>0.01</v>
      </c>
      <c r="P22" s="339">
        <f t="shared" ref="P22:P31" si="25">$Y$10</f>
        <v>0</v>
      </c>
      <c r="Q22" s="295">
        <f t="shared" ref="Q22:Q31" si="26">+F22*R22*12</f>
        <v>0</v>
      </c>
      <c r="R22" s="163">
        <f t="shared" ref="R22:R31" si="27">ROUND(+P22*G22,2)</f>
        <v>0</v>
      </c>
      <c r="T22" s="621" t="s">
        <v>1153</v>
      </c>
    </row>
    <row r="23" spans="1:20" x14ac:dyDescent="0.2">
      <c r="A23" s="621">
        <f t="shared" si="0"/>
        <v>16</v>
      </c>
      <c r="B23" s="164" t="str">
        <f>'WP1 Light Inventory'!A21</f>
        <v>51E</v>
      </c>
      <c r="C23" s="164"/>
      <c r="D23" s="327" t="str">
        <f>'WP1 Light Inventory'!D21</f>
        <v>Light Emitting Diode</v>
      </c>
      <c r="E23" s="165" t="str">
        <f>'WP1 Light Inventory'!E21</f>
        <v>LED 030.01-060</v>
      </c>
      <c r="F23" s="364">
        <f>'WP1 Light Inventory'!J21</f>
        <v>4351</v>
      </c>
      <c r="G23" s="366">
        <f>'WP12 Condensed Sch. Level Costs'!O20</f>
        <v>15.75</v>
      </c>
      <c r="H23" s="339">
        <f t="shared" si="19"/>
        <v>1.98E-3</v>
      </c>
      <c r="I23" s="295">
        <f t="shared" si="20"/>
        <v>1566.3600000000001</v>
      </c>
      <c r="J23" s="163">
        <f t="shared" si="21"/>
        <v>0.03</v>
      </c>
      <c r="L23" s="339">
        <f t="shared" si="22"/>
        <v>2.0630000000000002E-3</v>
      </c>
      <c r="M23" s="295">
        <f t="shared" si="23"/>
        <v>1566.3600000000001</v>
      </c>
      <c r="N23" s="163">
        <f t="shared" si="24"/>
        <v>0.03</v>
      </c>
      <c r="P23" s="339">
        <f t="shared" si="25"/>
        <v>0</v>
      </c>
      <c r="Q23" s="295">
        <f t="shared" si="26"/>
        <v>0</v>
      </c>
      <c r="R23" s="163">
        <f t="shared" si="27"/>
        <v>0</v>
      </c>
      <c r="T23" s="621" t="s">
        <v>1153</v>
      </c>
    </row>
    <row r="24" spans="1:20" x14ac:dyDescent="0.2">
      <c r="A24" s="621">
        <f t="shared" si="0"/>
        <v>17</v>
      </c>
      <c r="B24" s="164" t="str">
        <f>'WP1 Light Inventory'!A22</f>
        <v>51E</v>
      </c>
      <c r="C24" s="164"/>
      <c r="D24" s="327" t="str">
        <f>'WP1 Light Inventory'!D22</f>
        <v>Light Emitting Diode</v>
      </c>
      <c r="E24" s="165" t="str">
        <f>'WP1 Light Inventory'!E22</f>
        <v>LED 060.01-090</v>
      </c>
      <c r="F24" s="364">
        <f>'WP1 Light Inventory'!J22</f>
        <v>2380</v>
      </c>
      <c r="G24" s="366">
        <f>'WP12 Condensed Sch. Level Costs'!O21</f>
        <v>26.25</v>
      </c>
      <c r="H24" s="339">
        <f t="shared" si="19"/>
        <v>1.98E-3</v>
      </c>
      <c r="I24" s="295">
        <f t="shared" si="20"/>
        <v>1428</v>
      </c>
      <c r="J24" s="163">
        <f t="shared" si="21"/>
        <v>0.05</v>
      </c>
      <c r="L24" s="339">
        <f t="shared" si="22"/>
        <v>2.0630000000000002E-3</v>
      </c>
      <c r="M24" s="295">
        <f t="shared" si="23"/>
        <v>1428</v>
      </c>
      <c r="N24" s="163">
        <f t="shared" si="24"/>
        <v>0.05</v>
      </c>
      <c r="P24" s="339">
        <f t="shared" si="25"/>
        <v>0</v>
      </c>
      <c r="Q24" s="295">
        <f t="shared" si="26"/>
        <v>0</v>
      </c>
      <c r="R24" s="163">
        <f t="shared" si="27"/>
        <v>0</v>
      </c>
      <c r="T24" s="621" t="s">
        <v>1153</v>
      </c>
    </row>
    <row r="25" spans="1:20" x14ac:dyDescent="0.2">
      <c r="A25" s="621">
        <f t="shared" si="0"/>
        <v>18</v>
      </c>
      <c r="B25" s="164" t="str">
        <f>'WP1 Light Inventory'!A23</f>
        <v>51E</v>
      </c>
      <c r="C25" s="164"/>
      <c r="D25" s="327" t="str">
        <f>'WP1 Light Inventory'!D23</f>
        <v>Light Emitting Diode</v>
      </c>
      <c r="E25" s="165" t="str">
        <f>'WP1 Light Inventory'!E23</f>
        <v>LED 090.01-120</v>
      </c>
      <c r="F25" s="364">
        <f>'WP1 Light Inventory'!J23</f>
        <v>1030</v>
      </c>
      <c r="G25" s="366">
        <f>'WP12 Condensed Sch. Level Costs'!O22</f>
        <v>36.75</v>
      </c>
      <c r="H25" s="339">
        <f t="shared" si="19"/>
        <v>1.98E-3</v>
      </c>
      <c r="I25" s="295">
        <f t="shared" si="20"/>
        <v>865.2</v>
      </c>
      <c r="J25" s="163">
        <f t="shared" si="21"/>
        <v>7.0000000000000007E-2</v>
      </c>
      <c r="L25" s="339">
        <f t="shared" si="22"/>
        <v>2.0630000000000002E-3</v>
      </c>
      <c r="M25" s="295">
        <f t="shared" si="23"/>
        <v>988.80000000000007</v>
      </c>
      <c r="N25" s="163">
        <f t="shared" si="24"/>
        <v>0.08</v>
      </c>
      <c r="P25" s="339">
        <f t="shared" si="25"/>
        <v>0</v>
      </c>
      <c r="Q25" s="295">
        <f t="shared" si="26"/>
        <v>0</v>
      </c>
      <c r="R25" s="163">
        <f t="shared" si="27"/>
        <v>0</v>
      </c>
      <c r="T25" s="621" t="s">
        <v>1153</v>
      </c>
    </row>
    <row r="26" spans="1:20" x14ac:dyDescent="0.2">
      <c r="A26" s="621">
        <f t="shared" si="0"/>
        <v>19</v>
      </c>
      <c r="B26" s="164" t="str">
        <f>'WP1 Light Inventory'!A24</f>
        <v>51E</v>
      </c>
      <c r="C26" s="164"/>
      <c r="D26" s="327" t="str">
        <f>'WP1 Light Inventory'!D24</f>
        <v>Light Emitting Diode</v>
      </c>
      <c r="E26" s="165" t="str">
        <f>'WP1 Light Inventory'!E24</f>
        <v>LED 120.01-150</v>
      </c>
      <c r="F26" s="364">
        <f>'WP1 Light Inventory'!J24</f>
        <v>485</v>
      </c>
      <c r="G26" s="366">
        <f>'WP12 Condensed Sch. Level Costs'!O23</f>
        <v>47.25</v>
      </c>
      <c r="H26" s="339">
        <f t="shared" si="19"/>
        <v>1.98E-3</v>
      </c>
      <c r="I26" s="295">
        <f t="shared" si="20"/>
        <v>523.79999999999995</v>
      </c>
      <c r="J26" s="163">
        <f t="shared" si="21"/>
        <v>0.09</v>
      </c>
      <c r="L26" s="339">
        <f t="shared" si="22"/>
        <v>2.0630000000000002E-3</v>
      </c>
      <c r="M26" s="295">
        <f t="shared" si="23"/>
        <v>582</v>
      </c>
      <c r="N26" s="163">
        <f t="shared" si="24"/>
        <v>0.1</v>
      </c>
      <c r="P26" s="339">
        <f t="shared" si="25"/>
        <v>0</v>
      </c>
      <c r="Q26" s="295">
        <f t="shared" si="26"/>
        <v>0</v>
      </c>
      <c r="R26" s="163">
        <f t="shared" si="27"/>
        <v>0</v>
      </c>
      <c r="T26" s="621" t="s">
        <v>1153</v>
      </c>
    </row>
    <row r="27" spans="1:20" x14ac:dyDescent="0.2">
      <c r="A27" s="621">
        <f t="shared" si="0"/>
        <v>20</v>
      </c>
      <c r="B27" s="164" t="str">
        <f>'WP1 Light Inventory'!A25</f>
        <v>51E</v>
      </c>
      <c r="C27" s="164"/>
      <c r="D27" s="327" t="str">
        <f>'WP1 Light Inventory'!D25</f>
        <v>Light Emitting Diode</v>
      </c>
      <c r="E27" s="165" t="str">
        <f>'WP1 Light Inventory'!E25</f>
        <v>LED 150.01-180</v>
      </c>
      <c r="F27" s="364">
        <f>'WP1 Light Inventory'!J25</f>
        <v>69</v>
      </c>
      <c r="G27" s="366">
        <f>'WP12 Condensed Sch. Level Costs'!O24</f>
        <v>57.75</v>
      </c>
      <c r="H27" s="339">
        <f t="shared" si="19"/>
        <v>1.98E-3</v>
      </c>
      <c r="I27" s="295">
        <f t="shared" si="20"/>
        <v>91.08</v>
      </c>
      <c r="J27" s="163">
        <f t="shared" si="21"/>
        <v>0.11</v>
      </c>
      <c r="L27" s="339">
        <f t="shared" si="22"/>
        <v>2.0630000000000002E-3</v>
      </c>
      <c r="M27" s="295">
        <f t="shared" si="23"/>
        <v>99.359999999999985</v>
      </c>
      <c r="N27" s="163">
        <f t="shared" si="24"/>
        <v>0.12</v>
      </c>
      <c r="P27" s="339">
        <f t="shared" si="25"/>
        <v>0</v>
      </c>
      <c r="Q27" s="295">
        <f t="shared" si="26"/>
        <v>0</v>
      </c>
      <c r="R27" s="163">
        <f t="shared" si="27"/>
        <v>0</v>
      </c>
      <c r="T27" s="621" t="s">
        <v>1153</v>
      </c>
    </row>
    <row r="28" spans="1:20" x14ac:dyDescent="0.2">
      <c r="A28" s="621">
        <f t="shared" si="0"/>
        <v>21</v>
      </c>
      <c r="B28" s="164" t="str">
        <f>'WP1 Light Inventory'!A26</f>
        <v>51E</v>
      </c>
      <c r="C28" s="164"/>
      <c r="D28" s="327" t="str">
        <f>'WP1 Light Inventory'!D26</f>
        <v>Light Emitting Diode</v>
      </c>
      <c r="E28" s="165" t="str">
        <f>'WP1 Light Inventory'!E26</f>
        <v>LED 180.01-210</v>
      </c>
      <c r="F28" s="364">
        <f>'WP1 Light Inventory'!J26</f>
        <v>201</v>
      </c>
      <c r="G28" s="366">
        <f>'WP12 Condensed Sch. Level Costs'!O25</f>
        <v>68.25</v>
      </c>
      <c r="H28" s="339">
        <f t="shared" si="19"/>
        <v>1.98E-3</v>
      </c>
      <c r="I28" s="295">
        <f t="shared" si="20"/>
        <v>337.68000000000006</v>
      </c>
      <c r="J28" s="163">
        <f t="shared" si="21"/>
        <v>0.14000000000000001</v>
      </c>
      <c r="L28" s="339">
        <f t="shared" si="22"/>
        <v>2.0630000000000002E-3</v>
      </c>
      <c r="M28" s="295">
        <f t="shared" si="23"/>
        <v>337.68000000000006</v>
      </c>
      <c r="N28" s="163">
        <f t="shared" si="24"/>
        <v>0.14000000000000001</v>
      </c>
      <c r="P28" s="339">
        <f t="shared" si="25"/>
        <v>0</v>
      </c>
      <c r="Q28" s="295">
        <f t="shared" si="26"/>
        <v>0</v>
      </c>
      <c r="R28" s="163">
        <f t="shared" si="27"/>
        <v>0</v>
      </c>
      <c r="T28" s="621" t="s">
        <v>1153</v>
      </c>
    </row>
    <row r="29" spans="1:20" x14ac:dyDescent="0.2">
      <c r="A29" s="621">
        <f t="shared" si="0"/>
        <v>22</v>
      </c>
      <c r="B29" s="164" t="str">
        <f>'WP1 Light Inventory'!A27</f>
        <v>51E</v>
      </c>
      <c r="C29" s="164"/>
      <c r="D29" s="327" t="str">
        <f>'WP1 Light Inventory'!D27</f>
        <v>Light Emitting Diode</v>
      </c>
      <c r="E29" s="165" t="str">
        <f>'WP1 Light Inventory'!E27</f>
        <v>LED 210.01-240</v>
      </c>
      <c r="F29" s="364">
        <f>'WP1 Light Inventory'!J27</f>
        <v>59</v>
      </c>
      <c r="G29" s="366">
        <f>'WP12 Condensed Sch. Level Costs'!O26</f>
        <v>78.75</v>
      </c>
      <c r="H29" s="339">
        <f t="shared" si="19"/>
        <v>1.98E-3</v>
      </c>
      <c r="I29" s="295">
        <f t="shared" si="20"/>
        <v>113.28</v>
      </c>
      <c r="J29" s="163">
        <f t="shared" si="21"/>
        <v>0.16</v>
      </c>
      <c r="L29" s="339">
        <f t="shared" si="22"/>
        <v>2.0630000000000002E-3</v>
      </c>
      <c r="M29" s="295">
        <f t="shared" si="23"/>
        <v>113.28</v>
      </c>
      <c r="N29" s="163">
        <f t="shared" si="24"/>
        <v>0.16</v>
      </c>
      <c r="P29" s="339">
        <f t="shared" si="25"/>
        <v>0</v>
      </c>
      <c r="Q29" s="295">
        <f t="shared" si="26"/>
        <v>0</v>
      </c>
      <c r="R29" s="163">
        <f t="shared" si="27"/>
        <v>0</v>
      </c>
      <c r="T29" s="621" t="s">
        <v>1153</v>
      </c>
    </row>
    <row r="30" spans="1:20" x14ac:dyDescent="0.2">
      <c r="A30" s="621">
        <f t="shared" si="0"/>
        <v>23</v>
      </c>
      <c r="B30" s="164" t="str">
        <f>'WP1 Light Inventory'!A28</f>
        <v>51E</v>
      </c>
      <c r="C30" s="164"/>
      <c r="D30" s="327" t="str">
        <f>'WP1 Light Inventory'!D28</f>
        <v>Light Emitting Diode</v>
      </c>
      <c r="E30" s="165" t="str">
        <f>'WP1 Light Inventory'!E28</f>
        <v>LED 240.01-270</v>
      </c>
      <c r="F30" s="364">
        <f>'WP1 Light Inventory'!J28</f>
        <v>8</v>
      </c>
      <c r="G30" s="366">
        <f>'WP12 Condensed Sch. Level Costs'!O27</f>
        <v>89.25</v>
      </c>
      <c r="H30" s="339">
        <f t="shared" si="19"/>
        <v>1.98E-3</v>
      </c>
      <c r="I30" s="295">
        <f t="shared" si="20"/>
        <v>17.28</v>
      </c>
      <c r="J30" s="163">
        <f t="shared" si="21"/>
        <v>0.18</v>
      </c>
      <c r="L30" s="339">
        <f t="shared" si="22"/>
        <v>2.0630000000000002E-3</v>
      </c>
      <c r="M30" s="295">
        <f t="shared" si="23"/>
        <v>17.28</v>
      </c>
      <c r="N30" s="163">
        <f t="shared" si="24"/>
        <v>0.18</v>
      </c>
      <c r="P30" s="339">
        <f t="shared" si="25"/>
        <v>0</v>
      </c>
      <c r="Q30" s="295">
        <f t="shared" si="26"/>
        <v>0</v>
      </c>
      <c r="R30" s="163">
        <f t="shared" si="27"/>
        <v>0</v>
      </c>
      <c r="T30" s="621" t="s">
        <v>1153</v>
      </c>
    </row>
    <row r="31" spans="1:20" x14ac:dyDescent="0.2">
      <c r="A31" s="621">
        <f t="shared" si="0"/>
        <v>24</v>
      </c>
      <c r="B31" s="164" t="str">
        <f>'WP1 Light Inventory'!A29</f>
        <v>51E</v>
      </c>
      <c r="C31" s="164"/>
      <c r="D31" s="327" t="str">
        <f>'WP1 Light Inventory'!D29</f>
        <v>Light Emitting Diode</v>
      </c>
      <c r="E31" s="165" t="str">
        <f>'WP1 Light Inventory'!E29</f>
        <v>LED 270.01-300</v>
      </c>
      <c r="F31" s="364">
        <f>'WP1 Light Inventory'!J29</f>
        <v>79</v>
      </c>
      <c r="G31" s="366">
        <f>'WP12 Condensed Sch. Level Costs'!O28</f>
        <v>99.75</v>
      </c>
      <c r="H31" s="339">
        <f t="shared" si="19"/>
        <v>1.98E-3</v>
      </c>
      <c r="I31" s="295">
        <f t="shared" si="20"/>
        <v>189.60000000000002</v>
      </c>
      <c r="J31" s="163">
        <f t="shared" si="21"/>
        <v>0.2</v>
      </c>
      <c r="L31" s="339">
        <f t="shared" si="22"/>
        <v>2.0630000000000002E-3</v>
      </c>
      <c r="M31" s="295">
        <f t="shared" si="23"/>
        <v>199.07999999999998</v>
      </c>
      <c r="N31" s="163">
        <f t="shared" si="24"/>
        <v>0.21</v>
      </c>
      <c r="P31" s="339">
        <f t="shared" si="25"/>
        <v>0</v>
      </c>
      <c r="Q31" s="295">
        <f t="shared" si="26"/>
        <v>0</v>
      </c>
      <c r="R31" s="163">
        <f t="shared" si="27"/>
        <v>0</v>
      </c>
      <c r="T31" s="621" t="s">
        <v>1153</v>
      </c>
    </row>
    <row r="32" spans="1:20" x14ac:dyDescent="0.2">
      <c r="A32" s="621">
        <f t="shared" si="0"/>
        <v>25</v>
      </c>
      <c r="B32" s="164"/>
      <c r="C32" s="164"/>
      <c r="D32" s="327"/>
      <c r="E32" s="165"/>
      <c r="F32" s="364"/>
      <c r="G32" s="399"/>
      <c r="H32" s="342"/>
      <c r="I32" s="295"/>
      <c r="L32" s="342"/>
      <c r="M32" s="295"/>
      <c r="P32" s="342"/>
      <c r="Q32" s="295"/>
    </row>
    <row r="33" spans="1:20" ht="11.25" customHeight="1" x14ac:dyDescent="0.2">
      <c r="A33" s="621">
        <f t="shared" si="0"/>
        <v>26</v>
      </c>
      <c r="B33" s="164" t="str">
        <f>'WP1 Light Inventory'!A31</f>
        <v>51E</v>
      </c>
      <c r="C33" s="327" t="str">
        <f>'WP1 Light Inventory'!C31</f>
        <v>SMART LIGHT</v>
      </c>
      <c r="D33" s="327" t="str">
        <f>'WP1 Light Inventory'!D31</f>
        <v>Light Emitting Diode</v>
      </c>
      <c r="E33" s="165" t="str">
        <f>'WP1 Light Inventory'!E31</f>
        <v>LED 0-030</v>
      </c>
      <c r="F33" s="364">
        <f>'WP1 Light Inventory'!J31</f>
        <v>0</v>
      </c>
      <c r="G33" s="366">
        <f>'WP12 Condensed Sch. Level Costs'!O30</f>
        <v>5.25</v>
      </c>
      <c r="H33" s="339">
        <f t="shared" ref="H33:H42" si="28">$Y$8</f>
        <v>1.98E-3</v>
      </c>
      <c r="I33" s="295"/>
      <c r="L33" s="339">
        <f t="shared" ref="L33:L42" si="29">$Y$9</f>
        <v>2.0630000000000002E-3</v>
      </c>
      <c r="M33" s="295"/>
      <c r="P33" s="339">
        <f t="shared" ref="P33:P42" si="30">$Y$10</f>
        <v>0</v>
      </c>
      <c r="Q33" s="295"/>
      <c r="T33" s="621" t="s">
        <v>1153</v>
      </c>
    </row>
    <row r="34" spans="1:20" x14ac:dyDescent="0.2">
      <c r="A34" s="621">
        <f t="shared" si="0"/>
        <v>27</v>
      </c>
      <c r="B34" s="164" t="str">
        <f>'WP1 Light Inventory'!A32</f>
        <v>51E</v>
      </c>
      <c r="C34" s="327" t="str">
        <f>'WP1 Light Inventory'!C32</f>
        <v>SMART LIGHT</v>
      </c>
      <c r="D34" s="327" t="str">
        <f>'WP1 Light Inventory'!D32</f>
        <v>Light Emitting Diode</v>
      </c>
      <c r="E34" s="165" t="str">
        <f>'WP1 Light Inventory'!E32</f>
        <v>LED 030.01-060</v>
      </c>
      <c r="F34" s="364">
        <f>'WP1 Light Inventory'!J32</f>
        <v>0</v>
      </c>
      <c r="G34" s="366">
        <f>'WP12 Condensed Sch. Level Costs'!O31</f>
        <v>15.75</v>
      </c>
      <c r="H34" s="339">
        <f t="shared" si="28"/>
        <v>1.98E-3</v>
      </c>
      <c r="I34" s="295"/>
      <c r="L34" s="339">
        <f t="shared" si="29"/>
        <v>2.0630000000000002E-3</v>
      </c>
      <c r="M34" s="295"/>
      <c r="P34" s="339">
        <f t="shared" si="30"/>
        <v>0</v>
      </c>
      <c r="Q34" s="295"/>
      <c r="T34" s="621" t="s">
        <v>1153</v>
      </c>
    </row>
    <row r="35" spans="1:20" x14ac:dyDescent="0.2">
      <c r="A35" s="621">
        <f t="shared" si="0"/>
        <v>28</v>
      </c>
      <c r="B35" s="164" t="str">
        <f>'WP1 Light Inventory'!A33</f>
        <v>51E</v>
      </c>
      <c r="C35" s="327" t="str">
        <f>'WP1 Light Inventory'!C33</f>
        <v>SMART LIGHT</v>
      </c>
      <c r="D35" s="327" t="str">
        <f>'WP1 Light Inventory'!D33</f>
        <v>Light Emitting Diode</v>
      </c>
      <c r="E35" s="165" t="str">
        <f>'WP1 Light Inventory'!E33</f>
        <v>LED 060.01-090</v>
      </c>
      <c r="F35" s="364">
        <f>'WP1 Light Inventory'!J33</f>
        <v>0</v>
      </c>
      <c r="G35" s="366">
        <f>'WP12 Condensed Sch. Level Costs'!O32</f>
        <v>26.25</v>
      </c>
      <c r="H35" s="339">
        <f t="shared" si="28"/>
        <v>1.98E-3</v>
      </c>
      <c r="I35" s="295"/>
      <c r="L35" s="339">
        <f t="shared" si="29"/>
        <v>2.0630000000000002E-3</v>
      </c>
      <c r="M35" s="295"/>
      <c r="P35" s="339">
        <f t="shared" si="30"/>
        <v>0</v>
      </c>
      <c r="Q35" s="295"/>
      <c r="T35" s="621" t="s">
        <v>1153</v>
      </c>
    </row>
    <row r="36" spans="1:20" x14ac:dyDescent="0.2">
      <c r="A36" s="621">
        <f t="shared" si="0"/>
        <v>29</v>
      </c>
      <c r="B36" s="164" t="str">
        <f>'WP1 Light Inventory'!A34</f>
        <v>51E</v>
      </c>
      <c r="C36" s="327" t="str">
        <f>'WP1 Light Inventory'!C34</f>
        <v>SMART LIGHT</v>
      </c>
      <c r="D36" s="327" t="str">
        <f>'WP1 Light Inventory'!D34</f>
        <v>Light Emitting Diode</v>
      </c>
      <c r="E36" s="165" t="str">
        <f>'WP1 Light Inventory'!E34</f>
        <v>LED 090.01-120</v>
      </c>
      <c r="F36" s="364">
        <f>'WP1 Light Inventory'!J34</f>
        <v>0</v>
      </c>
      <c r="G36" s="366">
        <f>'WP12 Condensed Sch. Level Costs'!O33</f>
        <v>36.75</v>
      </c>
      <c r="H36" s="339">
        <f t="shared" si="28"/>
        <v>1.98E-3</v>
      </c>
      <c r="I36" s="295"/>
      <c r="L36" s="339">
        <f t="shared" si="29"/>
        <v>2.0630000000000002E-3</v>
      </c>
      <c r="M36" s="295"/>
      <c r="P36" s="339">
        <f t="shared" si="30"/>
        <v>0</v>
      </c>
      <c r="Q36" s="295"/>
      <c r="T36" s="621" t="s">
        <v>1153</v>
      </c>
    </row>
    <row r="37" spans="1:20" x14ac:dyDescent="0.2">
      <c r="A37" s="621">
        <f t="shared" si="0"/>
        <v>30</v>
      </c>
      <c r="B37" s="164" t="str">
        <f>'WP1 Light Inventory'!A35</f>
        <v>51E</v>
      </c>
      <c r="C37" s="327" t="str">
        <f>'WP1 Light Inventory'!C35</f>
        <v>SMART LIGHT</v>
      </c>
      <c r="D37" s="327" t="str">
        <f>'WP1 Light Inventory'!D35</f>
        <v>Light Emitting Diode</v>
      </c>
      <c r="E37" s="165" t="str">
        <f>'WP1 Light Inventory'!E35</f>
        <v>LED 120.01-150</v>
      </c>
      <c r="F37" s="364">
        <f>'WP1 Light Inventory'!J35</f>
        <v>0</v>
      </c>
      <c r="G37" s="366">
        <f>'WP12 Condensed Sch. Level Costs'!O34</f>
        <v>47.25</v>
      </c>
      <c r="H37" s="339">
        <f t="shared" si="28"/>
        <v>1.98E-3</v>
      </c>
      <c r="I37" s="295"/>
      <c r="L37" s="339">
        <f t="shared" si="29"/>
        <v>2.0630000000000002E-3</v>
      </c>
      <c r="M37" s="295"/>
      <c r="P37" s="339">
        <f t="shared" si="30"/>
        <v>0</v>
      </c>
      <c r="Q37" s="295"/>
      <c r="T37" s="621" t="s">
        <v>1153</v>
      </c>
    </row>
    <row r="38" spans="1:20" x14ac:dyDescent="0.2">
      <c r="A38" s="621">
        <f t="shared" si="0"/>
        <v>31</v>
      </c>
      <c r="B38" s="164" t="str">
        <f>'WP1 Light Inventory'!A36</f>
        <v>51E</v>
      </c>
      <c r="C38" s="327" t="str">
        <f>'WP1 Light Inventory'!C36</f>
        <v>SMART LIGHT</v>
      </c>
      <c r="D38" s="327" t="str">
        <f>'WP1 Light Inventory'!D36</f>
        <v>Light Emitting Diode</v>
      </c>
      <c r="E38" s="165" t="str">
        <f>'WP1 Light Inventory'!E36</f>
        <v>LED 150.01-180</v>
      </c>
      <c r="F38" s="364">
        <f>'WP1 Light Inventory'!J36</f>
        <v>0</v>
      </c>
      <c r="G38" s="366">
        <f>'WP12 Condensed Sch. Level Costs'!O35</f>
        <v>57.75</v>
      </c>
      <c r="H38" s="339">
        <f t="shared" si="28"/>
        <v>1.98E-3</v>
      </c>
      <c r="I38" s="295"/>
      <c r="L38" s="339">
        <f t="shared" si="29"/>
        <v>2.0630000000000002E-3</v>
      </c>
      <c r="M38" s="295"/>
      <c r="P38" s="339">
        <f t="shared" si="30"/>
        <v>0</v>
      </c>
      <c r="Q38" s="295"/>
      <c r="T38" s="621" t="s">
        <v>1153</v>
      </c>
    </row>
    <row r="39" spans="1:20" x14ac:dyDescent="0.2">
      <c r="A39" s="621">
        <f t="shared" si="0"/>
        <v>32</v>
      </c>
      <c r="B39" s="164" t="str">
        <f>'WP1 Light Inventory'!A37</f>
        <v>51E</v>
      </c>
      <c r="C39" s="327" t="str">
        <f>'WP1 Light Inventory'!C37</f>
        <v>SMART LIGHT</v>
      </c>
      <c r="D39" s="327" t="str">
        <f>'WP1 Light Inventory'!D37</f>
        <v>Light Emitting Diode</v>
      </c>
      <c r="E39" s="165" t="str">
        <f>'WP1 Light Inventory'!E37</f>
        <v>LED 180.01-210</v>
      </c>
      <c r="F39" s="364">
        <f>'WP1 Light Inventory'!J37</f>
        <v>0</v>
      </c>
      <c r="G39" s="366">
        <f>'WP12 Condensed Sch. Level Costs'!O36</f>
        <v>68.25</v>
      </c>
      <c r="H39" s="339">
        <f t="shared" si="28"/>
        <v>1.98E-3</v>
      </c>
      <c r="I39" s="295"/>
      <c r="L39" s="339">
        <f t="shared" si="29"/>
        <v>2.0630000000000002E-3</v>
      </c>
      <c r="M39" s="295"/>
      <c r="P39" s="339">
        <f t="shared" si="30"/>
        <v>0</v>
      </c>
      <c r="Q39" s="295"/>
      <c r="T39" s="621" t="s">
        <v>1153</v>
      </c>
    </row>
    <row r="40" spans="1:20" x14ac:dyDescent="0.2">
      <c r="A40" s="621">
        <f t="shared" si="0"/>
        <v>33</v>
      </c>
      <c r="B40" s="164" t="str">
        <f>'WP1 Light Inventory'!A38</f>
        <v>51E</v>
      </c>
      <c r="C40" s="327" t="str">
        <f>'WP1 Light Inventory'!C38</f>
        <v>SMART LIGHT</v>
      </c>
      <c r="D40" s="327" t="str">
        <f>'WP1 Light Inventory'!D38</f>
        <v>Light Emitting Diode</v>
      </c>
      <c r="E40" s="165" t="str">
        <f>'WP1 Light Inventory'!E38</f>
        <v>LED 210.01-240</v>
      </c>
      <c r="F40" s="364">
        <f>'WP1 Light Inventory'!J38</f>
        <v>0</v>
      </c>
      <c r="G40" s="366">
        <f>'WP12 Condensed Sch. Level Costs'!O37</f>
        <v>78.75</v>
      </c>
      <c r="H40" s="339">
        <f t="shared" si="28"/>
        <v>1.98E-3</v>
      </c>
      <c r="I40" s="295"/>
      <c r="L40" s="339">
        <f t="shared" si="29"/>
        <v>2.0630000000000002E-3</v>
      </c>
      <c r="M40" s="295"/>
      <c r="P40" s="339">
        <f t="shared" si="30"/>
        <v>0</v>
      </c>
      <c r="Q40" s="295"/>
      <c r="T40" s="621" t="s">
        <v>1153</v>
      </c>
    </row>
    <row r="41" spans="1:20" x14ac:dyDescent="0.2">
      <c r="A41" s="621">
        <f t="shared" si="0"/>
        <v>34</v>
      </c>
      <c r="B41" s="164" t="str">
        <f>'WP1 Light Inventory'!A39</f>
        <v>51E</v>
      </c>
      <c r="C41" s="327" t="str">
        <f>'WP1 Light Inventory'!C39</f>
        <v>SMART LIGHT</v>
      </c>
      <c r="D41" s="327" t="str">
        <f>'WP1 Light Inventory'!D39</f>
        <v>Light Emitting Diode</v>
      </c>
      <c r="E41" s="165" t="str">
        <f>'WP1 Light Inventory'!E39</f>
        <v>LED 240.01-270</v>
      </c>
      <c r="F41" s="364">
        <f>'WP1 Light Inventory'!J39</f>
        <v>0</v>
      </c>
      <c r="G41" s="366">
        <f>'WP12 Condensed Sch. Level Costs'!O38</f>
        <v>89.25</v>
      </c>
      <c r="H41" s="339">
        <f t="shared" si="28"/>
        <v>1.98E-3</v>
      </c>
      <c r="I41" s="295"/>
      <c r="L41" s="339">
        <f t="shared" si="29"/>
        <v>2.0630000000000002E-3</v>
      </c>
      <c r="M41" s="295"/>
      <c r="P41" s="339">
        <f t="shared" si="30"/>
        <v>0</v>
      </c>
      <c r="Q41" s="295"/>
      <c r="T41" s="621" t="s">
        <v>1153</v>
      </c>
    </row>
    <row r="42" spans="1:20" x14ac:dyDescent="0.2">
      <c r="A42" s="621">
        <f t="shared" si="0"/>
        <v>35</v>
      </c>
      <c r="B42" s="164" t="str">
        <f>'WP1 Light Inventory'!A40</f>
        <v>51E</v>
      </c>
      <c r="C42" s="327" t="str">
        <f>'WP1 Light Inventory'!C40</f>
        <v>SMART LIGHT</v>
      </c>
      <c r="D42" s="327" t="str">
        <f>'WP1 Light Inventory'!D40</f>
        <v>Light Emitting Diode</v>
      </c>
      <c r="E42" s="165" t="str">
        <f>'WP1 Light Inventory'!E40</f>
        <v>LED 270.01-300</v>
      </c>
      <c r="F42" s="364">
        <f>'WP1 Light Inventory'!J40</f>
        <v>0</v>
      </c>
      <c r="G42" s="366">
        <f>'WP12 Condensed Sch. Level Costs'!O39</f>
        <v>99.75</v>
      </c>
      <c r="H42" s="339">
        <f t="shared" si="28"/>
        <v>1.98E-3</v>
      </c>
      <c r="I42" s="295"/>
      <c r="L42" s="339">
        <f t="shared" si="29"/>
        <v>2.0630000000000002E-3</v>
      </c>
      <c r="M42" s="295"/>
      <c r="P42" s="339">
        <f t="shared" si="30"/>
        <v>0</v>
      </c>
      <c r="Q42" s="295"/>
      <c r="T42" s="621" t="s">
        <v>1153</v>
      </c>
    </row>
    <row r="43" spans="1:20" x14ac:dyDescent="0.2">
      <c r="A43" s="621">
        <f t="shared" si="0"/>
        <v>36</v>
      </c>
      <c r="B43" s="164"/>
      <c r="C43" s="327"/>
      <c r="D43" s="327"/>
      <c r="E43" s="165"/>
      <c r="F43" s="364"/>
      <c r="G43" s="366"/>
      <c r="H43" s="339"/>
      <c r="I43" s="295"/>
      <c r="L43" s="339"/>
      <c r="M43" s="295"/>
      <c r="P43" s="339"/>
      <c r="Q43" s="295"/>
      <c r="T43" s="621"/>
    </row>
    <row r="44" spans="1:20" x14ac:dyDescent="0.2">
      <c r="A44" s="621">
        <f t="shared" si="0"/>
        <v>37</v>
      </c>
      <c r="B44" s="164" t="s">
        <v>136</v>
      </c>
      <c r="C44" s="164"/>
      <c r="D44" s="327"/>
      <c r="E44" s="165"/>
      <c r="F44" s="364"/>
      <c r="G44" s="399"/>
      <c r="H44" s="342"/>
      <c r="I44" s="295"/>
      <c r="L44" s="342"/>
      <c r="M44" s="295"/>
      <c r="P44" s="342"/>
      <c r="Q44" s="295"/>
    </row>
    <row r="45" spans="1:20" x14ac:dyDescent="0.2">
      <c r="A45" s="621">
        <f t="shared" si="0"/>
        <v>38</v>
      </c>
      <c r="B45" s="164" t="str">
        <f>'WP1 Light Inventory'!A42</f>
        <v xml:space="preserve">52E </v>
      </c>
      <c r="C45" s="164"/>
      <c r="D45" s="327" t="str">
        <f>'WP1 Light Inventory'!D42</f>
        <v>Sodium Vapor</v>
      </c>
      <c r="E45" s="165" t="str">
        <f>'WP1 Light Inventory'!E42</f>
        <v>SV 50</v>
      </c>
      <c r="F45" s="364">
        <f>'WP1 Light Inventory'!J42</f>
        <v>0</v>
      </c>
      <c r="G45" s="366">
        <f>'WP12 Condensed Sch. Level Costs'!O41</f>
        <v>17.5</v>
      </c>
      <c r="H45" s="339">
        <f t="shared" ref="H45:H52" si="31">$Y$8</f>
        <v>1.98E-3</v>
      </c>
      <c r="I45" s="295">
        <f t="shared" ref="I45:I52" si="32">+F45*J45*12</f>
        <v>0</v>
      </c>
      <c r="J45" s="163">
        <f t="shared" ref="J45:J52" si="33">ROUND(+H45*G45,2)</f>
        <v>0.03</v>
      </c>
      <c r="L45" s="339">
        <f t="shared" ref="L45:L52" si="34">$Y$9</f>
        <v>2.0630000000000002E-3</v>
      </c>
      <c r="M45" s="295">
        <f t="shared" ref="M45:M52" si="35">+F45*N45*12</f>
        <v>0</v>
      </c>
      <c r="N45" s="163">
        <f t="shared" ref="N45:N52" si="36">ROUND(+L45*G45,2)</f>
        <v>0.04</v>
      </c>
      <c r="P45" s="339">
        <f t="shared" ref="P45:P52" si="37">$Y$10</f>
        <v>0</v>
      </c>
      <c r="Q45" s="295">
        <f t="shared" ref="Q45:Q52" si="38">+F45*R45*12</f>
        <v>0</v>
      </c>
      <c r="R45" s="163">
        <f t="shared" ref="R45:R52" si="39">ROUND(+P45*G45,2)</f>
        <v>0</v>
      </c>
      <c r="T45" s="621" t="s">
        <v>1153</v>
      </c>
    </row>
    <row r="46" spans="1:20" x14ac:dyDescent="0.2">
      <c r="A46" s="621">
        <f t="shared" si="0"/>
        <v>39</v>
      </c>
      <c r="B46" s="164" t="str">
        <f>'WP1 Light Inventory'!A43</f>
        <v xml:space="preserve">52E </v>
      </c>
      <c r="C46" s="164"/>
      <c r="D46" s="327" t="str">
        <f>'WP1 Light Inventory'!D43</f>
        <v>Sodium Vapor</v>
      </c>
      <c r="E46" s="165" t="str">
        <f>'WP1 Light Inventory'!E43</f>
        <v>SV 070</v>
      </c>
      <c r="F46" s="364">
        <f>'WP1 Light Inventory'!J43</f>
        <v>670</v>
      </c>
      <c r="G46" s="366">
        <f>'WP12 Condensed Sch. Level Costs'!O42</f>
        <v>24.5</v>
      </c>
      <c r="H46" s="339">
        <f t="shared" si="31"/>
        <v>1.98E-3</v>
      </c>
      <c r="I46" s="295">
        <f t="shared" si="32"/>
        <v>402</v>
      </c>
      <c r="J46" s="163">
        <f t="shared" si="33"/>
        <v>0.05</v>
      </c>
      <c r="L46" s="339">
        <f t="shared" si="34"/>
        <v>2.0630000000000002E-3</v>
      </c>
      <c r="M46" s="295">
        <f t="shared" si="35"/>
        <v>402</v>
      </c>
      <c r="N46" s="163">
        <f t="shared" si="36"/>
        <v>0.05</v>
      </c>
      <c r="P46" s="339">
        <f t="shared" si="37"/>
        <v>0</v>
      </c>
      <c r="Q46" s="295">
        <f t="shared" si="38"/>
        <v>0</v>
      </c>
      <c r="R46" s="163">
        <f t="shared" si="39"/>
        <v>0</v>
      </c>
      <c r="T46" s="621" t="s">
        <v>1153</v>
      </c>
    </row>
    <row r="47" spans="1:20" x14ac:dyDescent="0.2">
      <c r="A47" s="621">
        <f t="shared" si="0"/>
        <v>40</v>
      </c>
      <c r="B47" s="164" t="str">
        <f>'WP1 Light Inventory'!A44</f>
        <v xml:space="preserve">52E </v>
      </c>
      <c r="C47" s="164"/>
      <c r="D47" s="327" t="str">
        <f>'WP1 Light Inventory'!D44</f>
        <v>Sodium Vapor</v>
      </c>
      <c r="E47" s="165" t="str">
        <f>'WP1 Light Inventory'!E44</f>
        <v>SV 100</v>
      </c>
      <c r="F47" s="364">
        <f>'WP1 Light Inventory'!J44</f>
        <v>9604</v>
      </c>
      <c r="G47" s="366">
        <f>'WP12 Condensed Sch. Level Costs'!O43</f>
        <v>35</v>
      </c>
      <c r="H47" s="339">
        <f t="shared" si="31"/>
        <v>1.98E-3</v>
      </c>
      <c r="I47" s="295">
        <f t="shared" si="32"/>
        <v>8067.3600000000006</v>
      </c>
      <c r="J47" s="163">
        <f t="shared" si="33"/>
        <v>7.0000000000000007E-2</v>
      </c>
      <c r="L47" s="339">
        <f t="shared" si="34"/>
        <v>2.0630000000000002E-3</v>
      </c>
      <c r="M47" s="295">
        <f t="shared" si="35"/>
        <v>8067.3600000000006</v>
      </c>
      <c r="N47" s="163">
        <f t="shared" si="36"/>
        <v>7.0000000000000007E-2</v>
      </c>
      <c r="P47" s="339">
        <f t="shared" si="37"/>
        <v>0</v>
      </c>
      <c r="Q47" s="295">
        <f t="shared" si="38"/>
        <v>0</v>
      </c>
      <c r="R47" s="163">
        <f t="shared" si="39"/>
        <v>0</v>
      </c>
      <c r="T47" s="621" t="s">
        <v>1153</v>
      </c>
    </row>
    <row r="48" spans="1:20" x14ac:dyDescent="0.2">
      <c r="A48" s="621">
        <f t="shared" si="0"/>
        <v>41</v>
      </c>
      <c r="B48" s="164" t="str">
        <f>'WP1 Light Inventory'!A45</f>
        <v xml:space="preserve">52E </v>
      </c>
      <c r="C48" s="164"/>
      <c r="D48" s="327" t="str">
        <f>'WP1 Light Inventory'!D45</f>
        <v>Sodium Vapor</v>
      </c>
      <c r="E48" s="165" t="str">
        <f>'WP1 Light Inventory'!E45</f>
        <v>SV 150</v>
      </c>
      <c r="F48" s="364">
        <f>'WP1 Light Inventory'!J45</f>
        <v>4470</v>
      </c>
      <c r="G48" s="366">
        <f>'WP12 Condensed Sch. Level Costs'!O44</f>
        <v>52.5</v>
      </c>
      <c r="H48" s="339">
        <f t="shared" si="31"/>
        <v>1.98E-3</v>
      </c>
      <c r="I48" s="295">
        <f t="shared" si="32"/>
        <v>5364</v>
      </c>
      <c r="J48" s="163">
        <f t="shared" si="33"/>
        <v>0.1</v>
      </c>
      <c r="L48" s="339">
        <f t="shared" si="34"/>
        <v>2.0630000000000002E-3</v>
      </c>
      <c r="M48" s="295">
        <f t="shared" si="35"/>
        <v>5900.4</v>
      </c>
      <c r="N48" s="163">
        <f t="shared" si="36"/>
        <v>0.11</v>
      </c>
      <c r="P48" s="339">
        <f t="shared" si="37"/>
        <v>0</v>
      </c>
      <c r="Q48" s="295">
        <f t="shared" si="38"/>
        <v>0</v>
      </c>
      <c r="R48" s="163">
        <f t="shared" si="39"/>
        <v>0</v>
      </c>
      <c r="T48" s="621" t="s">
        <v>1153</v>
      </c>
    </row>
    <row r="49" spans="1:20" x14ac:dyDescent="0.2">
      <c r="A49" s="621">
        <f t="shared" si="0"/>
        <v>42</v>
      </c>
      <c r="B49" s="164" t="str">
        <f>'WP1 Light Inventory'!A46</f>
        <v xml:space="preserve">52E </v>
      </c>
      <c r="C49" s="164"/>
      <c r="D49" s="327" t="str">
        <f>'WP1 Light Inventory'!D46</f>
        <v>Sodium Vapor</v>
      </c>
      <c r="E49" s="165" t="str">
        <f>'WP1 Light Inventory'!E46</f>
        <v>SV 200</v>
      </c>
      <c r="F49" s="364">
        <f>'WP1 Light Inventory'!J46</f>
        <v>948</v>
      </c>
      <c r="G49" s="366">
        <f>'WP12 Condensed Sch. Level Costs'!O45</f>
        <v>70</v>
      </c>
      <c r="H49" s="339">
        <f t="shared" si="31"/>
        <v>1.98E-3</v>
      </c>
      <c r="I49" s="295">
        <f t="shared" si="32"/>
        <v>1592.6399999999999</v>
      </c>
      <c r="J49" s="163">
        <f t="shared" si="33"/>
        <v>0.14000000000000001</v>
      </c>
      <c r="L49" s="339">
        <f t="shared" si="34"/>
        <v>2.0630000000000002E-3</v>
      </c>
      <c r="M49" s="295">
        <f t="shared" si="35"/>
        <v>1592.6399999999999</v>
      </c>
      <c r="N49" s="163">
        <f t="shared" si="36"/>
        <v>0.14000000000000001</v>
      </c>
      <c r="P49" s="339">
        <f t="shared" si="37"/>
        <v>0</v>
      </c>
      <c r="Q49" s="295">
        <f t="shared" si="38"/>
        <v>0</v>
      </c>
      <c r="R49" s="163">
        <f t="shared" si="39"/>
        <v>0</v>
      </c>
      <c r="T49" s="621" t="s">
        <v>1153</v>
      </c>
    </row>
    <row r="50" spans="1:20" x14ac:dyDescent="0.2">
      <c r="A50" s="621">
        <f t="shared" si="0"/>
        <v>43</v>
      </c>
      <c r="B50" s="164" t="str">
        <f>'WP1 Light Inventory'!A47</f>
        <v xml:space="preserve">52E </v>
      </c>
      <c r="C50" s="164"/>
      <c r="D50" s="327" t="str">
        <f>'WP1 Light Inventory'!D47</f>
        <v>Sodium Vapor</v>
      </c>
      <c r="E50" s="165" t="str">
        <f>'WP1 Light Inventory'!E47</f>
        <v>SV 250</v>
      </c>
      <c r="F50" s="364">
        <f>'WP1 Light Inventory'!J47</f>
        <v>1399</v>
      </c>
      <c r="G50" s="366">
        <f>'WP12 Condensed Sch. Level Costs'!O46</f>
        <v>87.5</v>
      </c>
      <c r="H50" s="339">
        <f t="shared" si="31"/>
        <v>1.98E-3</v>
      </c>
      <c r="I50" s="295">
        <f t="shared" si="32"/>
        <v>2853.96</v>
      </c>
      <c r="J50" s="163">
        <f t="shared" si="33"/>
        <v>0.17</v>
      </c>
      <c r="L50" s="339">
        <f t="shared" si="34"/>
        <v>2.0630000000000002E-3</v>
      </c>
      <c r="M50" s="295">
        <f t="shared" si="35"/>
        <v>3021.84</v>
      </c>
      <c r="N50" s="163">
        <f t="shared" si="36"/>
        <v>0.18</v>
      </c>
      <c r="P50" s="339">
        <f t="shared" si="37"/>
        <v>0</v>
      </c>
      <c r="Q50" s="295">
        <f t="shared" si="38"/>
        <v>0</v>
      </c>
      <c r="R50" s="163">
        <f t="shared" si="39"/>
        <v>0</v>
      </c>
      <c r="T50" s="621" t="s">
        <v>1153</v>
      </c>
    </row>
    <row r="51" spans="1:20" x14ac:dyDescent="0.2">
      <c r="A51" s="621">
        <f t="shared" si="0"/>
        <v>44</v>
      </c>
      <c r="B51" s="164" t="str">
        <f>'WP1 Light Inventory'!A48</f>
        <v xml:space="preserve">52E </v>
      </c>
      <c r="C51" s="164"/>
      <c r="D51" s="327" t="str">
        <f>'WP1 Light Inventory'!D48</f>
        <v>Sodium Vapor</v>
      </c>
      <c r="E51" s="165" t="str">
        <f>'WP1 Light Inventory'!E48</f>
        <v>SV 310</v>
      </c>
      <c r="F51" s="364">
        <f>'WP1 Light Inventory'!J48</f>
        <v>141</v>
      </c>
      <c r="G51" s="366">
        <f>'WP12 Condensed Sch. Level Costs'!O47</f>
        <v>108.5</v>
      </c>
      <c r="H51" s="339">
        <f t="shared" si="31"/>
        <v>1.98E-3</v>
      </c>
      <c r="I51" s="295">
        <f t="shared" si="32"/>
        <v>355.32</v>
      </c>
      <c r="J51" s="163">
        <f t="shared" si="33"/>
        <v>0.21</v>
      </c>
      <c r="L51" s="339">
        <f t="shared" si="34"/>
        <v>2.0630000000000002E-3</v>
      </c>
      <c r="M51" s="295">
        <f t="shared" si="35"/>
        <v>372.24</v>
      </c>
      <c r="N51" s="163">
        <f t="shared" si="36"/>
        <v>0.22</v>
      </c>
      <c r="P51" s="339">
        <f t="shared" si="37"/>
        <v>0</v>
      </c>
      <c r="Q51" s="295">
        <f t="shared" si="38"/>
        <v>0</v>
      </c>
      <c r="R51" s="163">
        <f t="shared" si="39"/>
        <v>0</v>
      </c>
      <c r="T51" s="621" t="s">
        <v>1153</v>
      </c>
    </row>
    <row r="52" spans="1:20" x14ac:dyDescent="0.2">
      <c r="A52" s="621">
        <f t="shared" si="0"/>
        <v>45</v>
      </c>
      <c r="B52" s="164" t="str">
        <f>'WP1 Light Inventory'!A49</f>
        <v xml:space="preserve">52E </v>
      </c>
      <c r="C52" s="164"/>
      <c r="D52" s="327" t="str">
        <f>'WP1 Light Inventory'!D49</f>
        <v>Sodium Vapor</v>
      </c>
      <c r="E52" s="165" t="str">
        <f>'WP1 Light Inventory'!E49</f>
        <v>SV 400</v>
      </c>
      <c r="F52" s="364">
        <f>'WP1 Light Inventory'!J49</f>
        <v>589</v>
      </c>
      <c r="G52" s="366">
        <f>'WP12 Condensed Sch. Level Costs'!O48</f>
        <v>140</v>
      </c>
      <c r="H52" s="339">
        <f t="shared" si="31"/>
        <v>1.98E-3</v>
      </c>
      <c r="I52" s="295">
        <f t="shared" si="32"/>
        <v>1979.0400000000002</v>
      </c>
      <c r="J52" s="163">
        <f t="shared" si="33"/>
        <v>0.28000000000000003</v>
      </c>
      <c r="L52" s="339">
        <f t="shared" si="34"/>
        <v>2.0630000000000002E-3</v>
      </c>
      <c r="M52" s="295">
        <f t="shared" si="35"/>
        <v>2049.7200000000003</v>
      </c>
      <c r="N52" s="163">
        <f t="shared" si="36"/>
        <v>0.28999999999999998</v>
      </c>
      <c r="P52" s="339">
        <f t="shared" si="37"/>
        <v>0</v>
      </c>
      <c r="Q52" s="295">
        <f t="shared" si="38"/>
        <v>0</v>
      </c>
      <c r="R52" s="163">
        <f t="shared" si="39"/>
        <v>0</v>
      </c>
      <c r="T52" s="621" t="s">
        <v>1153</v>
      </c>
    </row>
    <row r="53" spans="1:20" x14ac:dyDescent="0.2">
      <c r="A53" s="621">
        <f t="shared" si="0"/>
        <v>46</v>
      </c>
      <c r="B53" s="164"/>
      <c r="C53" s="164"/>
      <c r="D53" s="327"/>
      <c r="E53" s="165"/>
      <c r="F53" s="364"/>
      <c r="G53" s="399"/>
      <c r="H53" s="342"/>
      <c r="I53" s="295"/>
      <c r="L53" s="342"/>
      <c r="M53" s="295"/>
      <c r="P53" s="342"/>
      <c r="Q53" s="295"/>
      <c r="T53" s="621"/>
    </row>
    <row r="54" spans="1:20" x14ac:dyDescent="0.2">
      <c r="A54" s="621">
        <f t="shared" si="0"/>
        <v>47</v>
      </c>
      <c r="B54" s="164" t="str">
        <f>'WP1 Light Inventory'!A51</f>
        <v xml:space="preserve">52E </v>
      </c>
      <c r="C54" s="164"/>
      <c r="D54" s="327" t="str">
        <f>'WP1 Light Inventory'!D51</f>
        <v>Metal Halide</v>
      </c>
      <c r="E54" s="165" t="str">
        <f>'WP1 Light Inventory'!E51</f>
        <v>MH 070</v>
      </c>
      <c r="F54" s="364">
        <f>'WP1 Light Inventory'!J51</f>
        <v>70</v>
      </c>
      <c r="G54" s="366">
        <f>'WP12 Condensed Sch. Level Costs'!O50</f>
        <v>24.5</v>
      </c>
      <c r="H54" s="339">
        <f t="shared" ref="H54:H60" si="40">$Y$8</f>
        <v>1.98E-3</v>
      </c>
      <c r="I54" s="295">
        <f t="shared" ref="I54:I60" si="41">+F54*J54*12</f>
        <v>42</v>
      </c>
      <c r="J54" s="163">
        <f t="shared" ref="J54:J60" si="42">ROUND(+H54*G54,2)</f>
        <v>0.05</v>
      </c>
      <c r="L54" s="339">
        <f t="shared" ref="L54:L60" si="43">$Y$9</f>
        <v>2.0630000000000002E-3</v>
      </c>
      <c r="M54" s="295">
        <f t="shared" ref="M54:M60" si="44">+F54*N54*12</f>
        <v>42</v>
      </c>
      <c r="N54" s="163">
        <f t="shared" ref="N54:N60" si="45">ROUND(+L54*G54,2)</f>
        <v>0.05</v>
      </c>
      <c r="P54" s="339">
        <f t="shared" ref="P54:P60" si="46">$Y$10</f>
        <v>0</v>
      </c>
      <c r="Q54" s="295">
        <f t="shared" ref="Q54:Q60" si="47">+F54*R54*12</f>
        <v>0</v>
      </c>
      <c r="R54" s="163">
        <f t="shared" ref="R54:R60" si="48">ROUND(+P54*G54,2)</f>
        <v>0</v>
      </c>
      <c r="T54" s="621" t="s">
        <v>1153</v>
      </c>
    </row>
    <row r="55" spans="1:20" x14ac:dyDescent="0.2">
      <c r="A55" s="621">
        <f t="shared" si="0"/>
        <v>48</v>
      </c>
      <c r="B55" s="164" t="str">
        <f>'WP1 Light Inventory'!A52</f>
        <v xml:space="preserve">52E </v>
      </c>
      <c r="C55" s="164"/>
      <c r="D55" s="327" t="str">
        <f>'WP1 Light Inventory'!D52</f>
        <v>Metal Halide</v>
      </c>
      <c r="E55" s="165" t="str">
        <f>'WP1 Light Inventory'!E52</f>
        <v>MH 100</v>
      </c>
      <c r="F55" s="364">
        <f>'WP1 Light Inventory'!J52</f>
        <v>4</v>
      </c>
      <c r="G55" s="366">
        <f>'WP12 Condensed Sch. Level Costs'!O51</f>
        <v>35</v>
      </c>
      <c r="H55" s="339">
        <f t="shared" si="40"/>
        <v>1.98E-3</v>
      </c>
      <c r="I55" s="295">
        <f t="shared" si="41"/>
        <v>3.3600000000000003</v>
      </c>
      <c r="J55" s="163">
        <f t="shared" si="42"/>
        <v>7.0000000000000007E-2</v>
      </c>
      <c r="L55" s="339">
        <f t="shared" si="43"/>
        <v>2.0630000000000002E-3</v>
      </c>
      <c r="M55" s="295">
        <f t="shared" si="44"/>
        <v>3.3600000000000003</v>
      </c>
      <c r="N55" s="163">
        <f t="shared" si="45"/>
        <v>7.0000000000000007E-2</v>
      </c>
      <c r="P55" s="339">
        <f t="shared" si="46"/>
        <v>0</v>
      </c>
      <c r="Q55" s="295">
        <f t="shared" si="47"/>
        <v>0</v>
      </c>
      <c r="R55" s="163">
        <f t="shared" si="48"/>
        <v>0</v>
      </c>
      <c r="T55" s="621" t="s">
        <v>1153</v>
      </c>
    </row>
    <row r="56" spans="1:20" x14ac:dyDescent="0.2">
      <c r="A56" s="621">
        <f t="shared" si="0"/>
        <v>49</v>
      </c>
      <c r="B56" s="164" t="str">
        <f>'WP1 Light Inventory'!A53</f>
        <v xml:space="preserve">52E </v>
      </c>
      <c r="C56" s="164"/>
      <c r="D56" s="327" t="str">
        <f>'WP1 Light Inventory'!D53</f>
        <v>Metal Halide</v>
      </c>
      <c r="E56" s="165" t="str">
        <f>'WP1 Light Inventory'!E53</f>
        <v>MH 150</v>
      </c>
      <c r="F56" s="364">
        <f>'WP1 Light Inventory'!J53</f>
        <v>201</v>
      </c>
      <c r="G56" s="366">
        <f>'WP12 Condensed Sch. Level Costs'!O52</f>
        <v>52.5</v>
      </c>
      <c r="H56" s="339">
        <f t="shared" si="40"/>
        <v>1.98E-3</v>
      </c>
      <c r="I56" s="295">
        <f t="shared" si="41"/>
        <v>241.20000000000002</v>
      </c>
      <c r="J56" s="163">
        <f t="shared" si="42"/>
        <v>0.1</v>
      </c>
      <c r="L56" s="339">
        <f t="shared" si="43"/>
        <v>2.0630000000000002E-3</v>
      </c>
      <c r="M56" s="295">
        <f t="shared" si="44"/>
        <v>265.32</v>
      </c>
      <c r="N56" s="163">
        <f t="shared" si="45"/>
        <v>0.11</v>
      </c>
      <c r="P56" s="339">
        <f t="shared" si="46"/>
        <v>0</v>
      </c>
      <c r="Q56" s="295">
        <f t="shared" si="47"/>
        <v>0</v>
      </c>
      <c r="R56" s="163">
        <f t="shared" si="48"/>
        <v>0</v>
      </c>
      <c r="T56" s="621" t="s">
        <v>1153</v>
      </c>
    </row>
    <row r="57" spans="1:20" x14ac:dyDescent="0.2">
      <c r="A57" s="621">
        <f t="shared" si="0"/>
        <v>50</v>
      </c>
      <c r="B57" s="164" t="str">
        <f>'WP1 Light Inventory'!A54</f>
        <v xml:space="preserve">52E </v>
      </c>
      <c r="C57" s="164"/>
      <c r="D57" s="327" t="str">
        <f>'WP1 Light Inventory'!D54</f>
        <v>Metal Halide</v>
      </c>
      <c r="E57" s="165" t="str">
        <f>'WP1 Light Inventory'!E54</f>
        <v>MH 175</v>
      </c>
      <c r="F57" s="364">
        <f>'WP1 Light Inventory'!J54</f>
        <v>212</v>
      </c>
      <c r="G57" s="366">
        <f>'WP12 Condensed Sch. Level Costs'!O53</f>
        <v>61.25</v>
      </c>
      <c r="H57" s="339">
        <f t="shared" si="40"/>
        <v>1.98E-3</v>
      </c>
      <c r="I57" s="295">
        <f t="shared" si="41"/>
        <v>305.27999999999997</v>
      </c>
      <c r="J57" s="163">
        <f t="shared" si="42"/>
        <v>0.12</v>
      </c>
      <c r="L57" s="339">
        <f t="shared" si="43"/>
        <v>2.0630000000000002E-3</v>
      </c>
      <c r="M57" s="295">
        <f t="shared" si="44"/>
        <v>330.72</v>
      </c>
      <c r="N57" s="163">
        <f t="shared" si="45"/>
        <v>0.13</v>
      </c>
      <c r="P57" s="339">
        <f t="shared" si="46"/>
        <v>0</v>
      </c>
      <c r="Q57" s="295">
        <f t="shared" si="47"/>
        <v>0</v>
      </c>
      <c r="R57" s="163">
        <f t="shared" si="48"/>
        <v>0</v>
      </c>
      <c r="T57" s="621" t="s">
        <v>1153</v>
      </c>
    </row>
    <row r="58" spans="1:20" x14ac:dyDescent="0.2">
      <c r="A58" s="621">
        <f t="shared" si="0"/>
        <v>51</v>
      </c>
      <c r="B58" s="164" t="str">
        <f>'WP1 Light Inventory'!A55</f>
        <v xml:space="preserve">52E </v>
      </c>
      <c r="C58" s="164"/>
      <c r="D58" s="327" t="str">
        <f>'WP1 Light Inventory'!D55</f>
        <v>Metal Halide</v>
      </c>
      <c r="E58" s="165" t="str">
        <f>'WP1 Light Inventory'!E55</f>
        <v>MH 250</v>
      </c>
      <c r="F58" s="364">
        <f>'WP1 Light Inventory'!J55</f>
        <v>36</v>
      </c>
      <c r="G58" s="366">
        <f>'WP12 Condensed Sch. Level Costs'!O54</f>
        <v>87.5</v>
      </c>
      <c r="H58" s="339">
        <f t="shared" si="40"/>
        <v>1.98E-3</v>
      </c>
      <c r="I58" s="295">
        <f t="shared" si="41"/>
        <v>73.44</v>
      </c>
      <c r="J58" s="163">
        <f t="shared" si="42"/>
        <v>0.17</v>
      </c>
      <c r="L58" s="339">
        <f t="shared" si="43"/>
        <v>2.0630000000000002E-3</v>
      </c>
      <c r="M58" s="295">
        <f t="shared" si="44"/>
        <v>77.759999999999991</v>
      </c>
      <c r="N58" s="163">
        <f t="shared" si="45"/>
        <v>0.18</v>
      </c>
      <c r="P58" s="339">
        <f t="shared" si="46"/>
        <v>0</v>
      </c>
      <c r="Q58" s="295">
        <f t="shared" si="47"/>
        <v>0</v>
      </c>
      <c r="R58" s="163">
        <f t="shared" si="48"/>
        <v>0</v>
      </c>
      <c r="T58" s="621" t="s">
        <v>1153</v>
      </c>
    </row>
    <row r="59" spans="1:20" x14ac:dyDescent="0.2">
      <c r="A59" s="621">
        <f t="shared" si="0"/>
        <v>52</v>
      </c>
      <c r="B59" s="164" t="str">
        <f>'WP1 Light Inventory'!A56</f>
        <v xml:space="preserve">52E </v>
      </c>
      <c r="C59" s="164"/>
      <c r="D59" s="327" t="str">
        <f>'WP1 Light Inventory'!D56</f>
        <v>Metal Halide</v>
      </c>
      <c r="E59" s="165" t="str">
        <f>'WP1 Light Inventory'!E56</f>
        <v>MH 400</v>
      </c>
      <c r="F59" s="364">
        <f>'WP1 Light Inventory'!J56</f>
        <v>57</v>
      </c>
      <c r="G59" s="366">
        <f>'WP12 Condensed Sch. Level Costs'!O55</f>
        <v>140</v>
      </c>
      <c r="H59" s="339">
        <f t="shared" si="40"/>
        <v>1.98E-3</v>
      </c>
      <c r="I59" s="295">
        <f t="shared" si="41"/>
        <v>191.52</v>
      </c>
      <c r="J59" s="163">
        <f t="shared" si="42"/>
        <v>0.28000000000000003</v>
      </c>
      <c r="L59" s="339">
        <f t="shared" si="43"/>
        <v>2.0630000000000002E-3</v>
      </c>
      <c r="M59" s="295">
        <f t="shared" si="44"/>
        <v>198.35999999999996</v>
      </c>
      <c r="N59" s="163">
        <f t="shared" si="45"/>
        <v>0.28999999999999998</v>
      </c>
      <c r="P59" s="339">
        <f t="shared" si="46"/>
        <v>0</v>
      </c>
      <c r="Q59" s="295">
        <f t="shared" si="47"/>
        <v>0</v>
      </c>
      <c r="R59" s="163">
        <f t="shared" si="48"/>
        <v>0</v>
      </c>
      <c r="T59" s="621" t="s">
        <v>1153</v>
      </c>
    </row>
    <row r="60" spans="1:20" x14ac:dyDescent="0.2">
      <c r="A60" s="621">
        <f t="shared" si="0"/>
        <v>53</v>
      </c>
      <c r="B60" s="164" t="str">
        <f>'WP1 Light Inventory'!A57</f>
        <v xml:space="preserve">52E </v>
      </c>
      <c r="C60" s="164"/>
      <c r="D60" s="327" t="str">
        <f>'WP1 Light Inventory'!D57</f>
        <v>Metal Halide</v>
      </c>
      <c r="E60" s="165" t="str">
        <f>'WP1 Light Inventory'!E57</f>
        <v>MH 1000</v>
      </c>
      <c r="F60" s="364">
        <f>'WP1 Light Inventory'!J57</f>
        <v>18</v>
      </c>
      <c r="G60" s="366">
        <f>'WP12 Condensed Sch. Level Costs'!O56</f>
        <v>350</v>
      </c>
      <c r="H60" s="339">
        <f t="shared" si="40"/>
        <v>1.98E-3</v>
      </c>
      <c r="I60" s="295">
        <f t="shared" si="41"/>
        <v>149.03999999999996</v>
      </c>
      <c r="J60" s="163">
        <f t="shared" si="42"/>
        <v>0.69</v>
      </c>
      <c r="L60" s="339">
        <f t="shared" si="43"/>
        <v>2.0630000000000002E-3</v>
      </c>
      <c r="M60" s="295">
        <f t="shared" si="44"/>
        <v>155.51999999999998</v>
      </c>
      <c r="N60" s="163">
        <f t="shared" si="45"/>
        <v>0.72</v>
      </c>
      <c r="P60" s="339">
        <f t="shared" si="46"/>
        <v>0</v>
      </c>
      <c r="Q60" s="295">
        <f t="shared" si="47"/>
        <v>0</v>
      </c>
      <c r="R60" s="163">
        <f t="shared" si="48"/>
        <v>0</v>
      </c>
      <c r="T60" s="621" t="s">
        <v>1153</v>
      </c>
    </row>
    <row r="61" spans="1:20" x14ac:dyDescent="0.2">
      <c r="A61" s="621">
        <f t="shared" si="0"/>
        <v>54</v>
      </c>
      <c r="B61" s="164"/>
      <c r="C61" s="164"/>
      <c r="D61" s="327"/>
      <c r="E61" s="165"/>
      <c r="F61" s="364"/>
      <c r="G61" s="399"/>
      <c r="H61" s="342"/>
      <c r="I61" s="295"/>
      <c r="L61" s="342"/>
      <c r="M61" s="295"/>
      <c r="P61" s="342"/>
      <c r="Q61" s="295"/>
      <c r="T61" s="621"/>
    </row>
    <row r="62" spans="1:20" x14ac:dyDescent="0.2">
      <c r="A62" s="621">
        <f t="shared" si="0"/>
        <v>55</v>
      </c>
      <c r="B62" s="164" t="s">
        <v>137</v>
      </c>
      <c r="C62" s="164"/>
      <c r="D62" s="327"/>
      <c r="E62" s="165"/>
      <c r="F62" s="364"/>
      <c r="G62" s="399"/>
      <c r="H62" s="342"/>
      <c r="I62" s="295"/>
      <c r="L62" s="342"/>
      <c r="M62" s="295"/>
      <c r="P62" s="342"/>
      <c r="Q62" s="295"/>
    </row>
    <row r="63" spans="1:20" x14ac:dyDescent="0.2">
      <c r="A63" s="621">
        <f t="shared" si="0"/>
        <v>56</v>
      </c>
      <c r="B63" s="164" t="str">
        <f>'WP1 Light Inventory'!A59</f>
        <v>53E</v>
      </c>
      <c r="C63" s="164" t="str">
        <f>'WP1 Light Inventory'!C59</f>
        <v xml:space="preserve">Company Owned </v>
      </c>
      <c r="D63" s="327" t="str">
        <f>'WP1 Light Inventory'!D59</f>
        <v>Sodium Vapor</v>
      </c>
      <c r="E63" s="165" t="str">
        <f>'WP1 Light Inventory'!E59</f>
        <v>SV 050</v>
      </c>
      <c r="F63" s="364">
        <f>'WP1 Light Inventory'!J59</f>
        <v>0</v>
      </c>
      <c r="G63" s="366">
        <f>'WP12 Condensed Sch. Level Costs'!O58</f>
        <v>17.5</v>
      </c>
      <c r="H63" s="339">
        <f t="shared" ref="H63:H71" si="49">$Y$8</f>
        <v>1.98E-3</v>
      </c>
      <c r="I63" s="295">
        <f t="shared" ref="I63:I71" si="50">+F63*J63*12</f>
        <v>0</v>
      </c>
      <c r="J63" s="163">
        <f t="shared" ref="J63:J71" si="51">ROUND(+H63*G63,2)</f>
        <v>0.03</v>
      </c>
      <c r="L63" s="339">
        <f t="shared" ref="L63:L71" si="52">$Y$9</f>
        <v>2.0630000000000002E-3</v>
      </c>
      <c r="M63" s="295">
        <f t="shared" ref="M63:M71" si="53">+F63*N63*12</f>
        <v>0</v>
      </c>
      <c r="N63" s="163">
        <f t="shared" ref="N63:N71" si="54">ROUND(+L63*G63,2)</f>
        <v>0.04</v>
      </c>
      <c r="P63" s="339">
        <f t="shared" ref="P63:P71" si="55">$Y$10</f>
        <v>0</v>
      </c>
      <c r="Q63" s="295">
        <f t="shared" ref="Q63:Q71" si="56">+F63*R63*12</f>
        <v>0</v>
      </c>
      <c r="R63" s="163">
        <f t="shared" ref="R63:R71" si="57">ROUND(+P63*G63,2)</f>
        <v>0</v>
      </c>
      <c r="T63" s="621" t="s">
        <v>1153</v>
      </c>
    </row>
    <row r="64" spans="1:20" x14ac:dyDescent="0.2">
      <c r="A64" s="621">
        <f t="shared" si="0"/>
        <v>57</v>
      </c>
      <c r="B64" s="164" t="str">
        <f>'WP1 Light Inventory'!A60</f>
        <v>53E</v>
      </c>
      <c r="C64" s="164" t="str">
        <f>'WP1 Light Inventory'!C60</f>
        <v xml:space="preserve">Company Owned </v>
      </c>
      <c r="D64" s="327" t="str">
        <f>'WP1 Light Inventory'!D60</f>
        <v>Sodium Vapor</v>
      </c>
      <c r="E64" s="165" t="str">
        <f>'WP1 Light Inventory'!E60</f>
        <v>SV 070</v>
      </c>
      <c r="F64" s="364">
        <f>'WP1 Light Inventory'!J60</f>
        <v>3836</v>
      </c>
      <c r="G64" s="366">
        <f>'WP12 Condensed Sch. Level Costs'!O59</f>
        <v>24.5</v>
      </c>
      <c r="H64" s="339">
        <f t="shared" si="49"/>
        <v>1.98E-3</v>
      </c>
      <c r="I64" s="295">
        <f t="shared" si="50"/>
        <v>2301.6000000000004</v>
      </c>
      <c r="J64" s="163">
        <f t="shared" si="51"/>
        <v>0.05</v>
      </c>
      <c r="L64" s="339">
        <f t="shared" si="52"/>
        <v>2.0630000000000002E-3</v>
      </c>
      <c r="M64" s="295">
        <f t="shared" si="53"/>
        <v>2301.6000000000004</v>
      </c>
      <c r="N64" s="163">
        <f t="shared" si="54"/>
        <v>0.05</v>
      </c>
      <c r="P64" s="339">
        <f t="shared" si="55"/>
        <v>0</v>
      </c>
      <c r="Q64" s="295">
        <f t="shared" si="56"/>
        <v>0</v>
      </c>
      <c r="R64" s="163">
        <f t="shared" si="57"/>
        <v>0</v>
      </c>
      <c r="T64" s="621" t="s">
        <v>1153</v>
      </c>
    </row>
    <row r="65" spans="1:20" x14ac:dyDescent="0.2">
      <c r="A65" s="621">
        <f t="shared" si="0"/>
        <v>58</v>
      </c>
      <c r="B65" s="164" t="str">
        <f>'WP1 Light Inventory'!A61</f>
        <v>53E</v>
      </c>
      <c r="C65" s="164" t="str">
        <f>'WP1 Light Inventory'!C61</f>
        <v xml:space="preserve">Company Owned </v>
      </c>
      <c r="D65" s="327" t="str">
        <f>'WP1 Light Inventory'!D61</f>
        <v>Sodium Vapor</v>
      </c>
      <c r="E65" s="165" t="str">
        <f>'WP1 Light Inventory'!E61</f>
        <v>SV 100</v>
      </c>
      <c r="F65" s="364">
        <f>'WP1 Light Inventory'!J61</f>
        <v>28412</v>
      </c>
      <c r="G65" s="366">
        <f>'WP12 Condensed Sch. Level Costs'!O60</f>
        <v>35</v>
      </c>
      <c r="H65" s="339">
        <f t="shared" si="49"/>
        <v>1.98E-3</v>
      </c>
      <c r="I65" s="295">
        <f t="shared" si="50"/>
        <v>23866.080000000002</v>
      </c>
      <c r="J65" s="163">
        <f t="shared" si="51"/>
        <v>7.0000000000000007E-2</v>
      </c>
      <c r="L65" s="339">
        <f t="shared" si="52"/>
        <v>2.0630000000000002E-3</v>
      </c>
      <c r="M65" s="295">
        <f t="shared" si="53"/>
        <v>23866.080000000002</v>
      </c>
      <c r="N65" s="163">
        <f t="shared" si="54"/>
        <v>7.0000000000000007E-2</v>
      </c>
      <c r="P65" s="339">
        <f t="shared" si="55"/>
        <v>0</v>
      </c>
      <c r="Q65" s="295">
        <f t="shared" si="56"/>
        <v>0</v>
      </c>
      <c r="R65" s="163">
        <f t="shared" si="57"/>
        <v>0</v>
      </c>
      <c r="T65" s="621" t="s">
        <v>1153</v>
      </c>
    </row>
    <row r="66" spans="1:20" x14ac:dyDescent="0.2">
      <c r="A66" s="621">
        <f t="shared" si="0"/>
        <v>59</v>
      </c>
      <c r="B66" s="164" t="str">
        <f>'WP1 Light Inventory'!A62</f>
        <v>53E</v>
      </c>
      <c r="C66" s="164" t="str">
        <f>'WP1 Light Inventory'!C62</f>
        <v xml:space="preserve">Company Owned </v>
      </c>
      <c r="D66" s="327" t="str">
        <f>'WP1 Light Inventory'!D62</f>
        <v>Sodium Vapor</v>
      </c>
      <c r="E66" s="165" t="str">
        <f>'WP1 Light Inventory'!E62</f>
        <v>SV 150</v>
      </c>
      <c r="F66" s="364">
        <f>'WP1 Light Inventory'!J62</f>
        <v>3485</v>
      </c>
      <c r="G66" s="366">
        <f>'WP12 Condensed Sch. Level Costs'!O61</f>
        <v>52.5</v>
      </c>
      <c r="H66" s="339">
        <f t="shared" si="49"/>
        <v>1.98E-3</v>
      </c>
      <c r="I66" s="295">
        <f t="shared" si="50"/>
        <v>4182</v>
      </c>
      <c r="J66" s="163">
        <f t="shared" si="51"/>
        <v>0.1</v>
      </c>
      <c r="L66" s="339">
        <f t="shared" si="52"/>
        <v>2.0630000000000002E-3</v>
      </c>
      <c r="M66" s="295">
        <f t="shared" si="53"/>
        <v>4600.2000000000007</v>
      </c>
      <c r="N66" s="163">
        <f t="shared" si="54"/>
        <v>0.11</v>
      </c>
      <c r="P66" s="339">
        <f t="shared" si="55"/>
        <v>0</v>
      </c>
      <c r="Q66" s="295">
        <f t="shared" si="56"/>
        <v>0</v>
      </c>
      <c r="R66" s="163">
        <f t="shared" si="57"/>
        <v>0</v>
      </c>
      <c r="T66" s="621" t="s">
        <v>1153</v>
      </c>
    </row>
    <row r="67" spans="1:20" x14ac:dyDescent="0.2">
      <c r="A67" s="621">
        <f t="shared" si="0"/>
        <v>60</v>
      </c>
      <c r="B67" s="164" t="str">
        <f>'WP1 Light Inventory'!A63</f>
        <v>53E</v>
      </c>
      <c r="C67" s="164" t="str">
        <f>'WP1 Light Inventory'!C63</f>
        <v xml:space="preserve">Company Owned </v>
      </c>
      <c r="D67" s="327" t="str">
        <f>'WP1 Light Inventory'!D63</f>
        <v>Sodium Vapor</v>
      </c>
      <c r="E67" s="165" t="str">
        <f>'WP1 Light Inventory'!E63</f>
        <v>SV 200</v>
      </c>
      <c r="F67" s="364">
        <f>'WP1 Light Inventory'!J63</f>
        <v>4408</v>
      </c>
      <c r="G67" s="366">
        <f>'WP12 Condensed Sch. Level Costs'!O62</f>
        <v>70</v>
      </c>
      <c r="H67" s="339">
        <f t="shared" si="49"/>
        <v>1.98E-3</v>
      </c>
      <c r="I67" s="295">
        <f t="shared" si="50"/>
        <v>7405.4400000000005</v>
      </c>
      <c r="J67" s="163">
        <f t="shared" si="51"/>
        <v>0.14000000000000001</v>
      </c>
      <c r="L67" s="339">
        <f t="shared" si="52"/>
        <v>2.0630000000000002E-3</v>
      </c>
      <c r="M67" s="295">
        <f t="shared" si="53"/>
        <v>7405.4400000000005</v>
      </c>
      <c r="N67" s="163">
        <f t="shared" si="54"/>
        <v>0.14000000000000001</v>
      </c>
      <c r="P67" s="339">
        <f t="shared" si="55"/>
        <v>0</v>
      </c>
      <c r="Q67" s="295">
        <f t="shared" si="56"/>
        <v>0</v>
      </c>
      <c r="R67" s="163">
        <f t="shared" si="57"/>
        <v>0</v>
      </c>
      <c r="T67" s="621" t="s">
        <v>1153</v>
      </c>
    </row>
    <row r="68" spans="1:20" x14ac:dyDescent="0.2">
      <c r="A68" s="621">
        <f t="shared" si="0"/>
        <v>61</v>
      </c>
      <c r="B68" s="164" t="str">
        <f>'WP1 Light Inventory'!A64</f>
        <v>53E</v>
      </c>
      <c r="C68" s="164" t="str">
        <f>'WP1 Light Inventory'!C64</f>
        <v xml:space="preserve">Company Owned </v>
      </c>
      <c r="D68" s="327" t="str">
        <f>'WP1 Light Inventory'!D64</f>
        <v>Sodium Vapor</v>
      </c>
      <c r="E68" s="165" t="str">
        <f>'WP1 Light Inventory'!E64</f>
        <v>SV 250</v>
      </c>
      <c r="F68" s="364">
        <f>'WP1 Light Inventory'!J64</f>
        <v>1615</v>
      </c>
      <c r="G68" s="366">
        <f>'WP12 Condensed Sch. Level Costs'!O63</f>
        <v>87.5</v>
      </c>
      <c r="H68" s="339">
        <f t="shared" si="49"/>
        <v>1.98E-3</v>
      </c>
      <c r="I68" s="295">
        <f t="shared" si="50"/>
        <v>3294.6000000000004</v>
      </c>
      <c r="J68" s="163">
        <f t="shared" si="51"/>
        <v>0.17</v>
      </c>
      <c r="L68" s="339">
        <f t="shared" si="52"/>
        <v>2.0630000000000002E-3</v>
      </c>
      <c r="M68" s="295">
        <f t="shared" si="53"/>
        <v>3488.3999999999996</v>
      </c>
      <c r="N68" s="163">
        <f t="shared" si="54"/>
        <v>0.18</v>
      </c>
      <c r="P68" s="339">
        <f t="shared" si="55"/>
        <v>0</v>
      </c>
      <c r="Q68" s="295">
        <f t="shared" si="56"/>
        <v>0</v>
      </c>
      <c r="R68" s="163">
        <f t="shared" si="57"/>
        <v>0</v>
      </c>
      <c r="T68" s="621" t="s">
        <v>1153</v>
      </c>
    </row>
    <row r="69" spans="1:20" x14ac:dyDescent="0.2">
      <c r="A69" s="621">
        <f t="shared" si="0"/>
        <v>62</v>
      </c>
      <c r="B69" s="164" t="str">
        <f>'WP1 Light Inventory'!A65</f>
        <v>53E</v>
      </c>
      <c r="C69" s="164" t="str">
        <f>'WP1 Light Inventory'!C65</f>
        <v xml:space="preserve">Company Owned </v>
      </c>
      <c r="D69" s="327" t="str">
        <f>'WP1 Light Inventory'!D65</f>
        <v>Sodium Vapor</v>
      </c>
      <c r="E69" s="165" t="str">
        <f>'WP1 Light Inventory'!E65</f>
        <v>SV 310</v>
      </c>
      <c r="F69" s="364">
        <f>'WP1 Light Inventory'!J65</f>
        <v>15</v>
      </c>
      <c r="G69" s="366">
        <f>'WP12 Condensed Sch. Level Costs'!O64</f>
        <v>108.5</v>
      </c>
      <c r="H69" s="339">
        <f t="shared" si="49"/>
        <v>1.98E-3</v>
      </c>
      <c r="I69" s="295">
        <f t="shared" si="50"/>
        <v>37.799999999999997</v>
      </c>
      <c r="J69" s="163">
        <f t="shared" si="51"/>
        <v>0.21</v>
      </c>
      <c r="L69" s="339">
        <f t="shared" si="52"/>
        <v>2.0630000000000002E-3</v>
      </c>
      <c r="M69" s="295">
        <f t="shared" si="53"/>
        <v>39.599999999999994</v>
      </c>
      <c r="N69" s="163">
        <f t="shared" si="54"/>
        <v>0.22</v>
      </c>
      <c r="P69" s="339">
        <f t="shared" si="55"/>
        <v>0</v>
      </c>
      <c r="Q69" s="295">
        <f t="shared" si="56"/>
        <v>0</v>
      </c>
      <c r="R69" s="163">
        <f t="shared" si="57"/>
        <v>0</v>
      </c>
      <c r="T69" s="621" t="s">
        <v>1153</v>
      </c>
    </row>
    <row r="70" spans="1:20" x14ac:dyDescent="0.2">
      <c r="A70" s="621">
        <f t="shared" si="0"/>
        <v>63</v>
      </c>
      <c r="B70" s="164" t="str">
        <f>'WP1 Light Inventory'!A66</f>
        <v>53E</v>
      </c>
      <c r="C70" s="164" t="str">
        <f>'WP1 Light Inventory'!C66</f>
        <v xml:space="preserve">Company Owned </v>
      </c>
      <c r="D70" s="327" t="str">
        <f>'WP1 Light Inventory'!D66</f>
        <v>Sodium Vapor</v>
      </c>
      <c r="E70" s="165" t="str">
        <f>'WP1 Light Inventory'!E66</f>
        <v>SV 400</v>
      </c>
      <c r="F70" s="364">
        <f>'WP1 Light Inventory'!J66</f>
        <v>884</v>
      </c>
      <c r="G70" s="366">
        <f>'WP12 Condensed Sch. Level Costs'!O65</f>
        <v>140</v>
      </c>
      <c r="H70" s="339">
        <f t="shared" si="49"/>
        <v>1.98E-3</v>
      </c>
      <c r="I70" s="295">
        <f t="shared" si="50"/>
        <v>2970.2400000000002</v>
      </c>
      <c r="J70" s="163">
        <f t="shared" si="51"/>
        <v>0.28000000000000003</v>
      </c>
      <c r="L70" s="339">
        <f t="shared" si="52"/>
        <v>2.0630000000000002E-3</v>
      </c>
      <c r="M70" s="295">
        <f t="shared" si="53"/>
        <v>3076.3199999999997</v>
      </c>
      <c r="N70" s="163">
        <f t="shared" si="54"/>
        <v>0.28999999999999998</v>
      </c>
      <c r="P70" s="339">
        <f t="shared" si="55"/>
        <v>0</v>
      </c>
      <c r="Q70" s="295">
        <f t="shared" si="56"/>
        <v>0</v>
      </c>
      <c r="R70" s="163">
        <f t="shared" si="57"/>
        <v>0</v>
      </c>
      <c r="T70" s="621" t="s">
        <v>1153</v>
      </c>
    </row>
    <row r="71" spans="1:20" x14ac:dyDescent="0.2">
      <c r="A71" s="621">
        <f t="shared" si="0"/>
        <v>64</v>
      </c>
      <c r="B71" s="164" t="str">
        <f>'WP1 Light Inventory'!A67</f>
        <v>53E</v>
      </c>
      <c r="C71" s="164" t="str">
        <f>'WP1 Light Inventory'!C67</f>
        <v xml:space="preserve">Company Owned </v>
      </c>
      <c r="D71" s="327" t="str">
        <f>'WP1 Light Inventory'!D67</f>
        <v>Sodium Vapor</v>
      </c>
      <c r="E71" s="165" t="str">
        <f>'WP1 Light Inventory'!E67</f>
        <v>SV 1000</v>
      </c>
      <c r="F71" s="364">
        <f>'WP1 Light Inventory'!J67</f>
        <v>0</v>
      </c>
      <c r="G71" s="366">
        <f>'WP12 Condensed Sch. Level Costs'!O66</f>
        <v>350</v>
      </c>
      <c r="H71" s="339">
        <f t="shared" si="49"/>
        <v>1.98E-3</v>
      </c>
      <c r="I71" s="295">
        <f t="shared" si="50"/>
        <v>0</v>
      </c>
      <c r="J71" s="163">
        <f t="shared" si="51"/>
        <v>0.69</v>
      </c>
      <c r="L71" s="339">
        <f t="shared" si="52"/>
        <v>2.0630000000000002E-3</v>
      </c>
      <c r="M71" s="295">
        <f t="shared" si="53"/>
        <v>0</v>
      </c>
      <c r="N71" s="163">
        <f t="shared" si="54"/>
        <v>0.72</v>
      </c>
      <c r="P71" s="339">
        <f t="shared" si="55"/>
        <v>0</v>
      </c>
      <c r="Q71" s="295">
        <f t="shared" si="56"/>
        <v>0</v>
      </c>
      <c r="R71" s="163">
        <f t="shared" si="57"/>
        <v>0</v>
      </c>
      <c r="T71" s="621" t="s">
        <v>1153</v>
      </c>
    </row>
    <row r="72" spans="1:20" x14ac:dyDescent="0.2">
      <c r="A72" s="621">
        <f t="shared" si="0"/>
        <v>65</v>
      </c>
      <c r="B72" s="164"/>
      <c r="C72" s="164"/>
      <c r="D72" s="327"/>
      <c r="E72" s="165"/>
      <c r="F72" s="364"/>
      <c r="G72" s="399"/>
      <c r="H72" s="342"/>
      <c r="I72" s="295"/>
      <c r="L72" s="342"/>
      <c r="M72" s="295"/>
      <c r="P72" s="342"/>
      <c r="Q72" s="295"/>
    </row>
    <row r="73" spans="1:20" x14ac:dyDescent="0.2">
      <c r="A73" s="621">
        <f t="shared" si="0"/>
        <v>66</v>
      </c>
      <c r="B73" s="164" t="str">
        <f>'WP1 Light Inventory'!A69</f>
        <v>53E</v>
      </c>
      <c r="C73" s="164" t="str">
        <f>'WP1 Light Inventory'!C69</f>
        <v xml:space="preserve">Company Owned </v>
      </c>
      <c r="D73" s="327" t="str">
        <f>'WP1 Light Inventory'!D69</f>
        <v>Metal Halide</v>
      </c>
      <c r="E73" s="165" t="str">
        <f>'WP1 Light Inventory'!E69</f>
        <v>MH 070</v>
      </c>
      <c r="F73" s="364">
        <f>'WP1 Light Inventory'!J69</f>
        <v>0</v>
      </c>
      <c r="G73" s="366">
        <f>'WP12 Condensed Sch. Level Costs'!O68</f>
        <v>24.5</v>
      </c>
      <c r="H73" s="339">
        <f t="shared" ref="H73:H77" si="58">$Y$8</f>
        <v>1.98E-3</v>
      </c>
      <c r="I73" s="295">
        <f t="shared" ref="I73:I77" si="59">+F73*J73*12</f>
        <v>0</v>
      </c>
      <c r="J73" s="163">
        <f t="shared" ref="J73:J77" si="60">ROUND(+H73*G73,2)</f>
        <v>0.05</v>
      </c>
      <c r="L73" s="339">
        <f t="shared" ref="L73:L77" si="61">$Y$9</f>
        <v>2.0630000000000002E-3</v>
      </c>
      <c r="M73" s="295">
        <f t="shared" ref="M73:M77" si="62">+F73*N73*12</f>
        <v>0</v>
      </c>
      <c r="N73" s="163">
        <f t="shared" ref="N73:N77" si="63">ROUND(+L73*G73,2)</f>
        <v>0.05</v>
      </c>
      <c r="P73" s="339">
        <f t="shared" ref="P73:P77" si="64">$Y$10</f>
        <v>0</v>
      </c>
      <c r="Q73" s="295">
        <f t="shared" ref="Q73:Q77" si="65">+F73*R73*12</f>
        <v>0</v>
      </c>
      <c r="R73" s="163">
        <f t="shared" ref="R73:R77" si="66">ROUND(+P73*G73,2)</f>
        <v>0</v>
      </c>
      <c r="T73" s="621" t="s">
        <v>1153</v>
      </c>
    </row>
    <row r="74" spans="1:20" x14ac:dyDescent="0.2">
      <c r="A74" s="621">
        <f t="shared" ref="A74:A137" si="67">A73+1</f>
        <v>67</v>
      </c>
      <c r="B74" s="164" t="str">
        <f>'WP1 Light Inventory'!A70</f>
        <v>53E</v>
      </c>
      <c r="C74" s="164" t="str">
        <f>'WP1 Light Inventory'!C70</f>
        <v xml:space="preserve">Company Owned </v>
      </c>
      <c r="D74" s="327" t="str">
        <f>'WP1 Light Inventory'!D70</f>
        <v>Metal Halide</v>
      </c>
      <c r="E74" s="165" t="str">
        <f>'WP1 Light Inventory'!E70</f>
        <v>MH 100</v>
      </c>
      <c r="F74" s="364">
        <f>'WP1 Light Inventory'!J70</f>
        <v>0</v>
      </c>
      <c r="G74" s="366">
        <f>'WP12 Condensed Sch. Level Costs'!O69</f>
        <v>35</v>
      </c>
      <c r="H74" s="339">
        <f t="shared" si="58"/>
        <v>1.98E-3</v>
      </c>
      <c r="I74" s="295">
        <f t="shared" si="59"/>
        <v>0</v>
      </c>
      <c r="J74" s="163">
        <f t="shared" si="60"/>
        <v>7.0000000000000007E-2</v>
      </c>
      <c r="L74" s="339">
        <f t="shared" si="61"/>
        <v>2.0630000000000002E-3</v>
      </c>
      <c r="M74" s="295">
        <f t="shared" si="62"/>
        <v>0</v>
      </c>
      <c r="N74" s="163">
        <f t="shared" si="63"/>
        <v>7.0000000000000007E-2</v>
      </c>
      <c r="P74" s="339">
        <f t="shared" si="64"/>
        <v>0</v>
      </c>
      <c r="Q74" s="295">
        <f t="shared" si="65"/>
        <v>0</v>
      </c>
      <c r="R74" s="163">
        <f t="shared" si="66"/>
        <v>0</v>
      </c>
      <c r="T74" s="621" t="s">
        <v>1153</v>
      </c>
    </row>
    <row r="75" spans="1:20" x14ac:dyDescent="0.2">
      <c r="A75" s="621">
        <f t="shared" si="67"/>
        <v>68</v>
      </c>
      <c r="B75" s="164" t="str">
        <f>'WP1 Light Inventory'!A71</f>
        <v>53E</v>
      </c>
      <c r="C75" s="164" t="str">
        <f>'WP1 Light Inventory'!C71</f>
        <v xml:space="preserve">Company Owned </v>
      </c>
      <c r="D75" s="327" t="str">
        <f>'WP1 Light Inventory'!D71</f>
        <v>Metal Halide</v>
      </c>
      <c r="E75" s="165" t="str">
        <f>'WP1 Light Inventory'!E71</f>
        <v>MH 150</v>
      </c>
      <c r="F75" s="364">
        <f>'WP1 Light Inventory'!J71</f>
        <v>0</v>
      </c>
      <c r="G75" s="366">
        <f>'WP12 Condensed Sch. Level Costs'!O70</f>
        <v>52.5</v>
      </c>
      <c r="H75" s="339">
        <f t="shared" si="58"/>
        <v>1.98E-3</v>
      </c>
      <c r="I75" s="295">
        <f t="shared" si="59"/>
        <v>0</v>
      </c>
      <c r="J75" s="163">
        <f t="shared" si="60"/>
        <v>0.1</v>
      </c>
      <c r="L75" s="339">
        <f t="shared" si="61"/>
        <v>2.0630000000000002E-3</v>
      </c>
      <c r="M75" s="295">
        <f t="shared" si="62"/>
        <v>0</v>
      </c>
      <c r="N75" s="163">
        <f t="shared" si="63"/>
        <v>0.11</v>
      </c>
      <c r="P75" s="339">
        <f t="shared" si="64"/>
        <v>0</v>
      </c>
      <c r="Q75" s="295">
        <f t="shared" si="65"/>
        <v>0</v>
      </c>
      <c r="R75" s="163">
        <f t="shared" si="66"/>
        <v>0</v>
      </c>
      <c r="T75" s="621" t="s">
        <v>1153</v>
      </c>
    </row>
    <row r="76" spans="1:20" x14ac:dyDescent="0.2">
      <c r="A76" s="621">
        <f t="shared" si="67"/>
        <v>69</v>
      </c>
      <c r="B76" s="164" t="str">
        <f>'WP1 Light Inventory'!A72</f>
        <v>53E</v>
      </c>
      <c r="C76" s="164" t="str">
        <f>'WP1 Light Inventory'!C72</f>
        <v xml:space="preserve">Company Owned </v>
      </c>
      <c r="D76" s="327" t="str">
        <f>'WP1 Light Inventory'!D72</f>
        <v>Metal Halide</v>
      </c>
      <c r="E76" s="165" t="str">
        <f>'WP1 Light Inventory'!E72</f>
        <v>MH 250</v>
      </c>
      <c r="F76" s="364">
        <f>'WP1 Light Inventory'!J72</f>
        <v>0</v>
      </c>
      <c r="G76" s="366">
        <f>'WP12 Condensed Sch. Level Costs'!O71</f>
        <v>87.5</v>
      </c>
      <c r="H76" s="339">
        <f t="shared" si="58"/>
        <v>1.98E-3</v>
      </c>
      <c r="I76" s="295">
        <f t="shared" si="59"/>
        <v>0</v>
      </c>
      <c r="J76" s="163">
        <f t="shared" si="60"/>
        <v>0.17</v>
      </c>
      <c r="L76" s="339">
        <f t="shared" si="61"/>
        <v>2.0630000000000002E-3</v>
      </c>
      <c r="M76" s="295">
        <f t="shared" si="62"/>
        <v>0</v>
      </c>
      <c r="N76" s="163">
        <f t="shared" si="63"/>
        <v>0.18</v>
      </c>
      <c r="P76" s="339">
        <f t="shared" si="64"/>
        <v>0</v>
      </c>
      <c r="Q76" s="295">
        <f t="shared" si="65"/>
        <v>0</v>
      </c>
      <c r="R76" s="163">
        <f t="shared" si="66"/>
        <v>0</v>
      </c>
      <c r="T76" s="621" t="s">
        <v>1153</v>
      </c>
    </row>
    <row r="77" spans="1:20" x14ac:dyDescent="0.2">
      <c r="A77" s="621">
        <f t="shared" si="67"/>
        <v>70</v>
      </c>
      <c r="B77" s="164" t="str">
        <f>'WP1 Light Inventory'!A73</f>
        <v>53E</v>
      </c>
      <c r="C77" s="164" t="str">
        <f>'WP1 Light Inventory'!C73</f>
        <v xml:space="preserve">Company Owned </v>
      </c>
      <c r="D77" s="327" t="str">
        <f>'WP1 Light Inventory'!D73</f>
        <v>Metal Halide</v>
      </c>
      <c r="E77" s="165" t="str">
        <f>'WP1 Light Inventory'!E73</f>
        <v>MH 400</v>
      </c>
      <c r="F77" s="364">
        <f>'WP1 Light Inventory'!J73</f>
        <v>0</v>
      </c>
      <c r="G77" s="366">
        <f>'WP12 Condensed Sch. Level Costs'!O72</f>
        <v>140</v>
      </c>
      <c r="H77" s="339">
        <f t="shared" si="58"/>
        <v>1.98E-3</v>
      </c>
      <c r="I77" s="295">
        <f t="shared" si="59"/>
        <v>0</v>
      </c>
      <c r="J77" s="163">
        <f t="shared" si="60"/>
        <v>0.28000000000000003</v>
      </c>
      <c r="L77" s="339">
        <f t="shared" si="61"/>
        <v>2.0630000000000002E-3</v>
      </c>
      <c r="M77" s="295">
        <f t="shared" si="62"/>
        <v>0</v>
      </c>
      <c r="N77" s="163">
        <f t="shared" si="63"/>
        <v>0.28999999999999998</v>
      </c>
      <c r="P77" s="339">
        <f t="shared" si="64"/>
        <v>0</v>
      </c>
      <c r="Q77" s="295">
        <f t="shared" si="65"/>
        <v>0</v>
      </c>
      <c r="R77" s="163">
        <f t="shared" si="66"/>
        <v>0</v>
      </c>
      <c r="T77" s="621" t="s">
        <v>1153</v>
      </c>
    </row>
    <row r="78" spans="1:20" x14ac:dyDescent="0.2">
      <c r="A78" s="621">
        <f t="shared" si="67"/>
        <v>71</v>
      </c>
      <c r="B78" s="164"/>
      <c r="C78" s="164"/>
      <c r="D78" s="327"/>
      <c r="E78" s="165"/>
      <c r="F78" s="364"/>
      <c r="G78" s="399"/>
      <c r="H78" s="342"/>
      <c r="I78" s="295"/>
      <c r="L78" s="342"/>
      <c r="M78" s="295"/>
      <c r="P78" s="342"/>
      <c r="Q78" s="295"/>
    </row>
    <row r="79" spans="1:20" ht="9.75" customHeight="1" x14ac:dyDescent="0.2">
      <c r="A79" s="621">
        <f t="shared" si="67"/>
        <v>72</v>
      </c>
      <c r="B79" s="164" t="str">
        <f>'WP1 Light Inventory'!A75</f>
        <v>53E</v>
      </c>
      <c r="C79" s="164" t="str">
        <f>'WP1 Light Inventory'!C75</f>
        <v xml:space="preserve">Company Owned </v>
      </c>
      <c r="D79" s="327" t="str">
        <f>'WP1 Light Inventory'!D75</f>
        <v>Light Emitting Diode</v>
      </c>
      <c r="E79" s="165" t="str">
        <f>'WP1 Light Inventory'!E75</f>
        <v>LED 0-030</v>
      </c>
      <c r="F79" s="364">
        <f>'WP1 Light Inventory'!J75</f>
        <v>0</v>
      </c>
      <c r="G79" s="366">
        <f>'WP12 Condensed Sch. Level Costs'!O74</f>
        <v>5.25</v>
      </c>
      <c r="H79" s="339">
        <f t="shared" ref="H79:H88" si="68">$Y$8</f>
        <v>1.98E-3</v>
      </c>
      <c r="I79" s="295">
        <f t="shared" ref="I79:I88" si="69">+F79*J79*12</f>
        <v>0</v>
      </c>
      <c r="J79" s="163">
        <f t="shared" ref="J79:J88" si="70">ROUND(+H79*G79,2)</f>
        <v>0.01</v>
      </c>
      <c r="L79" s="339">
        <f t="shared" ref="L79:L88" si="71">$Y$9</f>
        <v>2.0630000000000002E-3</v>
      </c>
      <c r="M79" s="295">
        <f t="shared" ref="M79:M88" si="72">+F79*N79*12</f>
        <v>0</v>
      </c>
      <c r="N79" s="163">
        <f t="shared" ref="N79:N88" si="73">ROUND(+L79*G79,2)</f>
        <v>0.01</v>
      </c>
      <c r="P79" s="339">
        <f t="shared" ref="P79:P88" si="74">$Y$10</f>
        <v>0</v>
      </c>
      <c r="Q79" s="295">
        <f t="shared" ref="Q79:Q88" si="75">+F79*R79*12</f>
        <v>0</v>
      </c>
      <c r="R79" s="163">
        <f t="shared" ref="R79:R88" si="76">ROUND(+P79*G79,2)</f>
        <v>0</v>
      </c>
      <c r="T79" s="621" t="s">
        <v>1153</v>
      </c>
    </row>
    <row r="80" spans="1:20" x14ac:dyDescent="0.2">
      <c r="A80" s="621">
        <f t="shared" si="67"/>
        <v>73</v>
      </c>
      <c r="B80" s="164" t="str">
        <f>'WP1 Light Inventory'!A76</f>
        <v>53E</v>
      </c>
      <c r="C80" s="164" t="str">
        <f>'WP1 Light Inventory'!C76</f>
        <v xml:space="preserve">Company Owned </v>
      </c>
      <c r="D80" s="327" t="str">
        <f>'WP1 Light Inventory'!D76</f>
        <v>Light Emitting Diode</v>
      </c>
      <c r="E80" s="165" t="str">
        <f>'WP1 Light Inventory'!E76</f>
        <v>LED 030.01-060</v>
      </c>
      <c r="F80" s="364">
        <f>'WP1 Light Inventory'!J76</f>
        <v>21897</v>
      </c>
      <c r="G80" s="366">
        <f>'WP12 Condensed Sch. Level Costs'!O75</f>
        <v>15.75</v>
      </c>
      <c r="H80" s="339">
        <f t="shared" si="68"/>
        <v>1.98E-3</v>
      </c>
      <c r="I80" s="295">
        <f t="shared" si="69"/>
        <v>7882.92</v>
      </c>
      <c r="J80" s="163">
        <f t="shared" si="70"/>
        <v>0.03</v>
      </c>
      <c r="L80" s="339">
        <f t="shared" si="71"/>
        <v>2.0630000000000002E-3</v>
      </c>
      <c r="M80" s="295">
        <f t="shared" si="72"/>
        <v>7882.92</v>
      </c>
      <c r="N80" s="163">
        <f t="shared" si="73"/>
        <v>0.03</v>
      </c>
      <c r="P80" s="339">
        <f t="shared" si="74"/>
        <v>0</v>
      </c>
      <c r="Q80" s="295">
        <f t="shared" si="75"/>
        <v>0</v>
      </c>
      <c r="R80" s="163">
        <f t="shared" si="76"/>
        <v>0</v>
      </c>
      <c r="T80" s="621" t="s">
        <v>1153</v>
      </c>
    </row>
    <row r="81" spans="1:20" x14ac:dyDescent="0.2">
      <c r="A81" s="621">
        <f t="shared" si="67"/>
        <v>74</v>
      </c>
      <c r="B81" s="164" t="str">
        <f>'WP1 Light Inventory'!A77</f>
        <v>53E</v>
      </c>
      <c r="C81" s="164" t="str">
        <f>'WP1 Light Inventory'!C77</f>
        <v xml:space="preserve">Company Owned </v>
      </c>
      <c r="D81" s="327" t="str">
        <f>'WP1 Light Inventory'!D77</f>
        <v>Light Emitting Diode</v>
      </c>
      <c r="E81" s="165" t="str">
        <f>'WP1 Light Inventory'!E77</f>
        <v>LED 060.01-090</v>
      </c>
      <c r="F81" s="364">
        <f>'WP1 Light Inventory'!J77</f>
        <v>430</v>
      </c>
      <c r="G81" s="366">
        <f>'WP12 Condensed Sch. Level Costs'!O76</f>
        <v>26.25</v>
      </c>
      <c r="H81" s="339">
        <f t="shared" si="68"/>
        <v>1.98E-3</v>
      </c>
      <c r="I81" s="295">
        <f t="shared" si="69"/>
        <v>258</v>
      </c>
      <c r="J81" s="163">
        <f t="shared" si="70"/>
        <v>0.05</v>
      </c>
      <c r="L81" s="339">
        <f t="shared" si="71"/>
        <v>2.0630000000000002E-3</v>
      </c>
      <c r="M81" s="295">
        <f t="shared" si="72"/>
        <v>258</v>
      </c>
      <c r="N81" s="163">
        <f t="shared" si="73"/>
        <v>0.05</v>
      </c>
      <c r="P81" s="339">
        <f t="shared" si="74"/>
        <v>0</v>
      </c>
      <c r="Q81" s="295">
        <f t="shared" si="75"/>
        <v>0</v>
      </c>
      <c r="R81" s="163">
        <f t="shared" si="76"/>
        <v>0</v>
      </c>
      <c r="T81" s="621" t="s">
        <v>1153</v>
      </c>
    </row>
    <row r="82" spans="1:20" x14ac:dyDescent="0.2">
      <c r="A82" s="621">
        <f t="shared" si="67"/>
        <v>75</v>
      </c>
      <c r="B82" s="164" t="str">
        <f>'WP1 Light Inventory'!A78</f>
        <v>53E</v>
      </c>
      <c r="C82" s="164" t="str">
        <f>'WP1 Light Inventory'!C78</f>
        <v xml:space="preserve">Company Owned </v>
      </c>
      <c r="D82" s="327" t="str">
        <f>'WP1 Light Inventory'!D78</f>
        <v>Light Emitting Diode</v>
      </c>
      <c r="E82" s="165" t="str">
        <f>'WP1 Light Inventory'!E78</f>
        <v>LED 090.01-120</v>
      </c>
      <c r="F82" s="364">
        <f>'WP1 Light Inventory'!J78</f>
        <v>2478</v>
      </c>
      <c r="G82" s="366">
        <f>'WP12 Condensed Sch. Level Costs'!O77</f>
        <v>36.75</v>
      </c>
      <c r="H82" s="339">
        <f t="shared" si="68"/>
        <v>1.98E-3</v>
      </c>
      <c r="I82" s="295">
        <f t="shared" si="69"/>
        <v>2081.52</v>
      </c>
      <c r="J82" s="163">
        <f t="shared" si="70"/>
        <v>7.0000000000000007E-2</v>
      </c>
      <c r="L82" s="339">
        <f t="shared" si="71"/>
        <v>2.0630000000000002E-3</v>
      </c>
      <c r="M82" s="295">
        <f t="shared" si="72"/>
        <v>2378.88</v>
      </c>
      <c r="N82" s="163">
        <f t="shared" si="73"/>
        <v>0.08</v>
      </c>
      <c r="P82" s="339">
        <f t="shared" si="74"/>
        <v>0</v>
      </c>
      <c r="Q82" s="295">
        <f t="shared" si="75"/>
        <v>0</v>
      </c>
      <c r="R82" s="163">
        <f t="shared" si="76"/>
        <v>0</v>
      </c>
      <c r="T82" s="621" t="s">
        <v>1153</v>
      </c>
    </row>
    <row r="83" spans="1:20" x14ac:dyDescent="0.2">
      <c r="A83" s="621">
        <f t="shared" si="67"/>
        <v>76</v>
      </c>
      <c r="B83" s="164" t="str">
        <f>'WP1 Light Inventory'!A79</f>
        <v>53E</v>
      </c>
      <c r="C83" s="164" t="str">
        <f>'WP1 Light Inventory'!C79</f>
        <v xml:space="preserve">Company Owned </v>
      </c>
      <c r="D83" s="327" t="str">
        <f>'WP1 Light Inventory'!D79</f>
        <v>Light Emitting Diode</v>
      </c>
      <c r="E83" s="165" t="str">
        <f>'WP1 Light Inventory'!E79</f>
        <v>LED 120.01-150</v>
      </c>
      <c r="F83" s="364">
        <f>'WP1 Light Inventory'!J79</f>
        <v>1833</v>
      </c>
      <c r="G83" s="366">
        <f>'WP12 Condensed Sch. Level Costs'!O78</f>
        <v>47.25</v>
      </c>
      <c r="H83" s="339">
        <f t="shared" si="68"/>
        <v>1.98E-3</v>
      </c>
      <c r="I83" s="295">
        <f t="shared" si="69"/>
        <v>1979.6399999999999</v>
      </c>
      <c r="J83" s="163">
        <f t="shared" si="70"/>
        <v>0.09</v>
      </c>
      <c r="L83" s="339">
        <f t="shared" si="71"/>
        <v>2.0630000000000002E-3</v>
      </c>
      <c r="M83" s="295">
        <f t="shared" si="72"/>
        <v>2199.6000000000004</v>
      </c>
      <c r="N83" s="163">
        <f t="shared" si="73"/>
        <v>0.1</v>
      </c>
      <c r="P83" s="339">
        <f t="shared" si="74"/>
        <v>0</v>
      </c>
      <c r="Q83" s="295">
        <f t="shared" si="75"/>
        <v>0</v>
      </c>
      <c r="R83" s="163">
        <f t="shared" si="76"/>
        <v>0</v>
      </c>
      <c r="T83" s="621" t="s">
        <v>1153</v>
      </c>
    </row>
    <row r="84" spans="1:20" x14ac:dyDescent="0.2">
      <c r="A84" s="621">
        <f t="shared" si="67"/>
        <v>77</v>
      </c>
      <c r="B84" s="164" t="str">
        <f>'WP1 Light Inventory'!A80</f>
        <v>53E</v>
      </c>
      <c r="C84" s="164" t="str">
        <f>'WP1 Light Inventory'!C80</f>
        <v xml:space="preserve">Company Owned </v>
      </c>
      <c r="D84" s="327" t="str">
        <f>'WP1 Light Inventory'!D80</f>
        <v>Light Emitting Diode</v>
      </c>
      <c r="E84" s="165" t="str">
        <f>'WP1 Light Inventory'!E80</f>
        <v>LED 150.01-180</v>
      </c>
      <c r="F84" s="364">
        <f>'WP1 Light Inventory'!J80</f>
        <v>105</v>
      </c>
      <c r="G84" s="366">
        <f>'WP12 Condensed Sch. Level Costs'!O79</f>
        <v>57.75</v>
      </c>
      <c r="H84" s="339">
        <f t="shared" si="68"/>
        <v>1.98E-3</v>
      </c>
      <c r="I84" s="295">
        <f t="shared" si="69"/>
        <v>138.60000000000002</v>
      </c>
      <c r="J84" s="163">
        <f t="shared" si="70"/>
        <v>0.11</v>
      </c>
      <c r="L84" s="339">
        <f t="shared" si="71"/>
        <v>2.0630000000000002E-3</v>
      </c>
      <c r="M84" s="295">
        <f t="shared" si="72"/>
        <v>151.19999999999999</v>
      </c>
      <c r="N84" s="163">
        <f t="shared" si="73"/>
        <v>0.12</v>
      </c>
      <c r="P84" s="339">
        <f t="shared" si="74"/>
        <v>0</v>
      </c>
      <c r="Q84" s="295">
        <f t="shared" si="75"/>
        <v>0</v>
      </c>
      <c r="R84" s="163">
        <f t="shared" si="76"/>
        <v>0</v>
      </c>
      <c r="T84" s="621" t="s">
        <v>1153</v>
      </c>
    </row>
    <row r="85" spans="1:20" x14ac:dyDescent="0.2">
      <c r="A85" s="621">
        <f t="shared" si="67"/>
        <v>78</v>
      </c>
      <c r="B85" s="164" t="str">
        <f>'WP1 Light Inventory'!A81</f>
        <v>53E</v>
      </c>
      <c r="C85" s="164" t="str">
        <f>'WP1 Light Inventory'!C81</f>
        <v xml:space="preserve">Company Owned </v>
      </c>
      <c r="D85" s="327" t="str">
        <f>'WP1 Light Inventory'!D81</f>
        <v>Light Emitting Diode</v>
      </c>
      <c r="E85" s="165" t="str">
        <f>'WP1 Light Inventory'!E81</f>
        <v>LED 180.01-210</v>
      </c>
      <c r="F85" s="364">
        <f>'WP1 Light Inventory'!J81</f>
        <v>427</v>
      </c>
      <c r="G85" s="366">
        <f>'WP12 Condensed Sch. Level Costs'!O80</f>
        <v>68.25</v>
      </c>
      <c r="H85" s="339">
        <f t="shared" si="68"/>
        <v>1.98E-3</v>
      </c>
      <c r="I85" s="295">
        <f t="shared" si="69"/>
        <v>717.36000000000013</v>
      </c>
      <c r="J85" s="163">
        <f t="shared" si="70"/>
        <v>0.14000000000000001</v>
      </c>
      <c r="L85" s="339">
        <f t="shared" si="71"/>
        <v>2.0630000000000002E-3</v>
      </c>
      <c r="M85" s="295">
        <f t="shared" si="72"/>
        <v>717.36000000000013</v>
      </c>
      <c r="N85" s="163">
        <f t="shared" si="73"/>
        <v>0.14000000000000001</v>
      </c>
      <c r="P85" s="339">
        <f t="shared" si="74"/>
        <v>0</v>
      </c>
      <c r="Q85" s="295">
        <f t="shared" si="75"/>
        <v>0</v>
      </c>
      <c r="R85" s="163">
        <f t="shared" si="76"/>
        <v>0</v>
      </c>
      <c r="T85" s="621" t="s">
        <v>1153</v>
      </c>
    </row>
    <row r="86" spans="1:20" x14ac:dyDescent="0.2">
      <c r="A86" s="621">
        <f t="shared" si="67"/>
        <v>79</v>
      </c>
      <c r="B86" s="164" t="str">
        <f>'WP1 Light Inventory'!A82</f>
        <v>53E</v>
      </c>
      <c r="C86" s="164" t="str">
        <f>'WP1 Light Inventory'!C82</f>
        <v xml:space="preserve">Company Owned </v>
      </c>
      <c r="D86" s="327" t="str">
        <f>'WP1 Light Inventory'!D82</f>
        <v>Light Emitting Diode</v>
      </c>
      <c r="E86" s="165" t="str">
        <f>'WP1 Light Inventory'!E82</f>
        <v>LED 210.01-240</v>
      </c>
      <c r="F86" s="364">
        <f>'WP1 Light Inventory'!J82</f>
        <v>36</v>
      </c>
      <c r="G86" s="366">
        <f>'WP12 Condensed Sch. Level Costs'!O81</f>
        <v>78.75</v>
      </c>
      <c r="H86" s="339">
        <f t="shared" si="68"/>
        <v>1.98E-3</v>
      </c>
      <c r="I86" s="295">
        <f t="shared" si="69"/>
        <v>69.12</v>
      </c>
      <c r="J86" s="163">
        <f t="shared" si="70"/>
        <v>0.16</v>
      </c>
      <c r="L86" s="339">
        <f t="shared" si="71"/>
        <v>2.0630000000000002E-3</v>
      </c>
      <c r="M86" s="295">
        <f t="shared" si="72"/>
        <v>69.12</v>
      </c>
      <c r="N86" s="163">
        <f t="shared" si="73"/>
        <v>0.16</v>
      </c>
      <c r="P86" s="339">
        <f t="shared" si="74"/>
        <v>0</v>
      </c>
      <c r="Q86" s="295">
        <f t="shared" si="75"/>
        <v>0</v>
      </c>
      <c r="R86" s="163">
        <f t="shared" si="76"/>
        <v>0</v>
      </c>
      <c r="T86" s="621" t="s">
        <v>1153</v>
      </c>
    </row>
    <row r="87" spans="1:20" x14ac:dyDescent="0.2">
      <c r="A87" s="621">
        <f t="shared" si="67"/>
        <v>80</v>
      </c>
      <c r="B87" s="164" t="str">
        <f>'WP1 Light Inventory'!A83</f>
        <v>53E</v>
      </c>
      <c r="C87" s="164" t="str">
        <f>'WP1 Light Inventory'!C83</f>
        <v xml:space="preserve">Company Owned </v>
      </c>
      <c r="D87" s="327" t="str">
        <f>'WP1 Light Inventory'!D83</f>
        <v>Light Emitting Diode</v>
      </c>
      <c r="E87" s="165" t="str">
        <f>'WP1 Light Inventory'!E83</f>
        <v>LED 240.01-270</v>
      </c>
      <c r="F87" s="364">
        <f>'WP1 Light Inventory'!J83</f>
        <v>24</v>
      </c>
      <c r="G87" s="366">
        <f>'WP12 Condensed Sch. Level Costs'!O82</f>
        <v>89.25</v>
      </c>
      <c r="H87" s="339">
        <f t="shared" si="68"/>
        <v>1.98E-3</v>
      </c>
      <c r="I87" s="295">
        <f t="shared" si="69"/>
        <v>51.84</v>
      </c>
      <c r="J87" s="163">
        <f t="shared" si="70"/>
        <v>0.18</v>
      </c>
      <c r="L87" s="339">
        <f t="shared" si="71"/>
        <v>2.0630000000000002E-3</v>
      </c>
      <c r="M87" s="295">
        <f t="shared" si="72"/>
        <v>51.84</v>
      </c>
      <c r="N87" s="163">
        <f t="shared" si="73"/>
        <v>0.18</v>
      </c>
      <c r="P87" s="339">
        <f t="shared" si="74"/>
        <v>0</v>
      </c>
      <c r="Q87" s="295">
        <f t="shared" si="75"/>
        <v>0</v>
      </c>
      <c r="R87" s="163">
        <f t="shared" si="76"/>
        <v>0</v>
      </c>
      <c r="T87" s="621" t="s">
        <v>1153</v>
      </c>
    </row>
    <row r="88" spans="1:20" x14ac:dyDescent="0.2">
      <c r="A88" s="621">
        <f t="shared" si="67"/>
        <v>81</v>
      </c>
      <c r="B88" s="164" t="str">
        <f>'WP1 Light Inventory'!A84</f>
        <v>53E</v>
      </c>
      <c r="C88" s="164" t="str">
        <f>'WP1 Light Inventory'!C84</f>
        <v xml:space="preserve">Company Owned </v>
      </c>
      <c r="D88" s="327" t="str">
        <f>'WP1 Light Inventory'!D84</f>
        <v>Light Emitting Diode</v>
      </c>
      <c r="E88" s="165" t="str">
        <f>'WP1 Light Inventory'!E84</f>
        <v>LED 270.01-300</v>
      </c>
      <c r="F88" s="364">
        <f>'WP1 Light Inventory'!J84</f>
        <v>157</v>
      </c>
      <c r="G88" s="366">
        <f>'WP12 Condensed Sch. Level Costs'!O83</f>
        <v>99.75</v>
      </c>
      <c r="H88" s="339">
        <f t="shared" si="68"/>
        <v>1.98E-3</v>
      </c>
      <c r="I88" s="295">
        <f t="shared" si="69"/>
        <v>376.8</v>
      </c>
      <c r="J88" s="163">
        <f t="shared" si="70"/>
        <v>0.2</v>
      </c>
      <c r="L88" s="339">
        <f t="shared" si="71"/>
        <v>2.0630000000000002E-3</v>
      </c>
      <c r="M88" s="295">
        <f t="shared" si="72"/>
        <v>395.64</v>
      </c>
      <c r="N88" s="163">
        <f t="shared" si="73"/>
        <v>0.21</v>
      </c>
      <c r="P88" s="339">
        <f t="shared" si="74"/>
        <v>0</v>
      </c>
      <c r="Q88" s="295">
        <f t="shared" si="75"/>
        <v>0</v>
      </c>
      <c r="R88" s="163">
        <f t="shared" si="76"/>
        <v>0</v>
      </c>
      <c r="T88" s="621" t="s">
        <v>1153</v>
      </c>
    </row>
    <row r="89" spans="1:20" x14ac:dyDescent="0.2">
      <c r="A89" s="621">
        <f t="shared" si="67"/>
        <v>82</v>
      </c>
      <c r="B89" s="164"/>
      <c r="C89" s="164"/>
      <c r="D89" s="327"/>
      <c r="E89" s="165"/>
      <c r="F89" s="364"/>
      <c r="G89" s="399"/>
      <c r="H89" s="342"/>
      <c r="I89" s="295"/>
      <c r="L89" s="342"/>
      <c r="M89" s="295"/>
      <c r="P89" s="342"/>
      <c r="Q89" s="295"/>
    </row>
    <row r="90" spans="1:20" ht="9.75" customHeight="1" x14ac:dyDescent="0.2">
      <c r="A90" s="621">
        <f t="shared" si="67"/>
        <v>83</v>
      </c>
      <c r="B90" s="164" t="str">
        <f>'WP1 Light Inventory'!A86</f>
        <v>53E</v>
      </c>
      <c r="C90" s="164" t="str">
        <f>'WP1 Light Inventory'!C86</f>
        <v>SMART LIGHT</v>
      </c>
      <c r="D90" s="327" t="str">
        <f>'WP1 Light Inventory'!D86</f>
        <v>Light Emitting Diode</v>
      </c>
      <c r="E90" s="165" t="str">
        <f>'WP1 Light Inventory'!E86</f>
        <v>LED 0-030</v>
      </c>
      <c r="F90" s="364">
        <f>'WP1 Light Inventory'!J86</f>
        <v>0</v>
      </c>
      <c r="G90" s="366">
        <f>'WP12 Condensed Sch. Level Costs'!O85</f>
        <v>5.25</v>
      </c>
      <c r="H90" s="339">
        <f t="shared" ref="H90:H99" si="77">$Y$8</f>
        <v>1.98E-3</v>
      </c>
      <c r="I90" s="295"/>
      <c r="L90" s="339">
        <f t="shared" ref="L90:L127" si="78">$Y$9</f>
        <v>2.0630000000000002E-3</v>
      </c>
      <c r="M90" s="295"/>
      <c r="P90" s="339">
        <f t="shared" ref="P90:P127" si="79">$Y$10</f>
        <v>0</v>
      </c>
      <c r="Q90" s="295"/>
      <c r="S90" s="239"/>
      <c r="T90" s="621" t="s">
        <v>1153</v>
      </c>
    </row>
    <row r="91" spans="1:20" x14ac:dyDescent="0.2">
      <c r="A91" s="621">
        <f t="shared" si="67"/>
        <v>84</v>
      </c>
      <c r="B91" s="164" t="str">
        <f>'WP1 Light Inventory'!A87</f>
        <v>53E</v>
      </c>
      <c r="C91" s="164" t="str">
        <f>'WP1 Light Inventory'!C87</f>
        <v>SMART LIGHT</v>
      </c>
      <c r="D91" s="327" t="str">
        <f>'WP1 Light Inventory'!D87</f>
        <v>Light Emitting Diode</v>
      </c>
      <c r="E91" s="165" t="str">
        <f>'WP1 Light Inventory'!E87</f>
        <v>LED 030.01-060</v>
      </c>
      <c r="F91" s="364">
        <f>'WP1 Light Inventory'!J87</f>
        <v>0</v>
      </c>
      <c r="G91" s="366">
        <f>'WP12 Condensed Sch. Level Costs'!O86</f>
        <v>15.75</v>
      </c>
      <c r="H91" s="339">
        <f t="shared" si="77"/>
        <v>1.98E-3</v>
      </c>
      <c r="I91" s="295"/>
      <c r="L91" s="339">
        <f t="shared" si="78"/>
        <v>2.0630000000000002E-3</v>
      </c>
      <c r="M91" s="295"/>
      <c r="P91" s="339">
        <f t="shared" si="79"/>
        <v>0</v>
      </c>
      <c r="Q91" s="295"/>
      <c r="T91" s="621" t="s">
        <v>1153</v>
      </c>
    </row>
    <row r="92" spans="1:20" x14ac:dyDescent="0.2">
      <c r="A92" s="621">
        <f t="shared" si="67"/>
        <v>85</v>
      </c>
      <c r="B92" s="164" t="str">
        <f>'WP1 Light Inventory'!A88</f>
        <v>53E</v>
      </c>
      <c r="C92" s="164" t="str">
        <f>'WP1 Light Inventory'!C88</f>
        <v>SMART LIGHT</v>
      </c>
      <c r="D92" s="327" t="str">
        <f>'WP1 Light Inventory'!D88</f>
        <v>Light Emitting Diode</v>
      </c>
      <c r="E92" s="165" t="str">
        <f>'WP1 Light Inventory'!E88</f>
        <v>LED 060.01-090</v>
      </c>
      <c r="F92" s="364">
        <f>'WP1 Light Inventory'!J88</f>
        <v>0</v>
      </c>
      <c r="G92" s="366">
        <f>'WP12 Condensed Sch. Level Costs'!O87</f>
        <v>26.25</v>
      </c>
      <c r="H92" s="339">
        <f t="shared" si="77"/>
        <v>1.98E-3</v>
      </c>
      <c r="I92" s="295"/>
      <c r="L92" s="339">
        <f t="shared" si="78"/>
        <v>2.0630000000000002E-3</v>
      </c>
      <c r="M92" s="295"/>
      <c r="P92" s="339">
        <f t="shared" si="79"/>
        <v>0</v>
      </c>
      <c r="Q92" s="295"/>
      <c r="T92" s="621" t="s">
        <v>1153</v>
      </c>
    </row>
    <row r="93" spans="1:20" x14ac:dyDescent="0.2">
      <c r="A93" s="621">
        <f t="shared" si="67"/>
        <v>86</v>
      </c>
      <c r="B93" s="164" t="str">
        <f>'WP1 Light Inventory'!A89</f>
        <v>53E</v>
      </c>
      <c r="C93" s="164" t="str">
        <f>'WP1 Light Inventory'!C89</f>
        <v>SMART LIGHT</v>
      </c>
      <c r="D93" s="327" t="str">
        <f>'WP1 Light Inventory'!D89</f>
        <v>Light Emitting Diode</v>
      </c>
      <c r="E93" s="165" t="str">
        <f>'WP1 Light Inventory'!E89</f>
        <v>LED 090.01-120</v>
      </c>
      <c r="F93" s="364">
        <f>'WP1 Light Inventory'!J89</f>
        <v>0</v>
      </c>
      <c r="G93" s="366">
        <f>'WP12 Condensed Sch. Level Costs'!O88</f>
        <v>36.75</v>
      </c>
      <c r="H93" s="339">
        <f t="shared" si="77"/>
        <v>1.98E-3</v>
      </c>
      <c r="I93" s="295"/>
      <c r="L93" s="339">
        <f t="shared" si="78"/>
        <v>2.0630000000000002E-3</v>
      </c>
      <c r="M93" s="295"/>
      <c r="P93" s="339">
        <f t="shared" si="79"/>
        <v>0</v>
      </c>
      <c r="Q93" s="295"/>
      <c r="T93" s="621" t="s">
        <v>1153</v>
      </c>
    </row>
    <row r="94" spans="1:20" x14ac:dyDescent="0.2">
      <c r="A94" s="621">
        <f t="shared" si="67"/>
        <v>87</v>
      </c>
      <c r="B94" s="164" t="str">
        <f>'WP1 Light Inventory'!A90</f>
        <v>53E</v>
      </c>
      <c r="C94" s="164" t="str">
        <f>'WP1 Light Inventory'!C90</f>
        <v>SMART LIGHT</v>
      </c>
      <c r="D94" s="327" t="str">
        <f>'WP1 Light Inventory'!D90</f>
        <v>Light Emitting Diode</v>
      </c>
      <c r="E94" s="165" t="str">
        <f>'WP1 Light Inventory'!E90</f>
        <v>LED 120.01-150</v>
      </c>
      <c r="F94" s="364">
        <f>'WP1 Light Inventory'!J90</f>
        <v>0</v>
      </c>
      <c r="G94" s="366">
        <f>'WP12 Condensed Sch. Level Costs'!O89</f>
        <v>47.25</v>
      </c>
      <c r="H94" s="339">
        <f t="shared" si="77"/>
        <v>1.98E-3</v>
      </c>
      <c r="I94" s="295"/>
      <c r="L94" s="339">
        <f t="shared" si="78"/>
        <v>2.0630000000000002E-3</v>
      </c>
      <c r="M94" s="295"/>
      <c r="P94" s="339">
        <f t="shared" si="79"/>
        <v>0</v>
      </c>
      <c r="Q94" s="295"/>
      <c r="T94" s="621" t="s">
        <v>1153</v>
      </c>
    </row>
    <row r="95" spans="1:20" x14ac:dyDescent="0.2">
      <c r="A95" s="621">
        <f t="shared" si="67"/>
        <v>88</v>
      </c>
      <c r="B95" s="164" t="str">
        <f>'WP1 Light Inventory'!A91</f>
        <v>53E</v>
      </c>
      <c r="C95" s="164" t="str">
        <f>'WP1 Light Inventory'!C91</f>
        <v>SMART LIGHT</v>
      </c>
      <c r="D95" s="327" t="str">
        <f>'WP1 Light Inventory'!D91</f>
        <v>Light Emitting Diode</v>
      </c>
      <c r="E95" s="165" t="str">
        <f>'WP1 Light Inventory'!E91</f>
        <v>LED 150.01-180</v>
      </c>
      <c r="F95" s="364">
        <f>'WP1 Light Inventory'!J91</f>
        <v>0</v>
      </c>
      <c r="G95" s="366">
        <f>'WP12 Condensed Sch. Level Costs'!O90</f>
        <v>57.75</v>
      </c>
      <c r="H95" s="339">
        <f t="shared" si="77"/>
        <v>1.98E-3</v>
      </c>
      <c r="I95" s="295"/>
      <c r="L95" s="339">
        <f t="shared" si="78"/>
        <v>2.0630000000000002E-3</v>
      </c>
      <c r="M95" s="295"/>
      <c r="P95" s="339">
        <f t="shared" si="79"/>
        <v>0</v>
      </c>
      <c r="Q95" s="295"/>
      <c r="T95" s="621" t="s">
        <v>1153</v>
      </c>
    </row>
    <row r="96" spans="1:20" x14ac:dyDescent="0.2">
      <c r="A96" s="621">
        <f t="shared" si="67"/>
        <v>89</v>
      </c>
      <c r="B96" s="164" t="str">
        <f>'WP1 Light Inventory'!A92</f>
        <v>53E</v>
      </c>
      <c r="C96" s="164" t="str">
        <f>'WP1 Light Inventory'!C92</f>
        <v>SMART LIGHT</v>
      </c>
      <c r="D96" s="327" t="str">
        <f>'WP1 Light Inventory'!D92</f>
        <v>Light Emitting Diode</v>
      </c>
      <c r="E96" s="165" t="str">
        <f>'WP1 Light Inventory'!E92</f>
        <v>LED 180.01-210</v>
      </c>
      <c r="F96" s="364">
        <f>'WP1 Light Inventory'!J92</f>
        <v>0</v>
      </c>
      <c r="G96" s="366">
        <f>'WP12 Condensed Sch. Level Costs'!O91</f>
        <v>68.25</v>
      </c>
      <c r="H96" s="339">
        <f t="shared" si="77"/>
        <v>1.98E-3</v>
      </c>
      <c r="I96" s="295"/>
      <c r="L96" s="339">
        <f t="shared" si="78"/>
        <v>2.0630000000000002E-3</v>
      </c>
      <c r="M96" s="295"/>
      <c r="P96" s="339">
        <f t="shared" si="79"/>
        <v>0</v>
      </c>
      <c r="Q96" s="295"/>
      <c r="T96" s="621" t="s">
        <v>1153</v>
      </c>
    </row>
    <row r="97" spans="1:20" x14ac:dyDescent="0.2">
      <c r="A97" s="621">
        <f t="shared" si="67"/>
        <v>90</v>
      </c>
      <c r="B97" s="164" t="str">
        <f>'WP1 Light Inventory'!A93</f>
        <v>53E</v>
      </c>
      <c r="C97" s="164" t="str">
        <f>'WP1 Light Inventory'!C93</f>
        <v>SMART LIGHT</v>
      </c>
      <c r="D97" s="327" t="str">
        <f>'WP1 Light Inventory'!D93</f>
        <v>Light Emitting Diode</v>
      </c>
      <c r="E97" s="165" t="str">
        <f>'WP1 Light Inventory'!E93</f>
        <v>LED 210.01-240</v>
      </c>
      <c r="F97" s="364">
        <f>'WP1 Light Inventory'!J93</f>
        <v>0</v>
      </c>
      <c r="G97" s="366">
        <f>'WP12 Condensed Sch. Level Costs'!O92</f>
        <v>78.75</v>
      </c>
      <c r="H97" s="339">
        <f t="shared" si="77"/>
        <v>1.98E-3</v>
      </c>
      <c r="I97" s="295"/>
      <c r="L97" s="339">
        <f t="shared" si="78"/>
        <v>2.0630000000000002E-3</v>
      </c>
      <c r="M97" s="295"/>
      <c r="P97" s="339">
        <f t="shared" si="79"/>
        <v>0</v>
      </c>
      <c r="Q97" s="295"/>
      <c r="T97" s="621" t="s">
        <v>1153</v>
      </c>
    </row>
    <row r="98" spans="1:20" x14ac:dyDescent="0.2">
      <c r="A98" s="621">
        <f t="shared" si="67"/>
        <v>91</v>
      </c>
      <c r="B98" s="164" t="str">
        <f>'WP1 Light Inventory'!A94</f>
        <v>53E</v>
      </c>
      <c r="C98" s="164" t="str">
        <f>'WP1 Light Inventory'!C94</f>
        <v>SMART LIGHT</v>
      </c>
      <c r="D98" s="327" t="str">
        <f>'WP1 Light Inventory'!D94</f>
        <v>Light Emitting Diode</v>
      </c>
      <c r="E98" s="165" t="str">
        <f>'WP1 Light Inventory'!E94</f>
        <v>LED 240.01-270</v>
      </c>
      <c r="F98" s="364">
        <f>'WP1 Light Inventory'!J94</f>
        <v>0</v>
      </c>
      <c r="G98" s="366">
        <f>'WP12 Condensed Sch. Level Costs'!O93</f>
        <v>89.25</v>
      </c>
      <c r="H98" s="339">
        <f t="shared" si="77"/>
        <v>1.98E-3</v>
      </c>
      <c r="I98" s="295"/>
      <c r="L98" s="339">
        <f t="shared" si="78"/>
        <v>2.0630000000000002E-3</v>
      </c>
      <c r="M98" s="295"/>
      <c r="P98" s="339">
        <f t="shared" si="79"/>
        <v>0</v>
      </c>
      <c r="Q98" s="295"/>
      <c r="T98" s="621" t="s">
        <v>1153</v>
      </c>
    </row>
    <row r="99" spans="1:20" x14ac:dyDescent="0.2">
      <c r="A99" s="621">
        <f t="shared" si="67"/>
        <v>92</v>
      </c>
      <c r="B99" s="164" t="str">
        <f>'WP1 Light Inventory'!A95</f>
        <v>53E</v>
      </c>
      <c r="C99" s="164" t="str">
        <f>'WP1 Light Inventory'!C95</f>
        <v>SMART LIGHT</v>
      </c>
      <c r="D99" s="327" t="str">
        <f>'WP1 Light Inventory'!D95</f>
        <v>Light Emitting Diode</v>
      </c>
      <c r="E99" s="165" t="str">
        <f>'WP1 Light Inventory'!E95</f>
        <v>LED 270.01-300</v>
      </c>
      <c r="F99" s="364">
        <f>'WP1 Light Inventory'!J95</f>
        <v>0</v>
      </c>
      <c r="G99" s="366">
        <f>'WP12 Condensed Sch. Level Costs'!O94</f>
        <v>99.75</v>
      </c>
      <c r="H99" s="339">
        <f t="shared" si="77"/>
        <v>1.98E-3</v>
      </c>
      <c r="I99" s="295"/>
      <c r="L99" s="339">
        <f t="shared" si="78"/>
        <v>2.0630000000000002E-3</v>
      </c>
      <c r="M99" s="295"/>
      <c r="P99" s="339">
        <f t="shared" si="79"/>
        <v>0</v>
      </c>
      <c r="Q99" s="295"/>
      <c r="T99" s="621" t="s">
        <v>1153</v>
      </c>
    </row>
    <row r="100" spans="1:20" x14ac:dyDescent="0.2">
      <c r="A100" s="621">
        <f t="shared" si="67"/>
        <v>93</v>
      </c>
      <c r="B100" s="164"/>
      <c r="C100" s="164"/>
      <c r="D100" s="327"/>
      <c r="E100" s="165"/>
      <c r="F100" s="364"/>
      <c r="G100" s="399"/>
      <c r="H100" s="342"/>
      <c r="I100" s="295"/>
      <c r="L100" s="342"/>
      <c r="M100" s="295"/>
      <c r="P100" s="342"/>
      <c r="Q100" s="295"/>
    </row>
    <row r="101" spans="1:20" x14ac:dyDescent="0.2">
      <c r="A101" s="621">
        <f t="shared" si="67"/>
        <v>94</v>
      </c>
      <c r="B101" s="164" t="str">
        <f>'WP1 Light Inventory'!A97</f>
        <v>53E</v>
      </c>
      <c r="C101" s="164" t="str">
        <f>'WP1 Light Inventory'!C97</f>
        <v>Customer Owned</v>
      </c>
      <c r="D101" s="327" t="str">
        <f>'WP1 Light Inventory'!D97</f>
        <v>Sodium Vapor</v>
      </c>
      <c r="E101" s="165" t="str">
        <f>'WP1 Light Inventory'!E97</f>
        <v>SV 050</v>
      </c>
      <c r="F101" s="364">
        <f>'WP1 Light Inventory'!J97</f>
        <v>0</v>
      </c>
      <c r="G101" s="366">
        <f>'WP12 Condensed Sch. Level Costs'!O96</f>
        <v>17.5</v>
      </c>
      <c r="H101" s="339">
        <f t="shared" ref="H101:H109" si="80">$Y$8</f>
        <v>1.98E-3</v>
      </c>
      <c r="I101" s="295">
        <f t="shared" ref="I101:I109" si="81">+F101*J101*12</f>
        <v>0</v>
      </c>
      <c r="J101" s="163">
        <f t="shared" ref="J101:J109" si="82">ROUND(+H101*G101,2)</f>
        <v>0.03</v>
      </c>
      <c r="L101" s="339">
        <f t="shared" si="78"/>
        <v>2.0630000000000002E-3</v>
      </c>
      <c r="M101" s="295">
        <f t="shared" ref="M101:M109" si="83">+F101*N101*12</f>
        <v>0</v>
      </c>
      <c r="N101" s="163">
        <f t="shared" ref="N101:N109" si="84">ROUND(+L101*G101,2)</f>
        <v>0.04</v>
      </c>
      <c r="P101" s="339">
        <f t="shared" si="79"/>
        <v>0</v>
      </c>
      <c r="Q101" s="295">
        <f t="shared" ref="Q101:Q109" si="85">+F101*R101*12</f>
        <v>0</v>
      </c>
      <c r="R101" s="163">
        <f t="shared" ref="R101:R109" si="86">ROUND(+P101*G101,2)</f>
        <v>0</v>
      </c>
      <c r="T101" s="621" t="s">
        <v>1153</v>
      </c>
    </row>
    <row r="102" spans="1:20" x14ac:dyDescent="0.2">
      <c r="A102" s="621">
        <f t="shared" si="67"/>
        <v>95</v>
      </c>
      <c r="B102" s="164" t="str">
        <f>'WP1 Light Inventory'!A98</f>
        <v>53E</v>
      </c>
      <c r="C102" s="164" t="str">
        <f>'WP1 Light Inventory'!C98</f>
        <v>Customer Owned</v>
      </c>
      <c r="D102" s="327" t="str">
        <f>'WP1 Light Inventory'!D98</f>
        <v>Sodium Vapor</v>
      </c>
      <c r="E102" s="165" t="str">
        <f>'WP1 Light Inventory'!E98</f>
        <v>SV 070</v>
      </c>
      <c r="F102" s="364">
        <f>'WP1 Light Inventory'!J98</f>
        <v>52</v>
      </c>
      <c r="G102" s="366">
        <f>'WP12 Condensed Sch. Level Costs'!O97</f>
        <v>24.5</v>
      </c>
      <c r="H102" s="339">
        <f t="shared" si="80"/>
        <v>1.98E-3</v>
      </c>
      <c r="I102" s="295">
        <f t="shared" si="81"/>
        <v>31.200000000000003</v>
      </c>
      <c r="J102" s="163">
        <f t="shared" si="82"/>
        <v>0.05</v>
      </c>
      <c r="L102" s="339">
        <f t="shared" si="78"/>
        <v>2.0630000000000002E-3</v>
      </c>
      <c r="M102" s="295">
        <f t="shared" si="83"/>
        <v>31.200000000000003</v>
      </c>
      <c r="N102" s="163">
        <f t="shared" si="84"/>
        <v>0.05</v>
      </c>
      <c r="P102" s="339">
        <f t="shared" si="79"/>
        <v>0</v>
      </c>
      <c r="Q102" s="295">
        <f t="shared" si="85"/>
        <v>0</v>
      </c>
      <c r="R102" s="163">
        <f t="shared" si="86"/>
        <v>0</v>
      </c>
      <c r="T102" s="621" t="s">
        <v>1153</v>
      </c>
    </row>
    <row r="103" spans="1:20" x14ac:dyDescent="0.2">
      <c r="A103" s="621">
        <f t="shared" si="67"/>
        <v>96</v>
      </c>
      <c r="B103" s="164" t="str">
        <f>'WP1 Light Inventory'!A99</f>
        <v>53E</v>
      </c>
      <c r="C103" s="164" t="str">
        <f>'WP1 Light Inventory'!C99</f>
        <v>Customer Owned</v>
      </c>
      <c r="D103" s="327" t="str">
        <f>'WP1 Light Inventory'!D99</f>
        <v>Sodium Vapor</v>
      </c>
      <c r="E103" s="165" t="str">
        <f>'WP1 Light Inventory'!E99</f>
        <v>SV 100</v>
      </c>
      <c r="F103" s="364">
        <f>'WP1 Light Inventory'!J99</f>
        <v>204</v>
      </c>
      <c r="G103" s="366">
        <f>'WP12 Condensed Sch. Level Costs'!O98</f>
        <v>35</v>
      </c>
      <c r="H103" s="339">
        <f t="shared" si="80"/>
        <v>1.98E-3</v>
      </c>
      <c r="I103" s="295">
        <f t="shared" si="81"/>
        <v>171.36</v>
      </c>
      <c r="J103" s="163">
        <f t="shared" si="82"/>
        <v>7.0000000000000007E-2</v>
      </c>
      <c r="L103" s="339">
        <f t="shared" si="78"/>
        <v>2.0630000000000002E-3</v>
      </c>
      <c r="M103" s="295">
        <f t="shared" si="83"/>
        <v>171.36</v>
      </c>
      <c r="N103" s="163">
        <f t="shared" si="84"/>
        <v>7.0000000000000007E-2</v>
      </c>
      <c r="P103" s="339">
        <f t="shared" si="79"/>
        <v>0</v>
      </c>
      <c r="Q103" s="295">
        <f t="shared" si="85"/>
        <v>0</v>
      </c>
      <c r="R103" s="163">
        <f t="shared" si="86"/>
        <v>0</v>
      </c>
      <c r="T103" s="621" t="s">
        <v>1153</v>
      </c>
    </row>
    <row r="104" spans="1:20" x14ac:dyDescent="0.2">
      <c r="A104" s="621">
        <f t="shared" si="67"/>
        <v>97</v>
      </c>
      <c r="B104" s="164" t="str">
        <f>'WP1 Light Inventory'!A100</f>
        <v>53E</v>
      </c>
      <c r="C104" s="164" t="str">
        <f>'WP1 Light Inventory'!C100</f>
        <v>Customer Owned</v>
      </c>
      <c r="D104" s="327" t="str">
        <f>'WP1 Light Inventory'!D100</f>
        <v>Sodium Vapor</v>
      </c>
      <c r="E104" s="165" t="str">
        <f>'WP1 Light Inventory'!E100</f>
        <v>SV 150</v>
      </c>
      <c r="F104" s="364">
        <f>'WP1 Light Inventory'!J100</f>
        <v>96</v>
      </c>
      <c r="G104" s="366">
        <f>'WP12 Condensed Sch. Level Costs'!O99</f>
        <v>52.5</v>
      </c>
      <c r="H104" s="339">
        <f t="shared" si="80"/>
        <v>1.98E-3</v>
      </c>
      <c r="I104" s="295">
        <f t="shared" si="81"/>
        <v>115.20000000000002</v>
      </c>
      <c r="J104" s="163">
        <f t="shared" si="82"/>
        <v>0.1</v>
      </c>
      <c r="L104" s="339">
        <f t="shared" si="78"/>
        <v>2.0630000000000002E-3</v>
      </c>
      <c r="M104" s="295">
        <f t="shared" si="83"/>
        <v>126.72</v>
      </c>
      <c r="N104" s="163">
        <f t="shared" si="84"/>
        <v>0.11</v>
      </c>
      <c r="P104" s="339">
        <f t="shared" si="79"/>
        <v>0</v>
      </c>
      <c r="Q104" s="295">
        <f t="shared" si="85"/>
        <v>0</v>
      </c>
      <c r="R104" s="163">
        <f t="shared" si="86"/>
        <v>0</v>
      </c>
      <c r="T104" s="621" t="s">
        <v>1153</v>
      </c>
    </row>
    <row r="105" spans="1:20" x14ac:dyDescent="0.2">
      <c r="A105" s="621">
        <f t="shared" si="67"/>
        <v>98</v>
      </c>
      <c r="B105" s="164" t="str">
        <f>'WP1 Light Inventory'!A101</f>
        <v>53E</v>
      </c>
      <c r="C105" s="164" t="str">
        <f>'WP1 Light Inventory'!C101</f>
        <v>Customer Owned</v>
      </c>
      <c r="D105" s="327" t="str">
        <f>'WP1 Light Inventory'!D101</f>
        <v>Sodium Vapor</v>
      </c>
      <c r="E105" s="165" t="str">
        <f>'WP1 Light Inventory'!E101</f>
        <v>SV 200</v>
      </c>
      <c r="F105" s="364">
        <f>'WP1 Light Inventory'!J101</f>
        <v>372</v>
      </c>
      <c r="G105" s="366">
        <f>'WP12 Condensed Sch. Level Costs'!O100</f>
        <v>70</v>
      </c>
      <c r="H105" s="339">
        <f t="shared" si="80"/>
        <v>1.98E-3</v>
      </c>
      <c r="I105" s="295">
        <f t="shared" si="81"/>
        <v>624.96</v>
      </c>
      <c r="J105" s="163">
        <f t="shared" si="82"/>
        <v>0.14000000000000001</v>
      </c>
      <c r="L105" s="339">
        <f t="shared" si="78"/>
        <v>2.0630000000000002E-3</v>
      </c>
      <c r="M105" s="295">
        <f t="shared" si="83"/>
        <v>624.96</v>
      </c>
      <c r="N105" s="163">
        <f t="shared" si="84"/>
        <v>0.14000000000000001</v>
      </c>
      <c r="P105" s="339">
        <f t="shared" si="79"/>
        <v>0</v>
      </c>
      <c r="Q105" s="295">
        <f t="shared" si="85"/>
        <v>0</v>
      </c>
      <c r="R105" s="163">
        <f t="shared" si="86"/>
        <v>0</v>
      </c>
      <c r="T105" s="621" t="s">
        <v>1153</v>
      </c>
    </row>
    <row r="106" spans="1:20" x14ac:dyDescent="0.2">
      <c r="A106" s="621">
        <f t="shared" si="67"/>
        <v>99</v>
      </c>
      <c r="B106" s="164" t="str">
        <f>'WP1 Light Inventory'!A102</f>
        <v>53E</v>
      </c>
      <c r="C106" s="164" t="str">
        <f>'WP1 Light Inventory'!C102</f>
        <v>Customer Owned</v>
      </c>
      <c r="D106" s="327" t="str">
        <f>'WP1 Light Inventory'!D102</f>
        <v>Sodium Vapor</v>
      </c>
      <c r="E106" s="165" t="str">
        <f>'WP1 Light Inventory'!E102</f>
        <v>SV 250</v>
      </c>
      <c r="F106" s="364">
        <f>'WP1 Light Inventory'!J102</f>
        <v>246</v>
      </c>
      <c r="G106" s="366">
        <f>'WP12 Condensed Sch. Level Costs'!O101</f>
        <v>87.5</v>
      </c>
      <c r="H106" s="339">
        <f t="shared" si="80"/>
        <v>1.98E-3</v>
      </c>
      <c r="I106" s="295">
        <f t="shared" si="81"/>
        <v>501.84000000000003</v>
      </c>
      <c r="J106" s="163">
        <f t="shared" si="82"/>
        <v>0.17</v>
      </c>
      <c r="L106" s="339">
        <f t="shared" si="78"/>
        <v>2.0630000000000002E-3</v>
      </c>
      <c r="M106" s="295">
        <f t="shared" si="83"/>
        <v>531.36</v>
      </c>
      <c r="N106" s="163">
        <f t="shared" si="84"/>
        <v>0.18</v>
      </c>
      <c r="P106" s="339">
        <f t="shared" si="79"/>
        <v>0</v>
      </c>
      <c r="Q106" s="295">
        <f t="shared" si="85"/>
        <v>0</v>
      </c>
      <c r="R106" s="163">
        <f t="shared" si="86"/>
        <v>0</v>
      </c>
      <c r="T106" s="621" t="s">
        <v>1153</v>
      </c>
    </row>
    <row r="107" spans="1:20" x14ac:dyDescent="0.2">
      <c r="A107" s="621">
        <f t="shared" si="67"/>
        <v>100</v>
      </c>
      <c r="B107" s="164" t="str">
        <f>'WP1 Light Inventory'!A103</f>
        <v>53E</v>
      </c>
      <c r="C107" s="164" t="str">
        <f>'WP1 Light Inventory'!C103</f>
        <v>Customer Owned</v>
      </c>
      <c r="D107" s="327" t="str">
        <f>'WP1 Light Inventory'!D103</f>
        <v>Sodium Vapor</v>
      </c>
      <c r="E107" s="165" t="str">
        <f>'WP1 Light Inventory'!E103</f>
        <v>SV 310</v>
      </c>
      <c r="F107" s="364">
        <f>'WP1 Light Inventory'!J103</f>
        <v>7</v>
      </c>
      <c r="G107" s="366">
        <f>'WP12 Condensed Sch. Level Costs'!O102</f>
        <v>108.5</v>
      </c>
      <c r="H107" s="339">
        <f t="shared" si="80"/>
        <v>1.98E-3</v>
      </c>
      <c r="I107" s="295">
        <f t="shared" si="81"/>
        <v>17.64</v>
      </c>
      <c r="J107" s="163">
        <f t="shared" si="82"/>
        <v>0.21</v>
      </c>
      <c r="L107" s="339">
        <f t="shared" si="78"/>
        <v>2.0630000000000002E-3</v>
      </c>
      <c r="M107" s="295">
        <f t="shared" si="83"/>
        <v>18.48</v>
      </c>
      <c r="N107" s="163">
        <f t="shared" si="84"/>
        <v>0.22</v>
      </c>
      <c r="P107" s="339">
        <f t="shared" si="79"/>
        <v>0</v>
      </c>
      <c r="Q107" s="295">
        <f t="shared" si="85"/>
        <v>0</v>
      </c>
      <c r="R107" s="163">
        <f t="shared" si="86"/>
        <v>0</v>
      </c>
      <c r="T107" s="621" t="s">
        <v>1153</v>
      </c>
    </row>
    <row r="108" spans="1:20" x14ac:dyDescent="0.2">
      <c r="A108" s="621">
        <f t="shared" si="67"/>
        <v>101</v>
      </c>
      <c r="B108" s="164" t="str">
        <f>'WP1 Light Inventory'!A104</f>
        <v>53E</v>
      </c>
      <c r="C108" s="164" t="str">
        <f>'WP1 Light Inventory'!C104</f>
        <v>Customer Owned</v>
      </c>
      <c r="D108" s="327" t="str">
        <f>'WP1 Light Inventory'!D104</f>
        <v>Sodium Vapor</v>
      </c>
      <c r="E108" s="165" t="str">
        <f>'WP1 Light Inventory'!E104</f>
        <v>SV 400</v>
      </c>
      <c r="F108" s="364">
        <f>'WP1 Light Inventory'!J104</f>
        <v>398</v>
      </c>
      <c r="G108" s="366">
        <f>'WP12 Condensed Sch. Level Costs'!O103</f>
        <v>140</v>
      </c>
      <c r="H108" s="339">
        <f t="shared" si="80"/>
        <v>1.98E-3</v>
      </c>
      <c r="I108" s="295">
        <f t="shared" si="81"/>
        <v>1337.2800000000002</v>
      </c>
      <c r="J108" s="163">
        <f t="shared" si="82"/>
        <v>0.28000000000000003</v>
      </c>
      <c r="L108" s="339">
        <f t="shared" si="78"/>
        <v>2.0630000000000002E-3</v>
      </c>
      <c r="M108" s="295">
        <f t="shared" si="83"/>
        <v>1385.04</v>
      </c>
      <c r="N108" s="163">
        <f t="shared" si="84"/>
        <v>0.28999999999999998</v>
      </c>
      <c r="P108" s="339">
        <f t="shared" si="79"/>
        <v>0</v>
      </c>
      <c r="Q108" s="295">
        <f t="shared" si="85"/>
        <v>0</v>
      </c>
      <c r="R108" s="163">
        <f t="shared" si="86"/>
        <v>0</v>
      </c>
      <c r="T108" s="621" t="s">
        <v>1153</v>
      </c>
    </row>
    <row r="109" spans="1:20" x14ac:dyDescent="0.2">
      <c r="A109" s="621">
        <f t="shared" si="67"/>
        <v>102</v>
      </c>
      <c r="B109" s="164" t="str">
        <f>'WP1 Light Inventory'!A105</f>
        <v>53E</v>
      </c>
      <c r="C109" s="164" t="str">
        <f>'WP1 Light Inventory'!C105</f>
        <v>Customer Owned</v>
      </c>
      <c r="D109" s="327" t="str">
        <f>'WP1 Light Inventory'!D105</f>
        <v>Sodium Vapor</v>
      </c>
      <c r="E109" s="165" t="str">
        <f>'WP1 Light Inventory'!E105</f>
        <v>SV 1000</v>
      </c>
      <c r="F109" s="364">
        <f>'WP1 Light Inventory'!J105</f>
        <v>0</v>
      </c>
      <c r="G109" s="366">
        <f>'WP12 Condensed Sch. Level Costs'!O104</f>
        <v>350</v>
      </c>
      <c r="H109" s="339">
        <f t="shared" si="80"/>
        <v>1.98E-3</v>
      </c>
      <c r="I109" s="295">
        <f t="shared" si="81"/>
        <v>0</v>
      </c>
      <c r="J109" s="163">
        <f t="shared" si="82"/>
        <v>0.69</v>
      </c>
      <c r="L109" s="339">
        <f t="shared" si="78"/>
        <v>2.0630000000000002E-3</v>
      </c>
      <c r="M109" s="295">
        <f t="shared" si="83"/>
        <v>0</v>
      </c>
      <c r="N109" s="163">
        <f t="shared" si="84"/>
        <v>0.72</v>
      </c>
      <c r="P109" s="339">
        <f t="shared" si="79"/>
        <v>0</v>
      </c>
      <c r="Q109" s="295">
        <f t="shared" si="85"/>
        <v>0</v>
      </c>
      <c r="R109" s="163">
        <f t="shared" si="86"/>
        <v>0</v>
      </c>
      <c r="T109" s="621" t="s">
        <v>1153</v>
      </c>
    </row>
    <row r="110" spans="1:20" x14ac:dyDescent="0.2">
      <c r="A110" s="621">
        <f t="shared" si="67"/>
        <v>103</v>
      </c>
      <c r="B110" s="164"/>
      <c r="C110" s="164"/>
      <c r="D110" s="327"/>
      <c r="E110" s="165"/>
      <c r="F110" s="364"/>
      <c r="G110" s="399"/>
      <c r="H110" s="342"/>
      <c r="I110" s="295"/>
      <c r="L110" s="342"/>
      <c r="M110" s="295"/>
      <c r="P110" s="342"/>
      <c r="Q110" s="295"/>
    </row>
    <row r="111" spans="1:20" x14ac:dyDescent="0.2">
      <c r="A111" s="621">
        <f t="shared" si="67"/>
        <v>104</v>
      </c>
      <c r="B111" s="164" t="str">
        <f>'WP1 Light Inventory'!A107</f>
        <v>53E</v>
      </c>
      <c r="C111" s="164" t="str">
        <f>'WP1 Light Inventory'!C107</f>
        <v>Customer Owned</v>
      </c>
      <c r="D111" s="327" t="str">
        <f>'WP1 Light Inventory'!D107</f>
        <v>Metal Halide</v>
      </c>
      <c r="E111" s="165" t="str">
        <f>'WP1 Light Inventory'!E107</f>
        <v>MH 70</v>
      </c>
      <c r="F111" s="364">
        <f>'WP1 Light Inventory'!J107</f>
        <v>0</v>
      </c>
      <c r="G111" s="366">
        <f>'WP12 Condensed Sch. Level Costs'!O106</f>
        <v>24.5</v>
      </c>
      <c r="H111" s="339">
        <f t="shared" ref="H111:H116" si="87">$Y$8</f>
        <v>1.98E-3</v>
      </c>
      <c r="I111" s="295">
        <f t="shared" ref="I111:I116" si="88">+F111*J111*12</f>
        <v>0</v>
      </c>
      <c r="J111" s="163">
        <f t="shared" ref="J111:J116" si="89">ROUND(+H111*G111,2)</f>
        <v>0.05</v>
      </c>
      <c r="L111" s="339">
        <f t="shared" si="78"/>
        <v>2.0630000000000002E-3</v>
      </c>
      <c r="M111" s="295">
        <f t="shared" ref="M111:M116" si="90">+F111*N111*12</f>
        <v>0</v>
      </c>
      <c r="N111" s="163">
        <f t="shared" ref="N111:N116" si="91">ROUND(+L111*G111,2)</f>
        <v>0.05</v>
      </c>
      <c r="P111" s="339">
        <f t="shared" si="79"/>
        <v>0</v>
      </c>
      <c r="Q111" s="295">
        <f t="shared" ref="Q111:Q116" si="92">+F111*R111*12</f>
        <v>0</v>
      </c>
      <c r="R111" s="163">
        <f t="shared" ref="R111:R116" si="93">ROUND(+P111*G111,2)</f>
        <v>0</v>
      </c>
      <c r="T111" s="621" t="s">
        <v>1153</v>
      </c>
    </row>
    <row r="112" spans="1:20" x14ac:dyDescent="0.2">
      <c r="A112" s="621">
        <f t="shared" si="67"/>
        <v>105</v>
      </c>
      <c r="B112" s="164" t="str">
        <f>'WP1 Light Inventory'!A108</f>
        <v>53E</v>
      </c>
      <c r="C112" s="164" t="str">
        <f>'WP1 Light Inventory'!C108</f>
        <v>Customer Owned</v>
      </c>
      <c r="D112" s="327" t="str">
        <f>'WP1 Light Inventory'!D108</f>
        <v>Metal Halide</v>
      </c>
      <c r="E112" s="165" t="str">
        <f>'WP1 Light Inventory'!E108</f>
        <v>MH 100</v>
      </c>
      <c r="F112" s="364">
        <f>'WP1 Light Inventory'!J108</f>
        <v>0</v>
      </c>
      <c r="G112" s="366">
        <f>'WP12 Condensed Sch. Level Costs'!O107</f>
        <v>35</v>
      </c>
      <c r="H112" s="339">
        <f t="shared" si="87"/>
        <v>1.98E-3</v>
      </c>
      <c r="I112" s="295">
        <f t="shared" si="88"/>
        <v>0</v>
      </c>
      <c r="J112" s="163">
        <f t="shared" si="89"/>
        <v>7.0000000000000007E-2</v>
      </c>
      <c r="L112" s="339">
        <f t="shared" si="78"/>
        <v>2.0630000000000002E-3</v>
      </c>
      <c r="M112" s="295">
        <f t="shared" si="90"/>
        <v>0</v>
      </c>
      <c r="N112" s="163">
        <f t="shared" si="91"/>
        <v>7.0000000000000007E-2</v>
      </c>
      <c r="P112" s="339">
        <f t="shared" si="79"/>
        <v>0</v>
      </c>
      <c r="Q112" s="295">
        <f t="shared" si="92"/>
        <v>0</v>
      </c>
      <c r="R112" s="163">
        <f t="shared" si="93"/>
        <v>0</v>
      </c>
      <c r="T112" s="621" t="s">
        <v>1153</v>
      </c>
    </row>
    <row r="113" spans="1:20" x14ac:dyDescent="0.2">
      <c r="A113" s="621">
        <f t="shared" si="67"/>
        <v>106</v>
      </c>
      <c r="B113" s="164" t="str">
        <f>'WP1 Light Inventory'!A109</f>
        <v>53E</v>
      </c>
      <c r="C113" s="164" t="str">
        <f>'WP1 Light Inventory'!C109</f>
        <v>Customer Owned</v>
      </c>
      <c r="D113" s="327" t="str">
        <f>'WP1 Light Inventory'!D109</f>
        <v>Metal Halide</v>
      </c>
      <c r="E113" s="165" t="str">
        <f>'WP1 Light Inventory'!E109</f>
        <v>MH 150</v>
      </c>
      <c r="F113" s="364">
        <f>'WP1 Light Inventory'!J109</f>
        <v>0</v>
      </c>
      <c r="G113" s="366">
        <f>'WP12 Condensed Sch. Level Costs'!O108</f>
        <v>52.5</v>
      </c>
      <c r="H113" s="339">
        <f t="shared" si="87"/>
        <v>1.98E-3</v>
      </c>
      <c r="I113" s="295">
        <f t="shared" si="88"/>
        <v>0</v>
      </c>
      <c r="J113" s="163">
        <f t="shared" si="89"/>
        <v>0.1</v>
      </c>
      <c r="L113" s="339">
        <f t="shared" si="78"/>
        <v>2.0630000000000002E-3</v>
      </c>
      <c r="M113" s="295">
        <f t="shared" si="90"/>
        <v>0</v>
      </c>
      <c r="N113" s="163">
        <f t="shared" si="91"/>
        <v>0.11</v>
      </c>
      <c r="P113" s="339">
        <f t="shared" si="79"/>
        <v>0</v>
      </c>
      <c r="Q113" s="295">
        <f t="shared" si="92"/>
        <v>0</v>
      </c>
      <c r="R113" s="163">
        <f t="shared" si="93"/>
        <v>0</v>
      </c>
      <c r="T113" s="621" t="s">
        <v>1153</v>
      </c>
    </row>
    <row r="114" spans="1:20" x14ac:dyDescent="0.2">
      <c r="A114" s="621">
        <f t="shared" si="67"/>
        <v>107</v>
      </c>
      <c r="B114" s="164" t="str">
        <f>'WP1 Light Inventory'!A110</f>
        <v>53E</v>
      </c>
      <c r="C114" s="164" t="str">
        <f>'WP1 Light Inventory'!C110</f>
        <v>Customer Owned</v>
      </c>
      <c r="D114" s="327" t="str">
        <f>'WP1 Light Inventory'!D110</f>
        <v>Metal Halide</v>
      </c>
      <c r="E114" s="165" t="str">
        <f>'WP1 Light Inventory'!E110</f>
        <v>MH 175</v>
      </c>
      <c r="F114" s="364">
        <f>'WP1 Light Inventory'!J110</f>
        <v>4</v>
      </c>
      <c r="G114" s="366">
        <f>'WP12 Condensed Sch. Level Costs'!O109</f>
        <v>61.25</v>
      </c>
      <c r="H114" s="339">
        <f t="shared" si="87"/>
        <v>1.98E-3</v>
      </c>
      <c r="I114" s="295">
        <f t="shared" si="88"/>
        <v>5.76</v>
      </c>
      <c r="J114" s="163">
        <f t="shared" si="89"/>
        <v>0.12</v>
      </c>
      <c r="L114" s="339">
        <f t="shared" si="78"/>
        <v>2.0630000000000002E-3</v>
      </c>
      <c r="M114" s="295">
        <f t="shared" si="90"/>
        <v>6.24</v>
      </c>
      <c r="N114" s="163">
        <f t="shared" si="91"/>
        <v>0.13</v>
      </c>
      <c r="P114" s="339">
        <f t="shared" si="79"/>
        <v>0</v>
      </c>
      <c r="Q114" s="295">
        <f t="shared" si="92"/>
        <v>0</v>
      </c>
      <c r="R114" s="163">
        <f t="shared" si="93"/>
        <v>0</v>
      </c>
      <c r="T114" s="621" t="s">
        <v>1153</v>
      </c>
    </row>
    <row r="115" spans="1:20" x14ac:dyDescent="0.2">
      <c r="A115" s="621">
        <f t="shared" si="67"/>
        <v>108</v>
      </c>
      <c r="B115" s="164" t="str">
        <f>'WP1 Light Inventory'!A111</f>
        <v>53E</v>
      </c>
      <c r="C115" s="164" t="str">
        <f>'WP1 Light Inventory'!C111</f>
        <v>Customer Owned</v>
      </c>
      <c r="D115" s="327" t="str">
        <f>'WP1 Light Inventory'!D111</f>
        <v>Metal Halide</v>
      </c>
      <c r="E115" s="165" t="str">
        <f>'WP1 Light Inventory'!E111</f>
        <v>MH 250</v>
      </c>
      <c r="F115" s="364">
        <f>'WP1 Light Inventory'!J111</f>
        <v>0</v>
      </c>
      <c r="G115" s="366">
        <f>'WP12 Condensed Sch. Level Costs'!O110</f>
        <v>87.5</v>
      </c>
      <c r="H115" s="339">
        <f t="shared" si="87"/>
        <v>1.98E-3</v>
      </c>
      <c r="I115" s="295">
        <f t="shared" si="88"/>
        <v>0</v>
      </c>
      <c r="J115" s="163">
        <f t="shared" si="89"/>
        <v>0.17</v>
      </c>
      <c r="L115" s="339">
        <f t="shared" si="78"/>
        <v>2.0630000000000002E-3</v>
      </c>
      <c r="M115" s="295">
        <f t="shared" si="90"/>
        <v>0</v>
      </c>
      <c r="N115" s="163">
        <f t="shared" si="91"/>
        <v>0.18</v>
      </c>
      <c r="P115" s="339">
        <f t="shared" si="79"/>
        <v>0</v>
      </c>
      <c r="Q115" s="295">
        <f t="shared" si="92"/>
        <v>0</v>
      </c>
      <c r="R115" s="163">
        <f t="shared" si="93"/>
        <v>0</v>
      </c>
      <c r="T115" s="621" t="s">
        <v>1153</v>
      </c>
    </row>
    <row r="116" spans="1:20" x14ac:dyDescent="0.2">
      <c r="A116" s="621">
        <f t="shared" si="67"/>
        <v>109</v>
      </c>
      <c r="B116" s="164" t="str">
        <f>'WP1 Light Inventory'!A112</f>
        <v>53E</v>
      </c>
      <c r="C116" s="164" t="str">
        <f>'WP1 Light Inventory'!C112</f>
        <v>Customer Owned</v>
      </c>
      <c r="D116" s="327" t="str">
        <f>'WP1 Light Inventory'!D112</f>
        <v>Metal Halide</v>
      </c>
      <c r="E116" s="165" t="str">
        <f>'WP1 Light Inventory'!E112</f>
        <v>MH 400</v>
      </c>
      <c r="F116" s="364">
        <f>'WP1 Light Inventory'!J112</f>
        <v>0</v>
      </c>
      <c r="G116" s="366">
        <f>'WP12 Condensed Sch. Level Costs'!O111</f>
        <v>140</v>
      </c>
      <c r="H116" s="339">
        <f t="shared" si="87"/>
        <v>1.98E-3</v>
      </c>
      <c r="I116" s="295">
        <f t="shared" si="88"/>
        <v>0</v>
      </c>
      <c r="J116" s="163">
        <f t="shared" si="89"/>
        <v>0.28000000000000003</v>
      </c>
      <c r="L116" s="339">
        <f t="shared" si="78"/>
        <v>2.0630000000000002E-3</v>
      </c>
      <c r="M116" s="295">
        <f t="shared" si="90"/>
        <v>0</v>
      </c>
      <c r="N116" s="163">
        <f t="shared" si="91"/>
        <v>0.28999999999999998</v>
      </c>
      <c r="P116" s="339">
        <f t="shared" si="79"/>
        <v>0</v>
      </c>
      <c r="Q116" s="295">
        <f t="shared" si="92"/>
        <v>0</v>
      </c>
      <c r="R116" s="163">
        <f t="shared" si="93"/>
        <v>0</v>
      </c>
      <c r="T116" s="621" t="s">
        <v>1153</v>
      </c>
    </row>
    <row r="117" spans="1:20" x14ac:dyDescent="0.2">
      <c r="A117" s="621">
        <f t="shared" si="67"/>
        <v>110</v>
      </c>
      <c r="B117" s="164"/>
      <c r="C117" s="164"/>
      <c r="D117" s="327"/>
      <c r="E117" s="165"/>
      <c r="F117" s="364"/>
      <c r="G117" s="399"/>
      <c r="H117" s="342"/>
      <c r="I117" s="295"/>
      <c r="L117" s="342"/>
      <c r="M117" s="295"/>
      <c r="P117" s="342"/>
      <c r="Q117" s="295"/>
    </row>
    <row r="118" spans="1:20" ht="13.5" customHeight="1" x14ac:dyDescent="0.2">
      <c r="A118" s="621">
        <f t="shared" si="67"/>
        <v>111</v>
      </c>
      <c r="B118" s="164" t="str">
        <f>'WP1 Light Inventory'!A114</f>
        <v>53E</v>
      </c>
      <c r="C118" s="164" t="str">
        <f>'WP1 Light Inventory'!C114</f>
        <v>Customer Owned</v>
      </c>
      <c r="D118" s="327" t="str">
        <f>'WP1 Light Inventory'!D114</f>
        <v>Light Emitting Diode</v>
      </c>
      <c r="E118" s="165" t="str">
        <f>'WP1 Light Inventory'!E114</f>
        <v>LED 0-030</v>
      </c>
      <c r="F118" s="364">
        <f>'WP1 Light Inventory'!J114</f>
        <v>0</v>
      </c>
      <c r="G118" s="366">
        <f>'WP12 Condensed Sch. Level Costs'!O113</f>
        <v>5.25</v>
      </c>
      <c r="H118" s="339">
        <f t="shared" ref="H118:H127" si="94">$Y$8</f>
        <v>1.98E-3</v>
      </c>
      <c r="I118" s="295">
        <f t="shared" ref="I118:I127" si="95">+F118*J118*12</f>
        <v>0</v>
      </c>
      <c r="J118" s="163">
        <f t="shared" ref="J118:J127" si="96">ROUND(+H118*G118,2)</f>
        <v>0.01</v>
      </c>
      <c r="L118" s="339">
        <f t="shared" si="78"/>
        <v>2.0630000000000002E-3</v>
      </c>
      <c r="M118" s="295">
        <f t="shared" ref="M118:M127" si="97">+F118*N118*12</f>
        <v>0</v>
      </c>
      <c r="N118" s="163">
        <f t="shared" ref="N118:N127" si="98">ROUND(+L118*G118,2)</f>
        <v>0.01</v>
      </c>
      <c r="P118" s="339">
        <f t="shared" si="79"/>
        <v>0</v>
      </c>
      <c r="Q118" s="295">
        <f t="shared" ref="Q118:Q127" si="99">+F118*R118*12</f>
        <v>0</v>
      </c>
      <c r="R118" s="163">
        <f t="shared" ref="R118:R127" si="100">ROUND(+P118*G118,2)</f>
        <v>0</v>
      </c>
      <c r="T118" s="621" t="s">
        <v>1153</v>
      </c>
    </row>
    <row r="119" spans="1:20" x14ac:dyDescent="0.2">
      <c r="A119" s="621">
        <f t="shared" si="67"/>
        <v>112</v>
      </c>
      <c r="B119" s="164" t="str">
        <f>'WP1 Light Inventory'!A115</f>
        <v>53E</v>
      </c>
      <c r="C119" s="164" t="str">
        <f>'WP1 Light Inventory'!C115</f>
        <v>Customer Owned</v>
      </c>
      <c r="D119" s="327" t="str">
        <f>'WP1 Light Inventory'!D115</f>
        <v>Light Emitting Diode</v>
      </c>
      <c r="E119" s="165" t="str">
        <f>'WP1 Light Inventory'!E115</f>
        <v>LED 030.01-060</v>
      </c>
      <c r="F119" s="364">
        <f>'WP1 Light Inventory'!J115</f>
        <v>656</v>
      </c>
      <c r="G119" s="366">
        <f>'WP12 Condensed Sch. Level Costs'!O114</f>
        <v>15.75</v>
      </c>
      <c r="H119" s="339">
        <f t="shared" si="94"/>
        <v>1.98E-3</v>
      </c>
      <c r="I119" s="295">
        <f t="shared" si="95"/>
        <v>236.16</v>
      </c>
      <c r="J119" s="163">
        <f t="shared" si="96"/>
        <v>0.03</v>
      </c>
      <c r="L119" s="339">
        <f t="shared" si="78"/>
        <v>2.0630000000000002E-3</v>
      </c>
      <c r="M119" s="295">
        <f t="shared" si="97"/>
        <v>236.16</v>
      </c>
      <c r="N119" s="163">
        <f t="shared" si="98"/>
        <v>0.03</v>
      </c>
      <c r="P119" s="339">
        <f t="shared" si="79"/>
        <v>0</v>
      </c>
      <c r="Q119" s="295">
        <f t="shared" si="99"/>
        <v>0</v>
      </c>
      <c r="R119" s="163">
        <f t="shared" si="100"/>
        <v>0</v>
      </c>
      <c r="T119" s="621" t="s">
        <v>1153</v>
      </c>
    </row>
    <row r="120" spans="1:20" x14ac:dyDescent="0.2">
      <c r="A120" s="621">
        <f t="shared" si="67"/>
        <v>113</v>
      </c>
      <c r="B120" s="164" t="str">
        <f>'WP1 Light Inventory'!A116</f>
        <v>53E</v>
      </c>
      <c r="C120" s="164" t="str">
        <f>'WP1 Light Inventory'!C116</f>
        <v>Customer Owned</v>
      </c>
      <c r="D120" s="327" t="str">
        <f>'WP1 Light Inventory'!D116</f>
        <v>Light Emitting Diode</v>
      </c>
      <c r="E120" s="165" t="str">
        <f>'WP1 Light Inventory'!E116</f>
        <v>LED 060.01-090</v>
      </c>
      <c r="F120" s="364">
        <f>'WP1 Light Inventory'!J116</f>
        <v>634</v>
      </c>
      <c r="G120" s="366">
        <f>'WP12 Condensed Sch. Level Costs'!O115</f>
        <v>26.25</v>
      </c>
      <c r="H120" s="339">
        <f t="shared" si="94"/>
        <v>1.98E-3</v>
      </c>
      <c r="I120" s="295">
        <f t="shared" si="95"/>
        <v>380.40000000000003</v>
      </c>
      <c r="J120" s="163">
        <f t="shared" si="96"/>
        <v>0.05</v>
      </c>
      <c r="L120" s="339">
        <f t="shared" si="78"/>
        <v>2.0630000000000002E-3</v>
      </c>
      <c r="M120" s="295">
        <f t="shared" si="97"/>
        <v>380.40000000000003</v>
      </c>
      <c r="N120" s="163">
        <f t="shared" si="98"/>
        <v>0.05</v>
      </c>
      <c r="P120" s="339">
        <f t="shared" si="79"/>
        <v>0</v>
      </c>
      <c r="Q120" s="295">
        <f t="shared" si="99"/>
        <v>0</v>
      </c>
      <c r="R120" s="163">
        <f t="shared" si="100"/>
        <v>0</v>
      </c>
      <c r="T120" s="621" t="s">
        <v>1153</v>
      </c>
    </row>
    <row r="121" spans="1:20" x14ac:dyDescent="0.2">
      <c r="A121" s="621">
        <f t="shared" si="67"/>
        <v>114</v>
      </c>
      <c r="B121" s="164" t="str">
        <f>'WP1 Light Inventory'!A117</f>
        <v>53E</v>
      </c>
      <c r="C121" s="164" t="str">
        <f>'WP1 Light Inventory'!C117</f>
        <v>Customer Owned</v>
      </c>
      <c r="D121" s="327" t="str">
        <f>'WP1 Light Inventory'!D117</f>
        <v>Light Emitting Diode</v>
      </c>
      <c r="E121" s="165" t="str">
        <f>'WP1 Light Inventory'!E117</f>
        <v>LED 090.01-120</v>
      </c>
      <c r="F121" s="364">
        <f>'WP1 Light Inventory'!J117</f>
        <v>869</v>
      </c>
      <c r="G121" s="366">
        <f>'WP12 Condensed Sch. Level Costs'!O116</f>
        <v>36.75</v>
      </c>
      <c r="H121" s="339">
        <f t="shared" si="94"/>
        <v>1.98E-3</v>
      </c>
      <c r="I121" s="295">
        <f t="shared" si="95"/>
        <v>729.96</v>
      </c>
      <c r="J121" s="163">
        <f t="shared" si="96"/>
        <v>7.0000000000000007E-2</v>
      </c>
      <c r="L121" s="339">
        <f t="shared" si="78"/>
        <v>2.0630000000000002E-3</v>
      </c>
      <c r="M121" s="295">
        <f t="shared" si="97"/>
        <v>834.24</v>
      </c>
      <c r="N121" s="163">
        <f t="shared" si="98"/>
        <v>0.08</v>
      </c>
      <c r="P121" s="339">
        <f t="shared" si="79"/>
        <v>0</v>
      </c>
      <c r="Q121" s="295">
        <f t="shared" si="99"/>
        <v>0</v>
      </c>
      <c r="R121" s="163">
        <f t="shared" si="100"/>
        <v>0</v>
      </c>
      <c r="T121" s="621" t="s">
        <v>1153</v>
      </c>
    </row>
    <row r="122" spans="1:20" x14ac:dyDescent="0.2">
      <c r="A122" s="621">
        <f t="shared" si="67"/>
        <v>115</v>
      </c>
      <c r="B122" s="164" t="str">
        <f>'WP1 Light Inventory'!A118</f>
        <v>53E</v>
      </c>
      <c r="C122" s="164" t="str">
        <f>'WP1 Light Inventory'!C118</f>
        <v>Customer Owned</v>
      </c>
      <c r="D122" s="327" t="str">
        <f>'WP1 Light Inventory'!D118</f>
        <v>Light Emitting Diode</v>
      </c>
      <c r="E122" s="165" t="str">
        <f>'WP1 Light Inventory'!E118</f>
        <v>LED 120.01-150</v>
      </c>
      <c r="F122" s="364">
        <f>'WP1 Light Inventory'!J118</f>
        <v>101</v>
      </c>
      <c r="G122" s="366">
        <f>'WP12 Condensed Sch. Level Costs'!O117</f>
        <v>47.25</v>
      </c>
      <c r="H122" s="339">
        <f t="shared" si="94"/>
        <v>1.98E-3</v>
      </c>
      <c r="I122" s="295">
        <f t="shared" si="95"/>
        <v>109.08</v>
      </c>
      <c r="J122" s="163">
        <f t="shared" si="96"/>
        <v>0.09</v>
      </c>
      <c r="L122" s="339">
        <f t="shared" si="78"/>
        <v>2.0630000000000002E-3</v>
      </c>
      <c r="M122" s="295">
        <f t="shared" si="97"/>
        <v>121.20000000000002</v>
      </c>
      <c r="N122" s="163">
        <f t="shared" si="98"/>
        <v>0.1</v>
      </c>
      <c r="P122" s="339">
        <f t="shared" si="79"/>
        <v>0</v>
      </c>
      <c r="Q122" s="295">
        <f t="shared" si="99"/>
        <v>0</v>
      </c>
      <c r="R122" s="163">
        <f t="shared" si="100"/>
        <v>0</v>
      </c>
      <c r="T122" s="621" t="s">
        <v>1153</v>
      </c>
    </row>
    <row r="123" spans="1:20" x14ac:dyDescent="0.2">
      <c r="A123" s="621">
        <f t="shared" si="67"/>
        <v>116</v>
      </c>
      <c r="B123" s="164" t="str">
        <f>'WP1 Light Inventory'!A119</f>
        <v>53E</v>
      </c>
      <c r="C123" s="164" t="str">
        <f>'WP1 Light Inventory'!C119</f>
        <v>Customer Owned</v>
      </c>
      <c r="D123" s="327" t="str">
        <f>'WP1 Light Inventory'!D119</f>
        <v>Light Emitting Diode</v>
      </c>
      <c r="E123" s="165" t="str">
        <f>'WP1 Light Inventory'!E119</f>
        <v>LED 150.01-180</v>
      </c>
      <c r="F123" s="364">
        <f>'WP1 Light Inventory'!J119</f>
        <v>1330</v>
      </c>
      <c r="G123" s="366">
        <f>'WP12 Condensed Sch. Level Costs'!O118</f>
        <v>57.75</v>
      </c>
      <c r="H123" s="339">
        <f t="shared" si="94"/>
        <v>1.98E-3</v>
      </c>
      <c r="I123" s="295">
        <f t="shared" si="95"/>
        <v>1755.6000000000001</v>
      </c>
      <c r="J123" s="163">
        <f t="shared" si="96"/>
        <v>0.11</v>
      </c>
      <c r="L123" s="339">
        <f t="shared" si="78"/>
        <v>2.0630000000000002E-3</v>
      </c>
      <c r="M123" s="295">
        <f t="shared" si="97"/>
        <v>1915.1999999999998</v>
      </c>
      <c r="N123" s="163">
        <f t="shared" si="98"/>
        <v>0.12</v>
      </c>
      <c r="P123" s="339">
        <f t="shared" si="79"/>
        <v>0</v>
      </c>
      <c r="Q123" s="295">
        <f t="shared" si="99"/>
        <v>0</v>
      </c>
      <c r="R123" s="163">
        <f t="shared" si="100"/>
        <v>0</v>
      </c>
      <c r="T123" s="621" t="s">
        <v>1153</v>
      </c>
    </row>
    <row r="124" spans="1:20" x14ac:dyDescent="0.2">
      <c r="A124" s="621">
        <f t="shared" si="67"/>
        <v>117</v>
      </c>
      <c r="B124" s="164" t="str">
        <f>'WP1 Light Inventory'!A120</f>
        <v>53E</v>
      </c>
      <c r="C124" s="164" t="str">
        <f>'WP1 Light Inventory'!C120</f>
        <v>Customer Owned</v>
      </c>
      <c r="D124" s="327" t="str">
        <f>'WP1 Light Inventory'!D120</f>
        <v>Light Emitting Diode</v>
      </c>
      <c r="E124" s="165" t="str">
        <f>'WP1 Light Inventory'!E120</f>
        <v>LED 180.01-210</v>
      </c>
      <c r="F124" s="364">
        <f>'WP1 Light Inventory'!J120</f>
        <v>106</v>
      </c>
      <c r="G124" s="366">
        <f>'WP12 Condensed Sch. Level Costs'!O119</f>
        <v>68.25</v>
      </c>
      <c r="H124" s="339">
        <f t="shared" si="94"/>
        <v>1.98E-3</v>
      </c>
      <c r="I124" s="295">
        <f t="shared" si="95"/>
        <v>178.08</v>
      </c>
      <c r="J124" s="163">
        <f t="shared" si="96"/>
        <v>0.14000000000000001</v>
      </c>
      <c r="L124" s="339">
        <f t="shared" si="78"/>
        <v>2.0630000000000002E-3</v>
      </c>
      <c r="M124" s="295">
        <f t="shared" si="97"/>
        <v>178.08</v>
      </c>
      <c r="N124" s="163">
        <f t="shared" si="98"/>
        <v>0.14000000000000001</v>
      </c>
      <c r="P124" s="339">
        <f t="shared" si="79"/>
        <v>0</v>
      </c>
      <c r="Q124" s="295">
        <f t="shared" si="99"/>
        <v>0</v>
      </c>
      <c r="R124" s="163">
        <f t="shared" si="100"/>
        <v>0</v>
      </c>
      <c r="T124" s="621" t="s">
        <v>1153</v>
      </c>
    </row>
    <row r="125" spans="1:20" x14ac:dyDescent="0.2">
      <c r="A125" s="621">
        <f t="shared" si="67"/>
        <v>118</v>
      </c>
      <c r="B125" s="164" t="str">
        <f>'WP1 Light Inventory'!A121</f>
        <v>53E</v>
      </c>
      <c r="C125" s="164" t="str">
        <f>'WP1 Light Inventory'!C121</f>
        <v>Customer Owned</v>
      </c>
      <c r="D125" s="327" t="str">
        <f>'WP1 Light Inventory'!D121</f>
        <v>Light Emitting Diode</v>
      </c>
      <c r="E125" s="165" t="str">
        <f>'WP1 Light Inventory'!E121</f>
        <v>LED 210.01-240</v>
      </c>
      <c r="F125" s="364">
        <f>'WP1 Light Inventory'!J121</f>
        <v>0</v>
      </c>
      <c r="G125" s="366">
        <f>'WP12 Condensed Sch. Level Costs'!O120</f>
        <v>78.75</v>
      </c>
      <c r="H125" s="339">
        <f t="shared" si="94"/>
        <v>1.98E-3</v>
      </c>
      <c r="I125" s="295">
        <f t="shared" si="95"/>
        <v>0</v>
      </c>
      <c r="J125" s="163">
        <f t="shared" si="96"/>
        <v>0.16</v>
      </c>
      <c r="L125" s="339">
        <f t="shared" si="78"/>
        <v>2.0630000000000002E-3</v>
      </c>
      <c r="M125" s="295">
        <f t="shared" si="97"/>
        <v>0</v>
      </c>
      <c r="N125" s="163">
        <f t="shared" si="98"/>
        <v>0.16</v>
      </c>
      <c r="P125" s="339">
        <f t="shared" si="79"/>
        <v>0</v>
      </c>
      <c r="Q125" s="295">
        <f t="shared" si="99"/>
        <v>0</v>
      </c>
      <c r="R125" s="163">
        <f t="shared" si="100"/>
        <v>0</v>
      </c>
      <c r="T125" s="621" t="s">
        <v>1153</v>
      </c>
    </row>
    <row r="126" spans="1:20" x14ac:dyDescent="0.2">
      <c r="A126" s="621">
        <f t="shared" si="67"/>
        <v>119</v>
      </c>
      <c r="B126" s="164" t="str">
        <f>'WP1 Light Inventory'!A122</f>
        <v>53E</v>
      </c>
      <c r="C126" s="164" t="str">
        <f>'WP1 Light Inventory'!C122</f>
        <v>Customer Owned</v>
      </c>
      <c r="D126" s="327" t="str">
        <f>'WP1 Light Inventory'!D122</f>
        <v>Light Emitting Diode</v>
      </c>
      <c r="E126" s="165" t="str">
        <f>'WP1 Light Inventory'!E122</f>
        <v>LED 240.01-270</v>
      </c>
      <c r="F126" s="364">
        <f>'WP1 Light Inventory'!J122</f>
        <v>2</v>
      </c>
      <c r="G126" s="366">
        <f>'WP12 Condensed Sch. Level Costs'!O121</f>
        <v>89.25</v>
      </c>
      <c r="H126" s="339">
        <f t="shared" si="94"/>
        <v>1.98E-3</v>
      </c>
      <c r="I126" s="295">
        <f t="shared" si="95"/>
        <v>4.32</v>
      </c>
      <c r="J126" s="163">
        <f t="shared" si="96"/>
        <v>0.18</v>
      </c>
      <c r="L126" s="339">
        <f t="shared" si="78"/>
        <v>2.0630000000000002E-3</v>
      </c>
      <c r="M126" s="295">
        <f t="shared" si="97"/>
        <v>4.32</v>
      </c>
      <c r="N126" s="163">
        <f t="shared" si="98"/>
        <v>0.18</v>
      </c>
      <c r="P126" s="339">
        <f t="shared" si="79"/>
        <v>0</v>
      </c>
      <c r="Q126" s="295">
        <f t="shared" si="99"/>
        <v>0</v>
      </c>
      <c r="R126" s="163">
        <f t="shared" si="100"/>
        <v>0</v>
      </c>
      <c r="T126" s="621" t="s">
        <v>1153</v>
      </c>
    </row>
    <row r="127" spans="1:20" x14ac:dyDescent="0.2">
      <c r="A127" s="621">
        <f t="shared" si="67"/>
        <v>120</v>
      </c>
      <c r="B127" s="164" t="str">
        <f>'WP1 Light Inventory'!A123</f>
        <v>53E</v>
      </c>
      <c r="C127" s="164" t="str">
        <f>'WP1 Light Inventory'!C123</f>
        <v>Customer Owned</v>
      </c>
      <c r="D127" s="327" t="str">
        <f>'WP1 Light Inventory'!D123</f>
        <v>Light Emitting Diode</v>
      </c>
      <c r="E127" s="165" t="str">
        <f>'WP1 Light Inventory'!E123</f>
        <v>LED 270.01-300</v>
      </c>
      <c r="F127" s="364">
        <f>'WP1 Light Inventory'!J123</f>
        <v>0</v>
      </c>
      <c r="G127" s="366">
        <f>'WP12 Condensed Sch. Level Costs'!O122</f>
        <v>99.75</v>
      </c>
      <c r="H127" s="339">
        <f t="shared" si="94"/>
        <v>1.98E-3</v>
      </c>
      <c r="I127" s="295">
        <f t="shared" si="95"/>
        <v>0</v>
      </c>
      <c r="J127" s="163">
        <f t="shared" si="96"/>
        <v>0.2</v>
      </c>
      <c r="L127" s="339">
        <f t="shared" si="78"/>
        <v>2.0630000000000002E-3</v>
      </c>
      <c r="M127" s="295">
        <f t="shared" si="97"/>
        <v>0</v>
      </c>
      <c r="N127" s="163">
        <f t="shared" si="98"/>
        <v>0.21</v>
      </c>
      <c r="P127" s="339">
        <f t="shared" si="79"/>
        <v>0</v>
      </c>
      <c r="Q127" s="295">
        <f t="shared" si="99"/>
        <v>0</v>
      </c>
      <c r="R127" s="163">
        <f t="shared" si="100"/>
        <v>0</v>
      </c>
      <c r="T127" s="621" t="s">
        <v>1153</v>
      </c>
    </row>
    <row r="128" spans="1:20" x14ac:dyDescent="0.2">
      <c r="A128" s="621">
        <f t="shared" si="67"/>
        <v>121</v>
      </c>
      <c r="B128" s="164"/>
      <c r="C128" s="164"/>
      <c r="D128" s="327"/>
      <c r="E128" s="165"/>
      <c r="F128" s="364"/>
      <c r="G128" s="399"/>
      <c r="H128" s="342"/>
      <c r="I128" s="295"/>
      <c r="L128" s="342"/>
      <c r="M128" s="295"/>
      <c r="P128" s="342"/>
      <c r="Q128" s="295"/>
    </row>
    <row r="129" spans="1:20" x14ac:dyDescent="0.2">
      <c r="A129" s="621">
        <f t="shared" si="67"/>
        <v>122</v>
      </c>
      <c r="B129" s="164" t="s">
        <v>138</v>
      </c>
      <c r="C129" s="164"/>
      <c r="D129" s="327"/>
      <c r="E129" s="165"/>
      <c r="F129" s="364"/>
      <c r="G129" s="399"/>
      <c r="H129" s="342"/>
      <c r="I129" s="295"/>
      <c r="L129" s="342"/>
      <c r="M129" s="295"/>
      <c r="P129" s="342"/>
      <c r="Q129" s="295"/>
    </row>
    <row r="130" spans="1:20" x14ac:dyDescent="0.2">
      <c r="A130" s="621">
        <f t="shared" si="67"/>
        <v>123</v>
      </c>
      <c r="B130" s="164" t="str">
        <f>'WP1 Light Inventory'!A125</f>
        <v>54E</v>
      </c>
      <c r="C130" s="164"/>
      <c r="D130" s="327" t="str">
        <f>'WP1 Light Inventory'!D125</f>
        <v>Sodium Vapor</v>
      </c>
      <c r="E130" s="165" t="str">
        <f>'WP1 Light Inventory'!E125</f>
        <v>SV 050</v>
      </c>
      <c r="F130" s="364">
        <f>'WP1 Light Inventory'!J125</f>
        <v>38</v>
      </c>
      <c r="G130" s="366">
        <f>'WP12 Condensed Sch. Level Costs'!O124</f>
        <v>17.5</v>
      </c>
      <c r="H130" s="339">
        <f t="shared" ref="H130:H138" si="101">$Y$8</f>
        <v>1.98E-3</v>
      </c>
      <c r="I130" s="295">
        <f t="shared" ref="I130:I138" si="102">+F130*J130*12</f>
        <v>13.68</v>
      </c>
      <c r="J130" s="163">
        <f t="shared" ref="J130:J138" si="103">ROUND(+H130*G130,2)</f>
        <v>0.03</v>
      </c>
      <c r="L130" s="339">
        <f t="shared" ref="L130:L138" si="104">$Y$9</f>
        <v>2.0630000000000002E-3</v>
      </c>
      <c r="M130" s="295">
        <f t="shared" ref="M130:M138" si="105">+F130*N130*12</f>
        <v>18.240000000000002</v>
      </c>
      <c r="N130" s="163">
        <f t="shared" ref="N130:N138" si="106">ROUND(+L130*G130,2)</f>
        <v>0.04</v>
      </c>
      <c r="P130" s="339">
        <f t="shared" ref="P130:P138" si="107">$Y$10</f>
        <v>0</v>
      </c>
      <c r="Q130" s="295">
        <f t="shared" ref="Q130:Q138" si="108">+F130*R130*12</f>
        <v>0</v>
      </c>
      <c r="R130" s="163">
        <f t="shared" ref="R130:R138" si="109">ROUND(+P130*G130,2)</f>
        <v>0</v>
      </c>
      <c r="T130" s="621" t="s">
        <v>1153</v>
      </c>
    </row>
    <row r="131" spans="1:20" x14ac:dyDescent="0.2">
      <c r="A131" s="621">
        <f t="shared" si="67"/>
        <v>124</v>
      </c>
      <c r="B131" s="164" t="str">
        <f>'WP1 Light Inventory'!A126</f>
        <v>54E</v>
      </c>
      <c r="C131" s="164"/>
      <c r="D131" s="327" t="str">
        <f>'WP1 Light Inventory'!D126</f>
        <v>Sodium Vapor</v>
      </c>
      <c r="E131" s="165" t="str">
        <f>'WP1 Light Inventory'!E126</f>
        <v>SV 070</v>
      </c>
      <c r="F131" s="364">
        <f>'WP1 Light Inventory'!J126</f>
        <v>676</v>
      </c>
      <c r="G131" s="366">
        <f>'WP12 Condensed Sch. Level Costs'!O125</f>
        <v>24.5</v>
      </c>
      <c r="H131" s="339">
        <f t="shared" si="101"/>
        <v>1.98E-3</v>
      </c>
      <c r="I131" s="295">
        <f t="shared" si="102"/>
        <v>405.6</v>
      </c>
      <c r="J131" s="163">
        <f t="shared" si="103"/>
        <v>0.05</v>
      </c>
      <c r="L131" s="339">
        <f t="shared" si="104"/>
        <v>2.0630000000000002E-3</v>
      </c>
      <c r="M131" s="295">
        <f t="shared" si="105"/>
        <v>405.6</v>
      </c>
      <c r="N131" s="163">
        <f t="shared" si="106"/>
        <v>0.05</v>
      </c>
      <c r="P131" s="339">
        <f t="shared" si="107"/>
        <v>0</v>
      </c>
      <c r="Q131" s="295">
        <f t="shared" si="108"/>
        <v>0</v>
      </c>
      <c r="R131" s="163">
        <f t="shared" si="109"/>
        <v>0</v>
      </c>
      <c r="T131" s="621" t="s">
        <v>1153</v>
      </c>
    </row>
    <row r="132" spans="1:20" x14ac:dyDescent="0.2">
      <c r="A132" s="621">
        <f t="shared" si="67"/>
        <v>125</v>
      </c>
      <c r="B132" s="164" t="str">
        <f>'WP1 Light Inventory'!A127</f>
        <v>54E</v>
      </c>
      <c r="C132" s="164"/>
      <c r="D132" s="327" t="str">
        <f>'WP1 Light Inventory'!D127</f>
        <v>Sodium Vapor</v>
      </c>
      <c r="E132" s="165" t="str">
        <f>'WP1 Light Inventory'!E127</f>
        <v>SV 100</v>
      </c>
      <c r="F132" s="364">
        <f>'WP1 Light Inventory'!J127</f>
        <v>1524</v>
      </c>
      <c r="G132" s="366">
        <f>'WP12 Condensed Sch. Level Costs'!O126</f>
        <v>35</v>
      </c>
      <c r="H132" s="339">
        <f t="shared" si="101"/>
        <v>1.98E-3</v>
      </c>
      <c r="I132" s="295">
        <f t="shared" si="102"/>
        <v>1280.1600000000001</v>
      </c>
      <c r="J132" s="163">
        <f t="shared" si="103"/>
        <v>7.0000000000000007E-2</v>
      </c>
      <c r="L132" s="339">
        <f t="shared" si="104"/>
        <v>2.0630000000000002E-3</v>
      </c>
      <c r="M132" s="295">
        <f t="shared" si="105"/>
        <v>1280.1600000000001</v>
      </c>
      <c r="N132" s="163">
        <f t="shared" si="106"/>
        <v>7.0000000000000007E-2</v>
      </c>
      <c r="P132" s="339">
        <f t="shared" si="107"/>
        <v>0</v>
      </c>
      <c r="Q132" s="295">
        <f t="shared" si="108"/>
        <v>0</v>
      </c>
      <c r="R132" s="163">
        <f t="shared" si="109"/>
        <v>0</v>
      </c>
      <c r="T132" s="621" t="s">
        <v>1153</v>
      </c>
    </row>
    <row r="133" spans="1:20" x14ac:dyDescent="0.2">
      <c r="A133" s="621">
        <f t="shared" si="67"/>
        <v>126</v>
      </c>
      <c r="B133" s="164" t="str">
        <f>'WP1 Light Inventory'!A128</f>
        <v>54E</v>
      </c>
      <c r="C133" s="164"/>
      <c r="D133" s="327" t="str">
        <f>'WP1 Light Inventory'!D128</f>
        <v>Sodium Vapor</v>
      </c>
      <c r="E133" s="165" t="str">
        <f>'WP1 Light Inventory'!E128</f>
        <v>SV 150</v>
      </c>
      <c r="F133" s="364">
        <f>'WP1 Light Inventory'!J128</f>
        <v>456</v>
      </c>
      <c r="G133" s="366">
        <f>'WP12 Condensed Sch. Level Costs'!O127</f>
        <v>52.5</v>
      </c>
      <c r="H133" s="339">
        <f t="shared" si="101"/>
        <v>1.98E-3</v>
      </c>
      <c r="I133" s="295">
        <f t="shared" si="102"/>
        <v>547.20000000000005</v>
      </c>
      <c r="J133" s="163">
        <f t="shared" si="103"/>
        <v>0.1</v>
      </c>
      <c r="L133" s="339">
        <f t="shared" si="104"/>
        <v>2.0630000000000002E-3</v>
      </c>
      <c r="M133" s="295">
        <f t="shared" si="105"/>
        <v>601.92000000000007</v>
      </c>
      <c r="N133" s="163">
        <f t="shared" si="106"/>
        <v>0.11</v>
      </c>
      <c r="P133" s="339">
        <f t="shared" si="107"/>
        <v>0</v>
      </c>
      <c r="Q133" s="295">
        <f t="shared" si="108"/>
        <v>0</v>
      </c>
      <c r="R133" s="163">
        <f t="shared" si="109"/>
        <v>0</v>
      </c>
      <c r="T133" s="621" t="s">
        <v>1153</v>
      </c>
    </row>
    <row r="134" spans="1:20" x14ac:dyDescent="0.2">
      <c r="A134" s="621">
        <f t="shared" si="67"/>
        <v>127</v>
      </c>
      <c r="B134" s="164" t="str">
        <f>'WP1 Light Inventory'!A129</f>
        <v>54E</v>
      </c>
      <c r="C134" s="164"/>
      <c r="D134" s="327" t="str">
        <f>'WP1 Light Inventory'!D129</f>
        <v>Sodium Vapor</v>
      </c>
      <c r="E134" s="165" t="str">
        <f>'WP1 Light Inventory'!E129</f>
        <v>SV 200</v>
      </c>
      <c r="F134" s="364">
        <f>'WP1 Light Inventory'!J129</f>
        <v>548</v>
      </c>
      <c r="G134" s="366">
        <f>'WP12 Condensed Sch. Level Costs'!O128</f>
        <v>70</v>
      </c>
      <c r="H134" s="339">
        <f t="shared" si="101"/>
        <v>1.98E-3</v>
      </c>
      <c r="I134" s="295">
        <f t="shared" si="102"/>
        <v>920.6400000000001</v>
      </c>
      <c r="J134" s="163">
        <f t="shared" si="103"/>
        <v>0.14000000000000001</v>
      </c>
      <c r="L134" s="339">
        <f t="shared" si="104"/>
        <v>2.0630000000000002E-3</v>
      </c>
      <c r="M134" s="295">
        <f t="shared" si="105"/>
        <v>920.6400000000001</v>
      </c>
      <c r="N134" s="163">
        <f t="shared" si="106"/>
        <v>0.14000000000000001</v>
      </c>
      <c r="P134" s="339">
        <f t="shared" si="107"/>
        <v>0</v>
      </c>
      <c r="Q134" s="295">
        <f t="shared" si="108"/>
        <v>0</v>
      </c>
      <c r="R134" s="163">
        <f t="shared" si="109"/>
        <v>0</v>
      </c>
      <c r="T134" s="621" t="s">
        <v>1153</v>
      </c>
    </row>
    <row r="135" spans="1:20" x14ac:dyDescent="0.2">
      <c r="A135" s="621">
        <f t="shared" si="67"/>
        <v>128</v>
      </c>
      <c r="B135" s="164" t="str">
        <f>'WP1 Light Inventory'!A130</f>
        <v>54E</v>
      </c>
      <c r="C135" s="164"/>
      <c r="D135" s="327" t="str">
        <f>'WP1 Light Inventory'!D130</f>
        <v>Sodium Vapor</v>
      </c>
      <c r="E135" s="165" t="str">
        <f>'WP1 Light Inventory'!E130</f>
        <v>SV 250</v>
      </c>
      <c r="F135" s="364">
        <f>'WP1 Light Inventory'!J130</f>
        <v>1362</v>
      </c>
      <c r="G135" s="366">
        <f>'WP12 Condensed Sch. Level Costs'!O129</f>
        <v>87.5</v>
      </c>
      <c r="H135" s="339">
        <f t="shared" si="101"/>
        <v>1.98E-3</v>
      </c>
      <c r="I135" s="295">
        <f t="shared" si="102"/>
        <v>2778.4800000000005</v>
      </c>
      <c r="J135" s="163">
        <f t="shared" si="103"/>
        <v>0.17</v>
      </c>
      <c r="L135" s="339">
        <f t="shared" si="104"/>
        <v>2.0630000000000002E-3</v>
      </c>
      <c r="M135" s="295">
        <f t="shared" si="105"/>
        <v>2941.92</v>
      </c>
      <c r="N135" s="163">
        <f t="shared" si="106"/>
        <v>0.18</v>
      </c>
      <c r="P135" s="339">
        <f t="shared" si="107"/>
        <v>0</v>
      </c>
      <c r="Q135" s="295">
        <f t="shared" si="108"/>
        <v>0</v>
      </c>
      <c r="R135" s="163">
        <f t="shared" si="109"/>
        <v>0</v>
      </c>
      <c r="T135" s="621" t="s">
        <v>1153</v>
      </c>
    </row>
    <row r="136" spans="1:20" x14ac:dyDescent="0.2">
      <c r="A136" s="621">
        <f t="shared" si="67"/>
        <v>129</v>
      </c>
      <c r="B136" s="164" t="str">
        <f>'WP1 Light Inventory'!A131</f>
        <v>54E</v>
      </c>
      <c r="C136" s="164"/>
      <c r="D136" s="327" t="str">
        <f>'WP1 Light Inventory'!D131</f>
        <v>Sodium Vapor</v>
      </c>
      <c r="E136" s="165" t="str">
        <f>'WP1 Light Inventory'!E131</f>
        <v>SV 310</v>
      </c>
      <c r="F136" s="364">
        <f>'WP1 Light Inventory'!J131</f>
        <v>56</v>
      </c>
      <c r="G136" s="366">
        <f>'WP12 Condensed Sch. Level Costs'!O130</f>
        <v>108.5</v>
      </c>
      <c r="H136" s="339">
        <f t="shared" si="101"/>
        <v>1.98E-3</v>
      </c>
      <c r="I136" s="295">
        <f t="shared" si="102"/>
        <v>141.12</v>
      </c>
      <c r="J136" s="163">
        <f t="shared" si="103"/>
        <v>0.21</v>
      </c>
      <c r="L136" s="339">
        <f t="shared" si="104"/>
        <v>2.0630000000000002E-3</v>
      </c>
      <c r="M136" s="295">
        <f t="shared" si="105"/>
        <v>147.84</v>
      </c>
      <c r="N136" s="163">
        <f t="shared" si="106"/>
        <v>0.22</v>
      </c>
      <c r="P136" s="339">
        <f t="shared" si="107"/>
        <v>0</v>
      </c>
      <c r="Q136" s="295">
        <f t="shared" si="108"/>
        <v>0</v>
      </c>
      <c r="R136" s="163">
        <f t="shared" si="109"/>
        <v>0</v>
      </c>
      <c r="T136" s="621" t="s">
        <v>1153</v>
      </c>
    </row>
    <row r="137" spans="1:20" x14ac:dyDescent="0.2">
      <c r="A137" s="621">
        <f t="shared" si="67"/>
        <v>130</v>
      </c>
      <c r="B137" s="164" t="str">
        <f>'WP1 Light Inventory'!A132</f>
        <v>54E</v>
      </c>
      <c r="C137" s="164"/>
      <c r="D137" s="327" t="str">
        <f>'WP1 Light Inventory'!D132</f>
        <v>Sodium Vapor</v>
      </c>
      <c r="E137" s="165" t="str">
        <f>'WP1 Light Inventory'!E132</f>
        <v>SV 400</v>
      </c>
      <c r="F137" s="364">
        <f>'WP1 Light Inventory'!J132</f>
        <v>616</v>
      </c>
      <c r="G137" s="366">
        <f>'WP12 Condensed Sch. Level Costs'!O131</f>
        <v>140</v>
      </c>
      <c r="H137" s="339">
        <f t="shared" si="101"/>
        <v>1.98E-3</v>
      </c>
      <c r="I137" s="295">
        <f t="shared" si="102"/>
        <v>2069.7600000000002</v>
      </c>
      <c r="J137" s="163">
        <f t="shared" si="103"/>
        <v>0.28000000000000003</v>
      </c>
      <c r="L137" s="339">
        <f t="shared" si="104"/>
        <v>2.0630000000000002E-3</v>
      </c>
      <c r="M137" s="295">
        <f t="shared" si="105"/>
        <v>2143.6799999999998</v>
      </c>
      <c r="N137" s="163">
        <f t="shared" si="106"/>
        <v>0.28999999999999998</v>
      </c>
      <c r="P137" s="339">
        <f t="shared" si="107"/>
        <v>0</v>
      </c>
      <c r="Q137" s="295">
        <f t="shared" si="108"/>
        <v>0</v>
      </c>
      <c r="R137" s="163">
        <f t="shared" si="109"/>
        <v>0</v>
      </c>
      <c r="T137" s="621" t="s">
        <v>1153</v>
      </c>
    </row>
    <row r="138" spans="1:20" x14ac:dyDescent="0.2">
      <c r="A138" s="621">
        <f t="shared" ref="A138:A201" si="110">A137+1</f>
        <v>131</v>
      </c>
      <c r="B138" s="164" t="str">
        <f>'WP1 Light Inventory'!A133</f>
        <v>54E</v>
      </c>
      <c r="C138" s="164"/>
      <c r="D138" s="327" t="str">
        <f>'WP1 Light Inventory'!D133</f>
        <v>Sodium Vapor</v>
      </c>
      <c r="E138" s="165" t="str">
        <f>'WP1 Light Inventory'!E133</f>
        <v>SV 1000</v>
      </c>
      <c r="F138" s="364">
        <f>'WP1 Light Inventory'!J133</f>
        <v>10</v>
      </c>
      <c r="G138" s="366">
        <f>'WP12 Condensed Sch. Level Costs'!O132</f>
        <v>350</v>
      </c>
      <c r="H138" s="339">
        <f t="shared" si="101"/>
        <v>1.98E-3</v>
      </c>
      <c r="I138" s="295">
        <f t="shared" si="102"/>
        <v>82.8</v>
      </c>
      <c r="J138" s="163">
        <f t="shared" si="103"/>
        <v>0.69</v>
      </c>
      <c r="L138" s="339">
        <f t="shared" si="104"/>
        <v>2.0630000000000002E-3</v>
      </c>
      <c r="M138" s="295">
        <f t="shared" si="105"/>
        <v>86.399999999999991</v>
      </c>
      <c r="N138" s="163">
        <f t="shared" si="106"/>
        <v>0.72</v>
      </c>
      <c r="P138" s="339">
        <f t="shared" si="107"/>
        <v>0</v>
      </c>
      <c r="Q138" s="295">
        <f t="shared" si="108"/>
        <v>0</v>
      </c>
      <c r="R138" s="163">
        <f t="shared" si="109"/>
        <v>0</v>
      </c>
      <c r="T138" s="621" t="s">
        <v>1153</v>
      </c>
    </row>
    <row r="139" spans="1:20" x14ac:dyDescent="0.2">
      <c r="A139" s="621">
        <f t="shared" si="110"/>
        <v>132</v>
      </c>
      <c r="B139" s="164"/>
      <c r="C139" s="164"/>
      <c r="D139" s="327"/>
      <c r="E139" s="165"/>
      <c r="F139" s="364"/>
      <c r="G139" s="399"/>
      <c r="H139" s="342"/>
      <c r="I139" s="295"/>
      <c r="L139" s="342"/>
      <c r="M139" s="295"/>
      <c r="P139" s="342"/>
      <c r="Q139" s="295"/>
    </row>
    <row r="140" spans="1:20" ht="12" customHeight="1" x14ac:dyDescent="0.2">
      <c r="A140" s="621">
        <f t="shared" si="110"/>
        <v>133</v>
      </c>
      <c r="B140" s="164" t="str">
        <f>'WP1 Light Inventory'!A135</f>
        <v>54E</v>
      </c>
      <c r="C140" s="164"/>
      <c r="D140" s="327" t="str">
        <f>'WP1 Light Inventory'!D135</f>
        <v>Light Emitting Diode</v>
      </c>
      <c r="E140" s="165" t="str">
        <f>'WP1 Light Inventory'!E135</f>
        <v>LED 0-030</v>
      </c>
      <c r="F140" s="364">
        <f>'WP1 Light Inventory'!J135</f>
        <v>0</v>
      </c>
      <c r="G140" s="366">
        <f>'WP12 Condensed Sch. Level Costs'!O134</f>
        <v>5.25</v>
      </c>
      <c r="H140" s="339">
        <f t="shared" ref="H140:H149" si="111">$Y$8</f>
        <v>1.98E-3</v>
      </c>
      <c r="I140" s="295">
        <f t="shared" ref="I140:I149" si="112">+F140*J140*12</f>
        <v>0</v>
      </c>
      <c r="J140" s="163">
        <f t="shared" ref="J140:J149" si="113">ROUND(+H140*G140,2)</f>
        <v>0.01</v>
      </c>
      <c r="L140" s="339">
        <f t="shared" ref="L140:L149" si="114">$Y$9</f>
        <v>2.0630000000000002E-3</v>
      </c>
      <c r="M140" s="295">
        <f t="shared" ref="M140:M149" si="115">+F140*N140*12</f>
        <v>0</v>
      </c>
      <c r="N140" s="163">
        <f t="shared" ref="N140:N149" si="116">ROUND(+L140*G140,2)</f>
        <v>0.01</v>
      </c>
      <c r="P140" s="339">
        <f t="shared" ref="P140:P149" si="117">$Y$10</f>
        <v>0</v>
      </c>
      <c r="Q140" s="295">
        <f t="shared" ref="Q140:Q149" si="118">+F140*R140*12</f>
        <v>0</v>
      </c>
      <c r="R140" s="163">
        <f t="shared" ref="R140:R149" si="119">ROUND(+P140*G140,2)</f>
        <v>0</v>
      </c>
      <c r="T140" s="621" t="s">
        <v>1153</v>
      </c>
    </row>
    <row r="141" spans="1:20" x14ac:dyDescent="0.2">
      <c r="A141" s="621">
        <f t="shared" si="110"/>
        <v>134</v>
      </c>
      <c r="B141" s="164" t="str">
        <f>'WP1 Light Inventory'!A136</f>
        <v>54E</v>
      </c>
      <c r="C141" s="164"/>
      <c r="D141" s="327" t="str">
        <f>'WP1 Light Inventory'!D136</f>
        <v>Light Emitting Diode</v>
      </c>
      <c r="E141" s="165" t="str">
        <f>'WP1 Light Inventory'!E136</f>
        <v>LED 030.01-060</v>
      </c>
      <c r="F141" s="364">
        <f>'WP1 Light Inventory'!J136</f>
        <v>1267</v>
      </c>
      <c r="G141" s="366">
        <f>'WP12 Condensed Sch. Level Costs'!O135</f>
        <v>15.75</v>
      </c>
      <c r="H141" s="339">
        <f t="shared" si="111"/>
        <v>1.98E-3</v>
      </c>
      <c r="I141" s="295">
        <f t="shared" si="112"/>
        <v>456.12</v>
      </c>
      <c r="J141" s="163">
        <f t="shared" si="113"/>
        <v>0.03</v>
      </c>
      <c r="L141" s="339">
        <f t="shared" si="114"/>
        <v>2.0630000000000002E-3</v>
      </c>
      <c r="M141" s="295">
        <f t="shared" si="115"/>
        <v>456.12</v>
      </c>
      <c r="N141" s="163">
        <f t="shared" si="116"/>
        <v>0.03</v>
      </c>
      <c r="P141" s="339">
        <f t="shared" si="117"/>
        <v>0</v>
      </c>
      <c r="Q141" s="295">
        <f t="shared" si="118"/>
        <v>0</v>
      </c>
      <c r="R141" s="163">
        <f t="shared" si="119"/>
        <v>0</v>
      </c>
      <c r="T141" s="621" t="s">
        <v>1153</v>
      </c>
    </row>
    <row r="142" spans="1:20" x14ac:dyDescent="0.2">
      <c r="A142" s="621">
        <f t="shared" si="110"/>
        <v>135</v>
      </c>
      <c r="B142" s="164" t="str">
        <f>'WP1 Light Inventory'!A137</f>
        <v>54E</v>
      </c>
      <c r="C142" s="164"/>
      <c r="D142" s="327" t="str">
        <f>'WP1 Light Inventory'!D137</f>
        <v>Light Emitting Diode</v>
      </c>
      <c r="E142" s="165" t="str">
        <f>'WP1 Light Inventory'!E137</f>
        <v>LED 060.01-090</v>
      </c>
      <c r="F142" s="364">
        <f>'WP1 Light Inventory'!J137</f>
        <v>64</v>
      </c>
      <c r="G142" s="366">
        <f>'WP12 Condensed Sch. Level Costs'!O136</f>
        <v>26.25</v>
      </c>
      <c r="H142" s="339">
        <f t="shared" si="111"/>
        <v>1.98E-3</v>
      </c>
      <c r="I142" s="295">
        <f t="shared" si="112"/>
        <v>38.400000000000006</v>
      </c>
      <c r="J142" s="163">
        <f t="shared" si="113"/>
        <v>0.05</v>
      </c>
      <c r="L142" s="339">
        <f t="shared" si="114"/>
        <v>2.0630000000000002E-3</v>
      </c>
      <c r="M142" s="295">
        <f t="shared" si="115"/>
        <v>38.400000000000006</v>
      </c>
      <c r="N142" s="163">
        <f t="shared" si="116"/>
        <v>0.05</v>
      </c>
      <c r="P142" s="339">
        <f t="shared" si="117"/>
        <v>0</v>
      </c>
      <c r="Q142" s="295">
        <f t="shared" si="118"/>
        <v>0</v>
      </c>
      <c r="R142" s="163">
        <f t="shared" si="119"/>
        <v>0</v>
      </c>
      <c r="T142" s="621" t="s">
        <v>1153</v>
      </c>
    </row>
    <row r="143" spans="1:20" x14ac:dyDescent="0.2">
      <c r="A143" s="621">
        <f t="shared" si="110"/>
        <v>136</v>
      </c>
      <c r="B143" s="164" t="str">
        <f>'WP1 Light Inventory'!A138</f>
        <v>54E</v>
      </c>
      <c r="C143" s="164"/>
      <c r="D143" s="327" t="str">
        <f>'WP1 Light Inventory'!D138</f>
        <v>Light Emitting Diode</v>
      </c>
      <c r="E143" s="165" t="str">
        <f>'WP1 Light Inventory'!E138</f>
        <v>LED 090.01-120</v>
      </c>
      <c r="F143" s="364">
        <f>'WP1 Light Inventory'!J138</f>
        <v>1330</v>
      </c>
      <c r="G143" s="366">
        <f>'WP12 Condensed Sch. Level Costs'!O137</f>
        <v>36.75</v>
      </c>
      <c r="H143" s="339">
        <f t="shared" si="111"/>
        <v>1.98E-3</v>
      </c>
      <c r="I143" s="295">
        <f t="shared" si="112"/>
        <v>1117.2</v>
      </c>
      <c r="J143" s="163">
        <f t="shared" si="113"/>
        <v>7.0000000000000007E-2</v>
      </c>
      <c r="L143" s="339">
        <f t="shared" si="114"/>
        <v>2.0630000000000002E-3</v>
      </c>
      <c r="M143" s="295">
        <f t="shared" si="115"/>
        <v>1276.8000000000002</v>
      </c>
      <c r="N143" s="163">
        <f t="shared" si="116"/>
        <v>0.08</v>
      </c>
      <c r="P143" s="339">
        <f t="shared" si="117"/>
        <v>0</v>
      </c>
      <c r="Q143" s="295">
        <f t="shared" si="118"/>
        <v>0</v>
      </c>
      <c r="R143" s="163">
        <f t="shared" si="119"/>
        <v>0</v>
      </c>
      <c r="T143" s="621" t="s">
        <v>1153</v>
      </c>
    </row>
    <row r="144" spans="1:20" x14ac:dyDescent="0.2">
      <c r="A144" s="621">
        <f t="shared" si="110"/>
        <v>137</v>
      </c>
      <c r="B144" s="164" t="str">
        <f>'WP1 Light Inventory'!A139</f>
        <v>54E</v>
      </c>
      <c r="C144" s="164"/>
      <c r="D144" s="327" t="str">
        <f>'WP1 Light Inventory'!D139</f>
        <v>Light Emitting Diode</v>
      </c>
      <c r="E144" s="165" t="str">
        <f>'WP1 Light Inventory'!E139</f>
        <v>LED 120.01-150</v>
      </c>
      <c r="F144" s="364">
        <f>'WP1 Light Inventory'!J139</f>
        <v>666</v>
      </c>
      <c r="G144" s="366">
        <f>'WP12 Condensed Sch. Level Costs'!O138</f>
        <v>47.25</v>
      </c>
      <c r="H144" s="339">
        <f t="shared" si="111"/>
        <v>1.98E-3</v>
      </c>
      <c r="I144" s="295">
        <f t="shared" si="112"/>
        <v>719.28</v>
      </c>
      <c r="J144" s="163">
        <f t="shared" si="113"/>
        <v>0.09</v>
      </c>
      <c r="L144" s="339">
        <f t="shared" si="114"/>
        <v>2.0630000000000002E-3</v>
      </c>
      <c r="M144" s="295">
        <f t="shared" si="115"/>
        <v>799.2</v>
      </c>
      <c r="N144" s="163">
        <f t="shared" si="116"/>
        <v>0.1</v>
      </c>
      <c r="P144" s="339">
        <f t="shared" si="117"/>
        <v>0</v>
      </c>
      <c r="Q144" s="295">
        <f t="shared" si="118"/>
        <v>0</v>
      </c>
      <c r="R144" s="163">
        <f t="shared" si="119"/>
        <v>0</v>
      </c>
      <c r="T144" s="621" t="s">
        <v>1153</v>
      </c>
    </row>
    <row r="145" spans="1:20" x14ac:dyDescent="0.2">
      <c r="A145" s="621">
        <f t="shared" si="110"/>
        <v>138</v>
      </c>
      <c r="B145" s="164" t="str">
        <f>'WP1 Light Inventory'!A140</f>
        <v>54E</v>
      </c>
      <c r="C145" s="164"/>
      <c r="D145" s="327" t="str">
        <f>'WP1 Light Inventory'!D140</f>
        <v>Light Emitting Diode</v>
      </c>
      <c r="E145" s="165" t="str">
        <f>'WP1 Light Inventory'!E140</f>
        <v>LED 150.01-180</v>
      </c>
      <c r="F145" s="364">
        <f>'WP1 Light Inventory'!J140</f>
        <v>366</v>
      </c>
      <c r="G145" s="366">
        <f>'WP12 Condensed Sch. Level Costs'!O139</f>
        <v>57.75</v>
      </c>
      <c r="H145" s="339">
        <f t="shared" si="111"/>
        <v>1.98E-3</v>
      </c>
      <c r="I145" s="295">
        <f t="shared" si="112"/>
        <v>483.12</v>
      </c>
      <c r="J145" s="163">
        <f t="shared" si="113"/>
        <v>0.11</v>
      </c>
      <c r="L145" s="339">
        <f t="shared" si="114"/>
        <v>2.0630000000000002E-3</v>
      </c>
      <c r="M145" s="295">
        <f t="shared" si="115"/>
        <v>527.04</v>
      </c>
      <c r="N145" s="163">
        <f t="shared" si="116"/>
        <v>0.12</v>
      </c>
      <c r="P145" s="339">
        <f t="shared" si="117"/>
        <v>0</v>
      </c>
      <c r="Q145" s="295">
        <f t="shared" si="118"/>
        <v>0</v>
      </c>
      <c r="R145" s="163">
        <f t="shared" si="119"/>
        <v>0</v>
      </c>
      <c r="T145" s="621" t="s">
        <v>1153</v>
      </c>
    </row>
    <row r="146" spans="1:20" x14ac:dyDescent="0.2">
      <c r="A146" s="621">
        <f t="shared" si="110"/>
        <v>139</v>
      </c>
      <c r="B146" s="164" t="str">
        <f>'WP1 Light Inventory'!A141</f>
        <v>54E</v>
      </c>
      <c r="C146" s="164"/>
      <c r="D146" s="327" t="str">
        <f>'WP1 Light Inventory'!D141</f>
        <v>Light Emitting Diode</v>
      </c>
      <c r="E146" s="165" t="str">
        <f>'WP1 Light Inventory'!E141</f>
        <v>LED 180.01-210</v>
      </c>
      <c r="F146" s="364">
        <f>'WP1 Light Inventory'!J141</f>
        <v>14</v>
      </c>
      <c r="G146" s="366">
        <f>'WP12 Condensed Sch. Level Costs'!O140</f>
        <v>68.25</v>
      </c>
      <c r="H146" s="339">
        <f t="shared" si="111"/>
        <v>1.98E-3</v>
      </c>
      <c r="I146" s="295">
        <f t="shared" si="112"/>
        <v>23.520000000000003</v>
      </c>
      <c r="J146" s="163">
        <f t="shared" si="113"/>
        <v>0.14000000000000001</v>
      </c>
      <c r="L146" s="339">
        <f t="shared" si="114"/>
        <v>2.0630000000000002E-3</v>
      </c>
      <c r="M146" s="295">
        <f t="shared" si="115"/>
        <v>23.520000000000003</v>
      </c>
      <c r="N146" s="163">
        <f t="shared" si="116"/>
        <v>0.14000000000000001</v>
      </c>
      <c r="P146" s="339">
        <f t="shared" si="117"/>
        <v>0</v>
      </c>
      <c r="Q146" s="295">
        <f t="shared" si="118"/>
        <v>0</v>
      </c>
      <c r="R146" s="163">
        <f t="shared" si="119"/>
        <v>0</v>
      </c>
      <c r="T146" s="621" t="s">
        <v>1153</v>
      </c>
    </row>
    <row r="147" spans="1:20" x14ac:dyDescent="0.2">
      <c r="A147" s="621">
        <f t="shared" si="110"/>
        <v>140</v>
      </c>
      <c r="B147" s="164" t="str">
        <f>'WP1 Light Inventory'!A142</f>
        <v>54E</v>
      </c>
      <c r="C147" s="164"/>
      <c r="D147" s="327" t="str">
        <f>'WP1 Light Inventory'!D142</f>
        <v>Light Emitting Diode</v>
      </c>
      <c r="E147" s="165" t="str">
        <f>'WP1 Light Inventory'!E142</f>
        <v>LED 210.01-240</v>
      </c>
      <c r="F147" s="364">
        <f>'WP1 Light Inventory'!J142</f>
        <v>38</v>
      </c>
      <c r="G147" s="366">
        <f>'WP12 Condensed Sch. Level Costs'!O141</f>
        <v>78.75</v>
      </c>
      <c r="H147" s="339">
        <f t="shared" si="111"/>
        <v>1.98E-3</v>
      </c>
      <c r="I147" s="295">
        <f t="shared" si="112"/>
        <v>72.960000000000008</v>
      </c>
      <c r="J147" s="163">
        <f t="shared" si="113"/>
        <v>0.16</v>
      </c>
      <c r="L147" s="339">
        <f t="shared" si="114"/>
        <v>2.0630000000000002E-3</v>
      </c>
      <c r="M147" s="295">
        <f t="shared" si="115"/>
        <v>72.960000000000008</v>
      </c>
      <c r="N147" s="163">
        <f t="shared" si="116"/>
        <v>0.16</v>
      </c>
      <c r="P147" s="339">
        <f t="shared" si="117"/>
        <v>0</v>
      </c>
      <c r="Q147" s="295">
        <f t="shared" si="118"/>
        <v>0</v>
      </c>
      <c r="R147" s="163">
        <f t="shared" si="119"/>
        <v>0</v>
      </c>
      <c r="T147" s="621" t="s">
        <v>1153</v>
      </c>
    </row>
    <row r="148" spans="1:20" x14ac:dyDescent="0.2">
      <c r="A148" s="621">
        <f t="shared" si="110"/>
        <v>141</v>
      </c>
      <c r="B148" s="164" t="str">
        <f>'WP1 Light Inventory'!A143</f>
        <v>54E</v>
      </c>
      <c r="C148" s="164"/>
      <c r="D148" s="327" t="str">
        <f>'WP1 Light Inventory'!D143</f>
        <v>Light Emitting Diode</v>
      </c>
      <c r="E148" s="165" t="str">
        <f>'WP1 Light Inventory'!E143</f>
        <v>LED 240.01-270</v>
      </c>
      <c r="F148" s="364">
        <f>'WP1 Light Inventory'!J143</f>
        <v>3</v>
      </c>
      <c r="G148" s="366">
        <f>'WP12 Condensed Sch. Level Costs'!O142</f>
        <v>89.25</v>
      </c>
      <c r="H148" s="339">
        <f t="shared" si="111"/>
        <v>1.98E-3</v>
      </c>
      <c r="I148" s="295">
        <f t="shared" si="112"/>
        <v>6.48</v>
      </c>
      <c r="J148" s="163">
        <f t="shared" si="113"/>
        <v>0.18</v>
      </c>
      <c r="L148" s="339">
        <f t="shared" si="114"/>
        <v>2.0630000000000002E-3</v>
      </c>
      <c r="M148" s="295">
        <f t="shared" si="115"/>
        <v>6.48</v>
      </c>
      <c r="N148" s="163">
        <f t="shared" si="116"/>
        <v>0.18</v>
      </c>
      <c r="P148" s="339">
        <f t="shared" si="117"/>
        <v>0</v>
      </c>
      <c r="Q148" s="295">
        <f t="shared" si="118"/>
        <v>0</v>
      </c>
      <c r="R148" s="163">
        <f t="shared" si="119"/>
        <v>0</v>
      </c>
      <c r="T148" s="621" t="s">
        <v>1153</v>
      </c>
    </row>
    <row r="149" spans="1:20" x14ac:dyDescent="0.2">
      <c r="A149" s="621">
        <f t="shared" si="110"/>
        <v>142</v>
      </c>
      <c r="B149" s="164" t="str">
        <f>'WP1 Light Inventory'!A144</f>
        <v>54E</v>
      </c>
      <c r="C149" s="164"/>
      <c r="D149" s="327" t="str">
        <f>'WP1 Light Inventory'!D144</f>
        <v>Light Emitting Diode</v>
      </c>
      <c r="E149" s="165" t="str">
        <f>'WP1 Light Inventory'!E144</f>
        <v>LED 270.01-300</v>
      </c>
      <c r="F149" s="364">
        <f>'WP1 Light Inventory'!J144</f>
        <v>0</v>
      </c>
      <c r="G149" s="366">
        <f>'WP12 Condensed Sch. Level Costs'!O143</f>
        <v>99.75</v>
      </c>
      <c r="H149" s="339">
        <f t="shared" si="111"/>
        <v>1.98E-3</v>
      </c>
      <c r="I149" s="295">
        <f t="shared" si="112"/>
        <v>0</v>
      </c>
      <c r="J149" s="163">
        <f t="shared" si="113"/>
        <v>0.2</v>
      </c>
      <c r="L149" s="339">
        <f t="shared" si="114"/>
        <v>2.0630000000000002E-3</v>
      </c>
      <c r="M149" s="295">
        <f t="shared" si="115"/>
        <v>0</v>
      </c>
      <c r="N149" s="163">
        <f t="shared" si="116"/>
        <v>0.21</v>
      </c>
      <c r="P149" s="339">
        <f t="shared" si="117"/>
        <v>0</v>
      </c>
      <c r="Q149" s="295">
        <f t="shared" si="118"/>
        <v>0</v>
      </c>
      <c r="R149" s="163">
        <f t="shared" si="119"/>
        <v>0</v>
      </c>
      <c r="T149" s="621" t="s">
        <v>1153</v>
      </c>
    </row>
    <row r="150" spans="1:20" x14ac:dyDescent="0.2">
      <c r="A150" s="621">
        <f t="shared" si="110"/>
        <v>143</v>
      </c>
      <c r="B150" s="164"/>
      <c r="C150" s="164"/>
      <c r="D150" s="327"/>
      <c r="E150" s="165"/>
      <c r="F150" s="364"/>
      <c r="G150" s="399"/>
      <c r="H150" s="342"/>
      <c r="I150" s="295"/>
      <c r="L150" s="342"/>
      <c r="M150" s="295"/>
      <c r="P150" s="342"/>
      <c r="Q150" s="295"/>
    </row>
    <row r="151" spans="1:20" x14ac:dyDescent="0.2">
      <c r="A151" s="621">
        <f t="shared" si="110"/>
        <v>144</v>
      </c>
      <c r="B151" s="164" t="s">
        <v>139</v>
      </c>
      <c r="C151" s="164"/>
      <c r="D151" s="327"/>
      <c r="E151" s="165"/>
      <c r="F151" s="364"/>
      <c r="G151" s="399"/>
      <c r="H151" s="342"/>
      <c r="I151" s="295"/>
      <c r="L151" s="342"/>
      <c r="M151" s="295"/>
      <c r="P151" s="342"/>
      <c r="Q151" s="295"/>
    </row>
    <row r="152" spans="1:20" x14ac:dyDescent="0.2">
      <c r="A152" s="621">
        <f t="shared" si="110"/>
        <v>145</v>
      </c>
      <c r="B152" s="164" t="str">
        <f>'WP1 Light Inventory'!A146</f>
        <v>55E &amp; 56E</v>
      </c>
      <c r="C152" s="164"/>
      <c r="D152" s="327" t="str">
        <f>'WP1 Light Inventory'!D146</f>
        <v>Sodium Vapor</v>
      </c>
      <c r="E152" s="165" t="str">
        <f>'WP1 Light Inventory'!E146</f>
        <v>SV 070</v>
      </c>
      <c r="F152" s="364">
        <f>'WP1 Light Inventory'!J146</f>
        <v>16</v>
      </c>
      <c r="G152" s="366">
        <f>'WP12 Condensed Sch. Level Costs'!O145</f>
        <v>24.5</v>
      </c>
      <c r="H152" s="339">
        <f t="shared" ref="H152:H157" si="120">$Y$8</f>
        <v>1.98E-3</v>
      </c>
      <c r="I152" s="295">
        <f t="shared" ref="I152:I157" si="121">+F152*J152*12</f>
        <v>9.6000000000000014</v>
      </c>
      <c r="J152" s="163">
        <f t="shared" ref="J152:J157" si="122">ROUND(+H152*G152,2)</f>
        <v>0.05</v>
      </c>
      <c r="L152" s="339">
        <f t="shared" ref="L152:L157" si="123">$Y$9</f>
        <v>2.0630000000000002E-3</v>
      </c>
      <c r="M152" s="295">
        <f t="shared" ref="M152:M157" si="124">+F152*N152*12</f>
        <v>9.6000000000000014</v>
      </c>
      <c r="N152" s="163">
        <f t="shared" ref="N152:N157" si="125">ROUND(+L152*G152,2)</f>
        <v>0.05</v>
      </c>
      <c r="P152" s="339">
        <f t="shared" ref="P152:P157" si="126">$Y$10</f>
        <v>0</v>
      </c>
      <c r="Q152" s="295">
        <f t="shared" ref="Q152:Q157" si="127">+F152*R152*12</f>
        <v>0</v>
      </c>
      <c r="R152" s="163">
        <f t="shared" ref="R152:R157" si="128">ROUND(+P152*G152,2)</f>
        <v>0</v>
      </c>
      <c r="T152" s="621" t="s">
        <v>1153</v>
      </c>
    </row>
    <row r="153" spans="1:20" x14ac:dyDescent="0.2">
      <c r="A153" s="621">
        <f t="shared" si="110"/>
        <v>146</v>
      </c>
      <c r="B153" s="164" t="str">
        <f>'WP1 Light Inventory'!A147</f>
        <v>55E &amp; 56E</v>
      </c>
      <c r="C153" s="164"/>
      <c r="D153" s="327" t="str">
        <f>'WP1 Light Inventory'!D147</f>
        <v>Sodium Vapor</v>
      </c>
      <c r="E153" s="165" t="str">
        <f>'WP1 Light Inventory'!E147</f>
        <v>SV 100</v>
      </c>
      <c r="F153" s="364">
        <f>'WP1 Light Inventory'!J147</f>
        <v>3646</v>
      </c>
      <c r="G153" s="366">
        <f>'WP12 Condensed Sch. Level Costs'!O146</f>
        <v>35</v>
      </c>
      <c r="H153" s="339">
        <f t="shared" si="120"/>
        <v>1.98E-3</v>
      </c>
      <c r="I153" s="295">
        <f t="shared" si="121"/>
        <v>3062.6400000000003</v>
      </c>
      <c r="J153" s="163">
        <f t="shared" si="122"/>
        <v>7.0000000000000007E-2</v>
      </c>
      <c r="L153" s="339">
        <f t="shared" si="123"/>
        <v>2.0630000000000002E-3</v>
      </c>
      <c r="M153" s="295">
        <f t="shared" si="124"/>
        <v>3062.6400000000003</v>
      </c>
      <c r="N153" s="163">
        <f t="shared" si="125"/>
        <v>7.0000000000000007E-2</v>
      </c>
      <c r="P153" s="339">
        <f t="shared" si="126"/>
        <v>0</v>
      </c>
      <c r="Q153" s="295">
        <f t="shared" si="127"/>
        <v>0</v>
      </c>
      <c r="R153" s="163">
        <f t="shared" si="128"/>
        <v>0</v>
      </c>
      <c r="T153" s="621" t="s">
        <v>1153</v>
      </c>
    </row>
    <row r="154" spans="1:20" x14ac:dyDescent="0.2">
      <c r="A154" s="621">
        <f t="shared" si="110"/>
        <v>147</v>
      </c>
      <c r="B154" s="164" t="str">
        <f>'WP1 Light Inventory'!A148</f>
        <v>55E &amp; 56E</v>
      </c>
      <c r="C154" s="164"/>
      <c r="D154" s="327" t="str">
        <f>'WP1 Light Inventory'!D148</f>
        <v>Sodium Vapor</v>
      </c>
      <c r="E154" s="165" t="str">
        <f>'WP1 Light Inventory'!E148</f>
        <v>SV 150</v>
      </c>
      <c r="F154" s="364">
        <f>'WP1 Light Inventory'!J148</f>
        <v>488</v>
      </c>
      <c r="G154" s="366">
        <f>'WP12 Condensed Sch. Level Costs'!O147</f>
        <v>52.5</v>
      </c>
      <c r="H154" s="339">
        <f t="shared" si="120"/>
        <v>1.98E-3</v>
      </c>
      <c r="I154" s="295">
        <f t="shared" si="121"/>
        <v>585.6</v>
      </c>
      <c r="J154" s="163">
        <f t="shared" si="122"/>
        <v>0.1</v>
      </c>
      <c r="L154" s="339">
        <f t="shared" si="123"/>
        <v>2.0630000000000002E-3</v>
      </c>
      <c r="M154" s="295">
        <f t="shared" si="124"/>
        <v>644.16</v>
      </c>
      <c r="N154" s="163">
        <f t="shared" si="125"/>
        <v>0.11</v>
      </c>
      <c r="P154" s="339">
        <f t="shared" si="126"/>
        <v>0</v>
      </c>
      <c r="Q154" s="295">
        <f t="shared" si="127"/>
        <v>0</v>
      </c>
      <c r="R154" s="163">
        <f t="shared" si="128"/>
        <v>0</v>
      </c>
      <c r="T154" s="621" t="s">
        <v>1153</v>
      </c>
    </row>
    <row r="155" spans="1:20" x14ac:dyDescent="0.2">
      <c r="A155" s="621">
        <f t="shared" si="110"/>
        <v>148</v>
      </c>
      <c r="B155" s="164" t="str">
        <f>'WP1 Light Inventory'!A149</f>
        <v>55E &amp; 56E</v>
      </c>
      <c r="C155" s="164"/>
      <c r="D155" s="327" t="str">
        <f>'WP1 Light Inventory'!D149</f>
        <v>Sodium Vapor</v>
      </c>
      <c r="E155" s="165" t="str">
        <f>'WP1 Light Inventory'!E149</f>
        <v>SV 200</v>
      </c>
      <c r="F155" s="364">
        <f>'WP1 Light Inventory'!J149</f>
        <v>1043</v>
      </c>
      <c r="G155" s="366">
        <f>'WP12 Condensed Sch. Level Costs'!O148</f>
        <v>70</v>
      </c>
      <c r="H155" s="339">
        <f t="shared" si="120"/>
        <v>1.98E-3</v>
      </c>
      <c r="I155" s="295">
        <f t="shared" si="121"/>
        <v>1752.2400000000002</v>
      </c>
      <c r="J155" s="163">
        <f t="shared" si="122"/>
        <v>0.14000000000000001</v>
      </c>
      <c r="L155" s="339">
        <f t="shared" si="123"/>
        <v>2.0630000000000002E-3</v>
      </c>
      <c r="M155" s="295">
        <f t="shared" si="124"/>
        <v>1752.2400000000002</v>
      </c>
      <c r="N155" s="163">
        <f t="shared" si="125"/>
        <v>0.14000000000000001</v>
      </c>
      <c r="P155" s="339">
        <f t="shared" si="126"/>
        <v>0</v>
      </c>
      <c r="Q155" s="295">
        <f t="shared" si="127"/>
        <v>0</v>
      </c>
      <c r="R155" s="163">
        <f t="shared" si="128"/>
        <v>0</v>
      </c>
      <c r="T155" s="621" t="s">
        <v>1153</v>
      </c>
    </row>
    <row r="156" spans="1:20" x14ac:dyDescent="0.2">
      <c r="A156" s="621">
        <f t="shared" si="110"/>
        <v>149</v>
      </c>
      <c r="B156" s="164" t="str">
        <f>'WP1 Light Inventory'!A150</f>
        <v>55E &amp; 56E</v>
      </c>
      <c r="C156" s="164"/>
      <c r="D156" s="327" t="str">
        <f>'WP1 Light Inventory'!D150</f>
        <v>Sodium Vapor</v>
      </c>
      <c r="E156" s="165" t="str">
        <f>'WP1 Light Inventory'!E150</f>
        <v>SV 250</v>
      </c>
      <c r="F156" s="364">
        <f>'WP1 Light Inventory'!J150</f>
        <v>111</v>
      </c>
      <c r="G156" s="366">
        <f>'WP12 Condensed Sch. Level Costs'!O149</f>
        <v>87.5</v>
      </c>
      <c r="H156" s="339">
        <f t="shared" si="120"/>
        <v>1.98E-3</v>
      </c>
      <c r="I156" s="295">
        <f t="shared" si="121"/>
        <v>226.44</v>
      </c>
      <c r="J156" s="163">
        <f t="shared" si="122"/>
        <v>0.17</v>
      </c>
      <c r="L156" s="339">
        <f t="shared" si="123"/>
        <v>2.0630000000000002E-3</v>
      </c>
      <c r="M156" s="295">
        <f t="shared" si="124"/>
        <v>239.76</v>
      </c>
      <c r="N156" s="163">
        <f t="shared" si="125"/>
        <v>0.18</v>
      </c>
      <c r="P156" s="339">
        <f t="shared" si="126"/>
        <v>0</v>
      </c>
      <c r="Q156" s="295">
        <f t="shared" si="127"/>
        <v>0</v>
      </c>
      <c r="R156" s="163">
        <f t="shared" si="128"/>
        <v>0</v>
      </c>
      <c r="T156" s="621" t="s">
        <v>1153</v>
      </c>
    </row>
    <row r="157" spans="1:20" x14ac:dyDescent="0.2">
      <c r="A157" s="621">
        <f t="shared" si="110"/>
        <v>150</v>
      </c>
      <c r="B157" s="164" t="str">
        <f>'WP1 Light Inventory'!A151</f>
        <v>55E &amp; 56E</v>
      </c>
      <c r="C157" s="164"/>
      <c r="D157" s="327" t="str">
        <f>'WP1 Light Inventory'!D151</f>
        <v>Sodium Vapor</v>
      </c>
      <c r="E157" s="165" t="str">
        <f>'WP1 Light Inventory'!E151</f>
        <v>SV 400</v>
      </c>
      <c r="F157" s="364">
        <f>'WP1 Light Inventory'!J151</f>
        <v>45</v>
      </c>
      <c r="G157" s="366">
        <f>'WP12 Condensed Sch. Level Costs'!O150</f>
        <v>140</v>
      </c>
      <c r="H157" s="339">
        <f t="shared" si="120"/>
        <v>1.98E-3</v>
      </c>
      <c r="I157" s="295">
        <f t="shared" si="121"/>
        <v>151.20000000000002</v>
      </c>
      <c r="J157" s="163">
        <f t="shared" si="122"/>
        <v>0.28000000000000003</v>
      </c>
      <c r="L157" s="339">
        <f t="shared" si="123"/>
        <v>2.0630000000000002E-3</v>
      </c>
      <c r="M157" s="295">
        <f t="shared" si="124"/>
        <v>156.6</v>
      </c>
      <c r="N157" s="163">
        <f t="shared" si="125"/>
        <v>0.28999999999999998</v>
      </c>
      <c r="P157" s="339">
        <f t="shared" si="126"/>
        <v>0</v>
      </c>
      <c r="Q157" s="295">
        <f t="shared" si="127"/>
        <v>0</v>
      </c>
      <c r="R157" s="163">
        <f t="shared" si="128"/>
        <v>0</v>
      </c>
      <c r="T157" s="621" t="s">
        <v>1153</v>
      </c>
    </row>
    <row r="158" spans="1:20" x14ac:dyDescent="0.2">
      <c r="A158" s="621">
        <f t="shared" si="110"/>
        <v>151</v>
      </c>
      <c r="B158" s="164"/>
      <c r="C158" s="164"/>
      <c r="D158" s="327"/>
      <c r="E158" s="165"/>
      <c r="F158" s="364"/>
      <c r="G158" s="399"/>
      <c r="H158" s="342"/>
      <c r="I158" s="295"/>
      <c r="L158" s="342"/>
      <c r="M158" s="295"/>
      <c r="P158" s="342"/>
      <c r="Q158" s="295"/>
    </row>
    <row r="159" spans="1:20" x14ac:dyDescent="0.2">
      <c r="A159" s="621">
        <f t="shared" si="110"/>
        <v>152</v>
      </c>
      <c r="B159" s="164" t="str">
        <f>'WP1 Light Inventory'!A153</f>
        <v>55E &amp; 56E</v>
      </c>
      <c r="C159" s="164"/>
      <c r="D159" s="327" t="str">
        <f>'WP1 Light Inventory'!D153</f>
        <v>Metal Halide</v>
      </c>
      <c r="E159" s="165" t="str">
        <f>'WP1 Light Inventory'!E153</f>
        <v>MH 250</v>
      </c>
      <c r="F159" s="364">
        <f>'WP1 Light Inventory'!J153</f>
        <v>6</v>
      </c>
      <c r="G159" s="366">
        <f>'WP12 Condensed Sch. Level Costs'!O152</f>
        <v>87.5</v>
      </c>
      <c r="H159" s="339">
        <f t="shared" ref="H159" si="129">$Y$8</f>
        <v>1.98E-3</v>
      </c>
      <c r="I159" s="295">
        <f t="shared" ref="I159" si="130">+F159*J159*12</f>
        <v>12.24</v>
      </c>
      <c r="J159" s="163">
        <f t="shared" ref="J159" si="131">ROUND(+H159*G159,2)</f>
        <v>0.17</v>
      </c>
      <c r="L159" s="339">
        <f t="shared" ref="L159" si="132">$Y$9</f>
        <v>2.0630000000000002E-3</v>
      </c>
      <c r="M159" s="295">
        <f t="shared" ref="M159" si="133">+F159*N159*12</f>
        <v>12.96</v>
      </c>
      <c r="N159" s="163">
        <f t="shared" ref="N159" si="134">ROUND(+L159*G159,2)</f>
        <v>0.18</v>
      </c>
      <c r="P159" s="339">
        <f t="shared" ref="P159" si="135">$Y$10</f>
        <v>0</v>
      </c>
      <c r="Q159" s="295">
        <f t="shared" ref="Q159" si="136">+F159*R159*12</f>
        <v>0</v>
      </c>
      <c r="R159" s="163">
        <f t="shared" ref="R159" si="137">ROUND(+P159*G159,2)</f>
        <v>0</v>
      </c>
      <c r="T159" s="621" t="s">
        <v>1153</v>
      </c>
    </row>
    <row r="160" spans="1:20" x14ac:dyDescent="0.2">
      <c r="A160" s="621">
        <f t="shared" si="110"/>
        <v>153</v>
      </c>
      <c r="B160" s="164"/>
      <c r="C160" s="164"/>
      <c r="D160" s="327"/>
      <c r="E160" s="165"/>
      <c r="F160" s="364"/>
      <c r="G160" s="399"/>
      <c r="H160" s="342"/>
      <c r="I160" s="295"/>
      <c r="L160" s="342"/>
      <c r="M160" s="295"/>
      <c r="P160" s="342"/>
      <c r="Q160" s="295"/>
    </row>
    <row r="161" spans="1:20" x14ac:dyDescent="0.2">
      <c r="A161" s="621">
        <f t="shared" si="110"/>
        <v>154</v>
      </c>
      <c r="B161" s="164" t="str">
        <f>'WP1 Light Inventory'!A155</f>
        <v>55E &amp; 56E</v>
      </c>
      <c r="C161" s="164"/>
      <c r="D161" s="327" t="str">
        <f>'WP1 Light Inventory'!D155</f>
        <v>Light Emitting Diode</v>
      </c>
      <c r="E161" s="165" t="str">
        <f>'WP1 Light Inventory'!E155</f>
        <v>LED 0-030</v>
      </c>
      <c r="F161" s="364">
        <f>'WP1 Light Inventory'!J155</f>
        <v>0</v>
      </c>
      <c r="G161" s="366">
        <f>'WP12 Condensed Sch. Level Costs'!O154</f>
        <v>5.25</v>
      </c>
      <c r="H161" s="339">
        <f t="shared" ref="H161:H170" si="138">$Y$8</f>
        <v>1.98E-3</v>
      </c>
      <c r="I161" s="295">
        <f t="shared" ref="I161:I170" si="139">+F161*J161*12</f>
        <v>0</v>
      </c>
      <c r="J161" s="163">
        <f t="shared" ref="J161:J170" si="140">ROUND(+H161*G161,2)</f>
        <v>0.01</v>
      </c>
      <c r="L161" s="339">
        <f t="shared" ref="L161:L170" si="141">$Y$9</f>
        <v>2.0630000000000002E-3</v>
      </c>
      <c r="M161" s="295">
        <f t="shared" ref="M161:M170" si="142">+F161*N161*12</f>
        <v>0</v>
      </c>
      <c r="N161" s="163">
        <f t="shared" ref="N161:N170" si="143">ROUND(+L161*G161,2)</f>
        <v>0.01</v>
      </c>
      <c r="P161" s="339">
        <f t="shared" ref="P161:P170" si="144">$Y$10</f>
        <v>0</v>
      </c>
      <c r="Q161" s="295">
        <f t="shared" ref="Q161:Q170" si="145">+F161*R161*12</f>
        <v>0</v>
      </c>
      <c r="R161" s="163">
        <f t="shared" ref="R161:R170" si="146">ROUND(+P161*G161,2)</f>
        <v>0</v>
      </c>
      <c r="T161" s="621" t="s">
        <v>1153</v>
      </c>
    </row>
    <row r="162" spans="1:20" x14ac:dyDescent="0.2">
      <c r="A162" s="621">
        <f t="shared" si="110"/>
        <v>155</v>
      </c>
      <c r="B162" s="164" t="str">
        <f>'WP1 Light Inventory'!A156</f>
        <v>55E &amp; 56E</v>
      </c>
      <c r="C162" s="164"/>
      <c r="D162" s="327" t="str">
        <f>'WP1 Light Inventory'!D156</f>
        <v>Light Emitting Diode</v>
      </c>
      <c r="E162" s="165" t="str">
        <f>'WP1 Light Inventory'!E156</f>
        <v>LED 030.01-060</v>
      </c>
      <c r="F162" s="364">
        <f>'WP1 Light Inventory'!J156</f>
        <v>599</v>
      </c>
      <c r="G162" s="366">
        <f>'WP12 Condensed Sch. Level Costs'!O155</f>
        <v>15.75</v>
      </c>
      <c r="H162" s="339">
        <f t="shared" si="138"/>
        <v>1.98E-3</v>
      </c>
      <c r="I162" s="295">
        <f t="shared" si="139"/>
        <v>215.64</v>
      </c>
      <c r="J162" s="163">
        <f t="shared" si="140"/>
        <v>0.03</v>
      </c>
      <c r="L162" s="339">
        <f t="shared" si="141"/>
        <v>2.0630000000000002E-3</v>
      </c>
      <c r="M162" s="295">
        <f t="shared" si="142"/>
        <v>215.64</v>
      </c>
      <c r="N162" s="163">
        <f t="shared" si="143"/>
        <v>0.03</v>
      </c>
      <c r="P162" s="339">
        <f t="shared" si="144"/>
        <v>0</v>
      </c>
      <c r="Q162" s="295">
        <f t="shared" si="145"/>
        <v>0</v>
      </c>
      <c r="R162" s="163">
        <f t="shared" si="146"/>
        <v>0</v>
      </c>
      <c r="T162" s="621" t="s">
        <v>1153</v>
      </c>
    </row>
    <row r="163" spans="1:20" x14ac:dyDescent="0.2">
      <c r="A163" s="621">
        <f t="shared" si="110"/>
        <v>156</v>
      </c>
      <c r="B163" s="164" t="str">
        <f>'WP1 Light Inventory'!A157</f>
        <v>55E &amp; 56E</v>
      </c>
      <c r="C163" s="164"/>
      <c r="D163" s="327" t="str">
        <f>'WP1 Light Inventory'!D157</f>
        <v>Light Emitting Diode</v>
      </c>
      <c r="E163" s="165" t="str">
        <f>'WP1 Light Inventory'!E157</f>
        <v>LED 060.01-090</v>
      </c>
      <c r="F163" s="364">
        <f>'WP1 Light Inventory'!J157</f>
        <v>6</v>
      </c>
      <c r="G163" s="366">
        <f>'WP12 Condensed Sch. Level Costs'!O156</f>
        <v>26.25</v>
      </c>
      <c r="H163" s="339">
        <f t="shared" si="138"/>
        <v>1.98E-3</v>
      </c>
      <c r="I163" s="295">
        <f t="shared" si="139"/>
        <v>3.6000000000000005</v>
      </c>
      <c r="J163" s="163">
        <f t="shared" si="140"/>
        <v>0.05</v>
      </c>
      <c r="L163" s="339">
        <f t="shared" si="141"/>
        <v>2.0630000000000002E-3</v>
      </c>
      <c r="M163" s="295">
        <f t="shared" si="142"/>
        <v>3.6000000000000005</v>
      </c>
      <c r="N163" s="163">
        <f t="shared" si="143"/>
        <v>0.05</v>
      </c>
      <c r="P163" s="339">
        <f t="shared" si="144"/>
        <v>0</v>
      </c>
      <c r="Q163" s="295">
        <f t="shared" si="145"/>
        <v>0</v>
      </c>
      <c r="R163" s="163">
        <f t="shared" si="146"/>
        <v>0</v>
      </c>
      <c r="T163" s="621" t="s">
        <v>1153</v>
      </c>
    </row>
    <row r="164" spans="1:20" x14ac:dyDescent="0.2">
      <c r="A164" s="621">
        <f t="shared" si="110"/>
        <v>157</v>
      </c>
      <c r="B164" s="164" t="str">
        <f>'WP1 Light Inventory'!A158</f>
        <v>55E &amp; 56E</v>
      </c>
      <c r="C164" s="164"/>
      <c r="D164" s="327" t="str">
        <f>'WP1 Light Inventory'!D158</f>
        <v>Light Emitting Diode</v>
      </c>
      <c r="E164" s="165" t="str">
        <f>'WP1 Light Inventory'!E158</f>
        <v>LED 090.01-120</v>
      </c>
      <c r="F164" s="364">
        <f>'WP1 Light Inventory'!J158</f>
        <v>150</v>
      </c>
      <c r="G164" s="366">
        <f>'WP12 Condensed Sch. Level Costs'!O157</f>
        <v>36.75</v>
      </c>
      <c r="H164" s="339">
        <f t="shared" si="138"/>
        <v>1.98E-3</v>
      </c>
      <c r="I164" s="295">
        <f t="shared" si="139"/>
        <v>126.00000000000003</v>
      </c>
      <c r="J164" s="163">
        <f t="shared" si="140"/>
        <v>7.0000000000000007E-2</v>
      </c>
      <c r="L164" s="339">
        <f t="shared" si="141"/>
        <v>2.0630000000000002E-3</v>
      </c>
      <c r="M164" s="295">
        <f t="shared" si="142"/>
        <v>144</v>
      </c>
      <c r="N164" s="163">
        <f t="shared" si="143"/>
        <v>0.08</v>
      </c>
      <c r="P164" s="339">
        <f t="shared" si="144"/>
        <v>0</v>
      </c>
      <c r="Q164" s="295">
        <f t="shared" si="145"/>
        <v>0</v>
      </c>
      <c r="R164" s="163">
        <f t="shared" si="146"/>
        <v>0</v>
      </c>
      <c r="T164" s="621" t="s">
        <v>1153</v>
      </c>
    </row>
    <row r="165" spans="1:20" x14ac:dyDescent="0.2">
      <c r="A165" s="621">
        <f t="shared" si="110"/>
        <v>158</v>
      </c>
      <c r="B165" s="164" t="str">
        <f>'WP1 Light Inventory'!A159</f>
        <v>55E &amp; 56E</v>
      </c>
      <c r="C165" s="164"/>
      <c r="D165" s="327" t="str">
        <f>'WP1 Light Inventory'!D159</f>
        <v>Light Emitting Diode</v>
      </c>
      <c r="E165" s="165" t="str">
        <f>'WP1 Light Inventory'!E159</f>
        <v>LED 120.01-150</v>
      </c>
      <c r="F165" s="364">
        <f>'WP1 Light Inventory'!J159</f>
        <v>0</v>
      </c>
      <c r="G165" s="366">
        <f>'WP12 Condensed Sch. Level Costs'!O158</f>
        <v>47.25</v>
      </c>
      <c r="H165" s="339">
        <f t="shared" si="138"/>
        <v>1.98E-3</v>
      </c>
      <c r="I165" s="295">
        <f t="shared" si="139"/>
        <v>0</v>
      </c>
      <c r="J165" s="163">
        <f t="shared" si="140"/>
        <v>0.09</v>
      </c>
      <c r="L165" s="339">
        <f t="shared" si="141"/>
        <v>2.0630000000000002E-3</v>
      </c>
      <c r="M165" s="295">
        <f t="shared" si="142"/>
        <v>0</v>
      </c>
      <c r="N165" s="163">
        <f t="shared" si="143"/>
        <v>0.1</v>
      </c>
      <c r="P165" s="339">
        <f t="shared" si="144"/>
        <v>0</v>
      </c>
      <c r="Q165" s="295">
        <f t="shared" si="145"/>
        <v>0</v>
      </c>
      <c r="R165" s="163">
        <f t="shared" si="146"/>
        <v>0</v>
      </c>
      <c r="T165" s="621" t="s">
        <v>1153</v>
      </c>
    </row>
    <row r="166" spans="1:20" x14ac:dyDescent="0.2">
      <c r="A166" s="621">
        <f t="shared" si="110"/>
        <v>159</v>
      </c>
      <c r="B166" s="164" t="str">
        <f>'WP1 Light Inventory'!A160</f>
        <v>55E &amp; 56E</v>
      </c>
      <c r="C166" s="164"/>
      <c r="D166" s="327" t="str">
        <f>'WP1 Light Inventory'!D160</f>
        <v>Light Emitting Diode</v>
      </c>
      <c r="E166" s="165" t="str">
        <f>'WP1 Light Inventory'!E160</f>
        <v>LED 150.01-180</v>
      </c>
      <c r="F166" s="364">
        <f>'WP1 Light Inventory'!J160</f>
        <v>0</v>
      </c>
      <c r="G166" s="366">
        <f>'WP12 Condensed Sch. Level Costs'!O159</f>
        <v>57.75</v>
      </c>
      <c r="H166" s="339">
        <f t="shared" si="138"/>
        <v>1.98E-3</v>
      </c>
      <c r="I166" s="295">
        <f t="shared" si="139"/>
        <v>0</v>
      </c>
      <c r="J166" s="163">
        <f t="shared" si="140"/>
        <v>0.11</v>
      </c>
      <c r="L166" s="339">
        <f t="shared" si="141"/>
        <v>2.0630000000000002E-3</v>
      </c>
      <c r="M166" s="295">
        <f t="shared" si="142"/>
        <v>0</v>
      </c>
      <c r="N166" s="163">
        <f t="shared" si="143"/>
        <v>0.12</v>
      </c>
      <c r="P166" s="339">
        <f t="shared" si="144"/>
        <v>0</v>
      </c>
      <c r="Q166" s="295">
        <f t="shared" si="145"/>
        <v>0</v>
      </c>
      <c r="R166" s="163">
        <f t="shared" si="146"/>
        <v>0</v>
      </c>
      <c r="T166" s="621" t="s">
        <v>1153</v>
      </c>
    </row>
    <row r="167" spans="1:20" x14ac:dyDescent="0.2">
      <c r="A167" s="621">
        <f t="shared" si="110"/>
        <v>160</v>
      </c>
      <c r="B167" s="164" t="str">
        <f>'WP1 Light Inventory'!A161</f>
        <v>55E &amp; 56E</v>
      </c>
      <c r="C167" s="164"/>
      <c r="D167" s="327" t="str">
        <f>'WP1 Light Inventory'!D161</f>
        <v>Light Emitting Diode</v>
      </c>
      <c r="E167" s="165" t="str">
        <f>'WP1 Light Inventory'!E161</f>
        <v>LED 180.01-210</v>
      </c>
      <c r="F167" s="364">
        <f>'WP1 Light Inventory'!J161</f>
        <v>0</v>
      </c>
      <c r="G167" s="366">
        <f>'WP12 Condensed Sch. Level Costs'!O160</f>
        <v>68.25</v>
      </c>
      <c r="H167" s="339">
        <f t="shared" si="138"/>
        <v>1.98E-3</v>
      </c>
      <c r="I167" s="295">
        <f t="shared" si="139"/>
        <v>0</v>
      </c>
      <c r="J167" s="163">
        <f t="shared" si="140"/>
        <v>0.14000000000000001</v>
      </c>
      <c r="L167" s="339">
        <f t="shared" si="141"/>
        <v>2.0630000000000002E-3</v>
      </c>
      <c r="M167" s="295">
        <f t="shared" si="142"/>
        <v>0</v>
      </c>
      <c r="N167" s="163">
        <f t="shared" si="143"/>
        <v>0.14000000000000001</v>
      </c>
      <c r="P167" s="339">
        <f t="shared" si="144"/>
        <v>0</v>
      </c>
      <c r="Q167" s="295">
        <f t="shared" si="145"/>
        <v>0</v>
      </c>
      <c r="R167" s="163">
        <f t="shared" si="146"/>
        <v>0</v>
      </c>
      <c r="T167" s="621" t="s">
        <v>1153</v>
      </c>
    </row>
    <row r="168" spans="1:20" x14ac:dyDescent="0.2">
      <c r="A168" s="621">
        <f t="shared" si="110"/>
        <v>161</v>
      </c>
      <c r="B168" s="164" t="str">
        <f>'WP1 Light Inventory'!A162</f>
        <v>55E &amp; 56E</v>
      </c>
      <c r="C168" s="164"/>
      <c r="D168" s="327" t="str">
        <f>'WP1 Light Inventory'!D162</f>
        <v>Light Emitting Diode</v>
      </c>
      <c r="E168" s="165" t="str">
        <f>'WP1 Light Inventory'!E162</f>
        <v>LED 210.01-240</v>
      </c>
      <c r="F168" s="364">
        <f>'WP1 Light Inventory'!J162</f>
        <v>0</v>
      </c>
      <c r="G168" s="366">
        <f>'WP12 Condensed Sch. Level Costs'!O161</f>
        <v>78.75</v>
      </c>
      <c r="H168" s="339">
        <f t="shared" si="138"/>
        <v>1.98E-3</v>
      </c>
      <c r="I168" s="295">
        <f t="shared" si="139"/>
        <v>0</v>
      </c>
      <c r="J168" s="163">
        <f t="shared" si="140"/>
        <v>0.16</v>
      </c>
      <c r="L168" s="339">
        <f t="shared" si="141"/>
        <v>2.0630000000000002E-3</v>
      </c>
      <c r="M168" s="295">
        <f t="shared" si="142"/>
        <v>0</v>
      </c>
      <c r="N168" s="163">
        <f t="shared" si="143"/>
        <v>0.16</v>
      </c>
      <c r="P168" s="339">
        <f t="shared" si="144"/>
        <v>0</v>
      </c>
      <c r="Q168" s="295">
        <f t="shared" si="145"/>
        <v>0</v>
      </c>
      <c r="R168" s="163">
        <f t="shared" si="146"/>
        <v>0</v>
      </c>
      <c r="T168" s="621" t="s">
        <v>1153</v>
      </c>
    </row>
    <row r="169" spans="1:20" x14ac:dyDescent="0.2">
      <c r="A169" s="621">
        <f t="shared" si="110"/>
        <v>162</v>
      </c>
      <c r="B169" s="164" t="str">
        <f>'WP1 Light Inventory'!A163</f>
        <v>55E &amp; 56E</v>
      </c>
      <c r="C169" s="164"/>
      <c r="D169" s="327" t="str">
        <f>'WP1 Light Inventory'!D163</f>
        <v>Light Emitting Diode</v>
      </c>
      <c r="E169" s="165" t="str">
        <f>'WP1 Light Inventory'!E163</f>
        <v>LED 240.01-270</v>
      </c>
      <c r="F169" s="364">
        <f>'WP1 Light Inventory'!J163</f>
        <v>0</v>
      </c>
      <c r="G169" s="366">
        <f>'WP12 Condensed Sch. Level Costs'!O162</f>
        <v>89.25</v>
      </c>
      <c r="H169" s="339">
        <f t="shared" si="138"/>
        <v>1.98E-3</v>
      </c>
      <c r="I169" s="295">
        <f t="shared" si="139"/>
        <v>0</v>
      </c>
      <c r="J169" s="163">
        <f t="shared" si="140"/>
        <v>0.18</v>
      </c>
      <c r="L169" s="339">
        <f t="shared" si="141"/>
        <v>2.0630000000000002E-3</v>
      </c>
      <c r="M169" s="295">
        <f t="shared" si="142"/>
        <v>0</v>
      </c>
      <c r="N169" s="163">
        <f t="shared" si="143"/>
        <v>0.18</v>
      </c>
      <c r="P169" s="339">
        <f t="shared" si="144"/>
        <v>0</v>
      </c>
      <c r="Q169" s="295">
        <f t="shared" si="145"/>
        <v>0</v>
      </c>
      <c r="R169" s="163">
        <f t="shared" si="146"/>
        <v>0</v>
      </c>
      <c r="T169" s="621" t="s">
        <v>1153</v>
      </c>
    </row>
    <row r="170" spans="1:20" x14ac:dyDescent="0.2">
      <c r="A170" s="621">
        <f t="shared" si="110"/>
        <v>163</v>
      </c>
      <c r="B170" s="164" t="str">
        <f>'WP1 Light Inventory'!A164</f>
        <v>55E &amp; 56E</v>
      </c>
      <c r="C170" s="164"/>
      <c r="D170" s="327" t="str">
        <f>'WP1 Light Inventory'!D164</f>
        <v>Light Emitting Diode</v>
      </c>
      <c r="E170" s="165" t="str">
        <f>'WP1 Light Inventory'!E164</f>
        <v>LED 270.01-300</v>
      </c>
      <c r="F170" s="364">
        <f>'WP1 Light Inventory'!J164</f>
        <v>0</v>
      </c>
      <c r="G170" s="366">
        <f>'WP12 Condensed Sch. Level Costs'!O163</f>
        <v>99.75</v>
      </c>
      <c r="H170" s="339">
        <f t="shared" si="138"/>
        <v>1.98E-3</v>
      </c>
      <c r="I170" s="295">
        <f t="shared" si="139"/>
        <v>0</v>
      </c>
      <c r="J170" s="163">
        <f t="shared" si="140"/>
        <v>0.2</v>
      </c>
      <c r="L170" s="339">
        <f t="shared" si="141"/>
        <v>2.0630000000000002E-3</v>
      </c>
      <c r="M170" s="295">
        <f t="shared" si="142"/>
        <v>0</v>
      </c>
      <c r="N170" s="163">
        <f t="shared" si="143"/>
        <v>0.21</v>
      </c>
      <c r="P170" s="339">
        <f t="shared" si="144"/>
        <v>0</v>
      </c>
      <c r="Q170" s="295">
        <f t="shared" si="145"/>
        <v>0</v>
      </c>
      <c r="R170" s="163">
        <f t="shared" si="146"/>
        <v>0</v>
      </c>
      <c r="T170" s="621" t="s">
        <v>1153</v>
      </c>
    </row>
    <row r="171" spans="1:20" x14ac:dyDescent="0.2">
      <c r="A171" s="621">
        <f t="shared" si="110"/>
        <v>164</v>
      </c>
      <c r="B171" s="164"/>
      <c r="C171" s="164"/>
      <c r="D171" s="327"/>
      <c r="E171" s="165"/>
      <c r="F171" s="364"/>
      <c r="G171" s="399"/>
      <c r="H171" s="342"/>
      <c r="I171" s="295"/>
      <c r="L171" s="342"/>
      <c r="M171" s="295"/>
      <c r="P171" s="342"/>
      <c r="Q171" s="295"/>
    </row>
    <row r="172" spans="1:20" x14ac:dyDescent="0.2">
      <c r="A172" s="621">
        <f t="shared" si="110"/>
        <v>165</v>
      </c>
      <c r="B172" s="164" t="s">
        <v>140</v>
      </c>
      <c r="C172" s="164"/>
      <c r="D172" s="327"/>
      <c r="E172" s="165"/>
      <c r="F172" s="364"/>
      <c r="G172" s="399"/>
      <c r="H172" s="342"/>
      <c r="I172" s="295"/>
      <c r="L172" s="342"/>
      <c r="M172" s="295"/>
      <c r="P172" s="342"/>
      <c r="Q172" s="295"/>
    </row>
    <row r="173" spans="1:20" x14ac:dyDescent="0.2">
      <c r="A173" s="621">
        <f t="shared" si="110"/>
        <v>166</v>
      </c>
      <c r="B173" s="164" t="str">
        <f>'WP1 Light Inventory'!A166</f>
        <v>58E &amp; 59E</v>
      </c>
      <c r="C173" s="164" t="str">
        <f>'WP1 Light Inventory'!C166</f>
        <v>Directional</v>
      </c>
      <c r="D173" s="327" t="str">
        <f>'WP1 Light Inventory'!D166</f>
        <v>Sodium Vapor</v>
      </c>
      <c r="E173" s="165" t="str">
        <f>'WP1 Light Inventory'!E166</f>
        <v>DSV 070</v>
      </c>
      <c r="F173" s="364">
        <f>'WP1 Light Inventory'!J166</f>
        <v>53</v>
      </c>
      <c r="G173" s="366">
        <f>'WP12 Condensed Sch. Level Costs'!O165</f>
        <v>24.5</v>
      </c>
      <c r="H173" s="339">
        <f t="shared" ref="H173:H178" si="147">$Y$8</f>
        <v>1.98E-3</v>
      </c>
      <c r="I173" s="295">
        <f t="shared" ref="I173:I178" si="148">+F173*J173*12</f>
        <v>31.800000000000004</v>
      </c>
      <c r="J173" s="163">
        <f t="shared" ref="J173:J178" si="149">ROUND(+H173*G173,2)</f>
        <v>0.05</v>
      </c>
      <c r="L173" s="339">
        <f t="shared" ref="L173:L178" si="150">$Y$9</f>
        <v>2.0630000000000002E-3</v>
      </c>
      <c r="M173" s="295">
        <f t="shared" ref="M173:M178" si="151">+F173*N173*12</f>
        <v>31.800000000000004</v>
      </c>
      <c r="N173" s="163">
        <f t="shared" ref="N173:N178" si="152">ROUND(+L173*G173,2)</f>
        <v>0.05</v>
      </c>
      <c r="P173" s="339">
        <f t="shared" ref="P173:P178" si="153">$Y$10</f>
        <v>0</v>
      </c>
      <c r="Q173" s="295">
        <f t="shared" ref="Q173:Q178" si="154">+F173*R173*12</f>
        <v>0</v>
      </c>
      <c r="R173" s="163">
        <f t="shared" ref="R173:R178" si="155">ROUND(+P173*G173,2)</f>
        <v>0</v>
      </c>
      <c r="T173" s="621" t="s">
        <v>1153</v>
      </c>
    </row>
    <row r="174" spans="1:20" x14ac:dyDescent="0.2">
      <c r="A174" s="621">
        <f t="shared" si="110"/>
        <v>167</v>
      </c>
      <c r="B174" s="164" t="str">
        <f>'WP1 Light Inventory'!A167</f>
        <v>58E &amp; 59E</v>
      </c>
      <c r="C174" s="164" t="str">
        <f>'WP1 Light Inventory'!C167</f>
        <v>Directional</v>
      </c>
      <c r="D174" s="327" t="str">
        <f>'WP1 Light Inventory'!D167</f>
        <v>Sodium Vapor</v>
      </c>
      <c r="E174" s="165" t="str">
        <f>'WP1 Light Inventory'!E167</f>
        <v>DSV 100</v>
      </c>
      <c r="F174" s="364">
        <f>'WP1 Light Inventory'!J167</f>
        <v>10</v>
      </c>
      <c r="G174" s="366">
        <f>'WP12 Condensed Sch. Level Costs'!O166</f>
        <v>35</v>
      </c>
      <c r="H174" s="339">
        <f t="shared" si="147"/>
        <v>1.98E-3</v>
      </c>
      <c r="I174" s="295">
        <f t="shared" si="148"/>
        <v>8.4</v>
      </c>
      <c r="J174" s="163">
        <f t="shared" si="149"/>
        <v>7.0000000000000007E-2</v>
      </c>
      <c r="L174" s="339">
        <f t="shared" si="150"/>
        <v>2.0630000000000002E-3</v>
      </c>
      <c r="M174" s="295">
        <f t="shared" si="151"/>
        <v>8.4</v>
      </c>
      <c r="N174" s="163">
        <f t="shared" si="152"/>
        <v>7.0000000000000007E-2</v>
      </c>
      <c r="P174" s="339">
        <f t="shared" si="153"/>
        <v>0</v>
      </c>
      <c r="Q174" s="295">
        <f t="shared" si="154"/>
        <v>0</v>
      </c>
      <c r="R174" s="163">
        <f t="shared" si="155"/>
        <v>0</v>
      </c>
      <c r="T174" s="621" t="s">
        <v>1153</v>
      </c>
    </row>
    <row r="175" spans="1:20" x14ac:dyDescent="0.2">
      <c r="A175" s="621">
        <f t="shared" si="110"/>
        <v>168</v>
      </c>
      <c r="B175" s="164" t="str">
        <f>'WP1 Light Inventory'!A168</f>
        <v>58E &amp; 59E</v>
      </c>
      <c r="C175" s="164" t="str">
        <f>'WP1 Light Inventory'!C168</f>
        <v>Directional</v>
      </c>
      <c r="D175" s="327" t="str">
        <f>'WP1 Light Inventory'!D168</f>
        <v>Sodium Vapor</v>
      </c>
      <c r="E175" s="165" t="str">
        <f>'WP1 Light Inventory'!E168</f>
        <v>DSV 150</v>
      </c>
      <c r="F175" s="364">
        <f>'WP1 Light Inventory'!J168</f>
        <v>145</v>
      </c>
      <c r="G175" s="366">
        <f>'WP12 Condensed Sch. Level Costs'!O167</f>
        <v>52.5</v>
      </c>
      <c r="H175" s="339">
        <f t="shared" si="147"/>
        <v>1.98E-3</v>
      </c>
      <c r="I175" s="295">
        <f t="shared" si="148"/>
        <v>174</v>
      </c>
      <c r="J175" s="163">
        <f t="shared" si="149"/>
        <v>0.1</v>
      </c>
      <c r="L175" s="339">
        <f t="shared" si="150"/>
        <v>2.0630000000000002E-3</v>
      </c>
      <c r="M175" s="295">
        <f t="shared" si="151"/>
        <v>191.39999999999998</v>
      </c>
      <c r="N175" s="163">
        <f t="shared" si="152"/>
        <v>0.11</v>
      </c>
      <c r="P175" s="339">
        <f t="shared" si="153"/>
        <v>0</v>
      </c>
      <c r="Q175" s="295">
        <f t="shared" si="154"/>
        <v>0</v>
      </c>
      <c r="R175" s="163">
        <f t="shared" si="155"/>
        <v>0</v>
      </c>
      <c r="T175" s="621" t="s">
        <v>1153</v>
      </c>
    </row>
    <row r="176" spans="1:20" x14ac:dyDescent="0.2">
      <c r="A176" s="621">
        <f t="shared" si="110"/>
        <v>169</v>
      </c>
      <c r="B176" s="164" t="str">
        <f>'WP1 Light Inventory'!A169</f>
        <v>58E &amp; 59E</v>
      </c>
      <c r="C176" s="164" t="str">
        <f>'WP1 Light Inventory'!C169</f>
        <v>Directional</v>
      </c>
      <c r="D176" s="327" t="str">
        <f>'WP1 Light Inventory'!D169</f>
        <v>Sodium Vapor</v>
      </c>
      <c r="E176" s="165" t="str">
        <f>'WP1 Light Inventory'!E169</f>
        <v>DSV 200</v>
      </c>
      <c r="F176" s="364">
        <f>'WP1 Light Inventory'!J169</f>
        <v>266</v>
      </c>
      <c r="G176" s="366">
        <f>'WP12 Condensed Sch. Level Costs'!O168</f>
        <v>70</v>
      </c>
      <c r="H176" s="339">
        <f t="shared" si="147"/>
        <v>1.98E-3</v>
      </c>
      <c r="I176" s="295">
        <f t="shared" si="148"/>
        <v>446.88</v>
      </c>
      <c r="J176" s="163">
        <f t="shared" si="149"/>
        <v>0.14000000000000001</v>
      </c>
      <c r="L176" s="339">
        <f t="shared" si="150"/>
        <v>2.0630000000000002E-3</v>
      </c>
      <c r="M176" s="295">
        <f t="shared" si="151"/>
        <v>446.88</v>
      </c>
      <c r="N176" s="163">
        <f t="shared" si="152"/>
        <v>0.14000000000000001</v>
      </c>
      <c r="P176" s="339">
        <f t="shared" si="153"/>
        <v>0</v>
      </c>
      <c r="Q176" s="295">
        <f t="shared" si="154"/>
        <v>0</v>
      </c>
      <c r="R176" s="163">
        <f t="shared" si="155"/>
        <v>0</v>
      </c>
      <c r="T176" s="621" t="s">
        <v>1153</v>
      </c>
    </row>
    <row r="177" spans="1:20" x14ac:dyDescent="0.2">
      <c r="A177" s="621">
        <f t="shared" si="110"/>
        <v>170</v>
      </c>
      <c r="B177" s="164" t="str">
        <f>'WP1 Light Inventory'!A170</f>
        <v>58E &amp; 59E</v>
      </c>
      <c r="C177" s="164" t="str">
        <f>'WP1 Light Inventory'!C170</f>
        <v>Directional</v>
      </c>
      <c r="D177" s="327" t="str">
        <f>'WP1 Light Inventory'!D170</f>
        <v>Sodium Vapor</v>
      </c>
      <c r="E177" s="165" t="str">
        <f>'WP1 Light Inventory'!E170</f>
        <v>DSV 250</v>
      </c>
      <c r="F177" s="364">
        <f>'WP1 Light Inventory'!J170</f>
        <v>39</v>
      </c>
      <c r="G177" s="366">
        <f>'WP12 Condensed Sch. Level Costs'!O169</f>
        <v>87.5</v>
      </c>
      <c r="H177" s="339">
        <f t="shared" si="147"/>
        <v>1.98E-3</v>
      </c>
      <c r="I177" s="295">
        <f t="shared" si="148"/>
        <v>79.56</v>
      </c>
      <c r="J177" s="163">
        <f t="shared" si="149"/>
        <v>0.17</v>
      </c>
      <c r="L177" s="339">
        <f t="shared" si="150"/>
        <v>2.0630000000000002E-3</v>
      </c>
      <c r="M177" s="295">
        <f t="shared" si="151"/>
        <v>84.24</v>
      </c>
      <c r="N177" s="163">
        <f t="shared" si="152"/>
        <v>0.18</v>
      </c>
      <c r="P177" s="339">
        <f t="shared" si="153"/>
        <v>0</v>
      </c>
      <c r="Q177" s="295">
        <f t="shared" si="154"/>
        <v>0</v>
      </c>
      <c r="R177" s="163">
        <f t="shared" si="155"/>
        <v>0</v>
      </c>
      <c r="T177" s="621" t="s">
        <v>1153</v>
      </c>
    </row>
    <row r="178" spans="1:20" x14ac:dyDescent="0.2">
      <c r="A178" s="621">
        <f t="shared" si="110"/>
        <v>171</v>
      </c>
      <c r="B178" s="164" t="str">
        <f>'WP1 Light Inventory'!A171</f>
        <v>58E &amp; 59E</v>
      </c>
      <c r="C178" s="164" t="str">
        <f>'WP1 Light Inventory'!C171</f>
        <v>Directional</v>
      </c>
      <c r="D178" s="327" t="str">
        <f>'WP1 Light Inventory'!D171</f>
        <v>Sodium Vapor</v>
      </c>
      <c r="E178" s="165" t="str">
        <f>'WP1 Light Inventory'!E171</f>
        <v>DSV 400</v>
      </c>
      <c r="F178" s="364">
        <f>'WP1 Light Inventory'!J171</f>
        <v>354</v>
      </c>
      <c r="G178" s="366">
        <f>'WP12 Condensed Sch. Level Costs'!O170</f>
        <v>140</v>
      </c>
      <c r="H178" s="339">
        <f t="shared" si="147"/>
        <v>1.98E-3</v>
      </c>
      <c r="I178" s="295">
        <f t="shared" si="148"/>
        <v>1189.44</v>
      </c>
      <c r="J178" s="163">
        <f t="shared" si="149"/>
        <v>0.28000000000000003</v>
      </c>
      <c r="L178" s="339">
        <f t="shared" si="150"/>
        <v>2.0630000000000002E-3</v>
      </c>
      <c r="M178" s="295">
        <f t="shared" si="151"/>
        <v>1231.92</v>
      </c>
      <c r="N178" s="163">
        <f t="shared" si="152"/>
        <v>0.28999999999999998</v>
      </c>
      <c r="P178" s="339">
        <f t="shared" si="153"/>
        <v>0</v>
      </c>
      <c r="Q178" s="295">
        <f t="shared" si="154"/>
        <v>0</v>
      </c>
      <c r="R178" s="163">
        <f t="shared" si="155"/>
        <v>0</v>
      </c>
      <c r="T178" s="621" t="s">
        <v>1153</v>
      </c>
    </row>
    <row r="179" spans="1:20" x14ac:dyDescent="0.2">
      <c r="A179" s="621">
        <f t="shared" si="110"/>
        <v>172</v>
      </c>
      <c r="B179" s="164"/>
      <c r="C179" s="164"/>
      <c r="D179" s="327"/>
      <c r="E179" s="165"/>
      <c r="F179" s="364"/>
      <c r="G179" s="399"/>
      <c r="H179" s="342"/>
      <c r="I179" s="295"/>
      <c r="L179" s="342"/>
      <c r="M179" s="295"/>
      <c r="P179" s="342"/>
      <c r="Q179" s="295"/>
    </row>
    <row r="180" spans="1:20" x14ac:dyDescent="0.2">
      <c r="A180" s="621">
        <f t="shared" si="110"/>
        <v>173</v>
      </c>
      <c r="B180" s="164" t="str">
        <f>'WP1 Light Inventory'!A173</f>
        <v>58E &amp; 59E</v>
      </c>
      <c r="C180" s="164" t="str">
        <f>'WP1 Light Inventory'!C173</f>
        <v>Horizontal</v>
      </c>
      <c r="D180" s="327" t="str">
        <f>'WP1 Light Inventory'!D173</f>
        <v>Sodium Vapor</v>
      </c>
      <c r="E180" s="165" t="str">
        <f>'WP1 Light Inventory'!E173</f>
        <v>HSV 100</v>
      </c>
      <c r="F180" s="364">
        <f>'WP1 Light Inventory'!J173</f>
        <v>1</v>
      </c>
      <c r="G180" s="366">
        <f>'WP12 Condensed Sch. Level Costs'!O172</f>
        <v>35</v>
      </c>
      <c r="H180" s="339">
        <f t="shared" ref="H180:H184" si="156">$Y$8</f>
        <v>1.98E-3</v>
      </c>
      <c r="I180" s="295">
        <f t="shared" ref="I180:I184" si="157">+F180*J180*12</f>
        <v>0.84000000000000008</v>
      </c>
      <c r="J180" s="163">
        <f t="shared" ref="J180:J184" si="158">ROUND(+H180*G180,2)</f>
        <v>7.0000000000000007E-2</v>
      </c>
      <c r="L180" s="339">
        <f t="shared" ref="L180:L184" si="159">$Y$9</f>
        <v>2.0630000000000002E-3</v>
      </c>
      <c r="M180" s="295">
        <f t="shared" ref="M180:M184" si="160">+F180*N180*12</f>
        <v>0.84000000000000008</v>
      </c>
      <c r="N180" s="163">
        <f t="shared" ref="N180:N184" si="161">ROUND(+L180*G180,2)</f>
        <v>7.0000000000000007E-2</v>
      </c>
      <c r="P180" s="339">
        <f t="shared" ref="P180:P184" si="162">$Y$10</f>
        <v>0</v>
      </c>
      <c r="Q180" s="295">
        <f t="shared" ref="Q180:Q184" si="163">+F180*R180*12</f>
        <v>0</v>
      </c>
      <c r="R180" s="163">
        <f t="shared" ref="R180:R184" si="164">ROUND(+P180*G180,2)</f>
        <v>0</v>
      </c>
      <c r="T180" s="621" t="s">
        <v>1153</v>
      </c>
    </row>
    <row r="181" spans="1:20" x14ac:dyDescent="0.2">
      <c r="A181" s="621">
        <f t="shared" si="110"/>
        <v>174</v>
      </c>
      <c r="B181" s="164" t="str">
        <f>'WP1 Light Inventory'!A174</f>
        <v>58E &amp; 59E</v>
      </c>
      <c r="C181" s="164" t="str">
        <f>'WP1 Light Inventory'!C174</f>
        <v>Horizontal</v>
      </c>
      <c r="D181" s="327" t="str">
        <f>'WP1 Light Inventory'!D174</f>
        <v>Sodium Vapor</v>
      </c>
      <c r="E181" s="165" t="str">
        <f>'WP1 Light Inventory'!E174</f>
        <v>HSV 150</v>
      </c>
      <c r="F181" s="364">
        <f>'WP1 Light Inventory'!J174</f>
        <v>16</v>
      </c>
      <c r="G181" s="366">
        <f>'WP12 Condensed Sch. Level Costs'!O173</f>
        <v>52.5</v>
      </c>
      <c r="H181" s="339">
        <f t="shared" si="156"/>
        <v>1.98E-3</v>
      </c>
      <c r="I181" s="295">
        <f t="shared" si="157"/>
        <v>19.200000000000003</v>
      </c>
      <c r="J181" s="163">
        <f t="shared" si="158"/>
        <v>0.1</v>
      </c>
      <c r="L181" s="339">
        <f t="shared" si="159"/>
        <v>2.0630000000000002E-3</v>
      </c>
      <c r="M181" s="295">
        <f t="shared" si="160"/>
        <v>21.12</v>
      </c>
      <c r="N181" s="163">
        <f t="shared" si="161"/>
        <v>0.11</v>
      </c>
      <c r="P181" s="339">
        <f t="shared" si="162"/>
        <v>0</v>
      </c>
      <c r="Q181" s="295">
        <f t="shared" si="163"/>
        <v>0</v>
      </c>
      <c r="R181" s="163">
        <f t="shared" si="164"/>
        <v>0</v>
      </c>
      <c r="T181" s="621" t="s">
        <v>1153</v>
      </c>
    </row>
    <row r="182" spans="1:20" x14ac:dyDescent="0.2">
      <c r="A182" s="621">
        <f t="shared" si="110"/>
        <v>175</v>
      </c>
      <c r="B182" s="164" t="str">
        <f>'WP1 Light Inventory'!A175</f>
        <v>58E &amp; 59E</v>
      </c>
      <c r="C182" s="164" t="str">
        <f>'WP1 Light Inventory'!C175</f>
        <v>Horizontal</v>
      </c>
      <c r="D182" s="327" t="str">
        <f>'WP1 Light Inventory'!D175</f>
        <v>Sodium Vapor</v>
      </c>
      <c r="E182" s="165" t="str">
        <f>'WP1 Light Inventory'!E175</f>
        <v>HSV 200</v>
      </c>
      <c r="F182" s="364">
        <f>'WP1 Light Inventory'!J175</f>
        <v>9</v>
      </c>
      <c r="G182" s="366">
        <f>'WP12 Condensed Sch. Level Costs'!O174</f>
        <v>70</v>
      </c>
      <c r="H182" s="339">
        <f t="shared" si="156"/>
        <v>1.98E-3</v>
      </c>
      <c r="I182" s="295">
        <f t="shared" si="157"/>
        <v>15.120000000000003</v>
      </c>
      <c r="J182" s="163">
        <f t="shared" si="158"/>
        <v>0.14000000000000001</v>
      </c>
      <c r="L182" s="339">
        <f t="shared" si="159"/>
        <v>2.0630000000000002E-3</v>
      </c>
      <c r="M182" s="295">
        <f t="shared" si="160"/>
        <v>15.120000000000003</v>
      </c>
      <c r="N182" s="163">
        <f t="shared" si="161"/>
        <v>0.14000000000000001</v>
      </c>
      <c r="P182" s="339">
        <f t="shared" si="162"/>
        <v>0</v>
      </c>
      <c r="Q182" s="295">
        <f t="shared" si="163"/>
        <v>0</v>
      </c>
      <c r="R182" s="163">
        <f t="shared" si="164"/>
        <v>0</v>
      </c>
      <c r="T182" s="621" t="s">
        <v>1153</v>
      </c>
    </row>
    <row r="183" spans="1:20" x14ac:dyDescent="0.2">
      <c r="A183" s="621">
        <f t="shared" si="110"/>
        <v>176</v>
      </c>
      <c r="B183" s="164" t="str">
        <f>'WP1 Light Inventory'!A176</f>
        <v>58E &amp; 59E</v>
      </c>
      <c r="C183" s="164" t="str">
        <f>'WP1 Light Inventory'!C176</f>
        <v>Horizontal</v>
      </c>
      <c r="D183" s="327" t="str">
        <f>'WP1 Light Inventory'!D176</f>
        <v>Sodium Vapor</v>
      </c>
      <c r="E183" s="165" t="str">
        <f>'WP1 Light Inventory'!E176</f>
        <v>HSV 250</v>
      </c>
      <c r="F183" s="364">
        <f>'WP1 Light Inventory'!J176</f>
        <v>34</v>
      </c>
      <c r="G183" s="366">
        <f>'WP12 Condensed Sch. Level Costs'!O175</f>
        <v>87.5</v>
      </c>
      <c r="H183" s="339">
        <f t="shared" si="156"/>
        <v>1.98E-3</v>
      </c>
      <c r="I183" s="295">
        <f t="shared" si="157"/>
        <v>69.36</v>
      </c>
      <c r="J183" s="163">
        <f t="shared" si="158"/>
        <v>0.17</v>
      </c>
      <c r="L183" s="339">
        <f t="shared" si="159"/>
        <v>2.0630000000000002E-3</v>
      </c>
      <c r="M183" s="295">
        <f t="shared" si="160"/>
        <v>73.44</v>
      </c>
      <c r="N183" s="163">
        <f t="shared" si="161"/>
        <v>0.18</v>
      </c>
      <c r="P183" s="339">
        <f t="shared" si="162"/>
        <v>0</v>
      </c>
      <c r="Q183" s="295">
        <f t="shared" si="163"/>
        <v>0</v>
      </c>
      <c r="R183" s="163">
        <f t="shared" si="164"/>
        <v>0</v>
      </c>
      <c r="T183" s="621" t="s">
        <v>1153</v>
      </c>
    </row>
    <row r="184" spans="1:20" x14ac:dyDescent="0.2">
      <c r="A184" s="621">
        <f t="shared" si="110"/>
        <v>177</v>
      </c>
      <c r="B184" s="164" t="str">
        <f>'WP1 Light Inventory'!A177</f>
        <v>58E &amp; 59E</v>
      </c>
      <c r="C184" s="164" t="str">
        <f>'WP1 Light Inventory'!C177</f>
        <v>Horizontal</v>
      </c>
      <c r="D184" s="327" t="str">
        <f>'WP1 Light Inventory'!D177</f>
        <v>Sodium Vapor</v>
      </c>
      <c r="E184" s="165" t="str">
        <f>'WP1 Light Inventory'!E177</f>
        <v>HSV 400</v>
      </c>
      <c r="F184" s="364">
        <f>'WP1 Light Inventory'!J177</f>
        <v>48</v>
      </c>
      <c r="G184" s="366">
        <f>'WP12 Condensed Sch. Level Costs'!O176</f>
        <v>140</v>
      </c>
      <c r="H184" s="339">
        <f t="shared" si="156"/>
        <v>1.98E-3</v>
      </c>
      <c r="I184" s="295">
        <f t="shared" si="157"/>
        <v>161.28000000000003</v>
      </c>
      <c r="J184" s="163">
        <f t="shared" si="158"/>
        <v>0.28000000000000003</v>
      </c>
      <c r="L184" s="339">
        <f t="shared" si="159"/>
        <v>2.0630000000000002E-3</v>
      </c>
      <c r="M184" s="295">
        <f t="shared" si="160"/>
        <v>167.03999999999996</v>
      </c>
      <c r="N184" s="163">
        <f t="shared" si="161"/>
        <v>0.28999999999999998</v>
      </c>
      <c r="P184" s="339">
        <f t="shared" si="162"/>
        <v>0</v>
      </c>
      <c r="Q184" s="295">
        <f t="shared" si="163"/>
        <v>0</v>
      </c>
      <c r="R184" s="163">
        <f t="shared" si="164"/>
        <v>0</v>
      </c>
      <c r="T184" s="621" t="s">
        <v>1153</v>
      </c>
    </row>
    <row r="185" spans="1:20" x14ac:dyDescent="0.2">
      <c r="A185" s="621">
        <f t="shared" si="110"/>
        <v>178</v>
      </c>
      <c r="B185" s="164"/>
      <c r="C185" s="164"/>
      <c r="D185" s="327"/>
      <c r="E185" s="165"/>
      <c r="F185" s="364"/>
      <c r="G185" s="399"/>
      <c r="H185" s="342"/>
      <c r="I185" s="295"/>
      <c r="L185" s="342"/>
      <c r="M185" s="295"/>
      <c r="P185" s="342"/>
      <c r="Q185" s="295"/>
    </row>
    <row r="186" spans="1:20" x14ac:dyDescent="0.2">
      <c r="A186" s="621">
        <f t="shared" si="110"/>
        <v>179</v>
      </c>
      <c r="B186" s="164" t="str">
        <f>'WP1 Light Inventory'!A179</f>
        <v>58E &amp; 59E</v>
      </c>
      <c r="C186" s="164" t="str">
        <f>'WP1 Light Inventory'!C179</f>
        <v>Directional</v>
      </c>
      <c r="D186" s="327" t="str">
        <f>'WP1 Light Inventory'!D179</f>
        <v>Metal Halide</v>
      </c>
      <c r="E186" s="165" t="str">
        <f>'WP1 Light Inventory'!E179</f>
        <v>DMH 175</v>
      </c>
      <c r="F186" s="364">
        <f>'WP1 Light Inventory'!J179</f>
        <v>3</v>
      </c>
      <c r="G186" s="366">
        <f>'WP12 Condensed Sch. Level Costs'!O178</f>
        <v>61.25</v>
      </c>
      <c r="H186" s="339">
        <f t="shared" ref="H186:H189" si="165">$Y$8</f>
        <v>1.98E-3</v>
      </c>
      <c r="I186" s="295">
        <f t="shared" ref="I186:I189" si="166">+F186*J186*12</f>
        <v>4.32</v>
      </c>
      <c r="J186" s="163">
        <f t="shared" ref="J186:J189" si="167">ROUND(+H186*G186,2)</f>
        <v>0.12</v>
      </c>
      <c r="L186" s="339">
        <f t="shared" ref="L186:L189" si="168">$Y$9</f>
        <v>2.0630000000000002E-3</v>
      </c>
      <c r="M186" s="295">
        <f t="shared" ref="M186:M189" si="169">+F186*N186*12</f>
        <v>4.68</v>
      </c>
      <c r="N186" s="163">
        <f t="shared" ref="N186:N189" si="170">ROUND(+L186*G186,2)</f>
        <v>0.13</v>
      </c>
      <c r="P186" s="339">
        <f t="shared" ref="P186:P189" si="171">$Y$10</f>
        <v>0</v>
      </c>
      <c r="Q186" s="295">
        <f t="shared" ref="Q186:Q189" si="172">+F186*R186*12</f>
        <v>0</v>
      </c>
      <c r="R186" s="163">
        <f t="shared" ref="R186:R189" si="173">ROUND(+P186*G186,2)</f>
        <v>0</v>
      </c>
      <c r="T186" s="621" t="s">
        <v>1153</v>
      </c>
    </row>
    <row r="187" spans="1:20" x14ac:dyDescent="0.2">
      <c r="A187" s="621">
        <f t="shared" si="110"/>
        <v>180</v>
      </c>
      <c r="B187" s="164" t="str">
        <f>'WP1 Light Inventory'!A180</f>
        <v>58E &amp; 59E</v>
      </c>
      <c r="C187" s="164" t="str">
        <f>'WP1 Light Inventory'!C180</f>
        <v>Directional</v>
      </c>
      <c r="D187" s="327" t="str">
        <f>'WP1 Light Inventory'!D180</f>
        <v>Metal Halide</v>
      </c>
      <c r="E187" s="165" t="str">
        <f>'WP1 Light Inventory'!E180</f>
        <v>DMH 250</v>
      </c>
      <c r="F187" s="364">
        <f>'WP1 Light Inventory'!J180</f>
        <v>17</v>
      </c>
      <c r="G187" s="366">
        <f>'WP12 Condensed Sch. Level Costs'!O179</f>
        <v>87.5</v>
      </c>
      <c r="H187" s="339">
        <f t="shared" si="165"/>
        <v>1.98E-3</v>
      </c>
      <c r="I187" s="295">
        <f t="shared" si="166"/>
        <v>34.68</v>
      </c>
      <c r="J187" s="163">
        <f t="shared" si="167"/>
        <v>0.17</v>
      </c>
      <c r="L187" s="339">
        <f t="shared" si="168"/>
        <v>2.0630000000000002E-3</v>
      </c>
      <c r="M187" s="295">
        <f t="shared" si="169"/>
        <v>36.72</v>
      </c>
      <c r="N187" s="163">
        <f t="shared" si="170"/>
        <v>0.18</v>
      </c>
      <c r="P187" s="339">
        <f t="shared" si="171"/>
        <v>0</v>
      </c>
      <c r="Q187" s="295">
        <f t="shared" si="172"/>
        <v>0</v>
      </c>
      <c r="R187" s="163">
        <f t="shared" si="173"/>
        <v>0</v>
      </c>
      <c r="T187" s="621" t="s">
        <v>1153</v>
      </c>
    </row>
    <row r="188" spans="1:20" x14ac:dyDescent="0.2">
      <c r="A188" s="621">
        <f t="shared" si="110"/>
        <v>181</v>
      </c>
      <c r="B188" s="164" t="str">
        <f>'WP1 Light Inventory'!A181</f>
        <v>58E &amp; 59E</v>
      </c>
      <c r="C188" s="164" t="str">
        <f>'WP1 Light Inventory'!C181</f>
        <v>Directional</v>
      </c>
      <c r="D188" s="327" t="str">
        <f>'WP1 Light Inventory'!D181</f>
        <v>Metal Halide</v>
      </c>
      <c r="E188" s="165" t="str">
        <f>'WP1 Light Inventory'!E181</f>
        <v>DMH 400</v>
      </c>
      <c r="F188" s="364">
        <f>'WP1 Light Inventory'!J181</f>
        <v>88</v>
      </c>
      <c r="G188" s="366">
        <f>'WP12 Condensed Sch. Level Costs'!O180</f>
        <v>140</v>
      </c>
      <c r="H188" s="339">
        <f t="shared" si="165"/>
        <v>1.98E-3</v>
      </c>
      <c r="I188" s="295">
        <f t="shared" si="166"/>
        <v>295.68</v>
      </c>
      <c r="J188" s="163">
        <f t="shared" si="167"/>
        <v>0.28000000000000003</v>
      </c>
      <c r="L188" s="339">
        <f t="shared" si="168"/>
        <v>2.0630000000000002E-3</v>
      </c>
      <c r="M188" s="295">
        <f t="shared" si="169"/>
        <v>306.24</v>
      </c>
      <c r="N188" s="163">
        <f t="shared" si="170"/>
        <v>0.28999999999999998</v>
      </c>
      <c r="P188" s="339">
        <f t="shared" si="171"/>
        <v>0</v>
      </c>
      <c r="Q188" s="295">
        <f t="shared" si="172"/>
        <v>0</v>
      </c>
      <c r="R188" s="163">
        <f t="shared" si="173"/>
        <v>0</v>
      </c>
      <c r="T188" s="621" t="s">
        <v>1153</v>
      </c>
    </row>
    <row r="189" spans="1:20" x14ac:dyDescent="0.2">
      <c r="A189" s="621">
        <f t="shared" si="110"/>
        <v>182</v>
      </c>
      <c r="B189" s="164" t="str">
        <f>'WP1 Light Inventory'!A182</f>
        <v>58E &amp; 59E</v>
      </c>
      <c r="C189" s="164" t="str">
        <f>'WP1 Light Inventory'!C182</f>
        <v>Directional</v>
      </c>
      <c r="D189" s="327" t="str">
        <f>'WP1 Light Inventory'!D182</f>
        <v>Metal Halide</v>
      </c>
      <c r="E189" s="165" t="str">
        <f>'WP1 Light Inventory'!E182</f>
        <v>DMH 1000</v>
      </c>
      <c r="F189" s="364">
        <f>'WP1 Light Inventory'!J182</f>
        <v>128</v>
      </c>
      <c r="G189" s="366">
        <f>'WP12 Condensed Sch. Level Costs'!O181</f>
        <v>350</v>
      </c>
      <c r="H189" s="339">
        <f t="shared" si="165"/>
        <v>1.98E-3</v>
      </c>
      <c r="I189" s="295">
        <f t="shared" si="166"/>
        <v>1059.8399999999999</v>
      </c>
      <c r="J189" s="163">
        <f t="shared" si="167"/>
        <v>0.69</v>
      </c>
      <c r="L189" s="339">
        <f t="shared" si="168"/>
        <v>2.0630000000000002E-3</v>
      </c>
      <c r="M189" s="295">
        <f t="shared" si="169"/>
        <v>1105.92</v>
      </c>
      <c r="N189" s="163">
        <f t="shared" si="170"/>
        <v>0.72</v>
      </c>
      <c r="P189" s="339">
        <f t="shared" si="171"/>
        <v>0</v>
      </c>
      <c r="Q189" s="295">
        <f t="shared" si="172"/>
        <v>0</v>
      </c>
      <c r="R189" s="163">
        <f t="shared" si="173"/>
        <v>0</v>
      </c>
      <c r="T189" s="621" t="s">
        <v>1153</v>
      </c>
    </row>
    <row r="190" spans="1:20" x14ac:dyDescent="0.2">
      <c r="A190" s="621">
        <f t="shared" si="110"/>
        <v>183</v>
      </c>
      <c r="B190" s="164"/>
      <c r="C190" s="164"/>
      <c r="D190" s="327"/>
      <c r="E190" s="165"/>
      <c r="F190" s="364"/>
      <c r="G190" s="399"/>
      <c r="H190" s="339"/>
      <c r="I190" s="295"/>
      <c r="L190" s="339"/>
      <c r="M190" s="295"/>
      <c r="P190" s="339"/>
      <c r="Q190" s="295"/>
    </row>
    <row r="191" spans="1:20" x14ac:dyDescent="0.2">
      <c r="A191" s="621">
        <f t="shared" si="110"/>
        <v>184</v>
      </c>
      <c r="B191" s="164" t="str">
        <f>'WP1 Light Inventory'!A184</f>
        <v>58E &amp; 59E</v>
      </c>
      <c r="C191" s="164" t="str">
        <f>'WP1 Light Inventory'!C184</f>
        <v>Horizontal</v>
      </c>
      <c r="D191" s="327" t="str">
        <f>'WP1 Light Inventory'!D184</f>
        <v>Metal Halide</v>
      </c>
      <c r="E191" s="165" t="str">
        <f>'WP1 Light Inventory'!E184</f>
        <v>HMH 250</v>
      </c>
      <c r="F191" s="364">
        <f>'WP1 Light Inventory'!J184</f>
        <v>10</v>
      </c>
      <c r="G191" s="366">
        <f>'WP12 Condensed Sch. Level Costs'!O183</f>
        <v>87.5</v>
      </c>
      <c r="H191" s="339">
        <f t="shared" ref="H191:H192" si="174">$Y$8</f>
        <v>1.98E-3</v>
      </c>
      <c r="I191" s="295">
        <f t="shared" ref="I191:I192" si="175">+F191*J191*12</f>
        <v>20.400000000000002</v>
      </c>
      <c r="J191" s="163">
        <f t="shared" ref="J191:J192" si="176">ROUND(+H191*G191,2)</f>
        <v>0.17</v>
      </c>
      <c r="L191" s="339">
        <f t="shared" ref="L191:L192" si="177">$Y$9</f>
        <v>2.0630000000000002E-3</v>
      </c>
      <c r="M191" s="295">
        <f t="shared" ref="M191:M192" si="178">+F191*N191*12</f>
        <v>21.599999999999998</v>
      </c>
      <c r="N191" s="163">
        <f t="shared" ref="N191:N192" si="179">ROUND(+L191*G191,2)</f>
        <v>0.18</v>
      </c>
      <c r="P191" s="339">
        <f t="shared" ref="P191:P192" si="180">$Y$10</f>
        <v>0</v>
      </c>
      <c r="Q191" s="295">
        <f t="shared" ref="Q191:Q192" si="181">+F191*R191*12</f>
        <v>0</v>
      </c>
      <c r="R191" s="163">
        <f t="shared" ref="R191:R192" si="182">ROUND(+P191*G191,2)</f>
        <v>0</v>
      </c>
      <c r="T191" s="621" t="s">
        <v>1153</v>
      </c>
    </row>
    <row r="192" spans="1:20" x14ac:dyDescent="0.2">
      <c r="A192" s="621">
        <f t="shared" si="110"/>
        <v>185</v>
      </c>
      <c r="B192" s="164" t="str">
        <f>'WP1 Light Inventory'!A185</f>
        <v>58E &amp; 59E</v>
      </c>
      <c r="C192" s="164" t="str">
        <f>'WP1 Light Inventory'!C185</f>
        <v>Horizontal</v>
      </c>
      <c r="D192" s="327" t="str">
        <f>'WP1 Light Inventory'!D185</f>
        <v>Metal Halide</v>
      </c>
      <c r="E192" s="165" t="str">
        <f>'WP1 Light Inventory'!E185</f>
        <v>HMH 400</v>
      </c>
      <c r="F192" s="364">
        <f>'WP1 Light Inventory'!J185</f>
        <v>40</v>
      </c>
      <c r="G192" s="366">
        <f>'WP12 Condensed Sch. Level Costs'!O184</f>
        <v>140</v>
      </c>
      <c r="H192" s="339">
        <f t="shared" si="174"/>
        <v>1.98E-3</v>
      </c>
      <c r="I192" s="295">
        <f t="shared" si="175"/>
        <v>134.4</v>
      </c>
      <c r="J192" s="163">
        <f t="shared" si="176"/>
        <v>0.28000000000000003</v>
      </c>
      <c r="L192" s="339">
        <f t="shared" si="177"/>
        <v>2.0630000000000002E-3</v>
      </c>
      <c r="M192" s="295">
        <f t="shared" si="178"/>
        <v>139.19999999999999</v>
      </c>
      <c r="N192" s="163">
        <f t="shared" si="179"/>
        <v>0.28999999999999998</v>
      </c>
      <c r="P192" s="339">
        <f t="shared" si="180"/>
        <v>0</v>
      </c>
      <c r="Q192" s="295">
        <f t="shared" si="181"/>
        <v>0</v>
      </c>
      <c r="R192" s="163">
        <f t="shared" si="182"/>
        <v>0</v>
      </c>
      <c r="T192" s="621" t="s">
        <v>1153</v>
      </c>
    </row>
    <row r="193" spans="1:20" x14ac:dyDescent="0.2">
      <c r="A193" s="621">
        <f t="shared" si="110"/>
        <v>186</v>
      </c>
      <c r="B193" s="164"/>
      <c r="C193" s="164"/>
      <c r="D193" s="327"/>
      <c r="E193" s="165"/>
      <c r="F193" s="364"/>
      <c r="G193" s="399"/>
      <c r="H193" s="342"/>
      <c r="I193" s="295"/>
      <c r="L193" s="342"/>
      <c r="M193" s="295"/>
      <c r="P193" s="342"/>
      <c r="Q193" s="295"/>
    </row>
    <row r="194" spans="1:20" ht="13.5" customHeight="1" x14ac:dyDescent="0.2">
      <c r="A194" s="621">
        <f t="shared" si="110"/>
        <v>187</v>
      </c>
      <c r="B194" s="164" t="str">
        <f>'WP1 Light Inventory'!A187</f>
        <v>58E &amp; 59E</v>
      </c>
      <c r="C194" s="164"/>
      <c r="D194" s="327" t="str">
        <f>'WP1 Light Inventory'!D187</f>
        <v>Light Emitting Diode</v>
      </c>
      <c r="E194" s="165" t="str">
        <f>'WP1 Light Inventory'!E187</f>
        <v>LED 0-030</v>
      </c>
      <c r="F194" s="364">
        <f>'WP1 Light Inventory'!J187</f>
        <v>0</v>
      </c>
      <c r="G194" s="366">
        <f>'WP12 Condensed Sch. Level Costs'!O186</f>
        <v>5.25</v>
      </c>
      <c r="H194" s="339">
        <f t="shared" ref="H194:H209" si="183">$Y$8</f>
        <v>1.98E-3</v>
      </c>
      <c r="I194" s="295">
        <f t="shared" ref="I194:I209" si="184">+F194*J194*12</f>
        <v>0</v>
      </c>
      <c r="J194" s="163">
        <f t="shared" ref="J194:J209" si="185">ROUND(+H194*G194,2)</f>
        <v>0.01</v>
      </c>
      <c r="L194" s="339">
        <f t="shared" ref="L194:L209" si="186">$Y$9</f>
        <v>2.0630000000000002E-3</v>
      </c>
      <c r="M194" s="295">
        <f t="shared" ref="M194:M209" si="187">+F194*N194*12</f>
        <v>0</v>
      </c>
      <c r="N194" s="163">
        <f t="shared" ref="N194:N209" si="188">ROUND(+L194*G194,2)</f>
        <v>0.01</v>
      </c>
      <c r="P194" s="339">
        <f t="shared" ref="P194:P209" si="189">$Y$10</f>
        <v>0</v>
      </c>
      <c r="Q194" s="295">
        <f t="shared" ref="Q194:Q209" si="190">+F194*R194*12</f>
        <v>0</v>
      </c>
      <c r="R194" s="163">
        <f t="shared" ref="R194:R209" si="191">ROUND(+P194*G194,2)</f>
        <v>0</v>
      </c>
      <c r="T194" s="621" t="s">
        <v>1153</v>
      </c>
    </row>
    <row r="195" spans="1:20" x14ac:dyDescent="0.2">
      <c r="A195" s="621">
        <f t="shared" si="110"/>
        <v>188</v>
      </c>
      <c r="B195" s="164" t="str">
        <f>'WP1 Light Inventory'!A188</f>
        <v>58E &amp; 59E</v>
      </c>
      <c r="C195" s="164"/>
      <c r="D195" s="327" t="str">
        <f>'WP1 Light Inventory'!D188</f>
        <v>Light Emitting Diode</v>
      </c>
      <c r="E195" s="165" t="str">
        <f>'WP1 Light Inventory'!E188</f>
        <v>LED 030.01-060</v>
      </c>
      <c r="F195" s="364">
        <f>'WP1 Light Inventory'!J188</f>
        <v>3</v>
      </c>
      <c r="G195" s="366">
        <f>'WP12 Condensed Sch. Level Costs'!O187</f>
        <v>15.75</v>
      </c>
      <c r="H195" s="339">
        <f t="shared" si="183"/>
        <v>1.98E-3</v>
      </c>
      <c r="I195" s="295">
        <f t="shared" si="184"/>
        <v>1.08</v>
      </c>
      <c r="J195" s="163">
        <f t="shared" si="185"/>
        <v>0.03</v>
      </c>
      <c r="L195" s="339">
        <f t="shared" si="186"/>
        <v>2.0630000000000002E-3</v>
      </c>
      <c r="M195" s="295">
        <f t="shared" si="187"/>
        <v>1.08</v>
      </c>
      <c r="N195" s="163">
        <f t="shared" si="188"/>
        <v>0.03</v>
      </c>
      <c r="P195" s="339">
        <f t="shared" si="189"/>
        <v>0</v>
      </c>
      <c r="Q195" s="295">
        <f t="shared" si="190"/>
        <v>0</v>
      </c>
      <c r="R195" s="163">
        <f t="shared" si="191"/>
        <v>0</v>
      </c>
      <c r="T195" s="621" t="s">
        <v>1153</v>
      </c>
    </row>
    <row r="196" spans="1:20" x14ac:dyDescent="0.2">
      <c r="A196" s="621">
        <f t="shared" si="110"/>
        <v>189</v>
      </c>
      <c r="B196" s="164" t="str">
        <f>'WP1 Light Inventory'!A189</f>
        <v>58E &amp; 59E</v>
      </c>
      <c r="C196" s="164"/>
      <c r="D196" s="327" t="str">
        <f>'WP1 Light Inventory'!D189</f>
        <v>Light Emitting Diode</v>
      </c>
      <c r="E196" s="165" t="str">
        <f>'WP1 Light Inventory'!E189</f>
        <v>LED 060.01-090</v>
      </c>
      <c r="F196" s="364">
        <f>'WP1 Light Inventory'!J189</f>
        <v>50</v>
      </c>
      <c r="G196" s="366">
        <f>'WP12 Condensed Sch. Level Costs'!O188</f>
        <v>26.25</v>
      </c>
      <c r="H196" s="339">
        <f t="shared" si="183"/>
        <v>1.98E-3</v>
      </c>
      <c r="I196" s="295">
        <f t="shared" si="184"/>
        <v>30</v>
      </c>
      <c r="J196" s="163">
        <f t="shared" si="185"/>
        <v>0.05</v>
      </c>
      <c r="L196" s="339">
        <f t="shared" si="186"/>
        <v>2.0630000000000002E-3</v>
      </c>
      <c r="M196" s="295">
        <f t="shared" si="187"/>
        <v>30</v>
      </c>
      <c r="N196" s="163">
        <f t="shared" si="188"/>
        <v>0.05</v>
      </c>
      <c r="P196" s="339">
        <f t="shared" si="189"/>
        <v>0</v>
      </c>
      <c r="Q196" s="295">
        <f t="shared" si="190"/>
        <v>0</v>
      </c>
      <c r="R196" s="163">
        <f t="shared" si="191"/>
        <v>0</v>
      </c>
      <c r="T196" s="621" t="s">
        <v>1153</v>
      </c>
    </row>
    <row r="197" spans="1:20" x14ac:dyDescent="0.2">
      <c r="A197" s="621">
        <f t="shared" si="110"/>
        <v>190</v>
      </c>
      <c r="B197" s="164" t="str">
        <f>'WP1 Light Inventory'!A190</f>
        <v>58E &amp; 59E</v>
      </c>
      <c r="C197" s="164"/>
      <c r="D197" s="327" t="str">
        <f>'WP1 Light Inventory'!D190</f>
        <v>Light Emitting Diode</v>
      </c>
      <c r="E197" s="165" t="str">
        <f>'WP1 Light Inventory'!E190</f>
        <v>LED 090.01-120</v>
      </c>
      <c r="F197" s="364">
        <f>'WP1 Light Inventory'!J190</f>
        <v>15</v>
      </c>
      <c r="G197" s="366">
        <f>'WP12 Condensed Sch. Level Costs'!O189</f>
        <v>36.75</v>
      </c>
      <c r="H197" s="339">
        <f t="shared" si="183"/>
        <v>1.98E-3</v>
      </c>
      <c r="I197" s="295">
        <f t="shared" si="184"/>
        <v>12.600000000000001</v>
      </c>
      <c r="J197" s="163">
        <f t="shared" si="185"/>
        <v>7.0000000000000007E-2</v>
      </c>
      <c r="L197" s="339">
        <f t="shared" si="186"/>
        <v>2.0630000000000002E-3</v>
      </c>
      <c r="M197" s="295">
        <f t="shared" si="187"/>
        <v>14.399999999999999</v>
      </c>
      <c r="N197" s="163">
        <f t="shared" si="188"/>
        <v>0.08</v>
      </c>
      <c r="P197" s="339">
        <f t="shared" si="189"/>
        <v>0</v>
      </c>
      <c r="Q197" s="295">
        <f t="shared" si="190"/>
        <v>0</v>
      </c>
      <c r="R197" s="163">
        <f t="shared" si="191"/>
        <v>0</v>
      </c>
      <c r="T197" s="621" t="s">
        <v>1153</v>
      </c>
    </row>
    <row r="198" spans="1:20" x14ac:dyDescent="0.2">
      <c r="A198" s="621">
        <f t="shared" si="110"/>
        <v>191</v>
      </c>
      <c r="B198" s="164" t="str">
        <f>'WP1 Light Inventory'!A191</f>
        <v>58E &amp; 59E</v>
      </c>
      <c r="C198" s="164"/>
      <c r="D198" s="327" t="str">
        <f>'WP1 Light Inventory'!D191</f>
        <v>Light Emitting Diode</v>
      </c>
      <c r="E198" s="165" t="str">
        <f>'WP1 Light Inventory'!E191</f>
        <v>LED 120.01-150</v>
      </c>
      <c r="F198" s="364">
        <f>'WP1 Light Inventory'!J191</f>
        <v>94</v>
      </c>
      <c r="G198" s="366">
        <f>'WP12 Condensed Sch. Level Costs'!O190</f>
        <v>47.25</v>
      </c>
      <c r="H198" s="339">
        <f t="shared" si="183"/>
        <v>1.98E-3</v>
      </c>
      <c r="I198" s="295">
        <f t="shared" si="184"/>
        <v>101.51999999999998</v>
      </c>
      <c r="J198" s="163">
        <f t="shared" si="185"/>
        <v>0.09</v>
      </c>
      <c r="L198" s="339">
        <f t="shared" si="186"/>
        <v>2.0630000000000002E-3</v>
      </c>
      <c r="M198" s="295">
        <f t="shared" si="187"/>
        <v>112.80000000000001</v>
      </c>
      <c r="N198" s="163">
        <f t="shared" si="188"/>
        <v>0.1</v>
      </c>
      <c r="P198" s="339">
        <f t="shared" si="189"/>
        <v>0</v>
      </c>
      <c r="Q198" s="295">
        <f t="shared" si="190"/>
        <v>0</v>
      </c>
      <c r="R198" s="163">
        <f t="shared" si="191"/>
        <v>0</v>
      </c>
      <c r="T198" s="621" t="s">
        <v>1153</v>
      </c>
    </row>
    <row r="199" spans="1:20" x14ac:dyDescent="0.2">
      <c r="A199" s="621">
        <f t="shared" si="110"/>
        <v>192</v>
      </c>
      <c r="B199" s="164" t="str">
        <f>'WP1 Light Inventory'!A192</f>
        <v>58E &amp; 59E</v>
      </c>
      <c r="C199" s="164"/>
      <c r="D199" s="327" t="str">
        <f>'WP1 Light Inventory'!D192</f>
        <v>Light Emitting Diode</v>
      </c>
      <c r="E199" s="165" t="str">
        <f>'WP1 Light Inventory'!E192</f>
        <v>LED 150.01-180</v>
      </c>
      <c r="F199" s="364">
        <f>'WP1 Light Inventory'!J192</f>
        <v>11</v>
      </c>
      <c r="G199" s="366">
        <f>'WP12 Condensed Sch. Level Costs'!O191</f>
        <v>57.75</v>
      </c>
      <c r="H199" s="339">
        <f t="shared" si="183"/>
        <v>1.98E-3</v>
      </c>
      <c r="I199" s="295">
        <f t="shared" si="184"/>
        <v>14.52</v>
      </c>
      <c r="J199" s="163">
        <f t="shared" si="185"/>
        <v>0.11</v>
      </c>
      <c r="L199" s="339">
        <f t="shared" si="186"/>
        <v>2.0630000000000002E-3</v>
      </c>
      <c r="M199" s="295">
        <f t="shared" si="187"/>
        <v>15.839999999999998</v>
      </c>
      <c r="N199" s="163">
        <f t="shared" si="188"/>
        <v>0.12</v>
      </c>
      <c r="P199" s="339">
        <f t="shared" si="189"/>
        <v>0</v>
      </c>
      <c r="Q199" s="295">
        <f t="shared" si="190"/>
        <v>0</v>
      </c>
      <c r="R199" s="163">
        <f t="shared" si="191"/>
        <v>0</v>
      </c>
      <c r="T199" s="621" t="s">
        <v>1153</v>
      </c>
    </row>
    <row r="200" spans="1:20" x14ac:dyDescent="0.2">
      <c r="A200" s="621">
        <f t="shared" si="110"/>
        <v>193</v>
      </c>
      <c r="B200" s="164" t="str">
        <f>'WP1 Light Inventory'!A193</f>
        <v>58E &amp; 59E</v>
      </c>
      <c r="C200" s="164"/>
      <c r="D200" s="327" t="str">
        <f>'WP1 Light Inventory'!D193</f>
        <v>Light Emitting Diode</v>
      </c>
      <c r="E200" s="165" t="str">
        <f>'WP1 Light Inventory'!E193</f>
        <v>LED 180.01-210</v>
      </c>
      <c r="F200" s="364">
        <f>'WP1 Light Inventory'!J193</f>
        <v>0</v>
      </c>
      <c r="G200" s="366">
        <f>'WP12 Condensed Sch. Level Costs'!O192</f>
        <v>68.25</v>
      </c>
      <c r="H200" s="339">
        <f t="shared" si="183"/>
        <v>1.98E-3</v>
      </c>
      <c r="I200" s="295">
        <f t="shared" si="184"/>
        <v>0</v>
      </c>
      <c r="J200" s="163">
        <f t="shared" si="185"/>
        <v>0.14000000000000001</v>
      </c>
      <c r="L200" s="339">
        <f t="shared" si="186"/>
        <v>2.0630000000000002E-3</v>
      </c>
      <c r="M200" s="295">
        <f t="shared" si="187"/>
        <v>0</v>
      </c>
      <c r="N200" s="163">
        <f t="shared" si="188"/>
        <v>0.14000000000000001</v>
      </c>
      <c r="P200" s="339">
        <f t="shared" si="189"/>
        <v>0</v>
      </c>
      <c r="Q200" s="295">
        <f t="shared" si="190"/>
        <v>0</v>
      </c>
      <c r="R200" s="163">
        <f t="shared" si="191"/>
        <v>0</v>
      </c>
      <c r="T200" s="621" t="s">
        <v>1153</v>
      </c>
    </row>
    <row r="201" spans="1:20" x14ac:dyDescent="0.2">
      <c r="A201" s="621">
        <f t="shared" si="110"/>
        <v>194</v>
      </c>
      <c r="B201" s="164" t="str">
        <f>'WP1 Light Inventory'!A194</f>
        <v>58E &amp; 59E</v>
      </c>
      <c r="C201" s="164"/>
      <c r="D201" s="327" t="str">
        <f>'WP1 Light Inventory'!D194</f>
        <v>Light Emitting Diode</v>
      </c>
      <c r="E201" s="165" t="str">
        <f>'WP1 Light Inventory'!E194</f>
        <v>LED 210.01-240</v>
      </c>
      <c r="F201" s="364">
        <f>'WP1 Light Inventory'!J194</f>
        <v>10</v>
      </c>
      <c r="G201" s="366">
        <f>'WP12 Condensed Sch. Level Costs'!O193</f>
        <v>78.75</v>
      </c>
      <c r="H201" s="339">
        <f t="shared" si="183"/>
        <v>1.98E-3</v>
      </c>
      <c r="I201" s="295">
        <f t="shared" si="184"/>
        <v>19.200000000000003</v>
      </c>
      <c r="J201" s="163">
        <f t="shared" si="185"/>
        <v>0.16</v>
      </c>
      <c r="L201" s="339">
        <f t="shared" si="186"/>
        <v>2.0630000000000002E-3</v>
      </c>
      <c r="M201" s="295">
        <f t="shared" si="187"/>
        <v>19.200000000000003</v>
      </c>
      <c r="N201" s="163">
        <f t="shared" si="188"/>
        <v>0.16</v>
      </c>
      <c r="P201" s="339">
        <f t="shared" si="189"/>
        <v>0</v>
      </c>
      <c r="Q201" s="295">
        <f t="shared" si="190"/>
        <v>0</v>
      </c>
      <c r="R201" s="163">
        <f t="shared" si="191"/>
        <v>0</v>
      </c>
      <c r="T201" s="621" t="s">
        <v>1153</v>
      </c>
    </row>
    <row r="202" spans="1:20" x14ac:dyDescent="0.2">
      <c r="A202" s="621">
        <f t="shared" ref="A202:A212" si="192">A201+1</f>
        <v>195</v>
      </c>
      <c r="B202" s="164" t="str">
        <f>'WP1 Light Inventory'!A195</f>
        <v>58E &amp; 59E</v>
      </c>
      <c r="C202" s="164"/>
      <c r="D202" s="327" t="str">
        <f>'WP1 Light Inventory'!D195</f>
        <v>Light Emitting Diode</v>
      </c>
      <c r="E202" s="165" t="str">
        <f>'WP1 Light Inventory'!E195</f>
        <v>LED 240.01-270</v>
      </c>
      <c r="F202" s="364">
        <f>'WP1 Light Inventory'!J195</f>
        <v>22</v>
      </c>
      <c r="G202" s="366">
        <f>'WP12 Condensed Sch. Level Costs'!O194</f>
        <v>89.25</v>
      </c>
      <c r="H202" s="339">
        <f t="shared" si="183"/>
        <v>1.98E-3</v>
      </c>
      <c r="I202" s="295">
        <f t="shared" si="184"/>
        <v>47.519999999999996</v>
      </c>
      <c r="J202" s="163">
        <f t="shared" si="185"/>
        <v>0.18</v>
      </c>
      <c r="L202" s="339">
        <f t="shared" si="186"/>
        <v>2.0630000000000002E-3</v>
      </c>
      <c r="M202" s="295">
        <f t="shared" si="187"/>
        <v>47.519999999999996</v>
      </c>
      <c r="N202" s="163">
        <f t="shared" si="188"/>
        <v>0.18</v>
      </c>
      <c r="P202" s="339">
        <f t="shared" si="189"/>
        <v>0</v>
      </c>
      <c r="Q202" s="295">
        <f t="shared" si="190"/>
        <v>0</v>
      </c>
      <c r="R202" s="163">
        <f t="shared" si="191"/>
        <v>0</v>
      </c>
      <c r="T202" s="621" t="s">
        <v>1153</v>
      </c>
    </row>
    <row r="203" spans="1:20" x14ac:dyDescent="0.2">
      <c r="A203" s="621">
        <f t="shared" si="192"/>
        <v>196</v>
      </c>
      <c r="B203" s="164" t="str">
        <f>'WP1 Light Inventory'!A196</f>
        <v>58E &amp; 59E</v>
      </c>
      <c r="C203" s="164"/>
      <c r="D203" s="327" t="str">
        <f>'WP1 Light Inventory'!D196</f>
        <v>Light Emitting Diode</v>
      </c>
      <c r="E203" s="165" t="str">
        <f>'WP1 Light Inventory'!E196</f>
        <v>LED 270.01-300</v>
      </c>
      <c r="F203" s="364">
        <f>'WP1 Light Inventory'!J196</f>
        <v>0</v>
      </c>
      <c r="G203" s="366">
        <f>'WP12 Condensed Sch. Level Costs'!O195</f>
        <v>99.75</v>
      </c>
      <c r="H203" s="339">
        <f t="shared" si="183"/>
        <v>1.98E-3</v>
      </c>
      <c r="I203" s="295">
        <f t="shared" si="184"/>
        <v>0</v>
      </c>
      <c r="J203" s="163">
        <f t="shared" si="185"/>
        <v>0.2</v>
      </c>
      <c r="L203" s="339">
        <f t="shared" si="186"/>
        <v>2.0630000000000002E-3</v>
      </c>
      <c r="M203" s="295">
        <f t="shared" si="187"/>
        <v>0</v>
      </c>
      <c r="N203" s="163">
        <f t="shared" si="188"/>
        <v>0.21</v>
      </c>
      <c r="P203" s="339">
        <f t="shared" si="189"/>
        <v>0</v>
      </c>
      <c r="Q203" s="295">
        <f t="shared" si="190"/>
        <v>0</v>
      </c>
      <c r="R203" s="163">
        <f t="shared" si="191"/>
        <v>0</v>
      </c>
      <c r="T203" s="621" t="s">
        <v>1153</v>
      </c>
    </row>
    <row r="204" spans="1:20" x14ac:dyDescent="0.2">
      <c r="A204" s="621">
        <f t="shared" si="192"/>
        <v>197</v>
      </c>
      <c r="B204" s="164" t="str">
        <f>'WP1 Light Inventory'!A197</f>
        <v>58E &amp; 59E</v>
      </c>
      <c r="C204" s="164"/>
      <c r="D204" s="327" t="str">
        <f>'WP1 Light Inventory'!D197</f>
        <v>Light Emitting Diode</v>
      </c>
      <c r="E204" s="165" t="str">
        <f>'WP1 Light Inventory'!E197</f>
        <v>LED 300.01-400</v>
      </c>
      <c r="F204" s="364">
        <f>'WP1 Light Inventory'!J197</f>
        <v>0</v>
      </c>
      <c r="G204" s="366">
        <f>'WP12 Condensed Sch. Level Costs'!O196</f>
        <v>122.5</v>
      </c>
      <c r="H204" s="339">
        <f t="shared" si="183"/>
        <v>1.98E-3</v>
      </c>
      <c r="I204" s="295">
        <f t="shared" si="184"/>
        <v>0</v>
      </c>
      <c r="J204" s="163">
        <f t="shared" si="185"/>
        <v>0.24</v>
      </c>
      <c r="L204" s="339">
        <f t="shared" si="186"/>
        <v>2.0630000000000002E-3</v>
      </c>
      <c r="M204" s="295">
        <f t="shared" si="187"/>
        <v>0</v>
      </c>
      <c r="N204" s="163">
        <f t="shared" si="188"/>
        <v>0.25</v>
      </c>
      <c r="P204" s="339">
        <f t="shared" si="189"/>
        <v>0</v>
      </c>
      <c r="Q204" s="295">
        <f t="shared" si="190"/>
        <v>0</v>
      </c>
      <c r="R204" s="163">
        <f t="shared" si="191"/>
        <v>0</v>
      </c>
      <c r="T204" s="621" t="s">
        <v>1153</v>
      </c>
    </row>
    <row r="205" spans="1:20" x14ac:dyDescent="0.2">
      <c r="A205" s="621">
        <f t="shared" si="192"/>
        <v>198</v>
      </c>
      <c r="B205" s="164" t="str">
        <f>'WP1 Light Inventory'!A198</f>
        <v>58E &amp; 59E</v>
      </c>
      <c r="C205" s="164"/>
      <c r="D205" s="327" t="str">
        <f>'WP1 Light Inventory'!D198</f>
        <v>Light Emitting Diode</v>
      </c>
      <c r="E205" s="165" t="str">
        <f>'WP1 Light Inventory'!E198</f>
        <v>LED 400.01-500</v>
      </c>
      <c r="F205" s="364">
        <f>'WP1 Light Inventory'!J198</f>
        <v>0</v>
      </c>
      <c r="G205" s="366">
        <f>'WP12 Condensed Sch. Level Costs'!O197</f>
        <v>157.5</v>
      </c>
      <c r="H205" s="339">
        <f t="shared" si="183"/>
        <v>1.98E-3</v>
      </c>
      <c r="I205" s="295">
        <f t="shared" si="184"/>
        <v>0</v>
      </c>
      <c r="J205" s="163">
        <f t="shared" si="185"/>
        <v>0.31</v>
      </c>
      <c r="L205" s="339">
        <f t="shared" si="186"/>
        <v>2.0630000000000002E-3</v>
      </c>
      <c r="M205" s="295">
        <f t="shared" si="187"/>
        <v>0</v>
      </c>
      <c r="N205" s="163">
        <f t="shared" si="188"/>
        <v>0.32</v>
      </c>
      <c r="P205" s="339">
        <f t="shared" si="189"/>
        <v>0</v>
      </c>
      <c r="Q205" s="295">
        <f t="shared" si="190"/>
        <v>0</v>
      </c>
      <c r="R205" s="163">
        <f t="shared" si="191"/>
        <v>0</v>
      </c>
      <c r="T205" s="621" t="s">
        <v>1153</v>
      </c>
    </row>
    <row r="206" spans="1:20" x14ac:dyDescent="0.2">
      <c r="A206" s="621">
        <f t="shared" si="192"/>
        <v>199</v>
      </c>
      <c r="B206" s="164" t="str">
        <f>'WP1 Light Inventory'!A199</f>
        <v>58E &amp; 59E</v>
      </c>
      <c r="C206" s="164"/>
      <c r="D206" s="327" t="str">
        <f>'WP1 Light Inventory'!D199</f>
        <v>Light Emitting Diode</v>
      </c>
      <c r="E206" s="165" t="str">
        <f>'WP1 Light Inventory'!E199</f>
        <v>LED 500.01-600</v>
      </c>
      <c r="F206" s="364">
        <f>'WP1 Light Inventory'!J199</f>
        <v>0</v>
      </c>
      <c r="G206" s="366">
        <f>'WP12 Condensed Sch. Level Costs'!O198</f>
        <v>192.5</v>
      </c>
      <c r="H206" s="339">
        <f t="shared" si="183"/>
        <v>1.98E-3</v>
      </c>
      <c r="I206" s="295">
        <f t="shared" si="184"/>
        <v>0</v>
      </c>
      <c r="J206" s="163">
        <f t="shared" si="185"/>
        <v>0.38</v>
      </c>
      <c r="L206" s="339">
        <f t="shared" si="186"/>
        <v>2.0630000000000002E-3</v>
      </c>
      <c r="M206" s="295">
        <f t="shared" si="187"/>
        <v>0</v>
      </c>
      <c r="N206" s="163">
        <f t="shared" si="188"/>
        <v>0.4</v>
      </c>
      <c r="P206" s="339">
        <f t="shared" si="189"/>
        <v>0</v>
      </c>
      <c r="Q206" s="295">
        <f t="shared" si="190"/>
        <v>0</v>
      </c>
      <c r="R206" s="163">
        <f t="shared" si="191"/>
        <v>0</v>
      </c>
      <c r="T206" s="621" t="s">
        <v>1153</v>
      </c>
    </row>
    <row r="207" spans="1:20" x14ac:dyDescent="0.2">
      <c r="A207" s="621">
        <f t="shared" si="192"/>
        <v>200</v>
      </c>
      <c r="B207" s="164" t="str">
        <f>'WP1 Light Inventory'!A200</f>
        <v>58E &amp; 59E</v>
      </c>
      <c r="C207" s="164"/>
      <c r="D207" s="327" t="str">
        <f>'WP1 Light Inventory'!D200</f>
        <v>Light Emitting Diode</v>
      </c>
      <c r="E207" s="165" t="str">
        <f>'WP1 Light Inventory'!E200</f>
        <v>LED 600.01-700</v>
      </c>
      <c r="F207" s="364">
        <f>'WP1 Light Inventory'!J200</f>
        <v>0</v>
      </c>
      <c r="G207" s="366">
        <f>'WP12 Condensed Sch. Level Costs'!O199</f>
        <v>227.5</v>
      </c>
      <c r="H207" s="339">
        <f t="shared" si="183"/>
        <v>1.98E-3</v>
      </c>
      <c r="I207" s="295">
        <f t="shared" si="184"/>
        <v>0</v>
      </c>
      <c r="J207" s="163">
        <f t="shared" si="185"/>
        <v>0.45</v>
      </c>
      <c r="L207" s="339">
        <f t="shared" si="186"/>
        <v>2.0630000000000002E-3</v>
      </c>
      <c r="M207" s="295">
        <f t="shared" si="187"/>
        <v>0</v>
      </c>
      <c r="N207" s="163">
        <f t="shared" si="188"/>
        <v>0.47</v>
      </c>
      <c r="P207" s="339">
        <f t="shared" si="189"/>
        <v>0</v>
      </c>
      <c r="Q207" s="295">
        <f t="shared" si="190"/>
        <v>0</v>
      </c>
      <c r="R207" s="163">
        <f t="shared" si="191"/>
        <v>0</v>
      </c>
      <c r="T207" s="621" t="s">
        <v>1153</v>
      </c>
    </row>
    <row r="208" spans="1:20" x14ac:dyDescent="0.2">
      <c r="A208" s="621">
        <f t="shared" si="192"/>
        <v>201</v>
      </c>
      <c r="B208" s="164" t="str">
        <f>'WP1 Light Inventory'!A201</f>
        <v>58E &amp; 59E</v>
      </c>
      <c r="C208" s="164"/>
      <c r="D208" s="327" t="str">
        <f>'WP1 Light Inventory'!D201</f>
        <v>Light Emitting Diode</v>
      </c>
      <c r="E208" s="165" t="str">
        <f>'WP1 Light Inventory'!E201</f>
        <v>LED 700.01-800</v>
      </c>
      <c r="F208" s="364">
        <f>'WP1 Light Inventory'!J201</f>
        <v>0</v>
      </c>
      <c r="G208" s="366">
        <f>'WP12 Condensed Sch. Level Costs'!O200</f>
        <v>262.5</v>
      </c>
      <c r="H208" s="339">
        <f t="shared" si="183"/>
        <v>1.98E-3</v>
      </c>
      <c r="I208" s="295">
        <f t="shared" si="184"/>
        <v>0</v>
      </c>
      <c r="J208" s="163">
        <f t="shared" si="185"/>
        <v>0.52</v>
      </c>
      <c r="L208" s="339">
        <f t="shared" si="186"/>
        <v>2.0630000000000002E-3</v>
      </c>
      <c r="M208" s="295">
        <f t="shared" si="187"/>
        <v>0</v>
      </c>
      <c r="N208" s="163">
        <f t="shared" si="188"/>
        <v>0.54</v>
      </c>
      <c r="P208" s="339">
        <f t="shared" si="189"/>
        <v>0</v>
      </c>
      <c r="Q208" s="295">
        <f t="shared" si="190"/>
        <v>0</v>
      </c>
      <c r="R208" s="163">
        <f t="shared" si="191"/>
        <v>0</v>
      </c>
      <c r="T208" s="621" t="s">
        <v>1153</v>
      </c>
    </row>
    <row r="209" spans="1:20" x14ac:dyDescent="0.2">
      <c r="A209" s="621">
        <f t="shared" si="192"/>
        <v>202</v>
      </c>
      <c r="B209" s="164" t="str">
        <f>'WP1 Light Inventory'!A202</f>
        <v>58E &amp; 59E</v>
      </c>
      <c r="C209" s="164"/>
      <c r="D209" s="327" t="str">
        <f>'WP1 Light Inventory'!D202</f>
        <v>Light Emitting Diode</v>
      </c>
      <c r="E209" s="165" t="str">
        <f>'WP1 Light Inventory'!E202</f>
        <v>LED 800.01-900</v>
      </c>
      <c r="F209" s="364">
        <f>'WP1 Light Inventory'!J202</f>
        <v>0</v>
      </c>
      <c r="G209" s="366">
        <f>'WP12 Condensed Sch. Level Costs'!O201</f>
        <v>297.5</v>
      </c>
      <c r="H209" s="339">
        <f t="shared" si="183"/>
        <v>1.98E-3</v>
      </c>
      <c r="I209" s="295">
        <f t="shared" si="184"/>
        <v>0</v>
      </c>
      <c r="J209" s="163">
        <f t="shared" si="185"/>
        <v>0.59</v>
      </c>
      <c r="L209" s="339">
        <f t="shared" si="186"/>
        <v>2.0630000000000002E-3</v>
      </c>
      <c r="M209" s="295">
        <f t="shared" si="187"/>
        <v>0</v>
      </c>
      <c r="N209" s="163">
        <f t="shared" si="188"/>
        <v>0.61</v>
      </c>
      <c r="P209" s="339">
        <f t="shared" si="189"/>
        <v>0</v>
      </c>
      <c r="Q209" s="295">
        <f t="shared" si="190"/>
        <v>0</v>
      </c>
      <c r="R209" s="163">
        <f t="shared" si="191"/>
        <v>0</v>
      </c>
      <c r="T209" s="621" t="s">
        <v>1153</v>
      </c>
    </row>
    <row r="210" spans="1:20" x14ac:dyDescent="0.2">
      <c r="A210" s="621">
        <f t="shared" si="192"/>
        <v>203</v>
      </c>
      <c r="B210" s="164"/>
      <c r="C210" s="164"/>
      <c r="D210" s="327"/>
      <c r="E210" s="165"/>
      <c r="F210" s="364"/>
      <c r="G210" s="399"/>
      <c r="H210" s="342"/>
      <c r="I210" s="295"/>
      <c r="L210" s="342"/>
      <c r="M210" s="295"/>
      <c r="P210" s="342"/>
      <c r="Q210" s="295"/>
    </row>
    <row r="211" spans="1:20" x14ac:dyDescent="0.2">
      <c r="A211" s="621">
        <f t="shared" si="192"/>
        <v>204</v>
      </c>
      <c r="B211" s="164" t="s">
        <v>247</v>
      </c>
      <c r="C211" s="164"/>
      <c r="D211" s="327"/>
      <c r="E211" s="165"/>
      <c r="F211" s="364"/>
      <c r="G211" s="399"/>
      <c r="H211" s="342"/>
      <c r="I211" s="295"/>
      <c r="L211" s="342"/>
      <c r="M211" s="295"/>
      <c r="P211" s="342"/>
      <c r="Q211" s="295"/>
    </row>
    <row r="212" spans="1:20" x14ac:dyDescent="0.2">
      <c r="A212" s="621">
        <f t="shared" si="192"/>
        <v>205</v>
      </c>
      <c r="B212" s="164" t="str">
        <f>'WP1 Light Inventory'!A204</f>
        <v>57E</v>
      </c>
      <c r="C212" s="164"/>
      <c r="D212" s="327" t="str">
        <f>'WP1 Light Inventory'!D204</f>
        <v>Per W charge</v>
      </c>
      <c r="E212" s="596"/>
      <c r="F212" s="224">
        <f>G220</f>
        <v>5370526</v>
      </c>
      <c r="G212" s="364">
        <f>+F212/G221</f>
        <v>11226169</v>
      </c>
      <c r="H212" s="339">
        <f>$Y$8</f>
        <v>1.98E-3</v>
      </c>
      <c r="I212" s="295">
        <f>+H212*F212</f>
        <v>10633.64148</v>
      </c>
      <c r="J212" s="166">
        <f>ROUND(+I212/G212,5)</f>
        <v>9.5E-4</v>
      </c>
      <c r="K212" s="166"/>
      <c r="L212" s="339">
        <f t="shared" ref="L212" si="193">$Y$9</f>
        <v>2.0630000000000002E-3</v>
      </c>
      <c r="M212" s="295">
        <f>+L212*F212</f>
        <v>11079.395138000002</v>
      </c>
      <c r="N212" s="166">
        <f>ROUND(+M212/G212,5)</f>
        <v>9.8999999999999999E-4</v>
      </c>
      <c r="O212" s="166"/>
      <c r="P212" s="339">
        <f t="shared" ref="P212" si="194">$Y$10</f>
        <v>0</v>
      </c>
      <c r="Q212" s="295">
        <f>+P212*F212</f>
        <v>0</v>
      </c>
      <c r="R212" s="166">
        <f>ROUND(+Q212/G212,5)</f>
        <v>0</v>
      </c>
      <c r="S212" s="166"/>
      <c r="T212" s="621" t="s">
        <v>1153</v>
      </c>
    </row>
    <row r="213" spans="1:20" x14ac:dyDescent="0.2">
      <c r="B213" s="164"/>
      <c r="C213" s="164"/>
      <c r="D213" s="327"/>
      <c r="E213" s="165"/>
      <c r="F213" s="596" t="s">
        <v>664</v>
      </c>
      <c r="G213" s="399" t="s">
        <v>663</v>
      </c>
      <c r="H213" s="342"/>
      <c r="I213" s="295"/>
      <c r="L213" s="342"/>
      <c r="M213" s="295"/>
      <c r="P213" s="342"/>
      <c r="Q213" s="295"/>
    </row>
    <row r="214" spans="1:20" x14ac:dyDescent="0.2">
      <c r="B214" s="164"/>
      <c r="C214" s="164"/>
      <c r="D214" s="327"/>
      <c r="E214" s="165"/>
      <c r="F214" s="342"/>
      <c r="G214" s="399"/>
      <c r="H214" s="342"/>
      <c r="L214" s="342"/>
      <c r="P214" s="342"/>
    </row>
    <row r="215" spans="1:20" ht="10.8" thickBot="1" x14ac:dyDescent="0.25">
      <c r="B215" s="164"/>
      <c r="C215" s="164"/>
      <c r="D215" s="327"/>
      <c r="E215" s="165"/>
      <c r="F215" s="173"/>
      <c r="G215" s="173" t="s">
        <v>19</v>
      </c>
      <c r="H215" s="342"/>
      <c r="I215" s="147">
        <f>SUM(I10:I213)</f>
        <v>122583.68148000001</v>
      </c>
      <c r="L215" s="342"/>
      <c r="M215" s="147">
        <f>SUM(M10:M213)</f>
        <v>126569.79513800002</v>
      </c>
      <c r="P215" s="342"/>
      <c r="Q215" s="147">
        <f>SUM(Q10:Q213)</f>
        <v>0</v>
      </c>
    </row>
    <row r="216" spans="1:20" ht="11.4" thickTop="1" thickBot="1" x14ac:dyDescent="0.25">
      <c r="B216" s="164"/>
      <c r="C216" s="164"/>
      <c r="D216" s="327"/>
      <c r="E216" s="165"/>
      <c r="F216" s="173"/>
      <c r="G216" s="173"/>
      <c r="H216" s="342"/>
      <c r="I216" s="365"/>
      <c r="L216" s="223"/>
      <c r="M216" s="365"/>
      <c r="P216" s="223"/>
      <c r="Q216" s="365"/>
    </row>
    <row r="217" spans="1:20" x14ac:dyDescent="0.2">
      <c r="B217" s="164"/>
      <c r="C217" s="164"/>
      <c r="D217" s="352"/>
      <c r="E217" s="353"/>
      <c r="F217" s="354"/>
      <c r="G217" s="355"/>
      <c r="H217" s="342"/>
      <c r="I217" s="401"/>
      <c r="L217" s="223"/>
      <c r="M217" s="401"/>
      <c r="P217" s="223"/>
      <c r="Q217" s="401"/>
    </row>
    <row r="218" spans="1:20" x14ac:dyDescent="0.2">
      <c r="B218" s="164"/>
      <c r="C218" s="164"/>
      <c r="D218" s="356" t="s">
        <v>694</v>
      </c>
      <c r="E218" s="165"/>
      <c r="F218" s="596"/>
      <c r="G218" s="357"/>
      <c r="H218" s="342"/>
      <c r="L218" s="342"/>
      <c r="P218" s="342"/>
    </row>
    <row r="219" spans="1:20" x14ac:dyDescent="0.2">
      <c r="B219" s="164"/>
      <c r="C219" s="164"/>
      <c r="D219" s="358" t="s">
        <v>693</v>
      </c>
      <c r="E219" s="165"/>
      <c r="F219" s="596"/>
      <c r="G219" s="357">
        <v>11226169</v>
      </c>
      <c r="H219" s="342"/>
      <c r="L219" s="342"/>
      <c r="P219" s="342"/>
    </row>
    <row r="220" spans="1:20" x14ac:dyDescent="0.2">
      <c r="B220" s="164"/>
      <c r="C220" s="164"/>
      <c r="D220" s="358" t="s">
        <v>708</v>
      </c>
      <c r="E220" s="165"/>
      <c r="F220" s="596"/>
      <c r="G220" s="357">
        <v>5370526</v>
      </c>
      <c r="H220" s="342"/>
      <c r="L220" s="342"/>
      <c r="P220" s="342"/>
    </row>
    <row r="221" spans="1:20" ht="10.8" thickBot="1" x14ac:dyDescent="0.25">
      <c r="B221" s="164"/>
      <c r="C221" s="164"/>
      <c r="D221" s="359" t="s">
        <v>662</v>
      </c>
      <c r="E221" s="360"/>
      <c r="F221" s="361"/>
      <c r="G221" s="362">
        <f>+G220/G219</f>
        <v>0.47839347510268193</v>
      </c>
      <c r="H221" s="342"/>
      <c r="L221" s="342"/>
      <c r="P221" s="342"/>
    </row>
    <row r="222" spans="1:20" x14ac:dyDescent="0.2">
      <c r="B222" s="245"/>
      <c r="C222" s="245"/>
    </row>
    <row r="224" spans="1:20" x14ac:dyDescent="0.2">
      <c r="B224" s="245"/>
      <c r="C224" s="245"/>
    </row>
    <row r="225" spans="2:3" ht="13.8" x14ac:dyDescent="0.3">
      <c r="B225" s="641" t="s">
        <v>1165</v>
      </c>
      <c r="C225" s="245"/>
    </row>
  </sheetData>
  <mergeCells count="9">
    <mergeCell ref="W6:Y6"/>
    <mergeCell ref="A1:U1"/>
    <mergeCell ref="A2:U2"/>
    <mergeCell ref="A3:U3"/>
    <mergeCell ref="A4:U4"/>
    <mergeCell ref="L5:R5"/>
    <mergeCell ref="H6:J6"/>
    <mergeCell ref="L6:N6"/>
    <mergeCell ref="P6:R6"/>
  </mergeCells>
  <pageMargins left="0.7" right="0.7" top="0.75" bottom="0.75" header="0.3" footer="0.3"/>
  <pageSetup scale="48"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H226"/>
  <sheetViews>
    <sheetView zoomScaleNormal="100" workbookViewId="0">
      <pane ySplit="7" topLeftCell="A8" activePane="bottomLeft" state="frozen"/>
      <selection activeCell="D32" sqref="D32"/>
      <selection pane="bottomLeft" activeCell="AG7" sqref="AG7"/>
    </sheetView>
  </sheetViews>
  <sheetFormatPr defaultColWidth="9.109375" defaultRowHeight="10.199999999999999" x14ac:dyDescent="0.2"/>
  <cols>
    <col min="1" max="1" width="7.44140625" style="613" bestFit="1" customWidth="1"/>
    <col min="2" max="2" width="9.6640625" style="244" customWidth="1"/>
    <col min="3" max="3" width="16.33203125" style="244" bestFit="1" customWidth="1"/>
    <col min="4" max="4" width="16.44140625" style="244" customWidth="1"/>
    <col min="5" max="5" width="12.109375" style="244" bestFit="1" customWidth="1"/>
    <col min="6" max="6" width="10.33203125" style="244" customWidth="1"/>
    <col min="7" max="7" width="10.5546875" style="364" bestFit="1" customWidth="1"/>
    <col min="8" max="8" width="9.33203125" style="244" customWidth="1"/>
    <col min="9" max="9" width="12.88671875" style="364" customWidth="1"/>
    <col min="10" max="10" width="13.44140625" style="163" customWidth="1"/>
    <col min="11" max="11" width="1.109375" style="163" customWidth="1"/>
    <col min="12" max="12" width="9.33203125" style="244" customWidth="1"/>
    <col min="13" max="13" width="12.88671875" style="364" bestFit="1" customWidth="1"/>
    <col min="14" max="14" width="13.44140625" style="163" customWidth="1"/>
    <col min="15" max="15" width="1.109375" style="163" customWidth="1"/>
    <col min="16" max="16" width="10.5546875" style="244" customWidth="1"/>
    <col min="17" max="17" width="12.109375" style="364" bestFit="1" customWidth="1"/>
    <col min="18" max="18" width="13.44140625" style="163" customWidth="1"/>
    <col min="19" max="19" width="1.109375" style="163" customWidth="1"/>
    <col min="20" max="20" width="14.109375" style="317" customWidth="1"/>
    <col min="21" max="21" width="1" style="244" customWidth="1"/>
    <col min="22" max="22" width="9.33203125" style="244" bestFit="1" customWidth="1"/>
    <col min="23" max="23" width="10.6640625" style="244" bestFit="1" customWidth="1"/>
    <col min="24" max="24" width="12.5546875" style="244" bestFit="1" customWidth="1"/>
    <col min="25" max="25" width="10.44140625" style="244" customWidth="1"/>
    <col min="26" max="26" width="1.33203125" style="244" customWidth="1"/>
    <col min="27" max="27" width="10.88671875" style="244" customWidth="1"/>
    <col min="28" max="28" width="10.33203125" style="244" bestFit="1" customWidth="1"/>
    <col min="29" max="29" width="1.109375" style="244" customWidth="1"/>
    <col min="30" max="30" width="11.6640625" style="244" customWidth="1"/>
    <col min="31" max="31" width="10.33203125" style="244" bestFit="1" customWidth="1"/>
    <col min="32" max="32" width="1.33203125" style="244" customWidth="1"/>
    <col min="33" max="33" width="10.44140625" style="244" customWidth="1"/>
    <col min="34" max="34" width="10.33203125" style="244" bestFit="1" customWidth="1"/>
    <col min="35" max="16384" width="9.109375" style="244"/>
  </cols>
  <sheetData>
    <row r="1" spans="1:34" ht="14.4" x14ac:dyDescent="0.3">
      <c r="A1" s="729" t="str">
        <f>'BDJ-6 Base Revenue (Summary)'!A1:I1</f>
        <v>Puget Sound Energy</v>
      </c>
      <c r="B1" s="729"/>
      <c r="C1" s="729"/>
      <c r="D1" s="729"/>
      <c r="E1" s="729"/>
      <c r="F1" s="729"/>
      <c r="G1" s="729"/>
      <c r="H1" s="729"/>
      <c r="I1" s="729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</row>
    <row r="2" spans="1:34" ht="14.4" x14ac:dyDescent="0.3">
      <c r="A2" s="729" t="s">
        <v>1176</v>
      </c>
      <c r="B2" s="729"/>
      <c r="C2" s="729"/>
      <c r="D2" s="729"/>
      <c r="E2" s="729"/>
      <c r="F2" s="729"/>
      <c r="G2" s="729"/>
      <c r="H2" s="729"/>
      <c r="I2" s="729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</row>
    <row r="3" spans="1:34" ht="15" customHeight="1" x14ac:dyDescent="0.3">
      <c r="A3" s="729" t="str">
        <f>'BDJ-6 Base Revenue (Summary)'!A3:I3</f>
        <v>Current Base Rate vs Proposed</v>
      </c>
      <c r="B3" s="729"/>
      <c r="C3" s="729"/>
      <c r="D3" s="729"/>
      <c r="E3" s="729"/>
      <c r="F3" s="729"/>
      <c r="G3" s="729"/>
      <c r="H3" s="729"/>
      <c r="I3" s="729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34" ht="15" customHeight="1" thickBot="1" x14ac:dyDescent="0.25">
      <c r="A4" s="729" t="str">
        <f>'BDJ-6 Base Revenue (Summary)'!A5:I5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</row>
    <row r="5" spans="1:34" ht="15" thickBot="1" x14ac:dyDescent="0.35">
      <c r="A5" s="609"/>
      <c r="B5" s="609"/>
      <c r="C5" s="609"/>
      <c r="D5" s="609"/>
      <c r="E5" s="609"/>
      <c r="F5" s="609"/>
      <c r="G5" s="609"/>
      <c r="H5" s="609"/>
      <c r="I5" s="609"/>
      <c r="J5" s="612"/>
      <c r="K5" s="612"/>
      <c r="L5" s="770" t="s">
        <v>1000</v>
      </c>
      <c r="M5" s="771"/>
      <c r="N5" s="771"/>
      <c r="O5" s="771"/>
      <c r="P5" s="771"/>
      <c r="Q5" s="771"/>
      <c r="R5" s="772"/>
      <c r="S5" s="612"/>
      <c r="T5" s="612"/>
      <c r="U5" s="612"/>
    </row>
    <row r="6" spans="1:34" ht="15" thickBot="1" x14ac:dyDescent="0.35">
      <c r="H6" s="732" t="s">
        <v>704</v>
      </c>
      <c r="I6" s="733"/>
      <c r="J6" s="769"/>
      <c r="L6" s="773" t="s">
        <v>705</v>
      </c>
      <c r="M6" s="774"/>
      <c r="N6" s="775"/>
      <c r="P6" s="773" t="s">
        <v>706</v>
      </c>
      <c r="Q6" s="774"/>
      <c r="R6" s="775"/>
      <c r="W6" s="732" t="s">
        <v>1177</v>
      </c>
      <c r="X6" s="733"/>
      <c r="Y6" s="769"/>
    </row>
    <row r="7" spans="1:34" s="300" customFormat="1" ht="57.75" customHeight="1" x14ac:dyDescent="0.2">
      <c r="A7" s="617" t="s">
        <v>1</v>
      </c>
      <c r="B7" s="617" t="s">
        <v>53</v>
      </c>
      <c r="C7" s="617"/>
      <c r="D7" s="617" t="s">
        <v>67</v>
      </c>
      <c r="E7" s="617" t="s">
        <v>160</v>
      </c>
      <c r="F7" s="172" t="s">
        <v>691</v>
      </c>
      <c r="G7" s="171" t="s">
        <v>968</v>
      </c>
      <c r="H7" s="617" t="s">
        <v>1178</v>
      </c>
      <c r="I7" s="690" t="s">
        <v>1179</v>
      </c>
      <c r="J7" s="81" t="s">
        <v>1180</v>
      </c>
      <c r="K7" s="81"/>
      <c r="L7" s="617" t="s">
        <v>1178</v>
      </c>
      <c r="M7" s="690" t="s">
        <v>1179</v>
      </c>
      <c r="N7" s="81" t="s">
        <v>1180</v>
      </c>
      <c r="O7" s="81"/>
      <c r="P7" s="617" t="s">
        <v>1178</v>
      </c>
      <c r="Q7" s="690" t="s">
        <v>1179</v>
      </c>
      <c r="R7" s="81" t="s">
        <v>1180</v>
      </c>
      <c r="S7" s="40"/>
      <c r="T7" s="614" t="s">
        <v>665</v>
      </c>
      <c r="V7" s="244"/>
      <c r="W7" s="171" t="s">
        <v>710</v>
      </c>
      <c r="X7" s="171" t="s">
        <v>701</v>
      </c>
      <c r="Y7" s="171" t="s">
        <v>1181</v>
      </c>
      <c r="AA7" s="715" t="s">
        <v>1202</v>
      </c>
      <c r="AB7" s="716" t="s">
        <v>1200</v>
      </c>
      <c r="AD7" s="715" t="s">
        <v>1202</v>
      </c>
      <c r="AE7" s="716" t="s">
        <v>1200</v>
      </c>
      <c r="AG7" s="715" t="s">
        <v>1202</v>
      </c>
      <c r="AH7" s="716" t="s">
        <v>1200</v>
      </c>
    </row>
    <row r="8" spans="1:34" x14ac:dyDescent="0.2">
      <c r="A8" s="613">
        <v>1</v>
      </c>
      <c r="B8" s="596"/>
      <c r="C8" s="175"/>
      <c r="D8" s="363"/>
      <c r="E8" s="170"/>
      <c r="F8" s="364"/>
      <c r="G8" s="397"/>
      <c r="H8" s="169"/>
      <c r="I8" s="596"/>
      <c r="J8" s="168"/>
      <c r="K8" s="168"/>
      <c r="L8" s="169"/>
      <c r="M8" s="596"/>
      <c r="N8" s="168"/>
      <c r="O8" s="168"/>
      <c r="P8" s="169"/>
      <c r="Q8" s="596"/>
      <c r="R8" s="168"/>
      <c r="S8" s="168"/>
      <c r="V8" s="600" t="s">
        <v>697</v>
      </c>
      <c r="W8" s="688">
        <f>'[1]Exhibit No.__(BDJ-141C)'!$J$21</f>
        <v>36481.368899283305</v>
      </c>
      <c r="X8" s="689">
        <f>'[1]Exhibit No.__(BDJ-MYRP)'!$I$143</f>
        <v>62703000</v>
      </c>
      <c r="Y8" s="167">
        <f>ROUND(W8/X8,6)</f>
        <v>5.8200000000000005E-4</v>
      </c>
      <c r="AA8" s="717">
        <v>36481</v>
      </c>
      <c r="AB8" s="718">
        <f>W8-AA8</f>
        <v>0.36889928330492694</v>
      </c>
      <c r="AD8" s="720">
        <v>62703000</v>
      </c>
      <c r="AE8" s="718">
        <f>X8-AD8</f>
        <v>0</v>
      </c>
      <c r="AG8" s="721">
        <v>5.8200000000000005E-4</v>
      </c>
      <c r="AH8" s="722">
        <f>Y8-AG8</f>
        <v>0</v>
      </c>
    </row>
    <row r="9" spans="1:34" x14ac:dyDescent="0.2">
      <c r="A9" s="613">
        <f>A8+1</f>
        <v>2</v>
      </c>
      <c r="B9" s="164" t="s">
        <v>134</v>
      </c>
      <c r="C9" s="164"/>
      <c r="F9" s="364"/>
      <c r="G9" s="399"/>
      <c r="H9" s="596"/>
      <c r="I9" s="244"/>
      <c r="L9" s="596"/>
      <c r="M9" s="244"/>
      <c r="P9" s="596"/>
      <c r="Q9" s="244"/>
      <c r="V9" s="600" t="s">
        <v>698</v>
      </c>
      <c r="W9" s="688">
        <f>'[1]Exhibit No.__(BDJ-141C)'!$N$21</f>
        <v>39218.791229867085</v>
      </c>
      <c r="X9" s="689">
        <f>'[1]Exhibit No.__(BDJ-MYRP)'!$O$143</f>
        <v>61382000</v>
      </c>
      <c r="Y9" s="167">
        <f>ROUND(W9/X9,6)</f>
        <v>6.3900000000000003E-4</v>
      </c>
      <c r="AA9" s="717">
        <v>39219</v>
      </c>
      <c r="AB9" s="718">
        <f>W9-AA9</f>
        <v>-0.20877013291465119</v>
      </c>
      <c r="AD9" s="720">
        <v>61382000</v>
      </c>
      <c r="AE9" s="718">
        <f>X9-AD9</f>
        <v>0</v>
      </c>
      <c r="AG9" s="721">
        <v>6.3900000000000003E-4</v>
      </c>
      <c r="AH9" s="722">
        <f>Y9-AG9</f>
        <v>0</v>
      </c>
    </row>
    <row r="10" spans="1:34" ht="10.8" thickBot="1" x14ac:dyDescent="0.25">
      <c r="A10" s="613">
        <f t="shared" ref="A10:A73" si="0">A9+1</f>
        <v>3</v>
      </c>
      <c r="B10" s="164">
        <f>'WP1 Light Inventory'!A9</f>
        <v>3</v>
      </c>
      <c r="C10" s="164"/>
      <c r="D10" s="327" t="str">
        <f>'WP1 Light Inventory'!D9</f>
        <v>Compact Fluorescent</v>
      </c>
      <c r="E10" s="165" t="str">
        <f>'WP1 Light Inventory'!E9</f>
        <v>CF 22</v>
      </c>
      <c r="F10" s="364">
        <f>'WP1 Light Inventory'!J9</f>
        <v>59</v>
      </c>
      <c r="G10" s="366">
        <f>'WP12 Condensed Sch. Level Costs'!O8</f>
        <v>7.7</v>
      </c>
      <c r="H10" s="339">
        <f>$Y$8</f>
        <v>5.8200000000000005E-4</v>
      </c>
      <c r="I10" s="295">
        <f>+F10*J10*12</f>
        <v>0</v>
      </c>
      <c r="J10" s="163">
        <f>ROUND(+H10*G10,2)</f>
        <v>0</v>
      </c>
      <c r="L10" s="339">
        <f>$Y$9</f>
        <v>6.3900000000000003E-4</v>
      </c>
      <c r="M10" s="295">
        <f>+F10*N10*12</f>
        <v>0</v>
      </c>
      <c r="N10" s="163">
        <f>ROUND(+L10*G10,2)</f>
        <v>0</v>
      </c>
      <c r="P10" s="176"/>
      <c r="Q10" s="295"/>
      <c r="T10" s="613" t="s">
        <v>1182</v>
      </c>
      <c r="V10" s="600" t="s">
        <v>699</v>
      </c>
      <c r="W10" s="363"/>
      <c r="X10" s="364"/>
      <c r="Y10" s="167"/>
      <c r="AA10" s="719"/>
      <c r="AB10" s="707"/>
      <c r="AD10" s="719"/>
      <c r="AE10" s="707"/>
      <c r="AG10" s="719"/>
      <c r="AH10" s="707"/>
    </row>
    <row r="11" spans="1:34" x14ac:dyDescent="0.2">
      <c r="A11" s="613">
        <f t="shared" si="0"/>
        <v>4</v>
      </c>
      <c r="B11" s="164"/>
      <c r="C11" s="164"/>
      <c r="D11" s="327"/>
      <c r="E11" s="165"/>
      <c r="F11" s="364"/>
      <c r="G11" s="399"/>
      <c r="H11" s="342"/>
      <c r="I11" s="295"/>
      <c r="L11" s="342"/>
      <c r="M11" s="295"/>
      <c r="P11" s="342"/>
      <c r="Q11" s="295"/>
    </row>
    <row r="12" spans="1:34" x14ac:dyDescent="0.2">
      <c r="A12" s="613">
        <f t="shared" si="0"/>
        <v>5</v>
      </c>
      <c r="B12" s="164" t="str">
        <f>'WP1 Light Inventory'!A11</f>
        <v>50E-A</v>
      </c>
      <c r="C12" s="164"/>
      <c r="D12" s="327" t="str">
        <f>'WP1 Light Inventory'!D11</f>
        <v>Mercury Vapor</v>
      </c>
      <c r="E12" s="165" t="str">
        <f>'WP1 Light Inventory'!E11</f>
        <v>MV 100</v>
      </c>
      <c r="F12" s="364">
        <f>'WP1 Light Inventory'!J11</f>
        <v>2</v>
      </c>
      <c r="G12" s="366">
        <f>'WP12 Condensed Sch. Level Costs'!O10</f>
        <v>35</v>
      </c>
      <c r="H12" s="339">
        <f t="shared" ref="H12:H14" si="1">$Y$8</f>
        <v>5.8200000000000005E-4</v>
      </c>
      <c r="I12" s="295">
        <f t="shared" ref="I12:I14" si="2">+F12*J12*12</f>
        <v>0.48</v>
      </c>
      <c r="J12" s="163">
        <f t="shared" ref="J12:J14" si="3">ROUND(+H12*G12,2)</f>
        <v>0.02</v>
      </c>
      <c r="L12" s="339">
        <f t="shared" ref="L12:L14" si="4">$Y$9</f>
        <v>6.3900000000000003E-4</v>
      </c>
      <c r="M12" s="295">
        <f t="shared" ref="M12:M14" si="5">+F12*N12*12</f>
        <v>0.48</v>
      </c>
      <c r="N12" s="163">
        <f t="shared" ref="N12:N14" si="6">ROUND(+L12*G12,2)</f>
        <v>0.02</v>
      </c>
      <c r="P12" s="176"/>
      <c r="Q12" s="295"/>
      <c r="T12" s="613" t="s">
        <v>1182</v>
      </c>
    </row>
    <row r="13" spans="1:34" x14ac:dyDescent="0.2">
      <c r="A13" s="613">
        <f t="shared" si="0"/>
        <v>6</v>
      </c>
      <c r="B13" s="164" t="str">
        <f>'WP1 Light Inventory'!A12</f>
        <v>50E-A</v>
      </c>
      <c r="C13" s="164"/>
      <c r="D13" s="327" t="str">
        <f>'WP1 Light Inventory'!D12</f>
        <v>Mercury Vapor</v>
      </c>
      <c r="E13" s="165" t="str">
        <f>'WP1 Light Inventory'!E12</f>
        <v>MV 175</v>
      </c>
      <c r="F13" s="364">
        <f>'WP1 Light Inventory'!J12</f>
        <v>19</v>
      </c>
      <c r="G13" s="366">
        <f>'WP12 Condensed Sch. Level Costs'!O11</f>
        <v>61.25</v>
      </c>
      <c r="H13" s="339">
        <f t="shared" si="1"/>
        <v>5.8200000000000005E-4</v>
      </c>
      <c r="I13" s="295">
        <f t="shared" si="2"/>
        <v>9.120000000000001</v>
      </c>
      <c r="J13" s="163">
        <f t="shared" si="3"/>
        <v>0.04</v>
      </c>
      <c r="L13" s="339">
        <f t="shared" si="4"/>
        <v>6.3900000000000003E-4</v>
      </c>
      <c r="M13" s="295">
        <f t="shared" si="5"/>
        <v>9.120000000000001</v>
      </c>
      <c r="N13" s="163">
        <f t="shared" si="6"/>
        <v>0.04</v>
      </c>
      <c r="P13" s="176"/>
      <c r="Q13" s="295"/>
      <c r="T13" s="613" t="s">
        <v>1182</v>
      </c>
    </row>
    <row r="14" spans="1:34" x14ac:dyDescent="0.2">
      <c r="A14" s="613">
        <f t="shared" si="0"/>
        <v>7</v>
      </c>
      <c r="B14" s="164" t="str">
        <f>'WP1 Light Inventory'!A13</f>
        <v>50E-A</v>
      </c>
      <c r="C14" s="164"/>
      <c r="D14" s="327" t="str">
        <f>'WP1 Light Inventory'!D13</f>
        <v>Mercury Vapor</v>
      </c>
      <c r="E14" s="165" t="str">
        <f>'WP1 Light Inventory'!E13</f>
        <v>MV 400</v>
      </c>
      <c r="F14" s="364">
        <f>'WP1 Light Inventory'!J13</f>
        <v>20</v>
      </c>
      <c r="G14" s="366">
        <f>'WP12 Condensed Sch. Level Costs'!O12</f>
        <v>140</v>
      </c>
      <c r="H14" s="339">
        <f t="shared" si="1"/>
        <v>5.8200000000000005E-4</v>
      </c>
      <c r="I14" s="295">
        <f t="shared" si="2"/>
        <v>19.200000000000003</v>
      </c>
      <c r="J14" s="163">
        <f t="shared" si="3"/>
        <v>0.08</v>
      </c>
      <c r="L14" s="339">
        <f t="shared" si="4"/>
        <v>6.3900000000000003E-4</v>
      </c>
      <c r="M14" s="295">
        <f t="shared" si="5"/>
        <v>21.599999999999998</v>
      </c>
      <c r="N14" s="163">
        <f t="shared" si="6"/>
        <v>0.09</v>
      </c>
      <c r="P14" s="176"/>
      <c r="Q14" s="295"/>
      <c r="T14" s="613" t="s">
        <v>1182</v>
      </c>
    </row>
    <row r="15" spans="1:34" x14ac:dyDescent="0.2">
      <c r="A15" s="613">
        <f t="shared" si="0"/>
        <v>8</v>
      </c>
      <c r="B15" s="164"/>
      <c r="C15" s="164"/>
      <c r="D15" s="327"/>
      <c r="E15" s="165"/>
      <c r="F15" s="364"/>
      <c r="G15" s="399"/>
      <c r="H15" s="342"/>
      <c r="I15" s="295"/>
      <c r="L15" s="342"/>
      <c r="M15" s="295"/>
      <c r="P15" s="342"/>
      <c r="Q15" s="295"/>
    </row>
    <row r="16" spans="1:34" x14ac:dyDescent="0.2">
      <c r="A16" s="613">
        <f t="shared" si="0"/>
        <v>9</v>
      </c>
      <c r="B16" s="164" t="str">
        <f>'WP1 Light Inventory'!A15</f>
        <v>50E-B</v>
      </c>
      <c r="C16" s="164" t="str">
        <f>'WP1 Light Inventory'!C15</f>
        <v>Energy Only</v>
      </c>
      <c r="D16" s="327" t="str">
        <f>'WP1 Light Inventory'!D15</f>
        <v>Mercury Vapor</v>
      </c>
      <c r="E16" s="165" t="str">
        <f>'WP1 Light Inventory'!E15</f>
        <v>MV 100</v>
      </c>
      <c r="F16" s="364">
        <f>'WP1 Light Inventory'!J15</f>
        <v>0</v>
      </c>
      <c r="G16" s="366">
        <f>'WP12 Condensed Sch. Level Costs'!O14</f>
        <v>35</v>
      </c>
      <c r="H16" s="339">
        <f t="shared" ref="H16:H19" si="7">$Y$8</f>
        <v>5.8200000000000005E-4</v>
      </c>
      <c r="I16" s="295">
        <f t="shared" ref="I16:I19" si="8">+F16*J16*12</f>
        <v>0</v>
      </c>
      <c r="J16" s="163">
        <f t="shared" ref="J16:J19" si="9">ROUND(+H16*G16,2)</f>
        <v>0.02</v>
      </c>
      <c r="L16" s="339">
        <f t="shared" ref="L16:L19" si="10">$Y$9</f>
        <v>6.3900000000000003E-4</v>
      </c>
      <c r="M16" s="295">
        <f t="shared" ref="M16:M19" si="11">+F16*N16*12</f>
        <v>0</v>
      </c>
      <c r="N16" s="163">
        <f t="shared" ref="N16:N19" si="12">ROUND(+L16*G16,2)</f>
        <v>0.02</v>
      </c>
      <c r="P16" s="176"/>
      <c r="Q16" s="295"/>
      <c r="T16" s="613" t="s">
        <v>1182</v>
      </c>
    </row>
    <row r="17" spans="1:20" x14ac:dyDescent="0.2">
      <c r="A17" s="613">
        <f t="shared" si="0"/>
        <v>10</v>
      </c>
      <c r="B17" s="164" t="str">
        <f>'WP1 Light Inventory'!A16</f>
        <v>50E-B</v>
      </c>
      <c r="C17" s="164" t="str">
        <f>'WP1 Light Inventory'!C16</f>
        <v>Energy Only</v>
      </c>
      <c r="D17" s="327" t="str">
        <f>'WP1 Light Inventory'!D16</f>
        <v>Mercury Vapor</v>
      </c>
      <c r="E17" s="165" t="str">
        <f>'WP1 Light Inventory'!E16</f>
        <v>MV 175</v>
      </c>
      <c r="F17" s="364">
        <f>'WP1 Light Inventory'!J16</f>
        <v>1</v>
      </c>
      <c r="G17" s="366">
        <f>'WP12 Condensed Sch. Level Costs'!O15</f>
        <v>61.25</v>
      </c>
      <c r="H17" s="339">
        <f t="shared" si="7"/>
        <v>5.8200000000000005E-4</v>
      </c>
      <c r="I17" s="295">
        <f t="shared" si="8"/>
        <v>0.48</v>
      </c>
      <c r="J17" s="163">
        <f t="shared" si="9"/>
        <v>0.04</v>
      </c>
      <c r="L17" s="339">
        <f t="shared" si="10"/>
        <v>6.3900000000000003E-4</v>
      </c>
      <c r="M17" s="295">
        <f t="shared" si="11"/>
        <v>0.48</v>
      </c>
      <c r="N17" s="163">
        <f t="shared" si="12"/>
        <v>0.04</v>
      </c>
      <c r="P17" s="176"/>
      <c r="Q17" s="295"/>
      <c r="T17" s="613" t="s">
        <v>1182</v>
      </c>
    </row>
    <row r="18" spans="1:20" x14ac:dyDescent="0.2">
      <c r="A18" s="613">
        <f t="shared" si="0"/>
        <v>11</v>
      </c>
      <c r="B18" s="164" t="str">
        <f>'WP1 Light Inventory'!A17</f>
        <v>50E-B</v>
      </c>
      <c r="C18" s="164" t="str">
        <f>'WP1 Light Inventory'!C17</f>
        <v>Energy Only</v>
      </c>
      <c r="D18" s="327" t="str">
        <f>'WP1 Light Inventory'!D17</f>
        <v>Mercury Vapor</v>
      </c>
      <c r="E18" s="165" t="str">
        <f>'WP1 Light Inventory'!E17</f>
        <v>MV 400</v>
      </c>
      <c r="F18" s="364">
        <f>'WP1 Light Inventory'!J17</f>
        <v>0</v>
      </c>
      <c r="G18" s="366">
        <f>'WP12 Condensed Sch. Level Costs'!O16</f>
        <v>140</v>
      </c>
      <c r="H18" s="339">
        <f t="shared" si="7"/>
        <v>5.8200000000000005E-4</v>
      </c>
      <c r="I18" s="295">
        <f t="shared" si="8"/>
        <v>0</v>
      </c>
      <c r="J18" s="163">
        <f t="shared" si="9"/>
        <v>0.08</v>
      </c>
      <c r="L18" s="339">
        <f t="shared" si="10"/>
        <v>6.3900000000000003E-4</v>
      </c>
      <c r="M18" s="295">
        <f t="shared" si="11"/>
        <v>0</v>
      </c>
      <c r="N18" s="163">
        <f t="shared" si="12"/>
        <v>0.09</v>
      </c>
      <c r="P18" s="176"/>
      <c r="Q18" s="295"/>
      <c r="T18" s="613" t="s">
        <v>1182</v>
      </c>
    </row>
    <row r="19" spans="1:20" x14ac:dyDescent="0.2">
      <c r="A19" s="613">
        <f t="shared" si="0"/>
        <v>12</v>
      </c>
      <c r="B19" s="164" t="str">
        <f>'WP1 Light Inventory'!A18</f>
        <v>50E-B</v>
      </c>
      <c r="C19" s="164" t="str">
        <f>'WP1 Light Inventory'!C18</f>
        <v>Energy Only</v>
      </c>
      <c r="D19" s="327" t="str">
        <f>'WP1 Light Inventory'!D18</f>
        <v>Mercury Vapor</v>
      </c>
      <c r="E19" s="165" t="str">
        <f>'WP1 Light Inventory'!E18</f>
        <v>MV 700</v>
      </c>
      <c r="F19" s="364">
        <f>'WP1 Light Inventory'!J18</f>
        <v>0</v>
      </c>
      <c r="G19" s="366">
        <f>'WP12 Condensed Sch. Level Costs'!O17</f>
        <v>245</v>
      </c>
      <c r="H19" s="339">
        <f t="shared" si="7"/>
        <v>5.8200000000000005E-4</v>
      </c>
      <c r="I19" s="295">
        <f t="shared" si="8"/>
        <v>0</v>
      </c>
      <c r="J19" s="163">
        <f t="shared" si="9"/>
        <v>0.14000000000000001</v>
      </c>
      <c r="L19" s="339">
        <f t="shared" si="10"/>
        <v>6.3900000000000003E-4</v>
      </c>
      <c r="M19" s="295">
        <f t="shared" si="11"/>
        <v>0</v>
      </c>
      <c r="N19" s="163">
        <f t="shared" si="12"/>
        <v>0.16</v>
      </c>
      <c r="P19" s="176"/>
      <c r="Q19" s="295"/>
      <c r="T19" s="613" t="s">
        <v>1182</v>
      </c>
    </row>
    <row r="20" spans="1:20" x14ac:dyDescent="0.2">
      <c r="A20" s="613">
        <f t="shared" si="0"/>
        <v>13</v>
      </c>
      <c r="B20" s="164"/>
      <c r="C20" s="164"/>
      <c r="D20" s="327"/>
      <c r="E20" s="165"/>
      <c r="F20" s="364"/>
      <c r="G20" s="399"/>
      <c r="H20" s="342"/>
      <c r="I20" s="295"/>
      <c r="L20" s="342"/>
      <c r="M20" s="295"/>
      <c r="P20" s="342"/>
      <c r="Q20" s="295"/>
    </row>
    <row r="21" spans="1:20" x14ac:dyDescent="0.2">
      <c r="A21" s="613">
        <f t="shared" si="0"/>
        <v>14</v>
      </c>
      <c r="B21" s="164" t="s">
        <v>135</v>
      </c>
      <c r="C21" s="164"/>
      <c r="D21" s="327"/>
      <c r="E21" s="165"/>
      <c r="F21" s="364"/>
      <c r="G21" s="399"/>
      <c r="H21" s="342"/>
      <c r="I21" s="295"/>
      <c r="L21" s="342"/>
      <c r="M21" s="295"/>
      <c r="P21" s="342"/>
      <c r="Q21" s="295"/>
    </row>
    <row r="22" spans="1:20" ht="11.25" customHeight="1" x14ac:dyDescent="0.2">
      <c r="A22" s="613">
        <f t="shared" si="0"/>
        <v>15</v>
      </c>
      <c r="B22" s="164" t="str">
        <f>'WP1 Light Inventory'!A20</f>
        <v>51E</v>
      </c>
      <c r="C22" s="164"/>
      <c r="D22" s="327" t="str">
        <f>'WP1 Light Inventory'!D20</f>
        <v>Light Emitting Diode</v>
      </c>
      <c r="E22" s="165" t="str">
        <f>'WP1 Light Inventory'!E20</f>
        <v>LED 0-030</v>
      </c>
      <c r="F22" s="364">
        <f>'WP1 Light Inventory'!J20</f>
        <v>0</v>
      </c>
      <c r="G22" s="366">
        <f>'WP12 Condensed Sch. Level Costs'!O19</f>
        <v>5.25</v>
      </c>
      <c r="H22" s="339">
        <f t="shared" ref="H22:H31" si="13">$Y$8</f>
        <v>5.8200000000000005E-4</v>
      </c>
      <c r="I22" s="295">
        <f t="shared" ref="I22:I31" si="14">+F22*J22*12</f>
        <v>0</v>
      </c>
      <c r="J22" s="163">
        <f t="shared" ref="J22:J31" si="15">ROUND(+H22*G22,2)</f>
        <v>0</v>
      </c>
      <c r="L22" s="339">
        <f t="shared" ref="L22:L31" si="16">$Y$9</f>
        <v>6.3900000000000003E-4</v>
      </c>
      <c r="M22" s="295">
        <f t="shared" ref="M22:M31" si="17">+F22*N22*12</f>
        <v>0</v>
      </c>
      <c r="N22" s="163">
        <f t="shared" ref="N22:N31" si="18">ROUND(+L22*G22,2)</f>
        <v>0</v>
      </c>
      <c r="P22" s="176"/>
      <c r="Q22" s="295"/>
      <c r="T22" s="613" t="s">
        <v>1182</v>
      </c>
    </row>
    <row r="23" spans="1:20" x14ac:dyDescent="0.2">
      <c r="A23" s="613">
        <f t="shared" si="0"/>
        <v>16</v>
      </c>
      <c r="B23" s="164" t="str">
        <f>'WP1 Light Inventory'!A21</f>
        <v>51E</v>
      </c>
      <c r="C23" s="164"/>
      <c r="D23" s="327" t="str">
        <f>'WP1 Light Inventory'!D21</f>
        <v>Light Emitting Diode</v>
      </c>
      <c r="E23" s="165" t="str">
        <f>'WP1 Light Inventory'!E21</f>
        <v>LED 030.01-060</v>
      </c>
      <c r="F23" s="364">
        <f>'WP1 Light Inventory'!J21</f>
        <v>4351</v>
      </c>
      <c r="G23" s="366">
        <f>'WP12 Condensed Sch. Level Costs'!O20</f>
        <v>15.75</v>
      </c>
      <c r="H23" s="339">
        <f t="shared" si="13"/>
        <v>5.8200000000000005E-4</v>
      </c>
      <c r="I23" s="295">
        <f t="shared" si="14"/>
        <v>522.12</v>
      </c>
      <c r="J23" s="163">
        <f t="shared" si="15"/>
        <v>0.01</v>
      </c>
      <c r="L23" s="339">
        <f t="shared" si="16"/>
        <v>6.3900000000000003E-4</v>
      </c>
      <c r="M23" s="295">
        <f t="shared" si="17"/>
        <v>522.12</v>
      </c>
      <c r="N23" s="163">
        <f t="shared" si="18"/>
        <v>0.01</v>
      </c>
      <c r="P23" s="176"/>
      <c r="Q23" s="295"/>
      <c r="T23" s="613" t="s">
        <v>1182</v>
      </c>
    </row>
    <row r="24" spans="1:20" x14ac:dyDescent="0.2">
      <c r="A24" s="613">
        <f t="shared" si="0"/>
        <v>17</v>
      </c>
      <c r="B24" s="164" t="str">
        <f>'WP1 Light Inventory'!A22</f>
        <v>51E</v>
      </c>
      <c r="C24" s="164"/>
      <c r="D24" s="327" t="str">
        <f>'WP1 Light Inventory'!D22</f>
        <v>Light Emitting Diode</v>
      </c>
      <c r="E24" s="165" t="str">
        <f>'WP1 Light Inventory'!E22</f>
        <v>LED 060.01-090</v>
      </c>
      <c r="F24" s="364">
        <f>'WP1 Light Inventory'!J22</f>
        <v>2380</v>
      </c>
      <c r="G24" s="366">
        <f>'WP12 Condensed Sch. Level Costs'!O21</f>
        <v>26.25</v>
      </c>
      <c r="H24" s="339">
        <f t="shared" si="13"/>
        <v>5.8200000000000005E-4</v>
      </c>
      <c r="I24" s="295">
        <f t="shared" si="14"/>
        <v>571.20000000000005</v>
      </c>
      <c r="J24" s="163">
        <f t="shared" si="15"/>
        <v>0.02</v>
      </c>
      <c r="L24" s="339">
        <f t="shared" si="16"/>
        <v>6.3900000000000003E-4</v>
      </c>
      <c r="M24" s="295">
        <f t="shared" si="17"/>
        <v>571.20000000000005</v>
      </c>
      <c r="N24" s="163">
        <f t="shared" si="18"/>
        <v>0.02</v>
      </c>
      <c r="P24" s="176"/>
      <c r="Q24" s="295"/>
      <c r="T24" s="613" t="s">
        <v>1182</v>
      </c>
    </row>
    <row r="25" spans="1:20" x14ac:dyDescent="0.2">
      <c r="A25" s="613">
        <f t="shared" si="0"/>
        <v>18</v>
      </c>
      <c r="B25" s="164" t="str">
        <f>'WP1 Light Inventory'!A23</f>
        <v>51E</v>
      </c>
      <c r="C25" s="164"/>
      <c r="D25" s="327" t="str">
        <f>'WP1 Light Inventory'!D23</f>
        <v>Light Emitting Diode</v>
      </c>
      <c r="E25" s="165" t="str">
        <f>'WP1 Light Inventory'!E23</f>
        <v>LED 090.01-120</v>
      </c>
      <c r="F25" s="364">
        <f>'WP1 Light Inventory'!J23</f>
        <v>1030</v>
      </c>
      <c r="G25" s="366">
        <f>'WP12 Condensed Sch. Level Costs'!O22</f>
        <v>36.75</v>
      </c>
      <c r="H25" s="339">
        <f t="shared" si="13"/>
        <v>5.8200000000000005E-4</v>
      </c>
      <c r="I25" s="295">
        <f t="shared" si="14"/>
        <v>247.20000000000002</v>
      </c>
      <c r="J25" s="163">
        <f t="shared" si="15"/>
        <v>0.02</v>
      </c>
      <c r="L25" s="339">
        <f t="shared" si="16"/>
        <v>6.3900000000000003E-4</v>
      </c>
      <c r="M25" s="295">
        <f t="shared" si="17"/>
        <v>247.20000000000002</v>
      </c>
      <c r="N25" s="163">
        <f t="shared" si="18"/>
        <v>0.02</v>
      </c>
      <c r="P25" s="176"/>
      <c r="Q25" s="295"/>
      <c r="T25" s="613" t="s">
        <v>1182</v>
      </c>
    </row>
    <row r="26" spans="1:20" x14ac:dyDescent="0.2">
      <c r="A26" s="613">
        <f t="shared" si="0"/>
        <v>19</v>
      </c>
      <c r="B26" s="164" t="str">
        <f>'WP1 Light Inventory'!A24</f>
        <v>51E</v>
      </c>
      <c r="C26" s="164"/>
      <c r="D26" s="327" t="str">
        <f>'WP1 Light Inventory'!D24</f>
        <v>Light Emitting Diode</v>
      </c>
      <c r="E26" s="165" t="str">
        <f>'WP1 Light Inventory'!E24</f>
        <v>LED 120.01-150</v>
      </c>
      <c r="F26" s="364">
        <f>'WP1 Light Inventory'!J24</f>
        <v>485</v>
      </c>
      <c r="G26" s="366">
        <f>'WP12 Condensed Sch. Level Costs'!O23</f>
        <v>47.25</v>
      </c>
      <c r="H26" s="339">
        <f t="shared" si="13"/>
        <v>5.8200000000000005E-4</v>
      </c>
      <c r="I26" s="295">
        <f t="shared" si="14"/>
        <v>174.6</v>
      </c>
      <c r="J26" s="163">
        <f t="shared" si="15"/>
        <v>0.03</v>
      </c>
      <c r="L26" s="339">
        <f t="shared" si="16"/>
        <v>6.3900000000000003E-4</v>
      </c>
      <c r="M26" s="295">
        <f t="shared" si="17"/>
        <v>174.6</v>
      </c>
      <c r="N26" s="163">
        <f t="shared" si="18"/>
        <v>0.03</v>
      </c>
      <c r="P26" s="176"/>
      <c r="Q26" s="295"/>
      <c r="T26" s="613" t="s">
        <v>1182</v>
      </c>
    </row>
    <row r="27" spans="1:20" x14ac:dyDescent="0.2">
      <c r="A27" s="613">
        <f t="shared" si="0"/>
        <v>20</v>
      </c>
      <c r="B27" s="164" t="str">
        <f>'WP1 Light Inventory'!A25</f>
        <v>51E</v>
      </c>
      <c r="C27" s="164"/>
      <c r="D27" s="327" t="str">
        <f>'WP1 Light Inventory'!D25</f>
        <v>Light Emitting Diode</v>
      </c>
      <c r="E27" s="165" t="str">
        <f>'WP1 Light Inventory'!E25</f>
        <v>LED 150.01-180</v>
      </c>
      <c r="F27" s="364">
        <f>'WP1 Light Inventory'!J25</f>
        <v>69</v>
      </c>
      <c r="G27" s="366">
        <f>'WP12 Condensed Sch. Level Costs'!O24</f>
        <v>57.75</v>
      </c>
      <c r="H27" s="339">
        <f t="shared" si="13"/>
        <v>5.8200000000000005E-4</v>
      </c>
      <c r="I27" s="295">
        <f t="shared" si="14"/>
        <v>24.839999999999996</v>
      </c>
      <c r="J27" s="163">
        <f t="shared" si="15"/>
        <v>0.03</v>
      </c>
      <c r="L27" s="339">
        <f t="shared" si="16"/>
        <v>6.3900000000000003E-4</v>
      </c>
      <c r="M27" s="295">
        <f t="shared" si="17"/>
        <v>33.120000000000005</v>
      </c>
      <c r="N27" s="163">
        <f t="shared" si="18"/>
        <v>0.04</v>
      </c>
      <c r="P27" s="176"/>
      <c r="Q27" s="295"/>
      <c r="T27" s="613" t="s">
        <v>1182</v>
      </c>
    </row>
    <row r="28" spans="1:20" x14ac:dyDescent="0.2">
      <c r="A28" s="613">
        <f t="shared" si="0"/>
        <v>21</v>
      </c>
      <c r="B28" s="164" t="str">
        <f>'WP1 Light Inventory'!A26</f>
        <v>51E</v>
      </c>
      <c r="C28" s="164"/>
      <c r="D28" s="327" t="str">
        <f>'WP1 Light Inventory'!D26</f>
        <v>Light Emitting Diode</v>
      </c>
      <c r="E28" s="165" t="str">
        <f>'WP1 Light Inventory'!E26</f>
        <v>LED 180.01-210</v>
      </c>
      <c r="F28" s="364">
        <f>'WP1 Light Inventory'!J26</f>
        <v>201</v>
      </c>
      <c r="G28" s="366">
        <f>'WP12 Condensed Sch. Level Costs'!O25</f>
        <v>68.25</v>
      </c>
      <c r="H28" s="339">
        <f t="shared" si="13"/>
        <v>5.8200000000000005E-4</v>
      </c>
      <c r="I28" s="295">
        <f t="shared" si="14"/>
        <v>96.480000000000018</v>
      </c>
      <c r="J28" s="163">
        <f t="shared" si="15"/>
        <v>0.04</v>
      </c>
      <c r="L28" s="339">
        <f t="shared" si="16"/>
        <v>6.3900000000000003E-4</v>
      </c>
      <c r="M28" s="295">
        <f t="shared" si="17"/>
        <v>96.480000000000018</v>
      </c>
      <c r="N28" s="163">
        <f t="shared" si="18"/>
        <v>0.04</v>
      </c>
      <c r="P28" s="176"/>
      <c r="Q28" s="295"/>
      <c r="T28" s="613" t="s">
        <v>1182</v>
      </c>
    </row>
    <row r="29" spans="1:20" x14ac:dyDescent="0.2">
      <c r="A29" s="613">
        <f t="shared" si="0"/>
        <v>22</v>
      </c>
      <c r="B29" s="164" t="str">
        <f>'WP1 Light Inventory'!A27</f>
        <v>51E</v>
      </c>
      <c r="C29" s="164"/>
      <c r="D29" s="327" t="str">
        <f>'WP1 Light Inventory'!D27</f>
        <v>Light Emitting Diode</v>
      </c>
      <c r="E29" s="165" t="str">
        <f>'WP1 Light Inventory'!E27</f>
        <v>LED 210.01-240</v>
      </c>
      <c r="F29" s="364">
        <f>'WP1 Light Inventory'!J27</f>
        <v>59</v>
      </c>
      <c r="G29" s="366">
        <f>'WP12 Condensed Sch. Level Costs'!O26</f>
        <v>78.75</v>
      </c>
      <c r="H29" s="339">
        <f t="shared" si="13"/>
        <v>5.8200000000000005E-4</v>
      </c>
      <c r="I29" s="295">
        <f t="shared" si="14"/>
        <v>35.400000000000006</v>
      </c>
      <c r="J29" s="163">
        <f t="shared" si="15"/>
        <v>0.05</v>
      </c>
      <c r="L29" s="339">
        <f t="shared" si="16"/>
        <v>6.3900000000000003E-4</v>
      </c>
      <c r="M29" s="295">
        <f t="shared" si="17"/>
        <v>35.400000000000006</v>
      </c>
      <c r="N29" s="163">
        <f t="shared" si="18"/>
        <v>0.05</v>
      </c>
      <c r="P29" s="176"/>
      <c r="Q29" s="295"/>
      <c r="T29" s="613" t="s">
        <v>1182</v>
      </c>
    </row>
    <row r="30" spans="1:20" x14ac:dyDescent="0.2">
      <c r="A30" s="613">
        <f t="shared" si="0"/>
        <v>23</v>
      </c>
      <c r="B30" s="164" t="str">
        <f>'WP1 Light Inventory'!A28</f>
        <v>51E</v>
      </c>
      <c r="C30" s="164"/>
      <c r="D30" s="327" t="str">
        <f>'WP1 Light Inventory'!D28</f>
        <v>Light Emitting Diode</v>
      </c>
      <c r="E30" s="165" t="str">
        <f>'WP1 Light Inventory'!E28</f>
        <v>LED 240.01-270</v>
      </c>
      <c r="F30" s="364">
        <f>'WP1 Light Inventory'!J28</f>
        <v>8</v>
      </c>
      <c r="G30" s="366">
        <f>'WP12 Condensed Sch. Level Costs'!O27</f>
        <v>89.25</v>
      </c>
      <c r="H30" s="339">
        <f t="shared" si="13"/>
        <v>5.8200000000000005E-4</v>
      </c>
      <c r="I30" s="295">
        <f t="shared" si="14"/>
        <v>4.8000000000000007</v>
      </c>
      <c r="J30" s="163">
        <f t="shared" si="15"/>
        <v>0.05</v>
      </c>
      <c r="L30" s="339">
        <f t="shared" si="16"/>
        <v>6.3900000000000003E-4</v>
      </c>
      <c r="M30" s="295">
        <f t="shared" si="17"/>
        <v>5.76</v>
      </c>
      <c r="N30" s="163">
        <f t="shared" si="18"/>
        <v>0.06</v>
      </c>
      <c r="P30" s="176"/>
      <c r="Q30" s="295"/>
      <c r="T30" s="613" t="s">
        <v>1182</v>
      </c>
    </row>
    <row r="31" spans="1:20" x14ac:dyDescent="0.2">
      <c r="A31" s="613">
        <f t="shared" si="0"/>
        <v>24</v>
      </c>
      <c r="B31" s="164" t="str">
        <f>'WP1 Light Inventory'!A29</f>
        <v>51E</v>
      </c>
      <c r="C31" s="164"/>
      <c r="D31" s="327" t="str">
        <f>'WP1 Light Inventory'!D29</f>
        <v>Light Emitting Diode</v>
      </c>
      <c r="E31" s="165" t="str">
        <f>'WP1 Light Inventory'!E29</f>
        <v>LED 270.01-300</v>
      </c>
      <c r="F31" s="364">
        <f>'WP1 Light Inventory'!J29</f>
        <v>79</v>
      </c>
      <c r="G31" s="366">
        <f>'WP12 Condensed Sch. Level Costs'!O28</f>
        <v>99.75</v>
      </c>
      <c r="H31" s="339">
        <f t="shared" si="13"/>
        <v>5.8200000000000005E-4</v>
      </c>
      <c r="I31" s="295">
        <f t="shared" si="14"/>
        <v>56.88</v>
      </c>
      <c r="J31" s="163">
        <f t="shared" si="15"/>
        <v>0.06</v>
      </c>
      <c r="L31" s="339">
        <f t="shared" si="16"/>
        <v>6.3900000000000003E-4</v>
      </c>
      <c r="M31" s="295">
        <f t="shared" si="17"/>
        <v>56.88</v>
      </c>
      <c r="N31" s="163">
        <f t="shared" si="18"/>
        <v>0.06</v>
      </c>
      <c r="P31" s="176"/>
      <c r="Q31" s="295"/>
      <c r="T31" s="613" t="s">
        <v>1182</v>
      </c>
    </row>
    <row r="32" spans="1:20" x14ac:dyDescent="0.2">
      <c r="A32" s="613">
        <f t="shared" si="0"/>
        <v>25</v>
      </c>
      <c r="B32" s="164"/>
      <c r="C32" s="164"/>
      <c r="D32" s="327"/>
      <c r="E32" s="165"/>
      <c r="F32" s="364"/>
      <c r="G32" s="399"/>
      <c r="H32" s="342"/>
      <c r="I32" s="295"/>
      <c r="L32" s="342"/>
      <c r="M32" s="295"/>
      <c r="P32" s="342"/>
      <c r="Q32" s="295"/>
    </row>
    <row r="33" spans="1:20" ht="11.25" customHeight="1" x14ac:dyDescent="0.2">
      <c r="A33" s="613">
        <f t="shared" si="0"/>
        <v>26</v>
      </c>
      <c r="B33" s="164" t="str">
        <f>'WP1 Light Inventory'!A31</f>
        <v>51E</v>
      </c>
      <c r="C33" s="327" t="str">
        <f>'WP1 Light Inventory'!C31</f>
        <v>SMART LIGHT</v>
      </c>
      <c r="D33" s="327" t="str">
        <f>'WP1 Light Inventory'!D31</f>
        <v>Light Emitting Diode</v>
      </c>
      <c r="E33" s="165" t="str">
        <f>'WP1 Light Inventory'!E31</f>
        <v>LED 0-030</v>
      </c>
      <c r="F33" s="364">
        <f>'WP1 Light Inventory'!J31</f>
        <v>0</v>
      </c>
      <c r="G33" s="366">
        <f>'WP12 Condensed Sch. Level Costs'!O30</f>
        <v>5.25</v>
      </c>
      <c r="H33" s="339">
        <f t="shared" ref="H33:H42" si="19">$Y$8</f>
        <v>5.8200000000000005E-4</v>
      </c>
      <c r="I33" s="295"/>
      <c r="L33" s="339">
        <f t="shared" ref="L33:L42" si="20">$Y$9</f>
        <v>6.3900000000000003E-4</v>
      </c>
      <c r="M33" s="295"/>
      <c r="P33" s="176"/>
      <c r="Q33" s="295"/>
      <c r="T33" s="613" t="s">
        <v>1182</v>
      </c>
    </row>
    <row r="34" spans="1:20" x14ac:dyDescent="0.2">
      <c r="A34" s="613">
        <f t="shared" si="0"/>
        <v>27</v>
      </c>
      <c r="B34" s="164" t="str">
        <f>'WP1 Light Inventory'!A32</f>
        <v>51E</v>
      </c>
      <c r="C34" s="327" t="str">
        <f>'WP1 Light Inventory'!C32</f>
        <v>SMART LIGHT</v>
      </c>
      <c r="D34" s="327" t="str">
        <f>'WP1 Light Inventory'!D32</f>
        <v>Light Emitting Diode</v>
      </c>
      <c r="E34" s="165" t="str">
        <f>'WP1 Light Inventory'!E32</f>
        <v>LED 030.01-060</v>
      </c>
      <c r="F34" s="364">
        <f>'WP1 Light Inventory'!J32</f>
        <v>0</v>
      </c>
      <c r="G34" s="366">
        <f>'WP12 Condensed Sch. Level Costs'!O31</f>
        <v>15.75</v>
      </c>
      <c r="H34" s="339">
        <f t="shared" si="19"/>
        <v>5.8200000000000005E-4</v>
      </c>
      <c r="I34" s="295"/>
      <c r="L34" s="339">
        <f t="shared" si="20"/>
        <v>6.3900000000000003E-4</v>
      </c>
      <c r="M34" s="295"/>
      <c r="P34" s="176"/>
      <c r="Q34" s="295"/>
      <c r="T34" s="613" t="s">
        <v>1182</v>
      </c>
    </row>
    <row r="35" spans="1:20" x14ac:dyDescent="0.2">
      <c r="A35" s="613">
        <f t="shared" si="0"/>
        <v>28</v>
      </c>
      <c r="B35" s="164" t="str">
        <f>'WP1 Light Inventory'!A33</f>
        <v>51E</v>
      </c>
      <c r="C35" s="327" t="str">
        <f>'WP1 Light Inventory'!C33</f>
        <v>SMART LIGHT</v>
      </c>
      <c r="D35" s="327" t="str">
        <f>'WP1 Light Inventory'!D33</f>
        <v>Light Emitting Diode</v>
      </c>
      <c r="E35" s="165" t="str">
        <f>'WP1 Light Inventory'!E33</f>
        <v>LED 060.01-090</v>
      </c>
      <c r="F35" s="364">
        <f>'WP1 Light Inventory'!J33</f>
        <v>0</v>
      </c>
      <c r="G35" s="366">
        <f>'WP12 Condensed Sch. Level Costs'!O32</f>
        <v>26.25</v>
      </c>
      <c r="H35" s="339">
        <f t="shared" si="19"/>
        <v>5.8200000000000005E-4</v>
      </c>
      <c r="I35" s="295"/>
      <c r="L35" s="339">
        <f t="shared" si="20"/>
        <v>6.3900000000000003E-4</v>
      </c>
      <c r="M35" s="295"/>
      <c r="P35" s="176"/>
      <c r="Q35" s="295"/>
      <c r="T35" s="613" t="s">
        <v>1182</v>
      </c>
    </row>
    <row r="36" spans="1:20" x14ac:dyDescent="0.2">
      <c r="A36" s="613">
        <f t="shared" si="0"/>
        <v>29</v>
      </c>
      <c r="B36" s="164" t="str">
        <f>'WP1 Light Inventory'!A34</f>
        <v>51E</v>
      </c>
      <c r="C36" s="327" t="str">
        <f>'WP1 Light Inventory'!C34</f>
        <v>SMART LIGHT</v>
      </c>
      <c r="D36" s="327" t="str">
        <f>'WP1 Light Inventory'!D34</f>
        <v>Light Emitting Diode</v>
      </c>
      <c r="E36" s="165" t="str">
        <f>'WP1 Light Inventory'!E34</f>
        <v>LED 090.01-120</v>
      </c>
      <c r="F36" s="364">
        <f>'WP1 Light Inventory'!J34</f>
        <v>0</v>
      </c>
      <c r="G36" s="366">
        <f>'WP12 Condensed Sch. Level Costs'!O33</f>
        <v>36.75</v>
      </c>
      <c r="H36" s="339">
        <f t="shared" si="19"/>
        <v>5.8200000000000005E-4</v>
      </c>
      <c r="I36" s="295"/>
      <c r="L36" s="339">
        <f t="shared" si="20"/>
        <v>6.3900000000000003E-4</v>
      </c>
      <c r="M36" s="295"/>
      <c r="P36" s="176"/>
      <c r="Q36" s="295"/>
      <c r="T36" s="613" t="s">
        <v>1182</v>
      </c>
    </row>
    <row r="37" spans="1:20" x14ac:dyDescent="0.2">
      <c r="A37" s="613">
        <f t="shared" si="0"/>
        <v>30</v>
      </c>
      <c r="B37" s="164" t="str">
        <f>'WP1 Light Inventory'!A35</f>
        <v>51E</v>
      </c>
      <c r="C37" s="327" t="str">
        <f>'WP1 Light Inventory'!C35</f>
        <v>SMART LIGHT</v>
      </c>
      <c r="D37" s="327" t="str">
        <f>'WP1 Light Inventory'!D35</f>
        <v>Light Emitting Diode</v>
      </c>
      <c r="E37" s="165" t="str">
        <f>'WP1 Light Inventory'!E35</f>
        <v>LED 120.01-150</v>
      </c>
      <c r="F37" s="364">
        <f>'WP1 Light Inventory'!J35</f>
        <v>0</v>
      </c>
      <c r="G37" s="366">
        <f>'WP12 Condensed Sch. Level Costs'!O34</f>
        <v>47.25</v>
      </c>
      <c r="H37" s="339">
        <f t="shared" si="19"/>
        <v>5.8200000000000005E-4</v>
      </c>
      <c r="I37" s="295"/>
      <c r="L37" s="339">
        <f t="shared" si="20"/>
        <v>6.3900000000000003E-4</v>
      </c>
      <c r="M37" s="295"/>
      <c r="P37" s="176"/>
      <c r="Q37" s="295"/>
      <c r="T37" s="613" t="s">
        <v>1182</v>
      </c>
    </row>
    <row r="38" spans="1:20" x14ac:dyDescent="0.2">
      <c r="A38" s="613">
        <f t="shared" si="0"/>
        <v>31</v>
      </c>
      <c r="B38" s="164" t="str">
        <f>'WP1 Light Inventory'!A36</f>
        <v>51E</v>
      </c>
      <c r="C38" s="327" t="str">
        <f>'WP1 Light Inventory'!C36</f>
        <v>SMART LIGHT</v>
      </c>
      <c r="D38" s="327" t="str">
        <f>'WP1 Light Inventory'!D36</f>
        <v>Light Emitting Diode</v>
      </c>
      <c r="E38" s="165" t="str">
        <f>'WP1 Light Inventory'!E36</f>
        <v>LED 150.01-180</v>
      </c>
      <c r="F38" s="364">
        <f>'WP1 Light Inventory'!J36</f>
        <v>0</v>
      </c>
      <c r="G38" s="366">
        <f>'WP12 Condensed Sch. Level Costs'!O35</f>
        <v>57.75</v>
      </c>
      <c r="H38" s="339">
        <f t="shared" si="19"/>
        <v>5.8200000000000005E-4</v>
      </c>
      <c r="I38" s="295"/>
      <c r="L38" s="339">
        <f t="shared" si="20"/>
        <v>6.3900000000000003E-4</v>
      </c>
      <c r="M38" s="295"/>
      <c r="P38" s="176"/>
      <c r="Q38" s="295"/>
      <c r="T38" s="613" t="s">
        <v>1182</v>
      </c>
    </row>
    <row r="39" spans="1:20" x14ac:dyDescent="0.2">
      <c r="A39" s="613">
        <f t="shared" si="0"/>
        <v>32</v>
      </c>
      <c r="B39" s="164" t="str">
        <f>'WP1 Light Inventory'!A37</f>
        <v>51E</v>
      </c>
      <c r="C39" s="327" t="str">
        <f>'WP1 Light Inventory'!C37</f>
        <v>SMART LIGHT</v>
      </c>
      <c r="D39" s="327" t="str">
        <f>'WP1 Light Inventory'!D37</f>
        <v>Light Emitting Diode</v>
      </c>
      <c r="E39" s="165" t="str">
        <f>'WP1 Light Inventory'!E37</f>
        <v>LED 180.01-210</v>
      </c>
      <c r="F39" s="364">
        <f>'WP1 Light Inventory'!J37</f>
        <v>0</v>
      </c>
      <c r="G39" s="366">
        <f>'WP12 Condensed Sch. Level Costs'!O36</f>
        <v>68.25</v>
      </c>
      <c r="H39" s="339">
        <f t="shared" si="19"/>
        <v>5.8200000000000005E-4</v>
      </c>
      <c r="I39" s="295"/>
      <c r="L39" s="339">
        <f t="shared" si="20"/>
        <v>6.3900000000000003E-4</v>
      </c>
      <c r="M39" s="295"/>
      <c r="P39" s="176"/>
      <c r="Q39" s="295"/>
      <c r="T39" s="613" t="s">
        <v>1182</v>
      </c>
    </row>
    <row r="40" spans="1:20" x14ac:dyDescent="0.2">
      <c r="A40" s="613">
        <f t="shared" si="0"/>
        <v>33</v>
      </c>
      <c r="B40" s="164" t="str">
        <f>'WP1 Light Inventory'!A38</f>
        <v>51E</v>
      </c>
      <c r="C40" s="327" t="str">
        <f>'WP1 Light Inventory'!C38</f>
        <v>SMART LIGHT</v>
      </c>
      <c r="D40" s="327" t="str">
        <f>'WP1 Light Inventory'!D38</f>
        <v>Light Emitting Diode</v>
      </c>
      <c r="E40" s="165" t="str">
        <f>'WP1 Light Inventory'!E38</f>
        <v>LED 210.01-240</v>
      </c>
      <c r="F40" s="364">
        <f>'WP1 Light Inventory'!J38</f>
        <v>0</v>
      </c>
      <c r="G40" s="366">
        <f>'WP12 Condensed Sch. Level Costs'!O37</f>
        <v>78.75</v>
      </c>
      <c r="H40" s="339">
        <f t="shared" si="19"/>
        <v>5.8200000000000005E-4</v>
      </c>
      <c r="I40" s="295"/>
      <c r="L40" s="339">
        <f t="shared" si="20"/>
        <v>6.3900000000000003E-4</v>
      </c>
      <c r="M40" s="295"/>
      <c r="P40" s="176"/>
      <c r="Q40" s="295"/>
      <c r="T40" s="613" t="s">
        <v>1182</v>
      </c>
    </row>
    <row r="41" spans="1:20" x14ac:dyDescent="0.2">
      <c r="A41" s="613">
        <f t="shared" si="0"/>
        <v>34</v>
      </c>
      <c r="B41" s="164" t="str">
        <f>'WP1 Light Inventory'!A39</f>
        <v>51E</v>
      </c>
      <c r="C41" s="327" t="str">
        <f>'WP1 Light Inventory'!C39</f>
        <v>SMART LIGHT</v>
      </c>
      <c r="D41" s="327" t="str">
        <f>'WP1 Light Inventory'!D39</f>
        <v>Light Emitting Diode</v>
      </c>
      <c r="E41" s="165" t="str">
        <f>'WP1 Light Inventory'!E39</f>
        <v>LED 240.01-270</v>
      </c>
      <c r="F41" s="364">
        <f>'WP1 Light Inventory'!J39</f>
        <v>0</v>
      </c>
      <c r="G41" s="366">
        <f>'WP12 Condensed Sch. Level Costs'!O38</f>
        <v>89.25</v>
      </c>
      <c r="H41" s="339">
        <f t="shared" si="19"/>
        <v>5.8200000000000005E-4</v>
      </c>
      <c r="I41" s="295"/>
      <c r="L41" s="339">
        <f t="shared" si="20"/>
        <v>6.3900000000000003E-4</v>
      </c>
      <c r="M41" s="295"/>
      <c r="P41" s="176"/>
      <c r="Q41" s="295"/>
      <c r="T41" s="613" t="s">
        <v>1182</v>
      </c>
    </row>
    <row r="42" spans="1:20" x14ac:dyDescent="0.2">
      <c r="A42" s="613">
        <f t="shared" si="0"/>
        <v>35</v>
      </c>
      <c r="B42" s="164" t="str">
        <f>'WP1 Light Inventory'!A40</f>
        <v>51E</v>
      </c>
      <c r="C42" s="327" t="str">
        <f>'WP1 Light Inventory'!C40</f>
        <v>SMART LIGHT</v>
      </c>
      <c r="D42" s="327" t="str">
        <f>'WP1 Light Inventory'!D40</f>
        <v>Light Emitting Diode</v>
      </c>
      <c r="E42" s="165" t="str">
        <f>'WP1 Light Inventory'!E40</f>
        <v>LED 270.01-300</v>
      </c>
      <c r="F42" s="364">
        <f>'WP1 Light Inventory'!J40</f>
        <v>0</v>
      </c>
      <c r="G42" s="366">
        <f>'WP12 Condensed Sch. Level Costs'!O39</f>
        <v>99.75</v>
      </c>
      <c r="H42" s="339">
        <f t="shared" si="19"/>
        <v>5.8200000000000005E-4</v>
      </c>
      <c r="I42" s="295"/>
      <c r="L42" s="339">
        <f t="shared" si="20"/>
        <v>6.3900000000000003E-4</v>
      </c>
      <c r="M42" s="295"/>
      <c r="P42" s="176"/>
      <c r="Q42" s="295"/>
      <c r="T42" s="613" t="s">
        <v>1182</v>
      </c>
    </row>
    <row r="43" spans="1:20" x14ac:dyDescent="0.2">
      <c r="A43" s="613">
        <f t="shared" si="0"/>
        <v>36</v>
      </c>
      <c r="B43" s="164"/>
      <c r="C43" s="327"/>
      <c r="D43" s="327"/>
      <c r="E43" s="165"/>
      <c r="F43" s="364"/>
      <c r="G43" s="366"/>
      <c r="H43" s="339"/>
      <c r="I43" s="295"/>
      <c r="L43" s="339"/>
      <c r="M43" s="295"/>
      <c r="P43" s="176"/>
      <c r="Q43" s="295"/>
      <c r="T43" s="613"/>
    </row>
    <row r="44" spans="1:20" x14ac:dyDescent="0.2">
      <c r="A44" s="613">
        <f t="shared" si="0"/>
        <v>37</v>
      </c>
      <c r="B44" s="164" t="s">
        <v>136</v>
      </c>
      <c r="C44" s="164"/>
      <c r="D44" s="327"/>
      <c r="E44" s="165"/>
      <c r="F44" s="364"/>
      <c r="G44" s="399"/>
      <c r="H44" s="342"/>
      <c r="I44" s="295"/>
      <c r="L44" s="342"/>
      <c r="M44" s="295"/>
      <c r="P44" s="342"/>
      <c r="Q44" s="295"/>
    </row>
    <row r="45" spans="1:20" x14ac:dyDescent="0.2">
      <c r="A45" s="613">
        <f t="shared" si="0"/>
        <v>38</v>
      </c>
      <c r="B45" s="164" t="str">
        <f>'WP1 Light Inventory'!A42</f>
        <v xml:space="preserve">52E </v>
      </c>
      <c r="C45" s="164"/>
      <c r="D45" s="327" t="str">
        <f>'WP1 Light Inventory'!D42</f>
        <v>Sodium Vapor</v>
      </c>
      <c r="E45" s="165" t="str">
        <f>'WP1 Light Inventory'!E42</f>
        <v>SV 50</v>
      </c>
      <c r="F45" s="364">
        <f>'WP1 Light Inventory'!J42</f>
        <v>0</v>
      </c>
      <c r="G45" s="366">
        <f>'WP12 Condensed Sch. Level Costs'!O41</f>
        <v>17.5</v>
      </c>
      <c r="H45" s="339">
        <f t="shared" ref="H45:H52" si="21">$Y$8</f>
        <v>5.8200000000000005E-4</v>
      </c>
      <c r="I45" s="295">
        <f t="shared" ref="I45:I52" si="22">+F45*J45*12</f>
        <v>0</v>
      </c>
      <c r="J45" s="163">
        <f t="shared" ref="J45:J52" si="23">ROUND(+H45*G45,2)</f>
        <v>0.01</v>
      </c>
      <c r="L45" s="339">
        <f t="shared" ref="L45:L52" si="24">$Y$9</f>
        <v>6.3900000000000003E-4</v>
      </c>
      <c r="M45" s="295">
        <f t="shared" ref="M45:M52" si="25">+F45*N45*12</f>
        <v>0</v>
      </c>
      <c r="N45" s="163">
        <f t="shared" ref="N45:N52" si="26">ROUND(+L45*G45,2)</f>
        <v>0.01</v>
      </c>
      <c r="P45" s="176"/>
      <c r="Q45" s="295"/>
      <c r="T45" s="613" t="s">
        <v>1183</v>
      </c>
    </row>
    <row r="46" spans="1:20" x14ac:dyDescent="0.2">
      <c r="A46" s="613">
        <f t="shared" si="0"/>
        <v>39</v>
      </c>
      <c r="B46" s="164" t="str">
        <f>'WP1 Light Inventory'!A43</f>
        <v xml:space="preserve">52E </v>
      </c>
      <c r="C46" s="164"/>
      <c r="D46" s="327" t="str">
        <f>'WP1 Light Inventory'!D43</f>
        <v>Sodium Vapor</v>
      </c>
      <c r="E46" s="165" t="str">
        <f>'WP1 Light Inventory'!E43</f>
        <v>SV 070</v>
      </c>
      <c r="F46" s="364">
        <f>'WP1 Light Inventory'!J43</f>
        <v>670</v>
      </c>
      <c r="G46" s="366">
        <f>'WP12 Condensed Sch. Level Costs'!O42</f>
        <v>24.5</v>
      </c>
      <c r="H46" s="339">
        <f t="shared" si="21"/>
        <v>5.8200000000000005E-4</v>
      </c>
      <c r="I46" s="295">
        <f t="shared" si="22"/>
        <v>80.400000000000006</v>
      </c>
      <c r="J46" s="163">
        <f t="shared" si="23"/>
        <v>0.01</v>
      </c>
      <c r="L46" s="339">
        <f t="shared" si="24"/>
        <v>6.3900000000000003E-4</v>
      </c>
      <c r="M46" s="295">
        <f t="shared" si="25"/>
        <v>160.80000000000001</v>
      </c>
      <c r="N46" s="163">
        <f t="shared" si="26"/>
        <v>0.02</v>
      </c>
      <c r="P46" s="176"/>
      <c r="Q46" s="295"/>
      <c r="T46" s="613" t="s">
        <v>1183</v>
      </c>
    </row>
    <row r="47" spans="1:20" x14ac:dyDescent="0.2">
      <c r="A47" s="613">
        <f t="shared" si="0"/>
        <v>40</v>
      </c>
      <c r="B47" s="164" t="str">
        <f>'WP1 Light Inventory'!A44</f>
        <v xml:space="preserve">52E </v>
      </c>
      <c r="C47" s="164"/>
      <c r="D47" s="327" t="str">
        <f>'WP1 Light Inventory'!D44</f>
        <v>Sodium Vapor</v>
      </c>
      <c r="E47" s="165" t="str">
        <f>'WP1 Light Inventory'!E44</f>
        <v>SV 100</v>
      </c>
      <c r="F47" s="364">
        <f>'WP1 Light Inventory'!J44</f>
        <v>9604</v>
      </c>
      <c r="G47" s="366">
        <f>'WP12 Condensed Sch. Level Costs'!O43</f>
        <v>35</v>
      </c>
      <c r="H47" s="339">
        <f t="shared" si="21"/>
        <v>5.8200000000000005E-4</v>
      </c>
      <c r="I47" s="295">
        <f t="shared" si="22"/>
        <v>2304.96</v>
      </c>
      <c r="J47" s="163">
        <f t="shared" si="23"/>
        <v>0.02</v>
      </c>
      <c r="L47" s="339">
        <f t="shared" si="24"/>
        <v>6.3900000000000003E-4</v>
      </c>
      <c r="M47" s="295">
        <f t="shared" si="25"/>
        <v>2304.96</v>
      </c>
      <c r="N47" s="163">
        <f t="shared" si="26"/>
        <v>0.02</v>
      </c>
      <c r="P47" s="176"/>
      <c r="Q47" s="295"/>
      <c r="T47" s="613" t="s">
        <v>1183</v>
      </c>
    </row>
    <row r="48" spans="1:20" x14ac:dyDescent="0.2">
      <c r="A48" s="613">
        <f t="shared" si="0"/>
        <v>41</v>
      </c>
      <c r="B48" s="164" t="str">
        <f>'WP1 Light Inventory'!A45</f>
        <v xml:space="preserve">52E </v>
      </c>
      <c r="C48" s="164"/>
      <c r="D48" s="327" t="str">
        <f>'WP1 Light Inventory'!D45</f>
        <v>Sodium Vapor</v>
      </c>
      <c r="E48" s="165" t="str">
        <f>'WP1 Light Inventory'!E45</f>
        <v>SV 150</v>
      </c>
      <c r="F48" s="364">
        <f>'WP1 Light Inventory'!J45</f>
        <v>4470</v>
      </c>
      <c r="G48" s="366">
        <f>'WP12 Condensed Sch. Level Costs'!O44</f>
        <v>52.5</v>
      </c>
      <c r="H48" s="339">
        <f t="shared" si="21"/>
        <v>5.8200000000000005E-4</v>
      </c>
      <c r="I48" s="295">
        <f t="shared" si="22"/>
        <v>1609.1999999999998</v>
      </c>
      <c r="J48" s="163">
        <f t="shared" si="23"/>
        <v>0.03</v>
      </c>
      <c r="L48" s="339">
        <f t="shared" si="24"/>
        <v>6.3900000000000003E-4</v>
      </c>
      <c r="M48" s="295">
        <f t="shared" si="25"/>
        <v>1609.1999999999998</v>
      </c>
      <c r="N48" s="163">
        <f t="shared" si="26"/>
        <v>0.03</v>
      </c>
      <c r="P48" s="176"/>
      <c r="Q48" s="295"/>
      <c r="T48" s="613" t="s">
        <v>1183</v>
      </c>
    </row>
    <row r="49" spans="1:20" x14ac:dyDescent="0.2">
      <c r="A49" s="613">
        <f t="shared" si="0"/>
        <v>42</v>
      </c>
      <c r="B49" s="164" t="str">
        <f>'WP1 Light Inventory'!A46</f>
        <v xml:space="preserve">52E </v>
      </c>
      <c r="C49" s="164"/>
      <c r="D49" s="327" t="str">
        <f>'WP1 Light Inventory'!D46</f>
        <v>Sodium Vapor</v>
      </c>
      <c r="E49" s="165" t="str">
        <f>'WP1 Light Inventory'!E46</f>
        <v>SV 200</v>
      </c>
      <c r="F49" s="364">
        <f>'WP1 Light Inventory'!J46</f>
        <v>948</v>
      </c>
      <c r="G49" s="366">
        <f>'WP12 Condensed Sch. Level Costs'!O45</f>
        <v>70</v>
      </c>
      <c r="H49" s="339">
        <f t="shared" si="21"/>
        <v>5.8200000000000005E-4</v>
      </c>
      <c r="I49" s="295">
        <f t="shared" si="22"/>
        <v>455.04</v>
      </c>
      <c r="J49" s="163">
        <f t="shared" si="23"/>
        <v>0.04</v>
      </c>
      <c r="L49" s="339">
        <f t="shared" si="24"/>
        <v>6.3900000000000003E-4</v>
      </c>
      <c r="M49" s="295">
        <f t="shared" si="25"/>
        <v>455.04</v>
      </c>
      <c r="N49" s="163">
        <f t="shared" si="26"/>
        <v>0.04</v>
      </c>
      <c r="P49" s="176"/>
      <c r="Q49" s="295"/>
      <c r="T49" s="613" t="s">
        <v>1183</v>
      </c>
    </row>
    <row r="50" spans="1:20" x14ac:dyDescent="0.2">
      <c r="A50" s="613">
        <f t="shared" si="0"/>
        <v>43</v>
      </c>
      <c r="B50" s="164" t="str">
        <f>'WP1 Light Inventory'!A47</f>
        <v xml:space="preserve">52E </v>
      </c>
      <c r="C50" s="164"/>
      <c r="D50" s="327" t="str">
        <f>'WP1 Light Inventory'!D47</f>
        <v>Sodium Vapor</v>
      </c>
      <c r="E50" s="165" t="str">
        <f>'WP1 Light Inventory'!E47</f>
        <v>SV 250</v>
      </c>
      <c r="F50" s="364">
        <f>'WP1 Light Inventory'!J47</f>
        <v>1399</v>
      </c>
      <c r="G50" s="366">
        <f>'WP12 Condensed Sch. Level Costs'!O46</f>
        <v>87.5</v>
      </c>
      <c r="H50" s="339">
        <f t="shared" si="21"/>
        <v>5.8200000000000005E-4</v>
      </c>
      <c r="I50" s="295">
        <f t="shared" si="22"/>
        <v>839.40000000000009</v>
      </c>
      <c r="J50" s="163">
        <f t="shared" si="23"/>
        <v>0.05</v>
      </c>
      <c r="L50" s="339">
        <f t="shared" si="24"/>
        <v>6.3900000000000003E-4</v>
      </c>
      <c r="M50" s="295">
        <f t="shared" si="25"/>
        <v>1007.28</v>
      </c>
      <c r="N50" s="163">
        <f t="shared" si="26"/>
        <v>0.06</v>
      </c>
      <c r="P50" s="176"/>
      <c r="Q50" s="295"/>
      <c r="T50" s="613" t="s">
        <v>1183</v>
      </c>
    </row>
    <row r="51" spans="1:20" x14ac:dyDescent="0.2">
      <c r="A51" s="613">
        <f t="shared" si="0"/>
        <v>44</v>
      </c>
      <c r="B51" s="164" t="str">
        <f>'WP1 Light Inventory'!A48</f>
        <v xml:space="preserve">52E </v>
      </c>
      <c r="C51" s="164"/>
      <c r="D51" s="327" t="str">
        <f>'WP1 Light Inventory'!D48</f>
        <v>Sodium Vapor</v>
      </c>
      <c r="E51" s="165" t="str">
        <f>'WP1 Light Inventory'!E48</f>
        <v>SV 310</v>
      </c>
      <c r="F51" s="364">
        <f>'WP1 Light Inventory'!J48</f>
        <v>141</v>
      </c>
      <c r="G51" s="366">
        <f>'WP12 Condensed Sch. Level Costs'!O47</f>
        <v>108.5</v>
      </c>
      <c r="H51" s="339">
        <f t="shared" si="21"/>
        <v>5.8200000000000005E-4</v>
      </c>
      <c r="I51" s="295">
        <f t="shared" si="22"/>
        <v>101.51999999999998</v>
      </c>
      <c r="J51" s="163">
        <f t="shared" si="23"/>
        <v>0.06</v>
      </c>
      <c r="L51" s="339">
        <f t="shared" si="24"/>
        <v>6.3900000000000003E-4</v>
      </c>
      <c r="M51" s="295">
        <f t="shared" si="25"/>
        <v>118.44000000000001</v>
      </c>
      <c r="N51" s="163">
        <f t="shared" si="26"/>
        <v>7.0000000000000007E-2</v>
      </c>
      <c r="P51" s="176"/>
      <c r="Q51" s="295"/>
      <c r="T51" s="613" t="s">
        <v>1183</v>
      </c>
    </row>
    <row r="52" spans="1:20" x14ac:dyDescent="0.2">
      <c r="A52" s="613">
        <f t="shared" si="0"/>
        <v>45</v>
      </c>
      <c r="B52" s="164" t="str">
        <f>'WP1 Light Inventory'!A49</f>
        <v xml:space="preserve">52E </v>
      </c>
      <c r="C52" s="164"/>
      <c r="D52" s="327" t="str">
        <f>'WP1 Light Inventory'!D49</f>
        <v>Sodium Vapor</v>
      </c>
      <c r="E52" s="165" t="str">
        <f>'WP1 Light Inventory'!E49</f>
        <v>SV 400</v>
      </c>
      <c r="F52" s="364">
        <f>'WP1 Light Inventory'!J49</f>
        <v>589</v>
      </c>
      <c r="G52" s="366">
        <f>'WP12 Condensed Sch. Level Costs'!O48</f>
        <v>140</v>
      </c>
      <c r="H52" s="339">
        <f t="shared" si="21"/>
        <v>5.8200000000000005E-4</v>
      </c>
      <c r="I52" s="295">
        <f t="shared" si="22"/>
        <v>565.43999999999994</v>
      </c>
      <c r="J52" s="163">
        <f t="shared" si="23"/>
        <v>0.08</v>
      </c>
      <c r="L52" s="339">
        <f t="shared" si="24"/>
        <v>6.3900000000000003E-4</v>
      </c>
      <c r="M52" s="295">
        <f t="shared" si="25"/>
        <v>636.12</v>
      </c>
      <c r="N52" s="163">
        <f t="shared" si="26"/>
        <v>0.09</v>
      </c>
      <c r="P52" s="176"/>
      <c r="Q52" s="295"/>
      <c r="T52" s="613" t="s">
        <v>1183</v>
      </c>
    </row>
    <row r="53" spans="1:20" x14ac:dyDescent="0.2">
      <c r="A53" s="613">
        <f t="shared" si="0"/>
        <v>46</v>
      </c>
      <c r="B53" s="164"/>
      <c r="C53" s="164"/>
      <c r="D53" s="327"/>
      <c r="E53" s="165"/>
      <c r="F53" s="364"/>
      <c r="G53" s="399"/>
      <c r="H53" s="342"/>
      <c r="I53" s="295"/>
      <c r="L53" s="342"/>
      <c r="M53" s="295"/>
      <c r="P53" s="342"/>
      <c r="Q53" s="295"/>
      <c r="T53" s="613"/>
    </row>
    <row r="54" spans="1:20" x14ac:dyDescent="0.2">
      <c r="A54" s="613">
        <f t="shared" si="0"/>
        <v>47</v>
      </c>
      <c r="B54" s="164" t="str">
        <f>'WP1 Light Inventory'!A51</f>
        <v xml:space="preserve">52E </v>
      </c>
      <c r="C54" s="164"/>
      <c r="D54" s="327" t="str">
        <f>'WP1 Light Inventory'!D51</f>
        <v>Metal Halide</v>
      </c>
      <c r="E54" s="165" t="str">
        <f>'WP1 Light Inventory'!E51</f>
        <v>MH 070</v>
      </c>
      <c r="F54" s="364">
        <f>'WP1 Light Inventory'!J51</f>
        <v>70</v>
      </c>
      <c r="G54" s="366">
        <f>'WP12 Condensed Sch. Level Costs'!O50</f>
        <v>24.5</v>
      </c>
      <c r="H54" s="339">
        <f t="shared" ref="H54:H60" si="27">$Y$8</f>
        <v>5.8200000000000005E-4</v>
      </c>
      <c r="I54" s="295">
        <f t="shared" ref="I54:I60" si="28">+F54*J54*12</f>
        <v>8.4</v>
      </c>
      <c r="J54" s="163">
        <f t="shared" ref="J54:J60" si="29">ROUND(+H54*G54,2)</f>
        <v>0.01</v>
      </c>
      <c r="L54" s="339">
        <f t="shared" ref="L54:L60" si="30">$Y$9</f>
        <v>6.3900000000000003E-4</v>
      </c>
      <c r="M54" s="295">
        <f t="shared" ref="M54:M60" si="31">+F54*N54*12</f>
        <v>16.8</v>
      </c>
      <c r="N54" s="163">
        <f t="shared" ref="N54:N60" si="32">ROUND(+L54*G54,2)</f>
        <v>0.02</v>
      </c>
      <c r="P54" s="176"/>
      <c r="Q54" s="295"/>
      <c r="T54" s="613" t="s">
        <v>1183</v>
      </c>
    </row>
    <row r="55" spans="1:20" x14ac:dyDescent="0.2">
      <c r="A55" s="613">
        <f t="shared" si="0"/>
        <v>48</v>
      </c>
      <c r="B55" s="164" t="str">
        <f>'WP1 Light Inventory'!A52</f>
        <v xml:space="preserve">52E </v>
      </c>
      <c r="C55" s="164"/>
      <c r="D55" s="327" t="str">
        <f>'WP1 Light Inventory'!D52</f>
        <v>Metal Halide</v>
      </c>
      <c r="E55" s="165" t="str">
        <f>'WP1 Light Inventory'!E52</f>
        <v>MH 100</v>
      </c>
      <c r="F55" s="364">
        <f>'WP1 Light Inventory'!J52</f>
        <v>4</v>
      </c>
      <c r="G55" s="366">
        <f>'WP12 Condensed Sch. Level Costs'!O51</f>
        <v>35</v>
      </c>
      <c r="H55" s="339">
        <f t="shared" si="27"/>
        <v>5.8200000000000005E-4</v>
      </c>
      <c r="I55" s="295">
        <f t="shared" si="28"/>
        <v>0.96</v>
      </c>
      <c r="J55" s="163">
        <f t="shared" si="29"/>
        <v>0.02</v>
      </c>
      <c r="L55" s="339">
        <f t="shared" si="30"/>
        <v>6.3900000000000003E-4</v>
      </c>
      <c r="M55" s="295">
        <f t="shared" si="31"/>
        <v>0.96</v>
      </c>
      <c r="N55" s="163">
        <f t="shared" si="32"/>
        <v>0.02</v>
      </c>
      <c r="P55" s="176"/>
      <c r="Q55" s="295"/>
      <c r="T55" s="613" t="s">
        <v>1183</v>
      </c>
    </row>
    <row r="56" spans="1:20" x14ac:dyDescent="0.2">
      <c r="A56" s="613">
        <f t="shared" si="0"/>
        <v>49</v>
      </c>
      <c r="B56" s="164" t="str">
        <f>'WP1 Light Inventory'!A53</f>
        <v xml:space="preserve">52E </v>
      </c>
      <c r="C56" s="164"/>
      <c r="D56" s="327" t="str">
        <f>'WP1 Light Inventory'!D53</f>
        <v>Metal Halide</v>
      </c>
      <c r="E56" s="165" t="str">
        <f>'WP1 Light Inventory'!E53</f>
        <v>MH 150</v>
      </c>
      <c r="F56" s="364">
        <f>'WP1 Light Inventory'!J53</f>
        <v>201</v>
      </c>
      <c r="G56" s="366">
        <f>'WP12 Condensed Sch. Level Costs'!O52</f>
        <v>52.5</v>
      </c>
      <c r="H56" s="339">
        <f t="shared" si="27"/>
        <v>5.8200000000000005E-4</v>
      </c>
      <c r="I56" s="295">
        <f t="shared" si="28"/>
        <v>72.359999999999985</v>
      </c>
      <c r="J56" s="163">
        <f t="shared" si="29"/>
        <v>0.03</v>
      </c>
      <c r="L56" s="339">
        <f t="shared" si="30"/>
        <v>6.3900000000000003E-4</v>
      </c>
      <c r="M56" s="295">
        <f t="shared" si="31"/>
        <v>72.359999999999985</v>
      </c>
      <c r="N56" s="163">
        <f t="shared" si="32"/>
        <v>0.03</v>
      </c>
      <c r="P56" s="176"/>
      <c r="Q56" s="295"/>
      <c r="T56" s="613" t="s">
        <v>1183</v>
      </c>
    </row>
    <row r="57" spans="1:20" x14ac:dyDescent="0.2">
      <c r="A57" s="613">
        <f t="shared" si="0"/>
        <v>50</v>
      </c>
      <c r="B57" s="164" t="str">
        <f>'WP1 Light Inventory'!A54</f>
        <v xml:space="preserve">52E </v>
      </c>
      <c r="C57" s="164"/>
      <c r="D57" s="327" t="str">
        <f>'WP1 Light Inventory'!D54</f>
        <v>Metal Halide</v>
      </c>
      <c r="E57" s="165" t="str">
        <f>'WP1 Light Inventory'!E54</f>
        <v>MH 175</v>
      </c>
      <c r="F57" s="364">
        <f>'WP1 Light Inventory'!J54</f>
        <v>212</v>
      </c>
      <c r="G57" s="366">
        <f>'WP12 Condensed Sch. Level Costs'!O53</f>
        <v>61.25</v>
      </c>
      <c r="H57" s="339">
        <f t="shared" si="27"/>
        <v>5.8200000000000005E-4</v>
      </c>
      <c r="I57" s="295">
        <f t="shared" si="28"/>
        <v>101.76</v>
      </c>
      <c r="J57" s="163">
        <f t="shared" si="29"/>
        <v>0.04</v>
      </c>
      <c r="L57" s="339">
        <f t="shared" si="30"/>
        <v>6.3900000000000003E-4</v>
      </c>
      <c r="M57" s="295">
        <f t="shared" si="31"/>
        <v>101.76</v>
      </c>
      <c r="N57" s="163">
        <f t="shared" si="32"/>
        <v>0.04</v>
      </c>
      <c r="P57" s="176"/>
      <c r="Q57" s="295"/>
      <c r="T57" s="613" t="s">
        <v>1183</v>
      </c>
    </row>
    <row r="58" spans="1:20" x14ac:dyDescent="0.2">
      <c r="A58" s="613">
        <f t="shared" si="0"/>
        <v>51</v>
      </c>
      <c r="B58" s="164" t="str">
        <f>'WP1 Light Inventory'!A55</f>
        <v xml:space="preserve">52E </v>
      </c>
      <c r="C58" s="164"/>
      <c r="D58" s="327" t="str">
        <f>'WP1 Light Inventory'!D55</f>
        <v>Metal Halide</v>
      </c>
      <c r="E58" s="165" t="str">
        <f>'WP1 Light Inventory'!E55</f>
        <v>MH 250</v>
      </c>
      <c r="F58" s="364">
        <f>'WP1 Light Inventory'!J55</f>
        <v>36</v>
      </c>
      <c r="G58" s="366">
        <f>'WP12 Condensed Sch. Level Costs'!O54</f>
        <v>87.5</v>
      </c>
      <c r="H58" s="339">
        <f t="shared" si="27"/>
        <v>5.8200000000000005E-4</v>
      </c>
      <c r="I58" s="295">
        <f t="shared" si="28"/>
        <v>21.6</v>
      </c>
      <c r="J58" s="163">
        <f t="shared" si="29"/>
        <v>0.05</v>
      </c>
      <c r="L58" s="339">
        <f t="shared" si="30"/>
        <v>6.3900000000000003E-4</v>
      </c>
      <c r="M58" s="295">
        <f t="shared" si="31"/>
        <v>25.92</v>
      </c>
      <c r="N58" s="163">
        <f t="shared" si="32"/>
        <v>0.06</v>
      </c>
      <c r="P58" s="176"/>
      <c r="Q58" s="295"/>
      <c r="T58" s="613" t="s">
        <v>1183</v>
      </c>
    </row>
    <row r="59" spans="1:20" x14ac:dyDescent="0.2">
      <c r="A59" s="613">
        <f t="shared" si="0"/>
        <v>52</v>
      </c>
      <c r="B59" s="164" t="str">
        <f>'WP1 Light Inventory'!A56</f>
        <v xml:space="preserve">52E </v>
      </c>
      <c r="C59" s="164"/>
      <c r="D59" s="327" t="str">
        <f>'WP1 Light Inventory'!D56</f>
        <v>Metal Halide</v>
      </c>
      <c r="E59" s="165" t="str">
        <f>'WP1 Light Inventory'!E56</f>
        <v>MH 400</v>
      </c>
      <c r="F59" s="364">
        <f>'WP1 Light Inventory'!J56</f>
        <v>57</v>
      </c>
      <c r="G59" s="366">
        <f>'WP12 Condensed Sch. Level Costs'!O55</f>
        <v>140</v>
      </c>
      <c r="H59" s="339">
        <f t="shared" si="27"/>
        <v>5.8200000000000005E-4</v>
      </c>
      <c r="I59" s="295">
        <f t="shared" si="28"/>
        <v>54.720000000000006</v>
      </c>
      <c r="J59" s="163">
        <f t="shared" si="29"/>
        <v>0.08</v>
      </c>
      <c r="L59" s="339">
        <f t="shared" si="30"/>
        <v>6.3900000000000003E-4</v>
      </c>
      <c r="M59" s="295">
        <f t="shared" si="31"/>
        <v>61.56</v>
      </c>
      <c r="N59" s="163">
        <f t="shared" si="32"/>
        <v>0.09</v>
      </c>
      <c r="P59" s="176"/>
      <c r="Q59" s="295"/>
      <c r="T59" s="613" t="s">
        <v>1183</v>
      </c>
    </row>
    <row r="60" spans="1:20" x14ac:dyDescent="0.2">
      <c r="A60" s="613">
        <f t="shared" si="0"/>
        <v>53</v>
      </c>
      <c r="B60" s="164" t="str">
        <f>'WP1 Light Inventory'!A57</f>
        <v xml:space="preserve">52E </v>
      </c>
      <c r="C60" s="164"/>
      <c r="D60" s="327" t="str">
        <f>'WP1 Light Inventory'!D57</f>
        <v>Metal Halide</v>
      </c>
      <c r="E60" s="165" t="str">
        <f>'WP1 Light Inventory'!E57</f>
        <v>MH 1000</v>
      </c>
      <c r="F60" s="364">
        <f>'WP1 Light Inventory'!J57</f>
        <v>18</v>
      </c>
      <c r="G60" s="366">
        <f>'WP12 Condensed Sch. Level Costs'!O56</f>
        <v>350</v>
      </c>
      <c r="H60" s="339">
        <f t="shared" si="27"/>
        <v>5.8200000000000005E-4</v>
      </c>
      <c r="I60" s="295">
        <f t="shared" si="28"/>
        <v>43.2</v>
      </c>
      <c r="J60" s="163">
        <f t="shared" si="29"/>
        <v>0.2</v>
      </c>
      <c r="L60" s="339">
        <f t="shared" si="30"/>
        <v>6.3900000000000003E-4</v>
      </c>
      <c r="M60" s="295">
        <f t="shared" si="31"/>
        <v>47.519999999999996</v>
      </c>
      <c r="N60" s="163">
        <f t="shared" si="32"/>
        <v>0.22</v>
      </c>
      <c r="P60" s="176"/>
      <c r="Q60" s="295"/>
      <c r="T60" s="613" t="s">
        <v>1183</v>
      </c>
    </row>
    <row r="61" spans="1:20" x14ac:dyDescent="0.2">
      <c r="A61" s="613">
        <f t="shared" si="0"/>
        <v>54</v>
      </c>
      <c r="B61" s="164"/>
      <c r="C61" s="164"/>
      <c r="D61" s="327"/>
      <c r="E61" s="165"/>
      <c r="F61" s="364"/>
      <c r="G61" s="399"/>
      <c r="H61" s="342"/>
      <c r="I61" s="295"/>
      <c r="L61" s="342"/>
      <c r="M61" s="295"/>
      <c r="P61" s="342"/>
      <c r="Q61" s="295"/>
      <c r="T61" s="613"/>
    </row>
    <row r="62" spans="1:20" x14ac:dyDescent="0.2">
      <c r="A62" s="613">
        <f t="shared" si="0"/>
        <v>55</v>
      </c>
      <c r="B62" s="164" t="s">
        <v>137</v>
      </c>
      <c r="C62" s="164"/>
      <c r="D62" s="327"/>
      <c r="E62" s="165"/>
      <c r="F62" s="364"/>
      <c r="G62" s="399"/>
      <c r="H62" s="342"/>
      <c r="I62" s="295"/>
      <c r="L62" s="342"/>
      <c r="M62" s="295"/>
      <c r="P62" s="342"/>
      <c r="Q62" s="295"/>
    </row>
    <row r="63" spans="1:20" x14ac:dyDescent="0.2">
      <c r="A63" s="613">
        <f t="shared" si="0"/>
        <v>56</v>
      </c>
      <c r="B63" s="164" t="str">
        <f>'WP1 Light Inventory'!A59</f>
        <v>53E</v>
      </c>
      <c r="C63" s="164" t="str">
        <f>'WP1 Light Inventory'!C59</f>
        <v xml:space="preserve">Company Owned </v>
      </c>
      <c r="D63" s="327" t="str">
        <f>'WP1 Light Inventory'!D59</f>
        <v>Sodium Vapor</v>
      </c>
      <c r="E63" s="165" t="str">
        <f>'WP1 Light Inventory'!E59</f>
        <v>SV 050</v>
      </c>
      <c r="F63" s="364">
        <f>'WP1 Light Inventory'!J59</f>
        <v>0</v>
      </c>
      <c r="G63" s="366">
        <f>'WP12 Condensed Sch. Level Costs'!O58</f>
        <v>17.5</v>
      </c>
      <c r="H63" s="339">
        <f t="shared" ref="H63:H71" si="33">$Y$8</f>
        <v>5.8200000000000005E-4</v>
      </c>
      <c r="I63" s="295">
        <f t="shared" ref="I63:I71" si="34">+F63*J63*12</f>
        <v>0</v>
      </c>
      <c r="J63" s="163">
        <f t="shared" ref="J63:J71" si="35">ROUND(+H63*G63,2)</f>
        <v>0.01</v>
      </c>
      <c r="L63" s="339">
        <f t="shared" ref="L63:L71" si="36">$Y$9</f>
        <v>6.3900000000000003E-4</v>
      </c>
      <c r="M63" s="295">
        <f t="shared" ref="M63:M71" si="37">+F63*N63*12</f>
        <v>0</v>
      </c>
      <c r="N63" s="163">
        <f t="shared" ref="N63:N71" si="38">ROUND(+L63*G63,2)</f>
        <v>0.01</v>
      </c>
      <c r="P63" s="176"/>
      <c r="Q63" s="295"/>
      <c r="T63" s="613" t="s">
        <v>1184</v>
      </c>
    </row>
    <row r="64" spans="1:20" x14ac:dyDescent="0.2">
      <c r="A64" s="613">
        <f t="shared" si="0"/>
        <v>57</v>
      </c>
      <c r="B64" s="164" t="str">
        <f>'WP1 Light Inventory'!A60</f>
        <v>53E</v>
      </c>
      <c r="C64" s="164" t="str">
        <f>'WP1 Light Inventory'!C60</f>
        <v xml:space="preserve">Company Owned </v>
      </c>
      <c r="D64" s="327" t="str">
        <f>'WP1 Light Inventory'!D60</f>
        <v>Sodium Vapor</v>
      </c>
      <c r="E64" s="165" t="str">
        <f>'WP1 Light Inventory'!E60</f>
        <v>SV 070</v>
      </c>
      <c r="F64" s="364">
        <f>'WP1 Light Inventory'!J60</f>
        <v>3836</v>
      </c>
      <c r="G64" s="366">
        <f>'WP12 Condensed Sch. Level Costs'!O59</f>
        <v>24.5</v>
      </c>
      <c r="H64" s="339">
        <f t="shared" si="33"/>
        <v>5.8200000000000005E-4</v>
      </c>
      <c r="I64" s="295">
        <f t="shared" si="34"/>
        <v>460.32</v>
      </c>
      <c r="J64" s="163">
        <f t="shared" si="35"/>
        <v>0.01</v>
      </c>
      <c r="L64" s="339">
        <f t="shared" si="36"/>
        <v>6.3900000000000003E-4</v>
      </c>
      <c r="M64" s="295">
        <f t="shared" si="37"/>
        <v>920.64</v>
      </c>
      <c r="N64" s="163">
        <f t="shared" si="38"/>
        <v>0.02</v>
      </c>
      <c r="P64" s="176"/>
      <c r="Q64" s="295"/>
      <c r="T64" s="613" t="s">
        <v>1184</v>
      </c>
    </row>
    <row r="65" spans="1:20" x14ac:dyDescent="0.2">
      <c r="A65" s="613">
        <f t="shared" si="0"/>
        <v>58</v>
      </c>
      <c r="B65" s="164" t="str">
        <f>'WP1 Light Inventory'!A61</f>
        <v>53E</v>
      </c>
      <c r="C65" s="164" t="str">
        <f>'WP1 Light Inventory'!C61</f>
        <v xml:space="preserve">Company Owned </v>
      </c>
      <c r="D65" s="327" t="str">
        <f>'WP1 Light Inventory'!D61</f>
        <v>Sodium Vapor</v>
      </c>
      <c r="E65" s="165" t="str">
        <f>'WP1 Light Inventory'!E61</f>
        <v>SV 100</v>
      </c>
      <c r="F65" s="364">
        <f>'WP1 Light Inventory'!J61</f>
        <v>28412</v>
      </c>
      <c r="G65" s="366">
        <f>'WP12 Condensed Sch. Level Costs'!O60</f>
        <v>35</v>
      </c>
      <c r="H65" s="339">
        <f t="shared" si="33"/>
        <v>5.8200000000000005E-4</v>
      </c>
      <c r="I65" s="295">
        <f t="shared" si="34"/>
        <v>6818.88</v>
      </c>
      <c r="J65" s="163">
        <f t="shared" si="35"/>
        <v>0.02</v>
      </c>
      <c r="L65" s="339">
        <f t="shared" si="36"/>
        <v>6.3900000000000003E-4</v>
      </c>
      <c r="M65" s="295">
        <f t="shared" si="37"/>
        <v>6818.88</v>
      </c>
      <c r="N65" s="163">
        <f t="shared" si="38"/>
        <v>0.02</v>
      </c>
      <c r="P65" s="176"/>
      <c r="Q65" s="295"/>
      <c r="T65" s="613" t="s">
        <v>1184</v>
      </c>
    </row>
    <row r="66" spans="1:20" x14ac:dyDescent="0.2">
      <c r="A66" s="613">
        <f t="shared" si="0"/>
        <v>59</v>
      </c>
      <c r="B66" s="164" t="str">
        <f>'WP1 Light Inventory'!A62</f>
        <v>53E</v>
      </c>
      <c r="C66" s="164" t="str">
        <f>'WP1 Light Inventory'!C62</f>
        <v xml:space="preserve">Company Owned </v>
      </c>
      <c r="D66" s="327" t="str">
        <f>'WP1 Light Inventory'!D62</f>
        <v>Sodium Vapor</v>
      </c>
      <c r="E66" s="165" t="str">
        <f>'WP1 Light Inventory'!E62</f>
        <v>SV 150</v>
      </c>
      <c r="F66" s="364">
        <f>'WP1 Light Inventory'!J62</f>
        <v>3485</v>
      </c>
      <c r="G66" s="366">
        <f>'WP12 Condensed Sch. Level Costs'!O61</f>
        <v>52.5</v>
      </c>
      <c r="H66" s="339">
        <f t="shared" si="33"/>
        <v>5.8200000000000005E-4</v>
      </c>
      <c r="I66" s="295">
        <f t="shared" si="34"/>
        <v>1254.5999999999999</v>
      </c>
      <c r="J66" s="163">
        <f t="shared" si="35"/>
        <v>0.03</v>
      </c>
      <c r="L66" s="339">
        <f t="shared" si="36"/>
        <v>6.3900000000000003E-4</v>
      </c>
      <c r="M66" s="295">
        <f t="shared" si="37"/>
        <v>1254.5999999999999</v>
      </c>
      <c r="N66" s="163">
        <f t="shared" si="38"/>
        <v>0.03</v>
      </c>
      <c r="P66" s="176"/>
      <c r="Q66" s="295"/>
      <c r="T66" s="613" t="s">
        <v>1184</v>
      </c>
    </row>
    <row r="67" spans="1:20" x14ac:dyDescent="0.2">
      <c r="A67" s="613">
        <f t="shared" si="0"/>
        <v>60</v>
      </c>
      <c r="B67" s="164" t="str">
        <f>'WP1 Light Inventory'!A63</f>
        <v>53E</v>
      </c>
      <c r="C67" s="164" t="str">
        <f>'WP1 Light Inventory'!C63</f>
        <v xml:space="preserve">Company Owned </v>
      </c>
      <c r="D67" s="327" t="str">
        <f>'WP1 Light Inventory'!D63</f>
        <v>Sodium Vapor</v>
      </c>
      <c r="E67" s="165" t="str">
        <f>'WP1 Light Inventory'!E63</f>
        <v>SV 200</v>
      </c>
      <c r="F67" s="364">
        <f>'WP1 Light Inventory'!J63</f>
        <v>4408</v>
      </c>
      <c r="G67" s="366">
        <f>'WP12 Condensed Sch. Level Costs'!O62</f>
        <v>70</v>
      </c>
      <c r="H67" s="339">
        <f t="shared" si="33"/>
        <v>5.8200000000000005E-4</v>
      </c>
      <c r="I67" s="295">
        <f t="shared" si="34"/>
        <v>2115.84</v>
      </c>
      <c r="J67" s="163">
        <f t="shared" si="35"/>
        <v>0.04</v>
      </c>
      <c r="L67" s="339">
        <f t="shared" si="36"/>
        <v>6.3900000000000003E-4</v>
      </c>
      <c r="M67" s="295">
        <f t="shared" si="37"/>
        <v>2115.84</v>
      </c>
      <c r="N67" s="163">
        <f t="shared" si="38"/>
        <v>0.04</v>
      </c>
      <c r="P67" s="176"/>
      <c r="Q67" s="295"/>
      <c r="T67" s="613" t="s">
        <v>1184</v>
      </c>
    </row>
    <row r="68" spans="1:20" x14ac:dyDescent="0.2">
      <c r="A68" s="613">
        <f t="shared" si="0"/>
        <v>61</v>
      </c>
      <c r="B68" s="164" t="str">
        <f>'WP1 Light Inventory'!A64</f>
        <v>53E</v>
      </c>
      <c r="C68" s="164" t="str">
        <f>'WP1 Light Inventory'!C64</f>
        <v xml:space="preserve">Company Owned </v>
      </c>
      <c r="D68" s="327" t="str">
        <f>'WP1 Light Inventory'!D64</f>
        <v>Sodium Vapor</v>
      </c>
      <c r="E68" s="165" t="str">
        <f>'WP1 Light Inventory'!E64</f>
        <v>SV 250</v>
      </c>
      <c r="F68" s="364">
        <f>'WP1 Light Inventory'!J64</f>
        <v>1615</v>
      </c>
      <c r="G68" s="366">
        <f>'WP12 Condensed Sch. Level Costs'!O63</f>
        <v>87.5</v>
      </c>
      <c r="H68" s="339">
        <f t="shared" si="33"/>
        <v>5.8200000000000005E-4</v>
      </c>
      <c r="I68" s="295">
        <f t="shared" si="34"/>
        <v>969</v>
      </c>
      <c r="J68" s="163">
        <f t="shared" si="35"/>
        <v>0.05</v>
      </c>
      <c r="L68" s="339">
        <f t="shared" si="36"/>
        <v>6.3900000000000003E-4</v>
      </c>
      <c r="M68" s="295">
        <f t="shared" si="37"/>
        <v>1162.8</v>
      </c>
      <c r="N68" s="163">
        <f t="shared" si="38"/>
        <v>0.06</v>
      </c>
      <c r="P68" s="176"/>
      <c r="Q68" s="295"/>
      <c r="T68" s="613" t="s">
        <v>1184</v>
      </c>
    </row>
    <row r="69" spans="1:20" x14ac:dyDescent="0.2">
      <c r="A69" s="613">
        <f t="shared" si="0"/>
        <v>62</v>
      </c>
      <c r="B69" s="164" t="str">
        <f>'WP1 Light Inventory'!A65</f>
        <v>53E</v>
      </c>
      <c r="C69" s="164" t="str">
        <f>'WP1 Light Inventory'!C65</f>
        <v xml:space="preserve">Company Owned </v>
      </c>
      <c r="D69" s="327" t="str">
        <f>'WP1 Light Inventory'!D65</f>
        <v>Sodium Vapor</v>
      </c>
      <c r="E69" s="165" t="str">
        <f>'WP1 Light Inventory'!E65</f>
        <v>SV 310</v>
      </c>
      <c r="F69" s="364">
        <f>'WP1 Light Inventory'!J65</f>
        <v>15</v>
      </c>
      <c r="G69" s="366">
        <f>'WP12 Condensed Sch. Level Costs'!O64</f>
        <v>108.5</v>
      </c>
      <c r="H69" s="339">
        <f t="shared" si="33"/>
        <v>5.8200000000000005E-4</v>
      </c>
      <c r="I69" s="295">
        <f t="shared" si="34"/>
        <v>10.799999999999999</v>
      </c>
      <c r="J69" s="163">
        <f t="shared" si="35"/>
        <v>0.06</v>
      </c>
      <c r="L69" s="339">
        <f t="shared" si="36"/>
        <v>6.3900000000000003E-4</v>
      </c>
      <c r="M69" s="295">
        <f t="shared" si="37"/>
        <v>12.600000000000001</v>
      </c>
      <c r="N69" s="163">
        <f t="shared" si="38"/>
        <v>7.0000000000000007E-2</v>
      </c>
      <c r="P69" s="176"/>
      <c r="Q69" s="295"/>
      <c r="T69" s="613" t="s">
        <v>1184</v>
      </c>
    </row>
    <row r="70" spans="1:20" x14ac:dyDescent="0.2">
      <c r="A70" s="613">
        <f t="shared" si="0"/>
        <v>63</v>
      </c>
      <c r="B70" s="164" t="str">
        <f>'WP1 Light Inventory'!A66</f>
        <v>53E</v>
      </c>
      <c r="C70" s="164" t="str">
        <f>'WP1 Light Inventory'!C66</f>
        <v xml:space="preserve">Company Owned </v>
      </c>
      <c r="D70" s="327" t="str">
        <f>'WP1 Light Inventory'!D66</f>
        <v>Sodium Vapor</v>
      </c>
      <c r="E70" s="165" t="str">
        <f>'WP1 Light Inventory'!E66</f>
        <v>SV 400</v>
      </c>
      <c r="F70" s="364">
        <f>'WP1 Light Inventory'!J66</f>
        <v>884</v>
      </c>
      <c r="G70" s="366">
        <f>'WP12 Condensed Sch. Level Costs'!O65</f>
        <v>140</v>
      </c>
      <c r="H70" s="339">
        <f t="shared" si="33"/>
        <v>5.8200000000000005E-4</v>
      </c>
      <c r="I70" s="295">
        <f t="shared" si="34"/>
        <v>848.64</v>
      </c>
      <c r="J70" s="163">
        <f t="shared" si="35"/>
        <v>0.08</v>
      </c>
      <c r="L70" s="339">
        <f t="shared" si="36"/>
        <v>6.3900000000000003E-4</v>
      </c>
      <c r="M70" s="295">
        <f t="shared" si="37"/>
        <v>954.72</v>
      </c>
      <c r="N70" s="163">
        <f t="shared" si="38"/>
        <v>0.09</v>
      </c>
      <c r="P70" s="176"/>
      <c r="Q70" s="295"/>
      <c r="T70" s="613" t="s">
        <v>1184</v>
      </c>
    </row>
    <row r="71" spans="1:20" x14ac:dyDescent="0.2">
      <c r="A71" s="613">
        <f t="shared" si="0"/>
        <v>64</v>
      </c>
      <c r="B71" s="164" t="str">
        <f>'WP1 Light Inventory'!A67</f>
        <v>53E</v>
      </c>
      <c r="C71" s="164" t="str">
        <f>'WP1 Light Inventory'!C67</f>
        <v xml:space="preserve">Company Owned </v>
      </c>
      <c r="D71" s="327" t="str">
        <f>'WP1 Light Inventory'!D67</f>
        <v>Sodium Vapor</v>
      </c>
      <c r="E71" s="165" t="str">
        <f>'WP1 Light Inventory'!E67</f>
        <v>SV 1000</v>
      </c>
      <c r="F71" s="364">
        <f>'WP1 Light Inventory'!J67</f>
        <v>0</v>
      </c>
      <c r="G71" s="366">
        <f>'WP12 Condensed Sch. Level Costs'!O66</f>
        <v>350</v>
      </c>
      <c r="H71" s="339">
        <f t="shared" si="33"/>
        <v>5.8200000000000005E-4</v>
      </c>
      <c r="I71" s="295">
        <f t="shared" si="34"/>
        <v>0</v>
      </c>
      <c r="J71" s="163">
        <f t="shared" si="35"/>
        <v>0.2</v>
      </c>
      <c r="L71" s="339">
        <f t="shared" si="36"/>
        <v>6.3900000000000003E-4</v>
      </c>
      <c r="M71" s="295">
        <f t="shared" si="37"/>
        <v>0</v>
      </c>
      <c r="N71" s="163">
        <f t="shared" si="38"/>
        <v>0.22</v>
      </c>
      <c r="P71" s="176"/>
      <c r="Q71" s="295"/>
      <c r="T71" s="613" t="s">
        <v>1184</v>
      </c>
    </row>
    <row r="72" spans="1:20" x14ac:dyDescent="0.2">
      <c r="A72" s="613">
        <f t="shared" si="0"/>
        <v>65</v>
      </c>
      <c r="B72" s="164"/>
      <c r="C72" s="164"/>
      <c r="D72" s="327"/>
      <c r="E72" s="165"/>
      <c r="F72" s="364"/>
      <c r="G72" s="399"/>
      <c r="H72" s="342"/>
      <c r="I72" s="295"/>
      <c r="L72" s="342"/>
      <c r="M72" s="295"/>
      <c r="P72" s="342"/>
      <c r="Q72" s="295"/>
    </row>
    <row r="73" spans="1:20" x14ac:dyDescent="0.2">
      <c r="A73" s="613">
        <f t="shared" si="0"/>
        <v>66</v>
      </c>
      <c r="B73" s="164" t="str">
        <f>'WP1 Light Inventory'!A69</f>
        <v>53E</v>
      </c>
      <c r="C73" s="164" t="str">
        <f>'WP1 Light Inventory'!C69</f>
        <v xml:space="preserve">Company Owned </v>
      </c>
      <c r="D73" s="327" t="str">
        <f>'WP1 Light Inventory'!D69</f>
        <v>Metal Halide</v>
      </c>
      <c r="E73" s="165" t="str">
        <f>'WP1 Light Inventory'!E69</f>
        <v>MH 070</v>
      </c>
      <c r="F73" s="364">
        <f>'WP1 Light Inventory'!J69</f>
        <v>0</v>
      </c>
      <c r="G73" s="366">
        <f>'WP12 Condensed Sch. Level Costs'!O68</f>
        <v>24.5</v>
      </c>
      <c r="H73" s="339">
        <f t="shared" ref="H73:H77" si="39">$Y$8</f>
        <v>5.8200000000000005E-4</v>
      </c>
      <c r="I73" s="295">
        <f t="shared" ref="I73:I77" si="40">+F73*J73*12</f>
        <v>0</v>
      </c>
      <c r="J73" s="163">
        <f t="shared" ref="J73:J77" si="41">ROUND(+H73*G73,2)</f>
        <v>0.01</v>
      </c>
      <c r="L73" s="339">
        <f t="shared" ref="L73:L77" si="42">$Y$9</f>
        <v>6.3900000000000003E-4</v>
      </c>
      <c r="M73" s="295">
        <f t="shared" ref="M73:M77" si="43">+F73*N73*12</f>
        <v>0</v>
      </c>
      <c r="N73" s="163">
        <f t="shared" ref="N73:N77" si="44">ROUND(+L73*G73,2)</f>
        <v>0.02</v>
      </c>
      <c r="P73" s="176"/>
      <c r="Q73" s="295"/>
      <c r="T73" s="613" t="s">
        <v>1185</v>
      </c>
    </row>
    <row r="74" spans="1:20" x14ac:dyDescent="0.2">
      <c r="A74" s="613">
        <f t="shared" ref="A74:A137" si="45">A73+1</f>
        <v>67</v>
      </c>
      <c r="B74" s="164" t="str">
        <f>'WP1 Light Inventory'!A70</f>
        <v>53E</v>
      </c>
      <c r="C74" s="164" t="str">
        <f>'WP1 Light Inventory'!C70</f>
        <v xml:space="preserve">Company Owned </v>
      </c>
      <c r="D74" s="327" t="str">
        <f>'WP1 Light Inventory'!D70</f>
        <v>Metal Halide</v>
      </c>
      <c r="E74" s="165" t="str">
        <f>'WP1 Light Inventory'!E70</f>
        <v>MH 100</v>
      </c>
      <c r="F74" s="364">
        <f>'WP1 Light Inventory'!J70</f>
        <v>0</v>
      </c>
      <c r="G74" s="366">
        <f>'WP12 Condensed Sch. Level Costs'!O69</f>
        <v>35</v>
      </c>
      <c r="H74" s="339">
        <f t="shared" si="39"/>
        <v>5.8200000000000005E-4</v>
      </c>
      <c r="I74" s="295">
        <f t="shared" si="40"/>
        <v>0</v>
      </c>
      <c r="J74" s="163">
        <f t="shared" si="41"/>
        <v>0.02</v>
      </c>
      <c r="L74" s="339">
        <f t="shared" si="42"/>
        <v>6.3900000000000003E-4</v>
      </c>
      <c r="M74" s="295">
        <f t="shared" si="43"/>
        <v>0</v>
      </c>
      <c r="N74" s="163">
        <f t="shared" si="44"/>
        <v>0.02</v>
      </c>
      <c r="P74" s="176"/>
      <c r="Q74" s="295"/>
      <c r="T74" s="613" t="s">
        <v>1185</v>
      </c>
    </row>
    <row r="75" spans="1:20" x14ac:dyDescent="0.2">
      <c r="A75" s="613">
        <f t="shared" si="45"/>
        <v>68</v>
      </c>
      <c r="B75" s="164" t="str">
        <f>'WP1 Light Inventory'!A71</f>
        <v>53E</v>
      </c>
      <c r="C75" s="164" t="str">
        <f>'WP1 Light Inventory'!C71</f>
        <v xml:space="preserve">Company Owned </v>
      </c>
      <c r="D75" s="327" t="str">
        <f>'WP1 Light Inventory'!D71</f>
        <v>Metal Halide</v>
      </c>
      <c r="E75" s="165" t="str">
        <f>'WP1 Light Inventory'!E71</f>
        <v>MH 150</v>
      </c>
      <c r="F75" s="364">
        <f>'WP1 Light Inventory'!J71</f>
        <v>0</v>
      </c>
      <c r="G75" s="366">
        <f>'WP12 Condensed Sch. Level Costs'!O70</f>
        <v>52.5</v>
      </c>
      <c r="H75" s="339">
        <f t="shared" si="39"/>
        <v>5.8200000000000005E-4</v>
      </c>
      <c r="I75" s="295">
        <f t="shared" si="40"/>
        <v>0</v>
      </c>
      <c r="J75" s="163">
        <f t="shared" si="41"/>
        <v>0.03</v>
      </c>
      <c r="L75" s="339">
        <f t="shared" si="42"/>
        <v>6.3900000000000003E-4</v>
      </c>
      <c r="M75" s="295">
        <f t="shared" si="43"/>
        <v>0</v>
      </c>
      <c r="N75" s="163">
        <f t="shared" si="44"/>
        <v>0.03</v>
      </c>
      <c r="P75" s="176"/>
      <c r="Q75" s="295"/>
      <c r="T75" s="613" t="s">
        <v>1185</v>
      </c>
    </row>
    <row r="76" spans="1:20" x14ac:dyDescent="0.2">
      <c r="A76" s="613">
        <f t="shared" si="45"/>
        <v>69</v>
      </c>
      <c r="B76" s="164" t="str">
        <f>'WP1 Light Inventory'!A72</f>
        <v>53E</v>
      </c>
      <c r="C76" s="164" t="str">
        <f>'WP1 Light Inventory'!C72</f>
        <v xml:space="preserve">Company Owned </v>
      </c>
      <c r="D76" s="327" t="str">
        <f>'WP1 Light Inventory'!D72</f>
        <v>Metal Halide</v>
      </c>
      <c r="E76" s="165" t="str">
        <f>'WP1 Light Inventory'!E72</f>
        <v>MH 250</v>
      </c>
      <c r="F76" s="364">
        <f>'WP1 Light Inventory'!J72</f>
        <v>0</v>
      </c>
      <c r="G76" s="366">
        <f>'WP12 Condensed Sch. Level Costs'!O71</f>
        <v>87.5</v>
      </c>
      <c r="H76" s="339">
        <f t="shared" si="39"/>
        <v>5.8200000000000005E-4</v>
      </c>
      <c r="I76" s="295">
        <f t="shared" si="40"/>
        <v>0</v>
      </c>
      <c r="J76" s="163">
        <f t="shared" si="41"/>
        <v>0.05</v>
      </c>
      <c r="L76" s="339">
        <f t="shared" si="42"/>
        <v>6.3900000000000003E-4</v>
      </c>
      <c r="M76" s="295">
        <f t="shared" si="43"/>
        <v>0</v>
      </c>
      <c r="N76" s="163">
        <f t="shared" si="44"/>
        <v>0.06</v>
      </c>
      <c r="P76" s="176"/>
      <c r="Q76" s="295"/>
      <c r="T76" s="613" t="s">
        <v>1185</v>
      </c>
    </row>
    <row r="77" spans="1:20" x14ac:dyDescent="0.2">
      <c r="A77" s="613">
        <f t="shared" si="45"/>
        <v>70</v>
      </c>
      <c r="B77" s="164" t="str">
        <f>'WP1 Light Inventory'!A73</f>
        <v>53E</v>
      </c>
      <c r="C77" s="164" t="str">
        <f>'WP1 Light Inventory'!C73</f>
        <v xml:space="preserve">Company Owned </v>
      </c>
      <c r="D77" s="327" t="str">
        <f>'WP1 Light Inventory'!D73</f>
        <v>Metal Halide</v>
      </c>
      <c r="E77" s="165" t="str">
        <f>'WP1 Light Inventory'!E73</f>
        <v>MH 400</v>
      </c>
      <c r="F77" s="364">
        <f>'WP1 Light Inventory'!J73</f>
        <v>0</v>
      </c>
      <c r="G77" s="366">
        <f>'WP12 Condensed Sch. Level Costs'!O72</f>
        <v>140</v>
      </c>
      <c r="H77" s="339">
        <f t="shared" si="39"/>
        <v>5.8200000000000005E-4</v>
      </c>
      <c r="I77" s="295">
        <f t="shared" si="40"/>
        <v>0</v>
      </c>
      <c r="J77" s="163">
        <f t="shared" si="41"/>
        <v>0.08</v>
      </c>
      <c r="L77" s="339">
        <f t="shared" si="42"/>
        <v>6.3900000000000003E-4</v>
      </c>
      <c r="M77" s="295">
        <f t="shared" si="43"/>
        <v>0</v>
      </c>
      <c r="N77" s="163">
        <f t="shared" si="44"/>
        <v>0.09</v>
      </c>
      <c r="P77" s="176"/>
      <c r="Q77" s="295"/>
      <c r="T77" s="613" t="s">
        <v>1185</v>
      </c>
    </row>
    <row r="78" spans="1:20" x14ac:dyDescent="0.2">
      <c r="A78" s="613">
        <f t="shared" si="45"/>
        <v>71</v>
      </c>
      <c r="B78" s="164"/>
      <c r="C78" s="164"/>
      <c r="D78" s="327"/>
      <c r="E78" s="165"/>
      <c r="F78" s="364"/>
      <c r="G78" s="399"/>
      <c r="H78" s="342"/>
      <c r="I78" s="295"/>
      <c r="L78" s="342"/>
      <c r="M78" s="295"/>
      <c r="P78" s="342"/>
      <c r="Q78" s="295"/>
    </row>
    <row r="79" spans="1:20" ht="9.75" customHeight="1" x14ac:dyDescent="0.2">
      <c r="A79" s="613">
        <f t="shared" si="45"/>
        <v>72</v>
      </c>
      <c r="B79" s="164" t="str">
        <f>'WP1 Light Inventory'!A75</f>
        <v>53E</v>
      </c>
      <c r="C79" s="164" t="str">
        <f>'WP1 Light Inventory'!C75</f>
        <v xml:space="preserve">Company Owned </v>
      </c>
      <c r="D79" s="327" t="str">
        <f>'WP1 Light Inventory'!D75</f>
        <v>Light Emitting Diode</v>
      </c>
      <c r="E79" s="165" t="str">
        <f>'WP1 Light Inventory'!E75</f>
        <v>LED 0-030</v>
      </c>
      <c r="F79" s="364">
        <f>'WP1 Light Inventory'!J75</f>
        <v>0</v>
      </c>
      <c r="G79" s="366">
        <f>'WP12 Condensed Sch. Level Costs'!O74</f>
        <v>5.25</v>
      </c>
      <c r="H79" s="339">
        <f t="shared" ref="H79:H88" si="46">$Y$8</f>
        <v>5.8200000000000005E-4</v>
      </c>
      <c r="I79" s="295">
        <f t="shared" ref="I79:I88" si="47">+F79*J79*12</f>
        <v>0</v>
      </c>
      <c r="J79" s="163">
        <f t="shared" ref="J79:J88" si="48">ROUND(+H79*G79,2)</f>
        <v>0</v>
      </c>
      <c r="L79" s="339">
        <f t="shared" ref="L79:L88" si="49">$Y$9</f>
        <v>6.3900000000000003E-4</v>
      </c>
      <c r="M79" s="295">
        <f t="shared" ref="M79:M88" si="50">+F79*N79*12</f>
        <v>0</v>
      </c>
      <c r="N79" s="163">
        <f t="shared" ref="N79:N88" si="51">ROUND(+L79*G79,2)</f>
        <v>0</v>
      </c>
      <c r="P79" s="176"/>
      <c r="Q79" s="295"/>
      <c r="T79" s="613" t="s">
        <v>1186</v>
      </c>
    </row>
    <row r="80" spans="1:20" x14ac:dyDescent="0.2">
      <c r="A80" s="613">
        <f t="shared" si="45"/>
        <v>73</v>
      </c>
      <c r="B80" s="164" t="str">
        <f>'WP1 Light Inventory'!A76</f>
        <v>53E</v>
      </c>
      <c r="C80" s="164" t="str">
        <f>'WP1 Light Inventory'!C76</f>
        <v xml:space="preserve">Company Owned </v>
      </c>
      <c r="D80" s="327" t="str">
        <f>'WP1 Light Inventory'!D76</f>
        <v>Light Emitting Diode</v>
      </c>
      <c r="E80" s="165" t="str">
        <f>'WP1 Light Inventory'!E76</f>
        <v>LED 030.01-060</v>
      </c>
      <c r="F80" s="364">
        <f>'WP1 Light Inventory'!J76</f>
        <v>21897</v>
      </c>
      <c r="G80" s="366">
        <f>'WP12 Condensed Sch. Level Costs'!O75</f>
        <v>15.75</v>
      </c>
      <c r="H80" s="339">
        <f t="shared" si="46"/>
        <v>5.8200000000000005E-4</v>
      </c>
      <c r="I80" s="295">
        <f t="shared" si="47"/>
        <v>2627.64</v>
      </c>
      <c r="J80" s="163">
        <f t="shared" si="48"/>
        <v>0.01</v>
      </c>
      <c r="L80" s="339">
        <f t="shared" si="49"/>
        <v>6.3900000000000003E-4</v>
      </c>
      <c r="M80" s="295">
        <f t="shared" si="50"/>
        <v>2627.64</v>
      </c>
      <c r="N80" s="163">
        <f t="shared" si="51"/>
        <v>0.01</v>
      </c>
      <c r="P80" s="176"/>
      <c r="Q80" s="295"/>
      <c r="T80" s="613" t="s">
        <v>1186</v>
      </c>
    </row>
    <row r="81" spans="1:20" x14ac:dyDescent="0.2">
      <c r="A81" s="613">
        <f t="shared" si="45"/>
        <v>74</v>
      </c>
      <c r="B81" s="164" t="str">
        <f>'WP1 Light Inventory'!A77</f>
        <v>53E</v>
      </c>
      <c r="C81" s="164" t="str">
        <f>'WP1 Light Inventory'!C77</f>
        <v xml:space="preserve">Company Owned </v>
      </c>
      <c r="D81" s="327" t="str">
        <f>'WP1 Light Inventory'!D77</f>
        <v>Light Emitting Diode</v>
      </c>
      <c r="E81" s="165" t="str">
        <f>'WP1 Light Inventory'!E77</f>
        <v>LED 060.01-090</v>
      </c>
      <c r="F81" s="364">
        <f>'WP1 Light Inventory'!J77</f>
        <v>430</v>
      </c>
      <c r="G81" s="366">
        <f>'WP12 Condensed Sch. Level Costs'!O76</f>
        <v>26.25</v>
      </c>
      <c r="H81" s="339">
        <f t="shared" si="46"/>
        <v>5.8200000000000005E-4</v>
      </c>
      <c r="I81" s="295">
        <f t="shared" si="47"/>
        <v>103.19999999999999</v>
      </c>
      <c r="J81" s="163">
        <f t="shared" si="48"/>
        <v>0.02</v>
      </c>
      <c r="L81" s="339">
        <f t="shared" si="49"/>
        <v>6.3900000000000003E-4</v>
      </c>
      <c r="M81" s="295">
        <f t="shared" si="50"/>
        <v>103.19999999999999</v>
      </c>
      <c r="N81" s="163">
        <f t="shared" si="51"/>
        <v>0.02</v>
      </c>
      <c r="P81" s="176"/>
      <c r="Q81" s="295"/>
      <c r="T81" s="613" t="s">
        <v>1186</v>
      </c>
    </row>
    <row r="82" spans="1:20" x14ac:dyDescent="0.2">
      <c r="A82" s="613">
        <f t="shared" si="45"/>
        <v>75</v>
      </c>
      <c r="B82" s="164" t="str">
        <f>'WP1 Light Inventory'!A78</f>
        <v>53E</v>
      </c>
      <c r="C82" s="164" t="str">
        <f>'WP1 Light Inventory'!C78</f>
        <v xml:space="preserve">Company Owned </v>
      </c>
      <c r="D82" s="327" t="str">
        <f>'WP1 Light Inventory'!D78</f>
        <v>Light Emitting Diode</v>
      </c>
      <c r="E82" s="165" t="str">
        <f>'WP1 Light Inventory'!E78</f>
        <v>LED 090.01-120</v>
      </c>
      <c r="F82" s="364">
        <f>'WP1 Light Inventory'!J78</f>
        <v>2478</v>
      </c>
      <c r="G82" s="366">
        <f>'WP12 Condensed Sch. Level Costs'!O77</f>
        <v>36.75</v>
      </c>
      <c r="H82" s="339">
        <f t="shared" si="46"/>
        <v>5.8200000000000005E-4</v>
      </c>
      <c r="I82" s="295">
        <f t="shared" si="47"/>
        <v>594.72</v>
      </c>
      <c r="J82" s="163">
        <f t="shared" si="48"/>
        <v>0.02</v>
      </c>
      <c r="L82" s="339">
        <f t="shared" si="49"/>
        <v>6.3900000000000003E-4</v>
      </c>
      <c r="M82" s="295">
        <f t="shared" si="50"/>
        <v>594.72</v>
      </c>
      <c r="N82" s="163">
        <f t="shared" si="51"/>
        <v>0.02</v>
      </c>
      <c r="P82" s="176"/>
      <c r="Q82" s="295"/>
      <c r="T82" s="613" t="s">
        <v>1186</v>
      </c>
    </row>
    <row r="83" spans="1:20" x14ac:dyDescent="0.2">
      <c r="A83" s="613">
        <f t="shared" si="45"/>
        <v>76</v>
      </c>
      <c r="B83" s="164" t="str">
        <f>'WP1 Light Inventory'!A79</f>
        <v>53E</v>
      </c>
      <c r="C83" s="164" t="str">
        <f>'WP1 Light Inventory'!C79</f>
        <v xml:space="preserve">Company Owned </v>
      </c>
      <c r="D83" s="327" t="str">
        <f>'WP1 Light Inventory'!D79</f>
        <v>Light Emitting Diode</v>
      </c>
      <c r="E83" s="165" t="str">
        <f>'WP1 Light Inventory'!E79</f>
        <v>LED 120.01-150</v>
      </c>
      <c r="F83" s="364">
        <f>'WP1 Light Inventory'!J79</f>
        <v>1833</v>
      </c>
      <c r="G83" s="366">
        <f>'WP12 Condensed Sch. Level Costs'!O78</f>
        <v>47.25</v>
      </c>
      <c r="H83" s="339">
        <f t="shared" si="46"/>
        <v>5.8200000000000005E-4</v>
      </c>
      <c r="I83" s="295">
        <f t="shared" si="47"/>
        <v>659.87999999999988</v>
      </c>
      <c r="J83" s="163">
        <f t="shared" si="48"/>
        <v>0.03</v>
      </c>
      <c r="L83" s="339">
        <f t="shared" si="49"/>
        <v>6.3900000000000003E-4</v>
      </c>
      <c r="M83" s="295">
        <f t="shared" si="50"/>
        <v>659.87999999999988</v>
      </c>
      <c r="N83" s="163">
        <f t="shared" si="51"/>
        <v>0.03</v>
      </c>
      <c r="P83" s="176"/>
      <c r="Q83" s="295"/>
      <c r="T83" s="613" t="s">
        <v>1186</v>
      </c>
    </row>
    <row r="84" spans="1:20" x14ac:dyDescent="0.2">
      <c r="A84" s="613">
        <f t="shared" si="45"/>
        <v>77</v>
      </c>
      <c r="B84" s="164" t="str">
        <f>'WP1 Light Inventory'!A80</f>
        <v>53E</v>
      </c>
      <c r="C84" s="164" t="str">
        <f>'WP1 Light Inventory'!C80</f>
        <v xml:space="preserve">Company Owned </v>
      </c>
      <c r="D84" s="327" t="str">
        <f>'WP1 Light Inventory'!D80</f>
        <v>Light Emitting Diode</v>
      </c>
      <c r="E84" s="165" t="str">
        <f>'WP1 Light Inventory'!E80</f>
        <v>LED 150.01-180</v>
      </c>
      <c r="F84" s="364">
        <f>'WP1 Light Inventory'!J80</f>
        <v>105</v>
      </c>
      <c r="G84" s="366">
        <f>'WP12 Condensed Sch. Level Costs'!O79</f>
        <v>57.75</v>
      </c>
      <c r="H84" s="339">
        <f t="shared" si="46"/>
        <v>5.8200000000000005E-4</v>
      </c>
      <c r="I84" s="295">
        <f t="shared" si="47"/>
        <v>37.799999999999997</v>
      </c>
      <c r="J84" s="163">
        <f t="shared" si="48"/>
        <v>0.03</v>
      </c>
      <c r="L84" s="339">
        <f t="shared" si="49"/>
        <v>6.3900000000000003E-4</v>
      </c>
      <c r="M84" s="295">
        <f t="shared" si="50"/>
        <v>50.400000000000006</v>
      </c>
      <c r="N84" s="163">
        <f t="shared" si="51"/>
        <v>0.04</v>
      </c>
      <c r="P84" s="176"/>
      <c r="Q84" s="295"/>
      <c r="T84" s="613" t="s">
        <v>1186</v>
      </c>
    </row>
    <row r="85" spans="1:20" x14ac:dyDescent="0.2">
      <c r="A85" s="613">
        <f t="shared" si="45"/>
        <v>78</v>
      </c>
      <c r="B85" s="164" t="str">
        <f>'WP1 Light Inventory'!A81</f>
        <v>53E</v>
      </c>
      <c r="C85" s="164" t="str">
        <f>'WP1 Light Inventory'!C81</f>
        <v xml:space="preserve">Company Owned </v>
      </c>
      <c r="D85" s="327" t="str">
        <f>'WP1 Light Inventory'!D81</f>
        <v>Light Emitting Diode</v>
      </c>
      <c r="E85" s="165" t="str">
        <f>'WP1 Light Inventory'!E81</f>
        <v>LED 180.01-210</v>
      </c>
      <c r="F85" s="364">
        <f>'WP1 Light Inventory'!J81</f>
        <v>427</v>
      </c>
      <c r="G85" s="366">
        <f>'WP12 Condensed Sch. Level Costs'!O80</f>
        <v>68.25</v>
      </c>
      <c r="H85" s="339">
        <f t="shared" si="46"/>
        <v>5.8200000000000005E-4</v>
      </c>
      <c r="I85" s="295">
        <f t="shared" si="47"/>
        <v>204.96000000000004</v>
      </c>
      <c r="J85" s="163">
        <f t="shared" si="48"/>
        <v>0.04</v>
      </c>
      <c r="L85" s="339">
        <f t="shared" si="49"/>
        <v>6.3900000000000003E-4</v>
      </c>
      <c r="M85" s="295">
        <f t="shared" si="50"/>
        <v>204.96000000000004</v>
      </c>
      <c r="N85" s="163">
        <f t="shared" si="51"/>
        <v>0.04</v>
      </c>
      <c r="P85" s="176"/>
      <c r="Q85" s="295"/>
      <c r="T85" s="613" t="s">
        <v>1186</v>
      </c>
    </row>
    <row r="86" spans="1:20" x14ac:dyDescent="0.2">
      <c r="A86" s="613">
        <f t="shared" si="45"/>
        <v>79</v>
      </c>
      <c r="B86" s="164" t="str">
        <f>'WP1 Light Inventory'!A82</f>
        <v>53E</v>
      </c>
      <c r="C86" s="164" t="str">
        <f>'WP1 Light Inventory'!C82</f>
        <v xml:space="preserve">Company Owned </v>
      </c>
      <c r="D86" s="327" t="str">
        <f>'WP1 Light Inventory'!D82</f>
        <v>Light Emitting Diode</v>
      </c>
      <c r="E86" s="165" t="str">
        <f>'WP1 Light Inventory'!E82</f>
        <v>LED 210.01-240</v>
      </c>
      <c r="F86" s="364">
        <f>'WP1 Light Inventory'!J82</f>
        <v>36</v>
      </c>
      <c r="G86" s="366">
        <f>'WP12 Condensed Sch. Level Costs'!O81</f>
        <v>78.75</v>
      </c>
      <c r="H86" s="339">
        <f t="shared" si="46"/>
        <v>5.8200000000000005E-4</v>
      </c>
      <c r="I86" s="295">
        <f t="shared" si="47"/>
        <v>21.6</v>
      </c>
      <c r="J86" s="163">
        <f t="shared" si="48"/>
        <v>0.05</v>
      </c>
      <c r="L86" s="339">
        <f t="shared" si="49"/>
        <v>6.3900000000000003E-4</v>
      </c>
      <c r="M86" s="295">
        <f t="shared" si="50"/>
        <v>21.6</v>
      </c>
      <c r="N86" s="163">
        <f t="shared" si="51"/>
        <v>0.05</v>
      </c>
      <c r="P86" s="176"/>
      <c r="Q86" s="295"/>
      <c r="T86" s="613" t="s">
        <v>1186</v>
      </c>
    </row>
    <row r="87" spans="1:20" x14ac:dyDescent="0.2">
      <c r="A87" s="613">
        <f t="shared" si="45"/>
        <v>80</v>
      </c>
      <c r="B87" s="164" t="str">
        <f>'WP1 Light Inventory'!A83</f>
        <v>53E</v>
      </c>
      <c r="C87" s="164" t="str">
        <f>'WP1 Light Inventory'!C83</f>
        <v xml:space="preserve">Company Owned </v>
      </c>
      <c r="D87" s="327" t="str">
        <f>'WP1 Light Inventory'!D83</f>
        <v>Light Emitting Diode</v>
      </c>
      <c r="E87" s="165" t="str">
        <f>'WP1 Light Inventory'!E83</f>
        <v>LED 240.01-270</v>
      </c>
      <c r="F87" s="364">
        <f>'WP1 Light Inventory'!J83</f>
        <v>24</v>
      </c>
      <c r="G87" s="366">
        <f>'WP12 Condensed Sch. Level Costs'!O82</f>
        <v>89.25</v>
      </c>
      <c r="H87" s="339">
        <f t="shared" si="46"/>
        <v>5.8200000000000005E-4</v>
      </c>
      <c r="I87" s="295">
        <f t="shared" si="47"/>
        <v>14.400000000000002</v>
      </c>
      <c r="J87" s="163">
        <f t="shared" si="48"/>
        <v>0.05</v>
      </c>
      <c r="L87" s="339">
        <f t="shared" si="49"/>
        <v>6.3900000000000003E-4</v>
      </c>
      <c r="M87" s="295">
        <f t="shared" si="50"/>
        <v>17.28</v>
      </c>
      <c r="N87" s="163">
        <f t="shared" si="51"/>
        <v>0.06</v>
      </c>
      <c r="P87" s="176"/>
      <c r="Q87" s="295"/>
      <c r="T87" s="613" t="s">
        <v>1186</v>
      </c>
    </row>
    <row r="88" spans="1:20" x14ac:dyDescent="0.2">
      <c r="A88" s="613">
        <f t="shared" si="45"/>
        <v>81</v>
      </c>
      <c r="B88" s="164" t="str">
        <f>'WP1 Light Inventory'!A84</f>
        <v>53E</v>
      </c>
      <c r="C88" s="164" t="str">
        <f>'WP1 Light Inventory'!C84</f>
        <v xml:space="preserve">Company Owned </v>
      </c>
      <c r="D88" s="327" t="str">
        <f>'WP1 Light Inventory'!D84</f>
        <v>Light Emitting Diode</v>
      </c>
      <c r="E88" s="165" t="str">
        <f>'WP1 Light Inventory'!E84</f>
        <v>LED 270.01-300</v>
      </c>
      <c r="F88" s="364">
        <f>'WP1 Light Inventory'!J84</f>
        <v>157</v>
      </c>
      <c r="G88" s="366">
        <f>'WP12 Condensed Sch. Level Costs'!O83</f>
        <v>99.75</v>
      </c>
      <c r="H88" s="339">
        <f t="shared" si="46"/>
        <v>5.8200000000000005E-4</v>
      </c>
      <c r="I88" s="295">
        <f t="shared" si="47"/>
        <v>113.03999999999999</v>
      </c>
      <c r="J88" s="163">
        <f t="shared" si="48"/>
        <v>0.06</v>
      </c>
      <c r="L88" s="339">
        <f t="shared" si="49"/>
        <v>6.3900000000000003E-4</v>
      </c>
      <c r="M88" s="295">
        <f t="shared" si="50"/>
        <v>113.03999999999999</v>
      </c>
      <c r="N88" s="163">
        <f t="shared" si="51"/>
        <v>0.06</v>
      </c>
      <c r="P88" s="176"/>
      <c r="Q88" s="295"/>
      <c r="T88" s="613" t="s">
        <v>1186</v>
      </c>
    </row>
    <row r="89" spans="1:20" x14ac:dyDescent="0.2">
      <c r="A89" s="613">
        <f t="shared" si="45"/>
        <v>82</v>
      </c>
      <c r="B89" s="164"/>
      <c r="C89" s="164"/>
      <c r="D89" s="327"/>
      <c r="E89" s="165"/>
      <c r="F89" s="364"/>
      <c r="G89" s="399"/>
      <c r="H89" s="342"/>
      <c r="I89" s="295"/>
      <c r="L89" s="342"/>
      <c r="M89" s="295"/>
      <c r="P89" s="342"/>
      <c r="Q89" s="295"/>
    </row>
    <row r="90" spans="1:20" ht="9.75" customHeight="1" x14ac:dyDescent="0.2">
      <c r="A90" s="613">
        <f t="shared" si="45"/>
        <v>83</v>
      </c>
      <c r="B90" s="164" t="str">
        <f>'WP1 Light Inventory'!A86</f>
        <v>53E</v>
      </c>
      <c r="C90" s="164" t="str">
        <f>'WP1 Light Inventory'!C86</f>
        <v>SMART LIGHT</v>
      </c>
      <c r="D90" s="327" t="str">
        <f>'WP1 Light Inventory'!D86</f>
        <v>Light Emitting Diode</v>
      </c>
      <c r="E90" s="165" t="str">
        <f>'WP1 Light Inventory'!E86</f>
        <v>LED 0-030</v>
      </c>
      <c r="F90" s="364">
        <f>'WP1 Light Inventory'!J86</f>
        <v>0</v>
      </c>
      <c r="G90" s="366">
        <f>'WP12 Condensed Sch. Level Costs'!O85</f>
        <v>5.25</v>
      </c>
      <c r="H90" s="339">
        <f t="shared" ref="H90:H99" si="52">$Y$8</f>
        <v>5.8200000000000005E-4</v>
      </c>
      <c r="I90" s="295"/>
      <c r="L90" s="339">
        <f t="shared" ref="L90:L127" si="53">$Y$9</f>
        <v>6.3900000000000003E-4</v>
      </c>
      <c r="M90" s="295"/>
      <c r="P90" s="176"/>
      <c r="Q90" s="295"/>
      <c r="S90" s="239"/>
      <c r="T90" s="613" t="s">
        <v>1182</v>
      </c>
    </row>
    <row r="91" spans="1:20" x14ac:dyDescent="0.2">
      <c r="A91" s="613">
        <f t="shared" si="45"/>
        <v>84</v>
      </c>
      <c r="B91" s="164" t="str">
        <f>'WP1 Light Inventory'!A87</f>
        <v>53E</v>
      </c>
      <c r="C91" s="164" t="str">
        <f>'WP1 Light Inventory'!C87</f>
        <v>SMART LIGHT</v>
      </c>
      <c r="D91" s="327" t="str">
        <f>'WP1 Light Inventory'!D87</f>
        <v>Light Emitting Diode</v>
      </c>
      <c r="E91" s="165" t="str">
        <f>'WP1 Light Inventory'!E87</f>
        <v>LED 030.01-060</v>
      </c>
      <c r="F91" s="364">
        <f>'WP1 Light Inventory'!J87</f>
        <v>0</v>
      </c>
      <c r="G91" s="366">
        <f>'WP12 Condensed Sch. Level Costs'!O86</f>
        <v>15.75</v>
      </c>
      <c r="H91" s="339">
        <f t="shared" si="52"/>
        <v>5.8200000000000005E-4</v>
      </c>
      <c r="I91" s="295"/>
      <c r="L91" s="339">
        <f t="shared" si="53"/>
        <v>6.3900000000000003E-4</v>
      </c>
      <c r="M91" s="295"/>
      <c r="P91" s="176"/>
      <c r="Q91" s="295"/>
      <c r="T91" s="613" t="s">
        <v>1182</v>
      </c>
    </row>
    <row r="92" spans="1:20" x14ac:dyDescent="0.2">
      <c r="A92" s="613">
        <f t="shared" si="45"/>
        <v>85</v>
      </c>
      <c r="B92" s="164" t="str">
        <f>'WP1 Light Inventory'!A88</f>
        <v>53E</v>
      </c>
      <c r="C92" s="164" t="str">
        <f>'WP1 Light Inventory'!C88</f>
        <v>SMART LIGHT</v>
      </c>
      <c r="D92" s="327" t="str">
        <f>'WP1 Light Inventory'!D88</f>
        <v>Light Emitting Diode</v>
      </c>
      <c r="E92" s="165" t="str">
        <f>'WP1 Light Inventory'!E88</f>
        <v>LED 060.01-090</v>
      </c>
      <c r="F92" s="364">
        <f>'WP1 Light Inventory'!J88</f>
        <v>0</v>
      </c>
      <c r="G92" s="366">
        <f>'WP12 Condensed Sch. Level Costs'!O87</f>
        <v>26.25</v>
      </c>
      <c r="H92" s="339">
        <f t="shared" si="52"/>
        <v>5.8200000000000005E-4</v>
      </c>
      <c r="I92" s="295"/>
      <c r="L92" s="339">
        <f t="shared" si="53"/>
        <v>6.3900000000000003E-4</v>
      </c>
      <c r="M92" s="295"/>
      <c r="P92" s="176"/>
      <c r="Q92" s="295"/>
      <c r="T92" s="613" t="s">
        <v>1182</v>
      </c>
    </row>
    <row r="93" spans="1:20" x14ac:dyDescent="0.2">
      <c r="A93" s="613">
        <f t="shared" si="45"/>
        <v>86</v>
      </c>
      <c r="B93" s="164" t="str">
        <f>'WP1 Light Inventory'!A89</f>
        <v>53E</v>
      </c>
      <c r="C93" s="164" t="str">
        <f>'WP1 Light Inventory'!C89</f>
        <v>SMART LIGHT</v>
      </c>
      <c r="D93" s="327" t="str">
        <f>'WP1 Light Inventory'!D89</f>
        <v>Light Emitting Diode</v>
      </c>
      <c r="E93" s="165" t="str">
        <f>'WP1 Light Inventory'!E89</f>
        <v>LED 090.01-120</v>
      </c>
      <c r="F93" s="364">
        <f>'WP1 Light Inventory'!J89</f>
        <v>0</v>
      </c>
      <c r="G93" s="366">
        <f>'WP12 Condensed Sch. Level Costs'!O88</f>
        <v>36.75</v>
      </c>
      <c r="H93" s="339">
        <f t="shared" si="52"/>
        <v>5.8200000000000005E-4</v>
      </c>
      <c r="I93" s="295"/>
      <c r="L93" s="339">
        <f t="shared" si="53"/>
        <v>6.3900000000000003E-4</v>
      </c>
      <c r="M93" s="295"/>
      <c r="P93" s="176"/>
      <c r="Q93" s="295"/>
      <c r="T93" s="613" t="s">
        <v>1182</v>
      </c>
    </row>
    <row r="94" spans="1:20" x14ac:dyDescent="0.2">
      <c r="A94" s="613">
        <f t="shared" si="45"/>
        <v>87</v>
      </c>
      <c r="B94" s="164" t="str">
        <f>'WP1 Light Inventory'!A90</f>
        <v>53E</v>
      </c>
      <c r="C94" s="164" t="str">
        <f>'WP1 Light Inventory'!C90</f>
        <v>SMART LIGHT</v>
      </c>
      <c r="D94" s="327" t="str">
        <f>'WP1 Light Inventory'!D90</f>
        <v>Light Emitting Diode</v>
      </c>
      <c r="E94" s="165" t="str">
        <f>'WP1 Light Inventory'!E90</f>
        <v>LED 120.01-150</v>
      </c>
      <c r="F94" s="364">
        <f>'WP1 Light Inventory'!J90</f>
        <v>0</v>
      </c>
      <c r="G94" s="366">
        <f>'WP12 Condensed Sch. Level Costs'!O89</f>
        <v>47.25</v>
      </c>
      <c r="H94" s="339">
        <f t="shared" si="52"/>
        <v>5.8200000000000005E-4</v>
      </c>
      <c r="I94" s="295"/>
      <c r="L94" s="339">
        <f t="shared" si="53"/>
        <v>6.3900000000000003E-4</v>
      </c>
      <c r="M94" s="295"/>
      <c r="P94" s="176"/>
      <c r="Q94" s="295"/>
      <c r="T94" s="613" t="s">
        <v>1182</v>
      </c>
    </row>
    <row r="95" spans="1:20" x14ac:dyDescent="0.2">
      <c r="A95" s="613">
        <f t="shared" si="45"/>
        <v>88</v>
      </c>
      <c r="B95" s="164" t="str">
        <f>'WP1 Light Inventory'!A91</f>
        <v>53E</v>
      </c>
      <c r="C95" s="164" t="str">
        <f>'WP1 Light Inventory'!C91</f>
        <v>SMART LIGHT</v>
      </c>
      <c r="D95" s="327" t="str">
        <f>'WP1 Light Inventory'!D91</f>
        <v>Light Emitting Diode</v>
      </c>
      <c r="E95" s="165" t="str">
        <f>'WP1 Light Inventory'!E91</f>
        <v>LED 150.01-180</v>
      </c>
      <c r="F95" s="364">
        <f>'WP1 Light Inventory'!J91</f>
        <v>0</v>
      </c>
      <c r="G95" s="366">
        <f>'WP12 Condensed Sch. Level Costs'!O90</f>
        <v>57.75</v>
      </c>
      <c r="H95" s="339">
        <f t="shared" si="52"/>
        <v>5.8200000000000005E-4</v>
      </c>
      <c r="I95" s="295"/>
      <c r="L95" s="339">
        <f t="shared" si="53"/>
        <v>6.3900000000000003E-4</v>
      </c>
      <c r="M95" s="295"/>
      <c r="P95" s="176"/>
      <c r="Q95" s="295"/>
      <c r="T95" s="613" t="s">
        <v>1182</v>
      </c>
    </row>
    <row r="96" spans="1:20" x14ac:dyDescent="0.2">
      <c r="A96" s="613">
        <f t="shared" si="45"/>
        <v>89</v>
      </c>
      <c r="B96" s="164" t="str">
        <f>'WP1 Light Inventory'!A92</f>
        <v>53E</v>
      </c>
      <c r="C96" s="164" t="str">
        <f>'WP1 Light Inventory'!C92</f>
        <v>SMART LIGHT</v>
      </c>
      <c r="D96" s="327" t="str">
        <f>'WP1 Light Inventory'!D92</f>
        <v>Light Emitting Diode</v>
      </c>
      <c r="E96" s="165" t="str">
        <f>'WP1 Light Inventory'!E92</f>
        <v>LED 180.01-210</v>
      </c>
      <c r="F96" s="364">
        <f>'WP1 Light Inventory'!J92</f>
        <v>0</v>
      </c>
      <c r="G96" s="366">
        <f>'WP12 Condensed Sch. Level Costs'!O91</f>
        <v>68.25</v>
      </c>
      <c r="H96" s="339">
        <f t="shared" si="52"/>
        <v>5.8200000000000005E-4</v>
      </c>
      <c r="I96" s="295"/>
      <c r="L96" s="339">
        <f t="shared" si="53"/>
        <v>6.3900000000000003E-4</v>
      </c>
      <c r="M96" s="295"/>
      <c r="P96" s="176"/>
      <c r="Q96" s="295"/>
      <c r="T96" s="613" t="s">
        <v>1182</v>
      </c>
    </row>
    <row r="97" spans="1:20" x14ac:dyDescent="0.2">
      <c r="A97" s="613">
        <f t="shared" si="45"/>
        <v>90</v>
      </c>
      <c r="B97" s="164" t="str">
        <f>'WP1 Light Inventory'!A93</f>
        <v>53E</v>
      </c>
      <c r="C97" s="164" t="str">
        <f>'WP1 Light Inventory'!C93</f>
        <v>SMART LIGHT</v>
      </c>
      <c r="D97" s="327" t="str">
        <f>'WP1 Light Inventory'!D93</f>
        <v>Light Emitting Diode</v>
      </c>
      <c r="E97" s="165" t="str">
        <f>'WP1 Light Inventory'!E93</f>
        <v>LED 210.01-240</v>
      </c>
      <c r="F97" s="364">
        <f>'WP1 Light Inventory'!J93</f>
        <v>0</v>
      </c>
      <c r="G97" s="366">
        <f>'WP12 Condensed Sch. Level Costs'!O92</f>
        <v>78.75</v>
      </c>
      <c r="H97" s="339">
        <f t="shared" si="52"/>
        <v>5.8200000000000005E-4</v>
      </c>
      <c r="I97" s="295"/>
      <c r="L97" s="339">
        <f t="shared" si="53"/>
        <v>6.3900000000000003E-4</v>
      </c>
      <c r="M97" s="295"/>
      <c r="P97" s="176"/>
      <c r="Q97" s="295"/>
      <c r="T97" s="613" t="s">
        <v>1182</v>
      </c>
    </row>
    <row r="98" spans="1:20" x14ac:dyDescent="0.2">
      <c r="A98" s="613">
        <f t="shared" si="45"/>
        <v>91</v>
      </c>
      <c r="B98" s="164" t="str">
        <f>'WP1 Light Inventory'!A94</f>
        <v>53E</v>
      </c>
      <c r="C98" s="164" t="str">
        <f>'WP1 Light Inventory'!C94</f>
        <v>SMART LIGHT</v>
      </c>
      <c r="D98" s="327" t="str">
        <f>'WP1 Light Inventory'!D94</f>
        <v>Light Emitting Diode</v>
      </c>
      <c r="E98" s="165" t="str">
        <f>'WP1 Light Inventory'!E94</f>
        <v>LED 240.01-270</v>
      </c>
      <c r="F98" s="364">
        <f>'WP1 Light Inventory'!J94</f>
        <v>0</v>
      </c>
      <c r="G98" s="366">
        <f>'WP12 Condensed Sch. Level Costs'!O93</f>
        <v>89.25</v>
      </c>
      <c r="H98" s="339">
        <f t="shared" si="52"/>
        <v>5.8200000000000005E-4</v>
      </c>
      <c r="I98" s="295"/>
      <c r="L98" s="339">
        <f t="shared" si="53"/>
        <v>6.3900000000000003E-4</v>
      </c>
      <c r="M98" s="295"/>
      <c r="P98" s="176"/>
      <c r="Q98" s="295"/>
      <c r="T98" s="613" t="s">
        <v>1182</v>
      </c>
    </row>
    <row r="99" spans="1:20" x14ac:dyDescent="0.2">
      <c r="A99" s="613">
        <f t="shared" si="45"/>
        <v>92</v>
      </c>
      <c r="B99" s="164" t="str">
        <f>'WP1 Light Inventory'!A95</f>
        <v>53E</v>
      </c>
      <c r="C99" s="164" t="str">
        <f>'WP1 Light Inventory'!C95</f>
        <v>SMART LIGHT</v>
      </c>
      <c r="D99" s="327" t="str">
        <f>'WP1 Light Inventory'!D95</f>
        <v>Light Emitting Diode</v>
      </c>
      <c r="E99" s="165" t="str">
        <f>'WP1 Light Inventory'!E95</f>
        <v>LED 270.01-300</v>
      </c>
      <c r="F99" s="364">
        <f>'WP1 Light Inventory'!J95</f>
        <v>0</v>
      </c>
      <c r="G99" s="366">
        <f>'WP12 Condensed Sch. Level Costs'!O94</f>
        <v>99.75</v>
      </c>
      <c r="H99" s="339">
        <f t="shared" si="52"/>
        <v>5.8200000000000005E-4</v>
      </c>
      <c r="I99" s="295"/>
      <c r="L99" s="339">
        <f t="shared" si="53"/>
        <v>6.3900000000000003E-4</v>
      </c>
      <c r="M99" s="295"/>
      <c r="P99" s="176"/>
      <c r="Q99" s="295"/>
      <c r="T99" s="613" t="s">
        <v>1182</v>
      </c>
    </row>
    <row r="100" spans="1:20" x14ac:dyDescent="0.2">
      <c r="A100" s="613">
        <f t="shared" si="45"/>
        <v>93</v>
      </c>
      <c r="B100" s="164"/>
      <c r="C100" s="164"/>
      <c r="D100" s="327"/>
      <c r="E100" s="165"/>
      <c r="F100" s="364"/>
      <c r="G100" s="399"/>
      <c r="H100" s="342"/>
      <c r="I100" s="295"/>
      <c r="L100" s="342"/>
      <c r="M100" s="295"/>
      <c r="P100" s="342"/>
      <c r="Q100" s="295"/>
    </row>
    <row r="101" spans="1:20" x14ac:dyDescent="0.2">
      <c r="A101" s="613">
        <f t="shared" si="45"/>
        <v>94</v>
      </c>
      <c r="B101" s="164" t="str">
        <f>'WP1 Light Inventory'!A97</f>
        <v>53E</v>
      </c>
      <c r="C101" s="164" t="str">
        <f>'WP1 Light Inventory'!C97</f>
        <v>Customer Owned</v>
      </c>
      <c r="D101" s="327" t="str">
        <f>'WP1 Light Inventory'!D97</f>
        <v>Sodium Vapor</v>
      </c>
      <c r="E101" s="165" t="str">
        <f>'WP1 Light Inventory'!E97</f>
        <v>SV 050</v>
      </c>
      <c r="F101" s="364">
        <f>'WP1 Light Inventory'!J97</f>
        <v>0</v>
      </c>
      <c r="G101" s="366">
        <f>'WP12 Condensed Sch. Level Costs'!O96</f>
        <v>17.5</v>
      </c>
      <c r="H101" s="339">
        <f t="shared" ref="H101:H109" si="54">$Y$8</f>
        <v>5.8200000000000005E-4</v>
      </c>
      <c r="I101" s="295">
        <f t="shared" ref="I101:I109" si="55">+F101*J101*12</f>
        <v>0</v>
      </c>
      <c r="J101" s="163">
        <f t="shared" ref="J101:J109" si="56">ROUND(+H101*G101,2)</f>
        <v>0.01</v>
      </c>
      <c r="L101" s="339">
        <f t="shared" si="53"/>
        <v>6.3900000000000003E-4</v>
      </c>
      <c r="M101" s="295">
        <f t="shared" ref="M101:M109" si="57">+F101*N101*12</f>
        <v>0</v>
      </c>
      <c r="N101" s="163">
        <f t="shared" ref="N101:N109" si="58">ROUND(+L101*G101,2)</f>
        <v>0.01</v>
      </c>
      <c r="P101" s="176"/>
      <c r="Q101" s="295"/>
      <c r="T101" s="613" t="s">
        <v>1184</v>
      </c>
    </row>
    <row r="102" spans="1:20" x14ac:dyDescent="0.2">
      <c r="A102" s="613">
        <f t="shared" si="45"/>
        <v>95</v>
      </c>
      <c r="B102" s="164" t="str">
        <f>'WP1 Light Inventory'!A98</f>
        <v>53E</v>
      </c>
      <c r="C102" s="164" t="str">
        <f>'WP1 Light Inventory'!C98</f>
        <v>Customer Owned</v>
      </c>
      <c r="D102" s="327" t="str">
        <f>'WP1 Light Inventory'!D98</f>
        <v>Sodium Vapor</v>
      </c>
      <c r="E102" s="165" t="str">
        <f>'WP1 Light Inventory'!E98</f>
        <v>SV 070</v>
      </c>
      <c r="F102" s="364">
        <f>'WP1 Light Inventory'!J98</f>
        <v>52</v>
      </c>
      <c r="G102" s="366">
        <f>'WP12 Condensed Sch. Level Costs'!O97</f>
        <v>24.5</v>
      </c>
      <c r="H102" s="339">
        <f t="shared" si="54"/>
        <v>5.8200000000000005E-4</v>
      </c>
      <c r="I102" s="295">
        <f t="shared" si="55"/>
        <v>6.24</v>
      </c>
      <c r="J102" s="163">
        <f t="shared" si="56"/>
        <v>0.01</v>
      </c>
      <c r="L102" s="339">
        <f t="shared" si="53"/>
        <v>6.3900000000000003E-4</v>
      </c>
      <c r="M102" s="295">
        <f t="shared" si="57"/>
        <v>12.48</v>
      </c>
      <c r="N102" s="163">
        <f t="shared" si="58"/>
        <v>0.02</v>
      </c>
      <c r="P102" s="176"/>
      <c r="Q102" s="295"/>
      <c r="T102" s="613" t="s">
        <v>1184</v>
      </c>
    </row>
    <row r="103" spans="1:20" x14ac:dyDescent="0.2">
      <c r="A103" s="613">
        <f t="shared" si="45"/>
        <v>96</v>
      </c>
      <c r="B103" s="164" t="str">
        <f>'WP1 Light Inventory'!A99</f>
        <v>53E</v>
      </c>
      <c r="C103" s="164" t="str">
        <f>'WP1 Light Inventory'!C99</f>
        <v>Customer Owned</v>
      </c>
      <c r="D103" s="327" t="str">
        <f>'WP1 Light Inventory'!D99</f>
        <v>Sodium Vapor</v>
      </c>
      <c r="E103" s="165" t="str">
        <f>'WP1 Light Inventory'!E99</f>
        <v>SV 100</v>
      </c>
      <c r="F103" s="364">
        <f>'WP1 Light Inventory'!J99</f>
        <v>204</v>
      </c>
      <c r="G103" s="366">
        <f>'WP12 Condensed Sch. Level Costs'!O98</f>
        <v>35</v>
      </c>
      <c r="H103" s="339">
        <f t="shared" si="54"/>
        <v>5.8200000000000005E-4</v>
      </c>
      <c r="I103" s="295">
        <f t="shared" si="55"/>
        <v>48.96</v>
      </c>
      <c r="J103" s="163">
        <f t="shared" si="56"/>
        <v>0.02</v>
      </c>
      <c r="L103" s="339">
        <f t="shared" si="53"/>
        <v>6.3900000000000003E-4</v>
      </c>
      <c r="M103" s="295">
        <f t="shared" si="57"/>
        <v>48.96</v>
      </c>
      <c r="N103" s="163">
        <f t="shared" si="58"/>
        <v>0.02</v>
      </c>
      <c r="P103" s="176"/>
      <c r="Q103" s="295"/>
      <c r="T103" s="613" t="s">
        <v>1184</v>
      </c>
    </row>
    <row r="104" spans="1:20" x14ac:dyDescent="0.2">
      <c r="A104" s="613">
        <f t="shared" si="45"/>
        <v>97</v>
      </c>
      <c r="B104" s="164" t="str">
        <f>'WP1 Light Inventory'!A100</f>
        <v>53E</v>
      </c>
      <c r="C104" s="164" t="str">
        <f>'WP1 Light Inventory'!C100</f>
        <v>Customer Owned</v>
      </c>
      <c r="D104" s="327" t="str">
        <f>'WP1 Light Inventory'!D100</f>
        <v>Sodium Vapor</v>
      </c>
      <c r="E104" s="165" t="str">
        <f>'WP1 Light Inventory'!E100</f>
        <v>SV 150</v>
      </c>
      <c r="F104" s="364">
        <f>'WP1 Light Inventory'!J100</f>
        <v>96</v>
      </c>
      <c r="G104" s="366">
        <f>'WP12 Condensed Sch. Level Costs'!O99</f>
        <v>52.5</v>
      </c>
      <c r="H104" s="339">
        <f t="shared" si="54"/>
        <v>5.8200000000000005E-4</v>
      </c>
      <c r="I104" s="295">
        <f t="shared" si="55"/>
        <v>34.56</v>
      </c>
      <c r="J104" s="163">
        <f t="shared" si="56"/>
        <v>0.03</v>
      </c>
      <c r="L104" s="339">
        <f t="shared" si="53"/>
        <v>6.3900000000000003E-4</v>
      </c>
      <c r="M104" s="295">
        <f t="shared" si="57"/>
        <v>34.56</v>
      </c>
      <c r="N104" s="163">
        <f t="shared" si="58"/>
        <v>0.03</v>
      </c>
      <c r="P104" s="176"/>
      <c r="Q104" s="295"/>
      <c r="T104" s="613" t="s">
        <v>1184</v>
      </c>
    </row>
    <row r="105" spans="1:20" x14ac:dyDescent="0.2">
      <c r="A105" s="613">
        <f t="shared" si="45"/>
        <v>98</v>
      </c>
      <c r="B105" s="164" t="str">
        <f>'WP1 Light Inventory'!A101</f>
        <v>53E</v>
      </c>
      <c r="C105" s="164" t="str">
        <f>'WP1 Light Inventory'!C101</f>
        <v>Customer Owned</v>
      </c>
      <c r="D105" s="327" t="str">
        <f>'WP1 Light Inventory'!D101</f>
        <v>Sodium Vapor</v>
      </c>
      <c r="E105" s="165" t="str">
        <f>'WP1 Light Inventory'!E101</f>
        <v>SV 200</v>
      </c>
      <c r="F105" s="364">
        <f>'WP1 Light Inventory'!J101</f>
        <v>372</v>
      </c>
      <c r="G105" s="366">
        <f>'WP12 Condensed Sch. Level Costs'!O100</f>
        <v>70</v>
      </c>
      <c r="H105" s="339">
        <f t="shared" si="54"/>
        <v>5.8200000000000005E-4</v>
      </c>
      <c r="I105" s="295">
        <f t="shared" si="55"/>
        <v>178.56</v>
      </c>
      <c r="J105" s="163">
        <f t="shared" si="56"/>
        <v>0.04</v>
      </c>
      <c r="L105" s="339">
        <f t="shared" si="53"/>
        <v>6.3900000000000003E-4</v>
      </c>
      <c r="M105" s="295">
        <f t="shared" si="57"/>
        <v>178.56</v>
      </c>
      <c r="N105" s="163">
        <f t="shared" si="58"/>
        <v>0.04</v>
      </c>
      <c r="P105" s="176"/>
      <c r="Q105" s="295"/>
      <c r="T105" s="613" t="s">
        <v>1184</v>
      </c>
    </row>
    <row r="106" spans="1:20" x14ac:dyDescent="0.2">
      <c r="A106" s="613">
        <f t="shared" si="45"/>
        <v>99</v>
      </c>
      <c r="B106" s="164" t="str">
        <f>'WP1 Light Inventory'!A102</f>
        <v>53E</v>
      </c>
      <c r="C106" s="164" t="str">
        <f>'WP1 Light Inventory'!C102</f>
        <v>Customer Owned</v>
      </c>
      <c r="D106" s="327" t="str">
        <f>'WP1 Light Inventory'!D102</f>
        <v>Sodium Vapor</v>
      </c>
      <c r="E106" s="165" t="str">
        <f>'WP1 Light Inventory'!E102</f>
        <v>SV 250</v>
      </c>
      <c r="F106" s="364">
        <f>'WP1 Light Inventory'!J102</f>
        <v>246</v>
      </c>
      <c r="G106" s="366">
        <f>'WP12 Condensed Sch. Level Costs'!O101</f>
        <v>87.5</v>
      </c>
      <c r="H106" s="339">
        <f t="shared" si="54"/>
        <v>5.8200000000000005E-4</v>
      </c>
      <c r="I106" s="295">
        <f t="shared" si="55"/>
        <v>147.60000000000002</v>
      </c>
      <c r="J106" s="163">
        <f t="shared" si="56"/>
        <v>0.05</v>
      </c>
      <c r="L106" s="339">
        <f t="shared" si="53"/>
        <v>6.3900000000000003E-4</v>
      </c>
      <c r="M106" s="295">
        <f t="shared" si="57"/>
        <v>177.12</v>
      </c>
      <c r="N106" s="163">
        <f t="shared" si="58"/>
        <v>0.06</v>
      </c>
      <c r="P106" s="176"/>
      <c r="Q106" s="295"/>
      <c r="T106" s="613" t="s">
        <v>1184</v>
      </c>
    </row>
    <row r="107" spans="1:20" x14ac:dyDescent="0.2">
      <c r="A107" s="613">
        <f t="shared" si="45"/>
        <v>100</v>
      </c>
      <c r="B107" s="164" t="str">
        <f>'WP1 Light Inventory'!A103</f>
        <v>53E</v>
      </c>
      <c r="C107" s="164" t="str">
        <f>'WP1 Light Inventory'!C103</f>
        <v>Customer Owned</v>
      </c>
      <c r="D107" s="327" t="str">
        <f>'WP1 Light Inventory'!D103</f>
        <v>Sodium Vapor</v>
      </c>
      <c r="E107" s="165" t="str">
        <f>'WP1 Light Inventory'!E103</f>
        <v>SV 310</v>
      </c>
      <c r="F107" s="364">
        <f>'WP1 Light Inventory'!J103</f>
        <v>7</v>
      </c>
      <c r="G107" s="366">
        <f>'WP12 Condensed Sch. Level Costs'!O102</f>
        <v>108.5</v>
      </c>
      <c r="H107" s="339">
        <f t="shared" si="54"/>
        <v>5.8200000000000005E-4</v>
      </c>
      <c r="I107" s="295">
        <f t="shared" si="55"/>
        <v>5.04</v>
      </c>
      <c r="J107" s="163">
        <f t="shared" si="56"/>
        <v>0.06</v>
      </c>
      <c r="L107" s="339">
        <f t="shared" si="53"/>
        <v>6.3900000000000003E-4</v>
      </c>
      <c r="M107" s="295">
        <f t="shared" si="57"/>
        <v>5.8800000000000008</v>
      </c>
      <c r="N107" s="163">
        <f t="shared" si="58"/>
        <v>7.0000000000000007E-2</v>
      </c>
      <c r="P107" s="176"/>
      <c r="Q107" s="295"/>
      <c r="T107" s="613" t="s">
        <v>1184</v>
      </c>
    </row>
    <row r="108" spans="1:20" x14ac:dyDescent="0.2">
      <c r="A108" s="613">
        <f t="shared" si="45"/>
        <v>101</v>
      </c>
      <c r="B108" s="164" t="str">
        <f>'WP1 Light Inventory'!A104</f>
        <v>53E</v>
      </c>
      <c r="C108" s="164" t="str">
        <f>'WP1 Light Inventory'!C104</f>
        <v>Customer Owned</v>
      </c>
      <c r="D108" s="327" t="str">
        <f>'WP1 Light Inventory'!D104</f>
        <v>Sodium Vapor</v>
      </c>
      <c r="E108" s="165" t="str">
        <f>'WP1 Light Inventory'!E104</f>
        <v>SV 400</v>
      </c>
      <c r="F108" s="364">
        <f>'WP1 Light Inventory'!J104</f>
        <v>398</v>
      </c>
      <c r="G108" s="366">
        <f>'WP12 Condensed Sch. Level Costs'!O103</f>
        <v>140</v>
      </c>
      <c r="H108" s="339">
        <f t="shared" si="54"/>
        <v>5.8200000000000005E-4</v>
      </c>
      <c r="I108" s="295">
        <f t="shared" si="55"/>
        <v>382.08</v>
      </c>
      <c r="J108" s="163">
        <f t="shared" si="56"/>
        <v>0.08</v>
      </c>
      <c r="L108" s="339">
        <f t="shared" si="53"/>
        <v>6.3900000000000003E-4</v>
      </c>
      <c r="M108" s="295">
        <f t="shared" si="57"/>
        <v>429.84000000000003</v>
      </c>
      <c r="N108" s="163">
        <f t="shared" si="58"/>
        <v>0.09</v>
      </c>
      <c r="P108" s="176"/>
      <c r="Q108" s="295"/>
      <c r="T108" s="613" t="s">
        <v>1184</v>
      </c>
    </row>
    <row r="109" spans="1:20" x14ac:dyDescent="0.2">
      <c r="A109" s="613">
        <f t="shared" si="45"/>
        <v>102</v>
      </c>
      <c r="B109" s="164" t="str">
        <f>'WP1 Light Inventory'!A105</f>
        <v>53E</v>
      </c>
      <c r="C109" s="164" t="str">
        <f>'WP1 Light Inventory'!C105</f>
        <v>Customer Owned</v>
      </c>
      <c r="D109" s="327" t="str">
        <f>'WP1 Light Inventory'!D105</f>
        <v>Sodium Vapor</v>
      </c>
      <c r="E109" s="165" t="str">
        <f>'WP1 Light Inventory'!E105</f>
        <v>SV 1000</v>
      </c>
      <c r="F109" s="364">
        <f>'WP1 Light Inventory'!J105</f>
        <v>0</v>
      </c>
      <c r="G109" s="366">
        <f>'WP12 Condensed Sch. Level Costs'!O104</f>
        <v>350</v>
      </c>
      <c r="H109" s="339">
        <f t="shared" si="54"/>
        <v>5.8200000000000005E-4</v>
      </c>
      <c r="I109" s="295">
        <f t="shared" si="55"/>
        <v>0</v>
      </c>
      <c r="J109" s="163">
        <f t="shared" si="56"/>
        <v>0.2</v>
      </c>
      <c r="L109" s="339">
        <f t="shared" si="53"/>
        <v>6.3900000000000003E-4</v>
      </c>
      <c r="M109" s="295">
        <f t="shared" si="57"/>
        <v>0</v>
      </c>
      <c r="N109" s="163">
        <f t="shared" si="58"/>
        <v>0.22</v>
      </c>
      <c r="P109" s="176"/>
      <c r="Q109" s="295"/>
      <c r="T109" s="613" t="s">
        <v>1184</v>
      </c>
    </row>
    <row r="110" spans="1:20" x14ac:dyDescent="0.2">
      <c r="A110" s="613">
        <f t="shared" si="45"/>
        <v>103</v>
      </c>
      <c r="B110" s="164"/>
      <c r="C110" s="164"/>
      <c r="D110" s="327"/>
      <c r="E110" s="165"/>
      <c r="F110" s="364"/>
      <c r="G110" s="399"/>
      <c r="H110" s="342"/>
      <c r="I110" s="295"/>
      <c r="L110" s="342"/>
      <c r="M110" s="295"/>
      <c r="P110" s="342"/>
      <c r="Q110" s="295"/>
    </row>
    <row r="111" spans="1:20" x14ac:dyDescent="0.2">
      <c r="A111" s="613">
        <f t="shared" si="45"/>
        <v>104</v>
      </c>
      <c r="B111" s="164" t="str">
        <f>'WP1 Light Inventory'!A107</f>
        <v>53E</v>
      </c>
      <c r="C111" s="164" t="str">
        <f>'WP1 Light Inventory'!C107</f>
        <v>Customer Owned</v>
      </c>
      <c r="D111" s="327" t="str">
        <f>'WP1 Light Inventory'!D107</f>
        <v>Metal Halide</v>
      </c>
      <c r="E111" s="165" t="str">
        <f>'WP1 Light Inventory'!E107</f>
        <v>MH 70</v>
      </c>
      <c r="F111" s="364">
        <f>'WP1 Light Inventory'!J107</f>
        <v>0</v>
      </c>
      <c r="G111" s="366">
        <f>'WP12 Condensed Sch. Level Costs'!O106</f>
        <v>24.5</v>
      </c>
      <c r="H111" s="339">
        <f t="shared" ref="H111:H116" si="59">$Y$8</f>
        <v>5.8200000000000005E-4</v>
      </c>
      <c r="I111" s="295">
        <f t="shared" ref="I111:I116" si="60">+F111*J111*12</f>
        <v>0</v>
      </c>
      <c r="J111" s="163">
        <f t="shared" ref="J111:J116" si="61">ROUND(+H111*G111,2)</f>
        <v>0.01</v>
      </c>
      <c r="L111" s="339">
        <f t="shared" si="53"/>
        <v>6.3900000000000003E-4</v>
      </c>
      <c r="M111" s="295">
        <f t="shared" ref="M111:M116" si="62">+F111*N111*12</f>
        <v>0</v>
      </c>
      <c r="N111" s="163">
        <f t="shared" ref="N111:N116" si="63">ROUND(+L111*G111,2)</f>
        <v>0.02</v>
      </c>
      <c r="P111" s="176"/>
      <c r="Q111" s="295"/>
      <c r="T111" s="613" t="s">
        <v>1185</v>
      </c>
    </row>
    <row r="112" spans="1:20" x14ac:dyDescent="0.2">
      <c r="A112" s="613">
        <f t="shared" si="45"/>
        <v>105</v>
      </c>
      <c r="B112" s="164" t="str">
        <f>'WP1 Light Inventory'!A108</f>
        <v>53E</v>
      </c>
      <c r="C112" s="164" t="str">
        <f>'WP1 Light Inventory'!C108</f>
        <v>Customer Owned</v>
      </c>
      <c r="D112" s="327" t="str">
        <f>'WP1 Light Inventory'!D108</f>
        <v>Metal Halide</v>
      </c>
      <c r="E112" s="165" t="str">
        <f>'WP1 Light Inventory'!E108</f>
        <v>MH 100</v>
      </c>
      <c r="F112" s="364">
        <f>'WP1 Light Inventory'!J108</f>
        <v>0</v>
      </c>
      <c r="G112" s="366">
        <f>'WP12 Condensed Sch. Level Costs'!O107</f>
        <v>35</v>
      </c>
      <c r="H112" s="339">
        <f t="shared" si="59"/>
        <v>5.8200000000000005E-4</v>
      </c>
      <c r="I112" s="295">
        <f t="shared" si="60"/>
        <v>0</v>
      </c>
      <c r="J112" s="163">
        <f t="shared" si="61"/>
        <v>0.02</v>
      </c>
      <c r="L112" s="339">
        <f t="shared" si="53"/>
        <v>6.3900000000000003E-4</v>
      </c>
      <c r="M112" s="295">
        <f t="shared" si="62"/>
        <v>0</v>
      </c>
      <c r="N112" s="163">
        <f t="shared" si="63"/>
        <v>0.02</v>
      </c>
      <c r="P112" s="176"/>
      <c r="Q112" s="295"/>
      <c r="T112" s="613" t="s">
        <v>1185</v>
      </c>
    </row>
    <row r="113" spans="1:20" x14ac:dyDescent="0.2">
      <c r="A113" s="613">
        <f t="shared" si="45"/>
        <v>106</v>
      </c>
      <c r="B113" s="164" t="str">
        <f>'WP1 Light Inventory'!A109</f>
        <v>53E</v>
      </c>
      <c r="C113" s="164" t="str">
        <f>'WP1 Light Inventory'!C109</f>
        <v>Customer Owned</v>
      </c>
      <c r="D113" s="327" t="str">
        <f>'WP1 Light Inventory'!D109</f>
        <v>Metal Halide</v>
      </c>
      <c r="E113" s="165" t="str">
        <f>'WP1 Light Inventory'!E109</f>
        <v>MH 150</v>
      </c>
      <c r="F113" s="364">
        <f>'WP1 Light Inventory'!J109</f>
        <v>0</v>
      </c>
      <c r="G113" s="366">
        <f>'WP12 Condensed Sch. Level Costs'!O108</f>
        <v>52.5</v>
      </c>
      <c r="H113" s="339">
        <f t="shared" si="59"/>
        <v>5.8200000000000005E-4</v>
      </c>
      <c r="I113" s="295">
        <f t="shared" si="60"/>
        <v>0</v>
      </c>
      <c r="J113" s="163">
        <f t="shared" si="61"/>
        <v>0.03</v>
      </c>
      <c r="L113" s="339">
        <f t="shared" si="53"/>
        <v>6.3900000000000003E-4</v>
      </c>
      <c r="M113" s="295">
        <f t="shared" si="62"/>
        <v>0</v>
      </c>
      <c r="N113" s="163">
        <f t="shared" si="63"/>
        <v>0.03</v>
      </c>
      <c r="P113" s="176"/>
      <c r="Q113" s="295"/>
      <c r="T113" s="613" t="s">
        <v>1185</v>
      </c>
    </row>
    <row r="114" spans="1:20" x14ac:dyDescent="0.2">
      <c r="A114" s="613">
        <f t="shared" si="45"/>
        <v>107</v>
      </c>
      <c r="B114" s="164" t="str">
        <f>'WP1 Light Inventory'!A110</f>
        <v>53E</v>
      </c>
      <c r="C114" s="164" t="str">
        <f>'WP1 Light Inventory'!C110</f>
        <v>Customer Owned</v>
      </c>
      <c r="D114" s="327" t="str">
        <f>'WP1 Light Inventory'!D110</f>
        <v>Metal Halide</v>
      </c>
      <c r="E114" s="165" t="str">
        <f>'WP1 Light Inventory'!E110</f>
        <v>MH 175</v>
      </c>
      <c r="F114" s="364">
        <f>'WP1 Light Inventory'!J110</f>
        <v>4</v>
      </c>
      <c r="G114" s="366">
        <f>'WP12 Condensed Sch. Level Costs'!O109</f>
        <v>61.25</v>
      </c>
      <c r="H114" s="339">
        <f t="shared" si="59"/>
        <v>5.8200000000000005E-4</v>
      </c>
      <c r="I114" s="295">
        <f t="shared" si="60"/>
        <v>1.92</v>
      </c>
      <c r="J114" s="163">
        <f t="shared" si="61"/>
        <v>0.04</v>
      </c>
      <c r="L114" s="339">
        <f t="shared" si="53"/>
        <v>6.3900000000000003E-4</v>
      </c>
      <c r="M114" s="295">
        <f t="shared" si="62"/>
        <v>1.92</v>
      </c>
      <c r="N114" s="163">
        <f t="shared" si="63"/>
        <v>0.04</v>
      </c>
      <c r="P114" s="176"/>
      <c r="Q114" s="295"/>
      <c r="T114" s="613" t="s">
        <v>1185</v>
      </c>
    </row>
    <row r="115" spans="1:20" x14ac:dyDescent="0.2">
      <c r="A115" s="613">
        <f t="shared" si="45"/>
        <v>108</v>
      </c>
      <c r="B115" s="164" t="str">
        <f>'WP1 Light Inventory'!A111</f>
        <v>53E</v>
      </c>
      <c r="C115" s="164" t="str">
        <f>'WP1 Light Inventory'!C111</f>
        <v>Customer Owned</v>
      </c>
      <c r="D115" s="327" t="str">
        <f>'WP1 Light Inventory'!D111</f>
        <v>Metal Halide</v>
      </c>
      <c r="E115" s="165" t="str">
        <f>'WP1 Light Inventory'!E111</f>
        <v>MH 250</v>
      </c>
      <c r="F115" s="364">
        <f>'WP1 Light Inventory'!J111</f>
        <v>0</v>
      </c>
      <c r="G115" s="366">
        <f>'WP12 Condensed Sch. Level Costs'!O110</f>
        <v>87.5</v>
      </c>
      <c r="H115" s="339">
        <f t="shared" si="59"/>
        <v>5.8200000000000005E-4</v>
      </c>
      <c r="I115" s="295">
        <f t="shared" si="60"/>
        <v>0</v>
      </c>
      <c r="J115" s="163">
        <f t="shared" si="61"/>
        <v>0.05</v>
      </c>
      <c r="L115" s="339">
        <f t="shared" si="53"/>
        <v>6.3900000000000003E-4</v>
      </c>
      <c r="M115" s="295">
        <f t="shared" si="62"/>
        <v>0</v>
      </c>
      <c r="N115" s="163">
        <f t="shared" si="63"/>
        <v>0.06</v>
      </c>
      <c r="P115" s="176"/>
      <c r="Q115" s="295"/>
      <c r="T115" s="613" t="s">
        <v>1185</v>
      </c>
    </row>
    <row r="116" spans="1:20" x14ac:dyDescent="0.2">
      <c r="A116" s="613">
        <f t="shared" si="45"/>
        <v>109</v>
      </c>
      <c r="B116" s="164" t="str">
        <f>'WP1 Light Inventory'!A112</f>
        <v>53E</v>
      </c>
      <c r="C116" s="164" t="str">
        <f>'WP1 Light Inventory'!C112</f>
        <v>Customer Owned</v>
      </c>
      <c r="D116" s="327" t="str">
        <f>'WP1 Light Inventory'!D112</f>
        <v>Metal Halide</v>
      </c>
      <c r="E116" s="165" t="str">
        <f>'WP1 Light Inventory'!E112</f>
        <v>MH 400</v>
      </c>
      <c r="F116" s="364">
        <f>'WP1 Light Inventory'!J112</f>
        <v>0</v>
      </c>
      <c r="G116" s="366">
        <f>'WP12 Condensed Sch. Level Costs'!O111</f>
        <v>140</v>
      </c>
      <c r="H116" s="339">
        <f t="shared" si="59"/>
        <v>5.8200000000000005E-4</v>
      </c>
      <c r="I116" s="295">
        <f t="shared" si="60"/>
        <v>0</v>
      </c>
      <c r="J116" s="163">
        <f t="shared" si="61"/>
        <v>0.08</v>
      </c>
      <c r="L116" s="339">
        <f t="shared" si="53"/>
        <v>6.3900000000000003E-4</v>
      </c>
      <c r="M116" s="295">
        <f t="shared" si="62"/>
        <v>0</v>
      </c>
      <c r="N116" s="163">
        <f t="shared" si="63"/>
        <v>0.09</v>
      </c>
      <c r="P116" s="176"/>
      <c r="Q116" s="295"/>
      <c r="T116" s="613" t="s">
        <v>1185</v>
      </c>
    </row>
    <row r="117" spans="1:20" x14ac:dyDescent="0.2">
      <c r="A117" s="613">
        <f t="shared" si="45"/>
        <v>110</v>
      </c>
      <c r="B117" s="164"/>
      <c r="C117" s="164"/>
      <c r="D117" s="327"/>
      <c r="E117" s="165"/>
      <c r="F117" s="364"/>
      <c r="G117" s="399"/>
      <c r="H117" s="342"/>
      <c r="I117" s="295"/>
      <c r="L117" s="342"/>
      <c r="M117" s="295"/>
      <c r="P117" s="342"/>
      <c r="Q117" s="295"/>
    </row>
    <row r="118" spans="1:20" ht="13.5" customHeight="1" x14ac:dyDescent="0.2">
      <c r="A118" s="613">
        <f t="shared" si="45"/>
        <v>111</v>
      </c>
      <c r="B118" s="164" t="str">
        <f>'WP1 Light Inventory'!A114</f>
        <v>53E</v>
      </c>
      <c r="C118" s="164" t="str">
        <f>'WP1 Light Inventory'!C114</f>
        <v>Customer Owned</v>
      </c>
      <c r="D118" s="327" t="str">
        <f>'WP1 Light Inventory'!D114</f>
        <v>Light Emitting Diode</v>
      </c>
      <c r="E118" s="165" t="str">
        <f>'WP1 Light Inventory'!E114</f>
        <v>LED 0-030</v>
      </c>
      <c r="F118" s="364">
        <f>'WP1 Light Inventory'!J114</f>
        <v>0</v>
      </c>
      <c r="G118" s="366">
        <f>'WP12 Condensed Sch. Level Costs'!O113</f>
        <v>5.25</v>
      </c>
      <c r="H118" s="339">
        <f t="shared" ref="H118:H127" si="64">$Y$8</f>
        <v>5.8200000000000005E-4</v>
      </c>
      <c r="I118" s="295">
        <f t="shared" ref="I118:I127" si="65">+F118*J118*12</f>
        <v>0</v>
      </c>
      <c r="J118" s="163">
        <f t="shared" ref="J118:J127" si="66">ROUND(+H118*G118,2)</f>
        <v>0</v>
      </c>
      <c r="L118" s="339">
        <f t="shared" si="53"/>
        <v>6.3900000000000003E-4</v>
      </c>
      <c r="M118" s="295">
        <f t="shared" ref="M118:M127" si="67">+F118*N118*12</f>
        <v>0</v>
      </c>
      <c r="N118" s="163">
        <f t="shared" ref="N118:N127" si="68">ROUND(+L118*G118,2)</f>
        <v>0</v>
      </c>
      <c r="P118" s="176"/>
      <c r="Q118" s="295"/>
      <c r="T118" s="613" t="s">
        <v>1182</v>
      </c>
    </row>
    <row r="119" spans="1:20" x14ac:dyDescent="0.2">
      <c r="A119" s="613">
        <f t="shared" si="45"/>
        <v>112</v>
      </c>
      <c r="B119" s="164" t="str">
        <f>'WP1 Light Inventory'!A115</f>
        <v>53E</v>
      </c>
      <c r="C119" s="164" t="str">
        <f>'WP1 Light Inventory'!C115</f>
        <v>Customer Owned</v>
      </c>
      <c r="D119" s="327" t="str">
        <f>'WP1 Light Inventory'!D115</f>
        <v>Light Emitting Diode</v>
      </c>
      <c r="E119" s="165" t="str">
        <f>'WP1 Light Inventory'!E115</f>
        <v>LED 030.01-060</v>
      </c>
      <c r="F119" s="364">
        <f>'WP1 Light Inventory'!J115</f>
        <v>656</v>
      </c>
      <c r="G119" s="366">
        <f>'WP12 Condensed Sch. Level Costs'!O114</f>
        <v>15.75</v>
      </c>
      <c r="H119" s="339">
        <f t="shared" si="64"/>
        <v>5.8200000000000005E-4</v>
      </c>
      <c r="I119" s="295">
        <f t="shared" si="65"/>
        <v>78.72</v>
      </c>
      <c r="J119" s="163">
        <f t="shared" si="66"/>
        <v>0.01</v>
      </c>
      <c r="L119" s="339">
        <f t="shared" si="53"/>
        <v>6.3900000000000003E-4</v>
      </c>
      <c r="M119" s="295">
        <f t="shared" si="67"/>
        <v>78.72</v>
      </c>
      <c r="N119" s="163">
        <f t="shared" si="68"/>
        <v>0.01</v>
      </c>
      <c r="P119" s="176"/>
      <c r="Q119" s="295"/>
      <c r="T119" s="613" t="s">
        <v>1182</v>
      </c>
    </row>
    <row r="120" spans="1:20" x14ac:dyDescent="0.2">
      <c r="A120" s="613">
        <f t="shared" si="45"/>
        <v>113</v>
      </c>
      <c r="B120" s="164" t="str">
        <f>'WP1 Light Inventory'!A116</f>
        <v>53E</v>
      </c>
      <c r="C120" s="164" t="str">
        <f>'WP1 Light Inventory'!C116</f>
        <v>Customer Owned</v>
      </c>
      <c r="D120" s="327" t="str">
        <f>'WP1 Light Inventory'!D116</f>
        <v>Light Emitting Diode</v>
      </c>
      <c r="E120" s="165" t="str">
        <f>'WP1 Light Inventory'!E116</f>
        <v>LED 060.01-090</v>
      </c>
      <c r="F120" s="364">
        <f>'WP1 Light Inventory'!J116</f>
        <v>634</v>
      </c>
      <c r="G120" s="366">
        <f>'WP12 Condensed Sch. Level Costs'!O115</f>
        <v>26.25</v>
      </c>
      <c r="H120" s="339">
        <f t="shared" si="64"/>
        <v>5.8200000000000005E-4</v>
      </c>
      <c r="I120" s="295">
        <f t="shared" si="65"/>
        <v>152.16</v>
      </c>
      <c r="J120" s="163">
        <f t="shared" si="66"/>
        <v>0.02</v>
      </c>
      <c r="L120" s="339">
        <f t="shared" si="53"/>
        <v>6.3900000000000003E-4</v>
      </c>
      <c r="M120" s="295">
        <f t="shared" si="67"/>
        <v>152.16</v>
      </c>
      <c r="N120" s="163">
        <f t="shared" si="68"/>
        <v>0.02</v>
      </c>
      <c r="P120" s="176"/>
      <c r="Q120" s="295"/>
      <c r="T120" s="613" t="s">
        <v>1182</v>
      </c>
    </row>
    <row r="121" spans="1:20" x14ac:dyDescent="0.2">
      <c r="A121" s="613">
        <f t="shared" si="45"/>
        <v>114</v>
      </c>
      <c r="B121" s="164" t="str">
        <f>'WP1 Light Inventory'!A117</f>
        <v>53E</v>
      </c>
      <c r="C121" s="164" t="str">
        <f>'WP1 Light Inventory'!C117</f>
        <v>Customer Owned</v>
      </c>
      <c r="D121" s="327" t="str">
        <f>'WP1 Light Inventory'!D117</f>
        <v>Light Emitting Diode</v>
      </c>
      <c r="E121" s="165" t="str">
        <f>'WP1 Light Inventory'!E117</f>
        <v>LED 090.01-120</v>
      </c>
      <c r="F121" s="364">
        <f>'WP1 Light Inventory'!J117</f>
        <v>869</v>
      </c>
      <c r="G121" s="366">
        <f>'WP12 Condensed Sch. Level Costs'!O116</f>
        <v>36.75</v>
      </c>
      <c r="H121" s="339">
        <f t="shared" si="64"/>
        <v>5.8200000000000005E-4</v>
      </c>
      <c r="I121" s="295">
        <f t="shared" si="65"/>
        <v>208.56</v>
      </c>
      <c r="J121" s="163">
        <f t="shared" si="66"/>
        <v>0.02</v>
      </c>
      <c r="L121" s="339">
        <f t="shared" si="53"/>
        <v>6.3900000000000003E-4</v>
      </c>
      <c r="M121" s="295">
        <f t="shared" si="67"/>
        <v>208.56</v>
      </c>
      <c r="N121" s="163">
        <f t="shared" si="68"/>
        <v>0.02</v>
      </c>
      <c r="P121" s="176"/>
      <c r="Q121" s="295"/>
      <c r="T121" s="613" t="s">
        <v>1182</v>
      </c>
    </row>
    <row r="122" spans="1:20" x14ac:dyDescent="0.2">
      <c r="A122" s="613">
        <f t="shared" si="45"/>
        <v>115</v>
      </c>
      <c r="B122" s="164" t="str">
        <f>'WP1 Light Inventory'!A118</f>
        <v>53E</v>
      </c>
      <c r="C122" s="164" t="str">
        <f>'WP1 Light Inventory'!C118</f>
        <v>Customer Owned</v>
      </c>
      <c r="D122" s="327" t="str">
        <f>'WP1 Light Inventory'!D118</f>
        <v>Light Emitting Diode</v>
      </c>
      <c r="E122" s="165" t="str">
        <f>'WP1 Light Inventory'!E118</f>
        <v>LED 120.01-150</v>
      </c>
      <c r="F122" s="364">
        <f>'WP1 Light Inventory'!J118</f>
        <v>101</v>
      </c>
      <c r="G122" s="366">
        <f>'WP12 Condensed Sch. Level Costs'!O117</f>
        <v>47.25</v>
      </c>
      <c r="H122" s="339">
        <f t="shared" si="64"/>
        <v>5.8200000000000005E-4</v>
      </c>
      <c r="I122" s="295">
        <f t="shared" si="65"/>
        <v>36.36</v>
      </c>
      <c r="J122" s="163">
        <f t="shared" si="66"/>
        <v>0.03</v>
      </c>
      <c r="L122" s="339">
        <f t="shared" si="53"/>
        <v>6.3900000000000003E-4</v>
      </c>
      <c r="M122" s="295">
        <f t="shared" si="67"/>
        <v>36.36</v>
      </c>
      <c r="N122" s="163">
        <f t="shared" si="68"/>
        <v>0.03</v>
      </c>
      <c r="P122" s="176"/>
      <c r="Q122" s="295"/>
      <c r="T122" s="613" t="s">
        <v>1182</v>
      </c>
    </row>
    <row r="123" spans="1:20" x14ac:dyDescent="0.2">
      <c r="A123" s="613">
        <f t="shared" si="45"/>
        <v>116</v>
      </c>
      <c r="B123" s="164" t="str">
        <f>'WP1 Light Inventory'!A119</f>
        <v>53E</v>
      </c>
      <c r="C123" s="164" t="str">
        <f>'WP1 Light Inventory'!C119</f>
        <v>Customer Owned</v>
      </c>
      <c r="D123" s="327" t="str">
        <f>'WP1 Light Inventory'!D119</f>
        <v>Light Emitting Diode</v>
      </c>
      <c r="E123" s="165" t="str">
        <f>'WP1 Light Inventory'!E119</f>
        <v>LED 150.01-180</v>
      </c>
      <c r="F123" s="364">
        <f>'WP1 Light Inventory'!J119</f>
        <v>1330</v>
      </c>
      <c r="G123" s="366">
        <f>'WP12 Condensed Sch. Level Costs'!O118</f>
        <v>57.75</v>
      </c>
      <c r="H123" s="339">
        <f t="shared" si="64"/>
        <v>5.8200000000000005E-4</v>
      </c>
      <c r="I123" s="295">
        <f t="shared" si="65"/>
        <v>478.79999999999995</v>
      </c>
      <c r="J123" s="163">
        <f t="shared" si="66"/>
        <v>0.03</v>
      </c>
      <c r="L123" s="339">
        <f t="shared" si="53"/>
        <v>6.3900000000000003E-4</v>
      </c>
      <c r="M123" s="295">
        <f t="shared" si="67"/>
        <v>638.40000000000009</v>
      </c>
      <c r="N123" s="163">
        <f t="shared" si="68"/>
        <v>0.04</v>
      </c>
      <c r="P123" s="176"/>
      <c r="Q123" s="295"/>
      <c r="T123" s="613" t="s">
        <v>1182</v>
      </c>
    </row>
    <row r="124" spans="1:20" x14ac:dyDescent="0.2">
      <c r="A124" s="613">
        <f t="shared" si="45"/>
        <v>117</v>
      </c>
      <c r="B124" s="164" t="str">
        <f>'WP1 Light Inventory'!A120</f>
        <v>53E</v>
      </c>
      <c r="C124" s="164" t="str">
        <f>'WP1 Light Inventory'!C120</f>
        <v>Customer Owned</v>
      </c>
      <c r="D124" s="327" t="str">
        <f>'WP1 Light Inventory'!D120</f>
        <v>Light Emitting Diode</v>
      </c>
      <c r="E124" s="165" t="str">
        <f>'WP1 Light Inventory'!E120</f>
        <v>LED 180.01-210</v>
      </c>
      <c r="F124" s="364">
        <f>'WP1 Light Inventory'!J120</f>
        <v>106</v>
      </c>
      <c r="G124" s="366">
        <f>'WP12 Condensed Sch. Level Costs'!O119</f>
        <v>68.25</v>
      </c>
      <c r="H124" s="339">
        <f t="shared" si="64"/>
        <v>5.8200000000000005E-4</v>
      </c>
      <c r="I124" s="295">
        <f t="shared" si="65"/>
        <v>50.88</v>
      </c>
      <c r="J124" s="163">
        <f t="shared" si="66"/>
        <v>0.04</v>
      </c>
      <c r="L124" s="339">
        <f t="shared" si="53"/>
        <v>6.3900000000000003E-4</v>
      </c>
      <c r="M124" s="295">
        <f t="shared" si="67"/>
        <v>50.88</v>
      </c>
      <c r="N124" s="163">
        <f t="shared" si="68"/>
        <v>0.04</v>
      </c>
      <c r="P124" s="176"/>
      <c r="Q124" s="295"/>
      <c r="T124" s="613" t="s">
        <v>1182</v>
      </c>
    </row>
    <row r="125" spans="1:20" x14ac:dyDescent="0.2">
      <c r="A125" s="613">
        <f t="shared" si="45"/>
        <v>118</v>
      </c>
      <c r="B125" s="164" t="str">
        <f>'WP1 Light Inventory'!A121</f>
        <v>53E</v>
      </c>
      <c r="C125" s="164" t="str">
        <f>'WP1 Light Inventory'!C121</f>
        <v>Customer Owned</v>
      </c>
      <c r="D125" s="327" t="str">
        <f>'WP1 Light Inventory'!D121</f>
        <v>Light Emitting Diode</v>
      </c>
      <c r="E125" s="165" t="str">
        <f>'WP1 Light Inventory'!E121</f>
        <v>LED 210.01-240</v>
      </c>
      <c r="F125" s="364">
        <f>'WP1 Light Inventory'!J121</f>
        <v>0</v>
      </c>
      <c r="G125" s="366">
        <f>'WP12 Condensed Sch. Level Costs'!O120</f>
        <v>78.75</v>
      </c>
      <c r="H125" s="339">
        <f t="shared" si="64"/>
        <v>5.8200000000000005E-4</v>
      </c>
      <c r="I125" s="295">
        <f t="shared" si="65"/>
        <v>0</v>
      </c>
      <c r="J125" s="163">
        <f t="shared" si="66"/>
        <v>0.05</v>
      </c>
      <c r="L125" s="339">
        <f t="shared" si="53"/>
        <v>6.3900000000000003E-4</v>
      </c>
      <c r="M125" s="295">
        <f t="shared" si="67"/>
        <v>0</v>
      </c>
      <c r="N125" s="163">
        <f t="shared" si="68"/>
        <v>0.05</v>
      </c>
      <c r="P125" s="176"/>
      <c r="Q125" s="295"/>
      <c r="T125" s="613" t="s">
        <v>1182</v>
      </c>
    </row>
    <row r="126" spans="1:20" x14ac:dyDescent="0.2">
      <c r="A126" s="613">
        <f t="shared" si="45"/>
        <v>119</v>
      </c>
      <c r="B126" s="164" t="str">
        <f>'WP1 Light Inventory'!A122</f>
        <v>53E</v>
      </c>
      <c r="C126" s="164" t="str">
        <f>'WP1 Light Inventory'!C122</f>
        <v>Customer Owned</v>
      </c>
      <c r="D126" s="327" t="str">
        <f>'WP1 Light Inventory'!D122</f>
        <v>Light Emitting Diode</v>
      </c>
      <c r="E126" s="165" t="str">
        <f>'WP1 Light Inventory'!E122</f>
        <v>LED 240.01-270</v>
      </c>
      <c r="F126" s="364">
        <f>'WP1 Light Inventory'!J122</f>
        <v>2</v>
      </c>
      <c r="G126" s="366">
        <f>'WP12 Condensed Sch. Level Costs'!O121</f>
        <v>89.25</v>
      </c>
      <c r="H126" s="339">
        <f t="shared" si="64"/>
        <v>5.8200000000000005E-4</v>
      </c>
      <c r="I126" s="295">
        <f t="shared" si="65"/>
        <v>1.2000000000000002</v>
      </c>
      <c r="J126" s="163">
        <f t="shared" si="66"/>
        <v>0.05</v>
      </c>
      <c r="L126" s="339">
        <f t="shared" si="53"/>
        <v>6.3900000000000003E-4</v>
      </c>
      <c r="M126" s="295">
        <f t="shared" si="67"/>
        <v>1.44</v>
      </c>
      <c r="N126" s="163">
        <f t="shared" si="68"/>
        <v>0.06</v>
      </c>
      <c r="P126" s="176"/>
      <c r="Q126" s="295"/>
      <c r="T126" s="613" t="s">
        <v>1182</v>
      </c>
    </row>
    <row r="127" spans="1:20" x14ac:dyDescent="0.2">
      <c r="A127" s="613">
        <f t="shared" si="45"/>
        <v>120</v>
      </c>
      <c r="B127" s="164" t="str">
        <f>'WP1 Light Inventory'!A123</f>
        <v>53E</v>
      </c>
      <c r="C127" s="164" t="str">
        <f>'WP1 Light Inventory'!C123</f>
        <v>Customer Owned</v>
      </c>
      <c r="D127" s="327" t="str">
        <f>'WP1 Light Inventory'!D123</f>
        <v>Light Emitting Diode</v>
      </c>
      <c r="E127" s="165" t="str">
        <f>'WP1 Light Inventory'!E123</f>
        <v>LED 270.01-300</v>
      </c>
      <c r="F127" s="364">
        <f>'WP1 Light Inventory'!J123</f>
        <v>0</v>
      </c>
      <c r="G127" s="366">
        <f>'WP12 Condensed Sch. Level Costs'!O122</f>
        <v>99.75</v>
      </c>
      <c r="H127" s="339">
        <f t="shared" si="64"/>
        <v>5.8200000000000005E-4</v>
      </c>
      <c r="I127" s="295">
        <f t="shared" si="65"/>
        <v>0</v>
      </c>
      <c r="J127" s="163">
        <f t="shared" si="66"/>
        <v>0.06</v>
      </c>
      <c r="L127" s="339">
        <f t="shared" si="53"/>
        <v>6.3900000000000003E-4</v>
      </c>
      <c r="M127" s="295">
        <f t="shared" si="67"/>
        <v>0</v>
      </c>
      <c r="N127" s="163">
        <f t="shared" si="68"/>
        <v>0.06</v>
      </c>
      <c r="P127" s="176"/>
      <c r="Q127" s="295"/>
      <c r="T127" s="613" t="s">
        <v>1182</v>
      </c>
    </row>
    <row r="128" spans="1:20" x14ac:dyDescent="0.2">
      <c r="A128" s="613">
        <f t="shared" si="45"/>
        <v>121</v>
      </c>
      <c r="B128" s="164"/>
      <c r="C128" s="164"/>
      <c r="D128" s="327"/>
      <c r="E128" s="165"/>
      <c r="F128" s="364"/>
      <c r="G128" s="399"/>
      <c r="H128" s="342"/>
      <c r="I128" s="295"/>
      <c r="L128" s="342"/>
      <c r="M128" s="295"/>
      <c r="P128" s="342"/>
      <c r="Q128" s="295"/>
    </row>
    <row r="129" spans="1:20" x14ac:dyDescent="0.2">
      <c r="A129" s="613">
        <f t="shared" si="45"/>
        <v>122</v>
      </c>
      <c r="B129" s="164" t="s">
        <v>138</v>
      </c>
      <c r="C129" s="164"/>
      <c r="D129" s="327"/>
      <c r="E129" s="165"/>
      <c r="F129" s="364"/>
      <c r="G129" s="399"/>
      <c r="H129" s="342"/>
      <c r="I129" s="295"/>
      <c r="L129" s="342"/>
      <c r="M129" s="295"/>
      <c r="P129" s="342"/>
      <c r="Q129" s="295"/>
    </row>
    <row r="130" spans="1:20" x14ac:dyDescent="0.2">
      <c r="A130" s="613">
        <f t="shared" si="45"/>
        <v>123</v>
      </c>
      <c r="B130" s="164" t="str">
        <f>'WP1 Light Inventory'!A125</f>
        <v>54E</v>
      </c>
      <c r="C130" s="164"/>
      <c r="D130" s="327" t="str">
        <f>'WP1 Light Inventory'!D125</f>
        <v>Sodium Vapor</v>
      </c>
      <c r="E130" s="165" t="str">
        <f>'WP1 Light Inventory'!E125</f>
        <v>SV 050</v>
      </c>
      <c r="F130" s="364">
        <f>'WP1 Light Inventory'!J125</f>
        <v>38</v>
      </c>
      <c r="G130" s="366">
        <f>'WP12 Condensed Sch. Level Costs'!O124</f>
        <v>17.5</v>
      </c>
      <c r="H130" s="339">
        <f t="shared" ref="H130:H138" si="69">$Y$8</f>
        <v>5.8200000000000005E-4</v>
      </c>
      <c r="I130" s="295">
        <f t="shared" ref="I130:I138" si="70">+F130*J130*12</f>
        <v>4.5600000000000005</v>
      </c>
      <c r="J130" s="163">
        <f t="shared" ref="J130:J138" si="71">ROUND(+H130*G130,2)</f>
        <v>0.01</v>
      </c>
      <c r="L130" s="339">
        <f t="shared" ref="L130:L138" si="72">$Y$9</f>
        <v>6.3900000000000003E-4</v>
      </c>
      <c r="M130" s="295">
        <f t="shared" ref="M130:M138" si="73">+F130*N130*12</f>
        <v>4.5600000000000005</v>
      </c>
      <c r="N130" s="163">
        <f t="shared" ref="N130:N138" si="74">ROUND(+L130*G130,2)</f>
        <v>0.01</v>
      </c>
      <c r="P130" s="176"/>
      <c r="Q130" s="295"/>
      <c r="T130" s="613" t="s">
        <v>1186</v>
      </c>
    </row>
    <row r="131" spans="1:20" x14ac:dyDescent="0.2">
      <c r="A131" s="613">
        <f t="shared" si="45"/>
        <v>124</v>
      </c>
      <c r="B131" s="164" t="str">
        <f>'WP1 Light Inventory'!A126</f>
        <v>54E</v>
      </c>
      <c r="C131" s="164"/>
      <c r="D131" s="327" t="str">
        <f>'WP1 Light Inventory'!D126</f>
        <v>Sodium Vapor</v>
      </c>
      <c r="E131" s="165" t="str">
        <f>'WP1 Light Inventory'!E126</f>
        <v>SV 070</v>
      </c>
      <c r="F131" s="364">
        <f>'WP1 Light Inventory'!J126</f>
        <v>676</v>
      </c>
      <c r="G131" s="366">
        <f>'WP12 Condensed Sch. Level Costs'!O125</f>
        <v>24.5</v>
      </c>
      <c r="H131" s="339">
        <f t="shared" si="69"/>
        <v>5.8200000000000005E-4</v>
      </c>
      <c r="I131" s="295">
        <f t="shared" si="70"/>
        <v>81.12</v>
      </c>
      <c r="J131" s="163">
        <f t="shared" si="71"/>
        <v>0.01</v>
      </c>
      <c r="L131" s="339">
        <f t="shared" si="72"/>
        <v>6.3900000000000003E-4</v>
      </c>
      <c r="M131" s="295">
        <f t="shared" si="73"/>
        <v>162.24</v>
      </c>
      <c r="N131" s="163">
        <f t="shared" si="74"/>
        <v>0.02</v>
      </c>
      <c r="P131" s="176"/>
      <c r="Q131" s="295"/>
      <c r="T131" s="613" t="s">
        <v>1186</v>
      </c>
    </row>
    <row r="132" spans="1:20" x14ac:dyDescent="0.2">
      <c r="A132" s="613">
        <f t="shared" si="45"/>
        <v>125</v>
      </c>
      <c r="B132" s="164" t="str">
        <f>'WP1 Light Inventory'!A127</f>
        <v>54E</v>
      </c>
      <c r="C132" s="164"/>
      <c r="D132" s="327" t="str">
        <f>'WP1 Light Inventory'!D127</f>
        <v>Sodium Vapor</v>
      </c>
      <c r="E132" s="165" t="str">
        <f>'WP1 Light Inventory'!E127</f>
        <v>SV 100</v>
      </c>
      <c r="F132" s="364">
        <f>'WP1 Light Inventory'!J127</f>
        <v>1524</v>
      </c>
      <c r="G132" s="366">
        <f>'WP12 Condensed Sch. Level Costs'!O126</f>
        <v>35</v>
      </c>
      <c r="H132" s="339">
        <f t="shared" si="69"/>
        <v>5.8200000000000005E-4</v>
      </c>
      <c r="I132" s="295">
        <f t="shared" si="70"/>
        <v>365.76</v>
      </c>
      <c r="J132" s="163">
        <f t="shared" si="71"/>
        <v>0.02</v>
      </c>
      <c r="L132" s="339">
        <f t="shared" si="72"/>
        <v>6.3900000000000003E-4</v>
      </c>
      <c r="M132" s="295">
        <f t="shared" si="73"/>
        <v>365.76</v>
      </c>
      <c r="N132" s="163">
        <f t="shared" si="74"/>
        <v>0.02</v>
      </c>
      <c r="P132" s="176"/>
      <c r="Q132" s="295"/>
      <c r="T132" s="613" t="s">
        <v>1186</v>
      </c>
    </row>
    <row r="133" spans="1:20" x14ac:dyDescent="0.2">
      <c r="A133" s="613">
        <f t="shared" si="45"/>
        <v>126</v>
      </c>
      <c r="B133" s="164" t="str">
        <f>'WP1 Light Inventory'!A128</f>
        <v>54E</v>
      </c>
      <c r="C133" s="164"/>
      <c r="D133" s="327" t="str">
        <f>'WP1 Light Inventory'!D128</f>
        <v>Sodium Vapor</v>
      </c>
      <c r="E133" s="165" t="str">
        <f>'WP1 Light Inventory'!E128</f>
        <v>SV 150</v>
      </c>
      <c r="F133" s="364">
        <f>'WP1 Light Inventory'!J128</f>
        <v>456</v>
      </c>
      <c r="G133" s="366">
        <f>'WP12 Condensed Sch. Level Costs'!O127</f>
        <v>52.5</v>
      </c>
      <c r="H133" s="339">
        <f t="shared" si="69"/>
        <v>5.8200000000000005E-4</v>
      </c>
      <c r="I133" s="295">
        <f t="shared" si="70"/>
        <v>164.16</v>
      </c>
      <c r="J133" s="163">
        <f t="shared" si="71"/>
        <v>0.03</v>
      </c>
      <c r="L133" s="339">
        <f t="shared" si="72"/>
        <v>6.3900000000000003E-4</v>
      </c>
      <c r="M133" s="295">
        <f t="shared" si="73"/>
        <v>164.16</v>
      </c>
      <c r="N133" s="163">
        <f t="shared" si="74"/>
        <v>0.03</v>
      </c>
      <c r="P133" s="176"/>
      <c r="Q133" s="295"/>
      <c r="T133" s="613" t="s">
        <v>1186</v>
      </c>
    </row>
    <row r="134" spans="1:20" x14ac:dyDescent="0.2">
      <c r="A134" s="613">
        <f t="shared" si="45"/>
        <v>127</v>
      </c>
      <c r="B134" s="164" t="str">
        <f>'WP1 Light Inventory'!A129</f>
        <v>54E</v>
      </c>
      <c r="C134" s="164"/>
      <c r="D134" s="327" t="str">
        <f>'WP1 Light Inventory'!D129</f>
        <v>Sodium Vapor</v>
      </c>
      <c r="E134" s="165" t="str">
        <f>'WP1 Light Inventory'!E129</f>
        <v>SV 200</v>
      </c>
      <c r="F134" s="364">
        <f>'WP1 Light Inventory'!J129</f>
        <v>548</v>
      </c>
      <c r="G134" s="366">
        <f>'WP12 Condensed Sch. Level Costs'!O128</f>
        <v>70</v>
      </c>
      <c r="H134" s="339">
        <f t="shared" si="69"/>
        <v>5.8200000000000005E-4</v>
      </c>
      <c r="I134" s="295">
        <f t="shared" si="70"/>
        <v>263.04000000000002</v>
      </c>
      <c r="J134" s="163">
        <f t="shared" si="71"/>
        <v>0.04</v>
      </c>
      <c r="L134" s="339">
        <f t="shared" si="72"/>
        <v>6.3900000000000003E-4</v>
      </c>
      <c r="M134" s="295">
        <f t="shared" si="73"/>
        <v>263.04000000000002</v>
      </c>
      <c r="N134" s="163">
        <f t="shared" si="74"/>
        <v>0.04</v>
      </c>
      <c r="P134" s="176"/>
      <c r="Q134" s="295"/>
      <c r="T134" s="613" t="s">
        <v>1186</v>
      </c>
    </row>
    <row r="135" spans="1:20" x14ac:dyDescent="0.2">
      <c r="A135" s="613">
        <f t="shared" si="45"/>
        <v>128</v>
      </c>
      <c r="B135" s="164" t="str">
        <f>'WP1 Light Inventory'!A130</f>
        <v>54E</v>
      </c>
      <c r="C135" s="164"/>
      <c r="D135" s="327" t="str">
        <f>'WP1 Light Inventory'!D130</f>
        <v>Sodium Vapor</v>
      </c>
      <c r="E135" s="165" t="str">
        <f>'WP1 Light Inventory'!E130</f>
        <v>SV 250</v>
      </c>
      <c r="F135" s="364">
        <f>'WP1 Light Inventory'!J130</f>
        <v>1362</v>
      </c>
      <c r="G135" s="366">
        <f>'WP12 Condensed Sch. Level Costs'!O129</f>
        <v>87.5</v>
      </c>
      <c r="H135" s="339">
        <f t="shared" si="69"/>
        <v>5.8200000000000005E-4</v>
      </c>
      <c r="I135" s="295">
        <f t="shared" si="70"/>
        <v>817.2</v>
      </c>
      <c r="J135" s="163">
        <f t="shared" si="71"/>
        <v>0.05</v>
      </c>
      <c r="L135" s="339">
        <f t="shared" si="72"/>
        <v>6.3900000000000003E-4</v>
      </c>
      <c r="M135" s="295">
        <f t="shared" si="73"/>
        <v>980.64</v>
      </c>
      <c r="N135" s="163">
        <f t="shared" si="74"/>
        <v>0.06</v>
      </c>
      <c r="P135" s="176"/>
      <c r="Q135" s="295"/>
      <c r="T135" s="613" t="s">
        <v>1186</v>
      </c>
    </row>
    <row r="136" spans="1:20" x14ac:dyDescent="0.2">
      <c r="A136" s="613">
        <f t="shared" si="45"/>
        <v>129</v>
      </c>
      <c r="B136" s="164" t="str">
        <f>'WP1 Light Inventory'!A131</f>
        <v>54E</v>
      </c>
      <c r="C136" s="164"/>
      <c r="D136" s="327" t="str">
        <f>'WP1 Light Inventory'!D131</f>
        <v>Sodium Vapor</v>
      </c>
      <c r="E136" s="165" t="str">
        <f>'WP1 Light Inventory'!E131</f>
        <v>SV 310</v>
      </c>
      <c r="F136" s="364">
        <f>'WP1 Light Inventory'!J131</f>
        <v>56</v>
      </c>
      <c r="G136" s="366">
        <f>'WP12 Condensed Sch. Level Costs'!O130</f>
        <v>108.5</v>
      </c>
      <c r="H136" s="339">
        <f t="shared" si="69"/>
        <v>5.8200000000000005E-4</v>
      </c>
      <c r="I136" s="295">
        <f t="shared" si="70"/>
        <v>40.32</v>
      </c>
      <c r="J136" s="163">
        <f t="shared" si="71"/>
        <v>0.06</v>
      </c>
      <c r="L136" s="339">
        <f t="shared" si="72"/>
        <v>6.3900000000000003E-4</v>
      </c>
      <c r="M136" s="295">
        <f t="shared" si="73"/>
        <v>47.040000000000006</v>
      </c>
      <c r="N136" s="163">
        <f t="shared" si="74"/>
        <v>7.0000000000000007E-2</v>
      </c>
      <c r="P136" s="176"/>
      <c r="Q136" s="295"/>
      <c r="T136" s="613" t="s">
        <v>1186</v>
      </c>
    </row>
    <row r="137" spans="1:20" x14ac:dyDescent="0.2">
      <c r="A137" s="613">
        <f t="shared" si="45"/>
        <v>130</v>
      </c>
      <c r="B137" s="164" t="str">
        <f>'WP1 Light Inventory'!A132</f>
        <v>54E</v>
      </c>
      <c r="C137" s="164"/>
      <c r="D137" s="327" t="str">
        <f>'WP1 Light Inventory'!D132</f>
        <v>Sodium Vapor</v>
      </c>
      <c r="E137" s="165" t="str">
        <f>'WP1 Light Inventory'!E132</f>
        <v>SV 400</v>
      </c>
      <c r="F137" s="364">
        <f>'WP1 Light Inventory'!J132</f>
        <v>616</v>
      </c>
      <c r="G137" s="366">
        <f>'WP12 Condensed Sch. Level Costs'!O131</f>
        <v>140</v>
      </c>
      <c r="H137" s="339">
        <f t="shared" si="69"/>
        <v>5.8200000000000005E-4</v>
      </c>
      <c r="I137" s="295">
        <f t="shared" si="70"/>
        <v>591.36</v>
      </c>
      <c r="J137" s="163">
        <f t="shared" si="71"/>
        <v>0.08</v>
      </c>
      <c r="L137" s="339">
        <f t="shared" si="72"/>
        <v>6.3900000000000003E-4</v>
      </c>
      <c r="M137" s="295">
        <f t="shared" si="73"/>
        <v>665.28</v>
      </c>
      <c r="N137" s="163">
        <f t="shared" si="74"/>
        <v>0.09</v>
      </c>
      <c r="P137" s="176"/>
      <c r="Q137" s="295"/>
      <c r="T137" s="613" t="s">
        <v>1186</v>
      </c>
    </row>
    <row r="138" spans="1:20" x14ac:dyDescent="0.2">
      <c r="A138" s="613">
        <f t="shared" ref="A138:A201" si="75">A137+1</f>
        <v>131</v>
      </c>
      <c r="B138" s="164" t="str">
        <f>'WP1 Light Inventory'!A133</f>
        <v>54E</v>
      </c>
      <c r="C138" s="164"/>
      <c r="D138" s="327" t="str">
        <f>'WP1 Light Inventory'!D133</f>
        <v>Sodium Vapor</v>
      </c>
      <c r="E138" s="165" t="str">
        <f>'WP1 Light Inventory'!E133</f>
        <v>SV 1000</v>
      </c>
      <c r="F138" s="364">
        <f>'WP1 Light Inventory'!J133</f>
        <v>10</v>
      </c>
      <c r="G138" s="366">
        <f>'WP12 Condensed Sch. Level Costs'!O132</f>
        <v>350</v>
      </c>
      <c r="H138" s="339">
        <f t="shared" si="69"/>
        <v>5.8200000000000005E-4</v>
      </c>
      <c r="I138" s="295">
        <f t="shared" si="70"/>
        <v>24</v>
      </c>
      <c r="J138" s="163">
        <f t="shared" si="71"/>
        <v>0.2</v>
      </c>
      <c r="L138" s="339">
        <f t="shared" si="72"/>
        <v>6.3900000000000003E-4</v>
      </c>
      <c r="M138" s="295">
        <f t="shared" si="73"/>
        <v>26.400000000000002</v>
      </c>
      <c r="N138" s="163">
        <f t="shared" si="74"/>
        <v>0.22</v>
      </c>
      <c r="P138" s="176"/>
      <c r="Q138" s="295"/>
      <c r="T138" s="613" t="s">
        <v>1186</v>
      </c>
    </row>
    <row r="139" spans="1:20" x14ac:dyDescent="0.2">
      <c r="A139" s="613">
        <f t="shared" si="75"/>
        <v>132</v>
      </c>
      <c r="B139" s="164"/>
      <c r="C139" s="164"/>
      <c r="D139" s="327"/>
      <c r="E139" s="165"/>
      <c r="F139" s="364"/>
      <c r="G139" s="399"/>
      <c r="H139" s="342"/>
      <c r="I139" s="295"/>
      <c r="L139" s="342"/>
      <c r="M139" s="295"/>
      <c r="P139" s="342"/>
      <c r="Q139" s="295"/>
    </row>
    <row r="140" spans="1:20" ht="12" customHeight="1" x14ac:dyDescent="0.2">
      <c r="A140" s="613">
        <f t="shared" si="75"/>
        <v>133</v>
      </c>
      <c r="B140" s="164" t="str">
        <f>'WP1 Light Inventory'!A135</f>
        <v>54E</v>
      </c>
      <c r="C140" s="164"/>
      <c r="D140" s="327" t="str">
        <f>'WP1 Light Inventory'!D135</f>
        <v>Light Emitting Diode</v>
      </c>
      <c r="E140" s="165" t="str">
        <f>'WP1 Light Inventory'!E135</f>
        <v>LED 0-030</v>
      </c>
      <c r="F140" s="364">
        <f>'WP1 Light Inventory'!J135</f>
        <v>0</v>
      </c>
      <c r="G140" s="366">
        <f>'WP12 Condensed Sch. Level Costs'!O134</f>
        <v>5.25</v>
      </c>
      <c r="H140" s="339">
        <f t="shared" ref="H140:H149" si="76">$Y$8</f>
        <v>5.8200000000000005E-4</v>
      </c>
      <c r="I140" s="295">
        <f t="shared" ref="I140:I149" si="77">+F140*J140*12</f>
        <v>0</v>
      </c>
      <c r="J140" s="163">
        <f t="shared" ref="J140:J149" si="78">ROUND(+H140*G140,2)</f>
        <v>0</v>
      </c>
      <c r="L140" s="339">
        <f t="shared" ref="L140:L149" si="79">$Y$9</f>
        <v>6.3900000000000003E-4</v>
      </c>
      <c r="M140" s="295">
        <f t="shared" ref="M140:M149" si="80">+F140*N140*12</f>
        <v>0</v>
      </c>
      <c r="N140" s="163">
        <f t="shared" ref="N140:N149" si="81">ROUND(+L140*G140,2)</f>
        <v>0</v>
      </c>
      <c r="P140" s="176"/>
      <c r="Q140" s="295"/>
      <c r="T140" s="613" t="s">
        <v>1182</v>
      </c>
    </row>
    <row r="141" spans="1:20" x14ac:dyDescent="0.2">
      <c r="A141" s="613">
        <f t="shared" si="75"/>
        <v>134</v>
      </c>
      <c r="B141" s="164" t="str">
        <f>'WP1 Light Inventory'!A136</f>
        <v>54E</v>
      </c>
      <c r="C141" s="164"/>
      <c r="D141" s="327" t="str">
        <f>'WP1 Light Inventory'!D136</f>
        <v>Light Emitting Diode</v>
      </c>
      <c r="E141" s="165" t="str">
        <f>'WP1 Light Inventory'!E136</f>
        <v>LED 030.01-060</v>
      </c>
      <c r="F141" s="364">
        <f>'WP1 Light Inventory'!J136</f>
        <v>1267</v>
      </c>
      <c r="G141" s="366">
        <f>'WP12 Condensed Sch. Level Costs'!O135</f>
        <v>15.75</v>
      </c>
      <c r="H141" s="339">
        <f t="shared" si="76"/>
        <v>5.8200000000000005E-4</v>
      </c>
      <c r="I141" s="295">
        <f t="shared" si="77"/>
        <v>152.04</v>
      </c>
      <c r="J141" s="163">
        <f t="shared" si="78"/>
        <v>0.01</v>
      </c>
      <c r="L141" s="339">
        <f t="shared" si="79"/>
        <v>6.3900000000000003E-4</v>
      </c>
      <c r="M141" s="295">
        <f t="shared" si="80"/>
        <v>152.04</v>
      </c>
      <c r="N141" s="163">
        <f t="shared" si="81"/>
        <v>0.01</v>
      </c>
      <c r="P141" s="176"/>
      <c r="Q141" s="295"/>
      <c r="T141" s="613" t="s">
        <v>1182</v>
      </c>
    </row>
    <row r="142" spans="1:20" x14ac:dyDescent="0.2">
      <c r="A142" s="613">
        <f t="shared" si="75"/>
        <v>135</v>
      </c>
      <c r="B142" s="164" t="str">
        <f>'WP1 Light Inventory'!A137</f>
        <v>54E</v>
      </c>
      <c r="C142" s="164"/>
      <c r="D142" s="327" t="str">
        <f>'WP1 Light Inventory'!D137</f>
        <v>Light Emitting Diode</v>
      </c>
      <c r="E142" s="165" t="str">
        <f>'WP1 Light Inventory'!E137</f>
        <v>LED 060.01-090</v>
      </c>
      <c r="F142" s="364">
        <f>'WP1 Light Inventory'!J137</f>
        <v>64</v>
      </c>
      <c r="G142" s="366">
        <f>'WP12 Condensed Sch. Level Costs'!O136</f>
        <v>26.25</v>
      </c>
      <c r="H142" s="339">
        <f t="shared" si="76"/>
        <v>5.8200000000000005E-4</v>
      </c>
      <c r="I142" s="295">
        <f t="shared" si="77"/>
        <v>15.36</v>
      </c>
      <c r="J142" s="163">
        <f t="shared" si="78"/>
        <v>0.02</v>
      </c>
      <c r="L142" s="339">
        <f t="shared" si="79"/>
        <v>6.3900000000000003E-4</v>
      </c>
      <c r="M142" s="295">
        <f t="shared" si="80"/>
        <v>15.36</v>
      </c>
      <c r="N142" s="163">
        <f t="shared" si="81"/>
        <v>0.02</v>
      </c>
      <c r="P142" s="176"/>
      <c r="Q142" s="295"/>
      <c r="T142" s="613" t="s">
        <v>1182</v>
      </c>
    </row>
    <row r="143" spans="1:20" x14ac:dyDescent="0.2">
      <c r="A143" s="613">
        <f t="shared" si="75"/>
        <v>136</v>
      </c>
      <c r="B143" s="164" t="str">
        <f>'WP1 Light Inventory'!A138</f>
        <v>54E</v>
      </c>
      <c r="C143" s="164"/>
      <c r="D143" s="327" t="str">
        <f>'WP1 Light Inventory'!D138</f>
        <v>Light Emitting Diode</v>
      </c>
      <c r="E143" s="165" t="str">
        <f>'WP1 Light Inventory'!E138</f>
        <v>LED 090.01-120</v>
      </c>
      <c r="F143" s="364">
        <f>'WP1 Light Inventory'!J138</f>
        <v>1330</v>
      </c>
      <c r="G143" s="366">
        <f>'WP12 Condensed Sch. Level Costs'!O137</f>
        <v>36.75</v>
      </c>
      <c r="H143" s="339">
        <f t="shared" si="76"/>
        <v>5.8200000000000005E-4</v>
      </c>
      <c r="I143" s="295">
        <f t="shared" si="77"/>
        <v>319.20000000000005</v>
      </c>
      <c r="J143" s="163">
        <f t="shared" si="78"/>
        <v>0.02</v>
      </c>
      <c r="L143" s="339">
        <f t="shared" si="79"/>
        <v>6.3900000000000003E-4</v>
      </c>
      <c r="M143" s="295">
        <f t="shared" si="80"/>
        <v>319.20000000000005</v>
      </c>
      <c r="N143" s="163">
        <f t="shared" si="81"/>
        <v>0.02</v>
      </c>
      <c r="P143" s="176"/>
      <c r="Q143" s="295"/>
      <c r="T143" s="613" t="s">
        <v>1182</v>
      </c>
    </row>
    <row r="144" spans="1:20" x14ac:dyDescent="0.2">
      <c r="A144" s="613">
        <f t="shared" si="75"/>
        <v>137</v>
      </c>
      <c r="B144" s="164" t="str">
        <f>'WP1 Light Inventory'!A139</f>
        <v>54E</v>
      </c>
      <c r="C144" s="164"/>
      <c r="D144" s="327" t="str">
        <f>'WP1 Light Inventory'!D139</f>
        <v>Light Emitting Diode</v>
      </c>
      <c r="E144" s="165" t="str">
        <f>'WP1 Light Inventory'!E139</f>
        <v>LED 120.01-150</v>
      </c>
      <c r="F144" s="364">
        <f>'WP1 Light Inventory'!J139</f>
        <v>666</v>
      </c>
      <c r="G144" s="366">
        <f>'WP12 Condensed Sch. Level Costs'!O138</f>
        <v>47.25</v>
      </c>
      <c r="H144" s="339">
        <f t="shared" si="76"/>
        <v>5.8200000000000005E-4</v>
      </c>
      <c r="I144" s="295">
        <f t="shared" si="77"/>
        <v>239.76</v>
      </c>
      <c r="J144" s="163">
        <f t="shared" si="78"/>
        <v>0.03</v>
      </c>
      <c r="L144" s="339">
        <f t="shared" si="79"/>
        <v>6.3900000000000003E-4</v>
      </c>
      <c r="M144" s="295">
        <f t="shared" si="80"/>
        <v>239.76</v>
      </c>
      <c r="N144" s="163">
        <f t="shared" si="81"/>
        <v>0.03</v>
      </c>
      <c r="P144" s="176"/>
      <c r="Q144" s="295"/>
      <c r="T144" s="613" t="s">
        <v>1182</v>
      </c>
    </row>
    <row r="145" spans="1:20" x14ac:dyDescent="0.2">
      <c r="A145" s="613">
        <f t="shared" si="75"/>
        <v>138</v>
      </c>
      <c r="B145" s="164" t="str">
        <f>'WP1 Light Inventory'!A140</f>
        <v>54E</v>
      </c>
      <c r="C145" s="164"/>
      <c r="D145" s="327" t="str">
        <f>'WP1 Light Inventory'!D140</f>
        <v>Light Emitting Diode</v>
      </c>
      <c r="E145" s="165" t="str">
        <f>'WP1 Light Inventory'!E140</f>
        <v>LED 150.01-180</v>
      </c>
      <c r="F145" s="364">
        <f>'WP1 Light Inventory'!J140</f>
        <v>366</v>
      </c>
      <c r="G145" s="366">
        <f>'WP12 Condensed Sch. Level Costs'!O139</f>
        <v>57.75</v>
      </c>
      <c r="H145" s="339">
        <f t="shared" si="76"/>
        <v>5.8200000000000005E-4</v>
      </c>
      <c r="I145" s="295">
        <f t="shared" si="77"/>
        <v>131.76</v>
      </c>
      <c r="J145" s="163">
        <f t="shared" si="78"/>
        <v>0.03</v>
      </c>
      <c r="L145" s="339">
        <f t="shared" si="79"/>
        <v>6.3900000000000003E-4</v>
      </c>
      <c r="M145" s="295">
        <f t="shared" si="80"/>
        <v>175.68</v>
      </c>
      <c r="N145" s="163">
        <f t="shared" si="81"/>
        <v>0.04</v>
      </c>
      <c r="P145" s="176"/>
      <c r="Q145" s="295"/>
      <c r="T145" s="613" t="s">
        <v>1182</v>
      </c>
    </row>
    <row r="146" spans="1:20" x14ac:dyDescent="0.2">
      <c r="A146" s="613">
        <f t="shared" si="75"/>
        <v>139</v>
      </c>
      <c r="B146" s="164" t="str">
        <f>'WP1 Light Inventory'!A141</f>
        <v>54E</v>
      </c>
      <c r="C146" s="164"/>
      <c r="D146" s="327" t="str">
        <f>'WP1 Light Inventory'!D141</f>
        <v>Light Emitting Diode</v>
      </c>
      <c r="E146" s="165" t="str">
        <f>'WP1 Light Inventory'!E141</f>
        <v>LED 180.01-210</v>
      </c>
      <c r="F146" s="364">
        <f>'WP1 Light Inventory'!J141</f>
        <v>14</v>
      </c>
      <c r="G146" s="366">
        <f>'WP12 Condensed Sch. Level Costs'!O140</f>
        <v>68.25</v>
      </c>
      <c r="H146" s="339">
        <f t="shared" si="76"/>
        <v>5.8200000000000005E-4</v>
      </c>
      <c r="I146" s="295">
        <f t="shared" si="77"/>
        <v>6.7200000000000006</v>
      </c>
      <c r="J146" s="163">
        <f t="shared" si="78"/>
        <v>0.04</v>
      </c>
      <c r="L146" s="339">
        <f t="shared" si="79"/>
        <v>6.3900000000000003E-4</v>
      </c>
      <c r="M146" s="295">
        <f t="shared" si="80"/>
        <v>6.7200000000000006</v>
      </c>
      <c r="N146" s="163">
        <f t="shared" si="81"/>
        <v>0.04</v>
      </c>
      <c r="P146" s="176"/>
      <c r="Q146" s="295"/>
      <c r="T146" s="613" t="s">
        <v>1182</v>
      </c>
    </row>
    <row r="147" spans="1:20" x14ac:dyDescent="0.2">
      <c r="A147" s="613">
        <f t="shared" si="75"/>
        <v>140</v>
      </c>
      <c r="B147" s="164" t="str">
        <f>'WP1 Light Inventory'!A142</f>
        <v>54E</v>
      </c>
      <c r="C147" s="164"/>
      <c r="D147" s="327" t="str">
        <f>'WP1 Light Inventory'!D142</f>
        <v>Light Emitting Diode</v>
      </c>
      <c r="E147" s="165" t="str">
        <f>'WP1 Light Inventory'!E142</f>
        <v>LED 210.01-240</v>
      </c>
      <c r="F147" s="364">
        <f>'WP1 Light Inventory'!J142</f>
        <v>38</v>
      </c>
      <c r="G147" s="366">
        <f>'WP12 Condensed Sch. Level Costs'!O141</f>
        <v>78.75</v>
      </c>
      <c r="H147" s="339">
        <f t="shared" si="76"/>
        <v>5.8200000000000005E-4</v>
      </c>
      <c r="I147" s="295">
        <f t="shared" si="77"/>
        <v>22.8</v>
      </c>
      <c r="J147" s="163">
        <f t="shared" si="78"/>
        <v>0.05</v>
      </c>
      <c r="L147" s="339">
        <f t="shared" si="79"/>
        <v>6.3900000000000003E-4</v>
      </c>
      <c r="M147" s="295">
        <f t="shared" si="80"/>
        <v>22.8</v>
      </c>
      <c r="N147" s="163">
        <f t="shared" si="81"/>
        <v>0.05</v>
      </c>
      <c r="P147" s="176"/>
      <c r="Q147" s="295"/>
      <c r="T147" s="613" t="s">
        <v>1182</v>
      </c>
    </row>
    <row r="148" spans="1:20" x14ac:dyDescent="0.2">
      <c r="A148" s="613">
        <f t="shared" si="75"/>
        <v>141</v>
      </c>
      <c r="B148" s="164" t="str">
        <f>'WP1 Light Inventory'!A143</f>
        <v>54E</v>
      </c>
      <c r="C148" s="164"/>
      <c r="D148" s="327" t="str">
        <f>'WP1 Light Inventory'!D143</f>
        <v>Light Emitting Diode</v>
      </c>
      <c r="E148" s="165" t="str">
        <f>'WP1 Light Inventory'!E143</f>
        <v>LED 240.01-270</v>
      </c>
      <c r="F148" s="364">
        <f>'WP1 Light Inventory'!J143</f>
        <v>3</v>
      </c>
      <c r="G148" s="366">
        <f>'WP12 Condensed Sch. Level Costs'!O142</f>
        <v>89.25</v>
      </c>
      <c r="H148" s="339">
        <f t="shared" si="76"/>
        <v>5.8200000000000005E-4</v>
      </c>
      <c r="I148" s="295">
        <f t="shared" si="77"/>
        <v>1.8000000000000003</v>
      </c>
      <c r="J148" s="163">
        <f t="shared" si="78"/>
        <v>0.05</v>
      </c>
      <c r="L148" s="339">
        <f t="shared" si="79"/>
        <v>6.3900000000000003E-4</v>
      </c>
      <c r="M148" s="295">
        <f t="shared" si="80"/>
        <v>2.16</v>
      </c>
      <c r="N148" s="163">
        <f t="shared" si="81"/>
        <v>0.06</v>
      </c>
      <c r="P148" s="176"/>
      <c r="Q148" s="295"/>
      <c r="T148" s="613" t="s">
        <v>1182</v>
      </c>
    </row>
    <row r="149" spans="1:20" x14ac:dyDescent="0.2">
      <c r="A149" s="613">
        <f t="shared" si="75"/>
        <v>142</v>
      </c>
      <c r="B149" s="164" t="str">
        <f>'WP1 Light Inventory'!A144</f>
        <v>54E</v>
      </c>
      <c r="C149" s="164"/>
      <c r="D149" s="327" t="str">
        <f>'WP1 Light Inventory'!D144</f>
        <v>Light Emitting Diode</v>
      </c>
      <c r="E149" s="165" t="str">
        <f>'WP1 Light Inventory'!E144</f>
        <v>LED 270.01-300</v>
      </c>
      <c r="F149" s="364">
        <f>'WP1 Light Inventory'!J144</f>
        <v>0</v>
      </c>
      <c r="G149" s="366">
        <f>'WP12 Condensed Sch. Level Costs'!O143</f>
        <v>99.75</v>
      </c>
      <c r="H149" s="339">
        <f t="shared" si="76"/>
        <v>5.8200000000000005E-4</v>
      </c>
      <c r="I149" s="295">
        <f t="shared" si="77"/>
        <v>0</v>
      </c>
      <c r="J149" s="163">
        <f t="shared" si="78"/>
        <v>0.06</v>
      </c>
      <c r="L149" s="339">
        <f t="shared" si="79"/>
        <v>6.3900000000000003E-4</v>
      </c>
      <c r="M149" s="295">
        <f t="shared" si="80"/>
        <v>0</v>
      </c>
      <c r="N149" s="163">
        <f t="shared" si="81"/>
        <v>0.06</v>
      </c>
      <c r="P149" s="176"/>
      <c r="Q149" s="295"/>
      <c r="T149" s="613" t="s">
        <v>1182</v>
      </c>
    </row>
    <row r="150" spans="1:20" x14ac:dyDescent="0.2">
      <c r="A150" s="613">
        <f t="shared" si="75"/>
        <v>143</v>
      </c>
      <c r="B150" s="164"/>
      <c r="C150" s="164"/>
      <c r="D150" s="327"/>
      <c r="E150" s="165"/>
      <c r="F150" s="364"/>
      <c r="G150" s="399"/>
      <c r="H150" s="342"/>
      <c r="I150" s="295"/>
      <c r="L150" s="342"/>
      <c r="M150" s="295"/>
      <c r="P150" s="342"/>
      <c r="Q150" s="295"/>
    </row>
    <row r="151" spans="1:20" x14ac:dyDescent="0.2">
      <c r="A151" s="613">
        <f t="shared" si="75"/>
        <v>144</v>
      </c>
      <c r="B151" s="164" t="s">
        <v>139</v>
      </c>
      <c r="C151" s="164"/>
      <c r="D151" s="327"/>
      <c r="E151" s="165"/>
      <c r="F151" s="364"/>
      <c r="G151" s="399"/>
      <c r="H151" s="342"/>
      <c r="I151" s="295"/>
      <c r="L151" s="342"/>
      <c r="M151" s="295"/>
      <c r="P151" s="342"/>
      <c r="Q151" s="295"/>
    </row>
    <row r="152" spans="1:20" x14ac:dyDescent="0.2">
      <c r="A152" s="613">
        <f t="shared" si="75"/>
        <v>145</v>
      </c>
      <c r="B152" s="164" t="str">
        <f>'WP1 Light Inventory'!A146</f>
        <v>55E &amp; 56E</v>
      </c>
      <c r="C152" s="164"/>
      <c r="D152" s="327" t="str">
        <f>'WP1 Light Inventory'!D146</f>
        <v>Sodium Vapor</v>
      </c>
      <c r="E152" s="165" t="str">
        <f>'WP1 Light Inventory'!E146</f>
        <v>SV 070</v>
      </c>
      <c r="F152" s="364">
        <f>'WP1 Light Inventory'!J146</f>
        <v>16</v>
      </c>
      <c r="G152" s="366">
        <f>'WP12 Condensed Sch. Level Costs'!O145</f>
        <v>24.5</v>
      </c>
      <c r="H152" s="339">
        <f t="shared" ref="H152:H157" si="82">$Y$8</f>
        <v>5.8200000000000005E-4</v>
      </c>
      <c r="I152" s="295">
        <f t="shared" ref="I152:I157" si="83">+F152*J152*12</f>
        <v>1.92</v>
      </c>
      <c r="J152" s="163">
        <f t="shared" ref="J152:J157" si="84">ROUND(+H152*G152,2)</f>
        <v>0.01</v>
      </c>
      <c r="L152" s="339">
        <f t="shared" ref="L152:L157" si="85">$Y$9</f>
        <v>6.3900000000000003E-4</v>
      </c>
      <c r="M152" s="295">
        <f t="shared" ref="M152:M157" si="86">+F152*N152*12</f>
        <v>3.84</v>
      </c>
      <c r="N152" s="163">
        <f t="shared" ref="N152:N157" si="87">ROUND(+L152*G152,2)</f>
        <v>0.02</v>
      </c>
      <c r="P152" s="176"/>
      <c r="Q152" s="295"/>
      <c r="T152" s="613" t="s">
        <v>1187</v>
      </c>
    </row>
    <row r="153" spans="1:20" x14ac:dyDescent="0.2">
      <c r="A153" s="613">
        <f t="shared" si="75"/>
        <v>146</v>
      </c>
      <c r="B153" s="164" t="str">
        <f>'WP1 Light Inventory'!A147</f>
        <v>55E &amp; 56E</v>
      </c>
      <c r="C153" s="164"/>
      <c r="D153" s="327" t="str">
        <f>'WP1 Light Inventory'!D147</f>
        <v>Sodium Vapor</v>
      </c>
      <c r="E153" s="165" t="str">
        <f>'WP1 Light Inventory'!E147</f>
        <v>SV 100</v>
      </c>
      <c r="F153" s="364">
        <f>'WP1 Light Inventory'!J147</f>
        <v>3646</v>
      </c>
      <c r="G153" s="366">
        <f>'WP12 Condensed Sch. Level Costs'!O146</f>
        <v>35</v>
      </c>
      <c r="H153" s="339">
        <f t="shared" si="82"/>
        <v>5.8200000000000005E-4</v>
      </c>
      <c r="I153" s="295">
        <f t="shared" si="83"/>
        <v>875.04</v>
      </c>
      <c r="J153" s="163">
        <f t="shared" si="84"/>
        <v>0.02</v>
      </c>
      <c r="L153" s="339">
        <f t="shared" si="85"/>
        <v>6.3900000000000003E-4</v>
      </c>
      <c r="M153" s="295">
        <f t="shared" si="86"/>
        <v>875.04</v>
      </c>
      <c r="N153" s="163">
        <f t="shared" si="87"/>
        <v>0.02</v>
      </c>
      <c r="P153" s="176"/>
      <c r="Q153" s="295"/>
      <c r="T153" s="613" t="s">
        <v>1187</v>
      </c>
    </row>
    <row r="154" spans="1:20" x14ac:dyDescent="0.2">
      <c r="A154" s="613">
        <f t="shared" si="75"/>
        <v>147</v>
      </c>
      <c r="B154" s="164" t="str">
        <f>'WP1 Light Inventory'!A148</f>
        <v>55E &amp; 56E</v>
      </c>
      <c r="C154" s="164"/>
      <c r="D154" s="327" t="str">
        <f>'WP1 Light Inventory'!D148</f>
        <v>Sodium Vapor</v>
      </c>
      <c r="E154" s="165" t="str">
        <f>'WP1 Light Inventory'!E148</f>
        <v>SV 150</v>
      </c>
      <c r="F154" s="364">
        <f>'WP1 Light Inventory'!J148</f>
        <v>488</v>
      </c>
      <c r="G154" s="366">
        <f>'WP12 Condensed Sch. Level Costs'!O147</f>
        <v>52.5</v>
      </c>
      <c r="H154" s="339">
        <f t="shared" si="82"/>
        <v>5.8200000000000005E-4</v>
      </c>
      <c r="I154" s="295">
        <f t="shared" si="83"/>
        <v>175.67999999999998</v>
      </c>
      <c r="J154" s="163">
        <f t="shared" si="84"/>
        <v>0.03</v>
      </c>
      <c r="L154" s="339">
        <f t="shared" si="85"/>
        <v>6.3900000000000003E-4</v>
      </c>
      <c r="M154" s="295">
        <f t="shared" si="86"/>
        <v>175.67999999999998</v>
      </c>
      <c r="N154" s="163">
        <f t="shared" si="87"/>
        <v>0.03</v>
      </c>
      <c r="P154" s="176"/>
      <c r="Q154" s="295"/>
      <c r="T154" s="613" t="s">
        <v>1187</v>
      </c>
    </row>
    <row r="155" spans="1:20" x14ac:dyDescent="0.2">
      <c r="A155" s="613">
        <f t="shared" si="75"/>
        <v>148</v>
      </c>
      <c r="B155" s="164" t="str">
        <f>'WP1 Light Inventory'!A149</f>
        <v>55E &amp; 56E</v>
      </c>
      <c r="C155" s="164"/>
      <c r="D155" s="327" t="str">
        <f>'WP1 Light Inventory'!D149</f>
        <v>Sodium Vapor</v>
      </c>
      <c r="E155" s="165" t="str">
        <f>'WP1 Light Inventory'!E149</f>
        <v>SV 200</v>
      </c>
      <c r="F155" s="364">
        <f>'WP1 Light Inventory'!J149</f>
        <v>1043</v>
      </c>
      <c r="G155" s="366">
        <f>'WP12 Condensed Sch. Level Costs'!O148</f>
        <v>70</v>
      </c>
      <c r="H155" s="339">
        <f t="shared" si="82"/>
        <v>5.8200000000000005E-4</v>
      </c>
      <c r="I155" s="295">
        <f t="shared" si="83"/>
        <v>500.64</v>
      </c>
      <c r="J155" s="163">
        <f t="shared" si="84"/>
        <v>0.04</v>
      </c>
      <c r="L155" s="339">
        <f t="shared" si="85"/>
        <v>6.3900000000000003E-4</v>
      </c>
      <c r="M155" s="295">
        <f t="shared" si="86"/>
        <v>500.64</v>
      </c>
      <c r="N155" s="163">
        <f t="shared" si="87"/>
        <v>0.04</v>
      </c>
      <c r="P155" s="176"/>
      <c r="Q155" s="295"/>
      <c r="T155" s="613" t="s">
        <v>1187</v>
      </c>
    </row>
    <row r="156" spans="1:20" x14ac:dyDescent="0.2">
      <c r="A156" s="613">
        <f t="shared" si="75"/>
        <v>149</v>
      </c>
      <c r="B156" s="164" t="str">
        <f>'WP1 Light Inventory'!A150</f>
        <v>55E &amp; 56E</v>
      </c>
      <c r="C156" s="164"/>
      <c r="D156" s="327" t="str">
        <f>'WP1 Light Inventory'!D150</f>
        <v>Sodium Vapor</v>
      </c>
      <c r="E156" s="165" t="str">
        <f>'WP1 Light Inventory'!E150</f>
        <v>SV 250</v>
      </c>
      <c r="F156" s="364">
        <f>'WP1 Light Inventory'!J150</f>
        <v>111</v>
      </c>
      <c r="G156" s="366">
        <f>'WP12 Condensed Sch. Level Costs'!O149</f>
        <v>87.5</v>
      </c>
      <c r="H156" s="339">
        <f t="shared" si="82"/>
        <v>5.8200000000000005E-4</v>
      </c>
      <c r="I156" s="295">
        <f t="shared" si="83"/>
        <v>66.600000000000009</v>
      </c>
      <c r="J156" s="163">
        <f t="shared" si="84"/>
        <v>0.05</v>
      </c>
      <c r="L156" s="339">
        <f t="shared" si="85"/>
        <v>6.3900000000000003E-4</v>
      </c>
      <c r="M156" s="295">
        <f t="shared" si="86"/>
        <v>79.92</v>
      </c>
      <c r="N156" s="163">
        <f t="shared" si="87"/>
        <v>0.06</v>
      </c>
      <c r="P156" s="176"/>
      <c r="Q156" s="295"/>
      <c r="T156" s="613" t="s">
        <v>1187</v>
      </c>
    </row>
    <row r="157" spans="1:20" x14ac:dyDescent="0.2">
      <c r="A157" s="613">
        <f t="shared" si="75"/>
        <v>150</v>
      </c>
      <c r="B157" s="164" t="str">
        <f>'WP1 Light Inventory'!A151</f>
        <v>55E &amp; 56E</v>
      </c>
      <c r="C157" s="164"/>
      <c r="D157" s="327" t="str">
        <f>'WP1 Light Inventory'!D151</f>
        <v>Sodium Vapor</v>
      </c>
      <c r="E157" s="165" t="str">
        <f>'WP1 Light Inventory'!E151</f>
        <v>SV 400</v>
      </c>
      <c r="F157" s="364">
        <f>'WP1 Light Inventory'!J151</f>
        <v>45</v>
      </c>
      <c r="G157" s="366">
        <f>'WP12 Condensed Sch. Level Costs'!O150</f>
        <v>140</v>
      </c>
      <c r="H157" s="339">
        <f t="shared" si="82"/>
        <v>5.8200000000000005E-4</v>
      </c>
      <c r="I157" s="295">
        <f t="shared" si="83"/>
        <v>43.2</v>
      </c>
      <c r="J157" s="163">
        <f t="shared" si="84"/>
        <v>0.08</v>
      </c>
      <c r="L157" s="339">
        <f t="shared" si="85"/>
        <v>6.3900000000000003E-4</v>
      </c>
      <c r="M157" s="295">
        <f t="shared" si="86"/>
        <v>48.599999999999994</v>
      </c>
      <c r="N157" s="163">
        <f t="shared" si="87"/>
        <v>0.09</v>
      </c>
      <c r="P157" s="176"/>
      <c r="Q157" s="295"/>
      <c r="T157" s="613" t="s">
        <v>1187</v>
      </c>
    </row>
    <row r="158" spans="1:20" x14ac:dyDescent="0.2">
      <c r="A158" s="613">
        <f t="shared" si="75"/>
        <v>151</v>
      </c>
      <c r="B158" s="164"/>
      <c r="C158" s="164"/>
      <c r="D158" s="327"/>
      <c r="E158" s="165"/>
      <c r="F158" s="364"/>
      <c r="G158" s="399"/>
      <c r="H158" s="342"/>
      <c r="I158" s="295"/>
      <c r="L158" s="342"/>
      <c r="M158" s="295"/>
      <c r="P158" s="342"/>
      <c r="Q158" s="295"/>
    </row>
    <row r="159" spans="1:20" x14ac:dyDescent="0.2">
      <c r="A159" s="613">
        <f t="shared" si="75"/>
        <v>152</v>
      </c>
      <c r="B159" s="164" t="str">
        <f>'WP1 Light Inventory'!A153</f>
        <v>55E &amp; 56E</v>
      </c>
      <c r="C159" s="164"/>
      <c r="D159" s="327" t="str">
        <f>'WP1 Light Inventory'!D153</f>
        <v>Metal Halide</v>
      </c>
      <c r="E159" s="165" t="str">
        <f>'WP1 Light Inventory'!E153</f>
        <v>MH 250</v>
      </c>
      <c r="F159" s="364">
        <f>'WP1 Light Inventory'!J153</f>
        <v>6</v>
      </c>
      <c r="G159" s="366">
        <f>'WP12 Condensed Sch. Level Costs'!O152</f>
        <v>87.5</v>
      </c>
      <c r="H159" s="339">
        <f t="shared" ref="H159" si="88">$Y$8</f>
        <v>5.8200000000000005E-4</v>
      </c>
      <c r="I159" s="295">
        <f t="shared" ref="I159" si="89">+F159*J159*12</f>
        <v>3.6000000000000005</v>
      </c>
      <c r="J159" s="163">
        <f t="shared" ref="J159" si="90">ROUND(+H159*G159,2)</f>
        <v>0.05</v>
      </c>
      <c r="L159" s="339">
        <f t="shared" ref="L159" si="91">$Y$9</f>
        <v>6.3900000000000003E-4</v>
      </c>
      <c r="M159" s="295">
        <f t="shared" ref="M159" si="92">+F159*N159*12</f>
        <v>4.32</v>
      </c>
      <c r="N159" s="163">
        <f t="shared" ref="N159" si="93">ROUND(+L159*G159,2)</f>
        <v>0.06</v>
      </c>
      <c r="P159" s="176"/>
      <c r="Q159" s="295"/>
      <c r="T159" s="613" t="s">
        <v>1187</v>
      </c>
    </row>
    <row r="160" spans="1:20" x14ac:dyDescent="0.2">
      <c r="A160" s="613">
        <f t="shared" si="75"/>
        <v>153</v>
      </c>
      <c r="B160" s="164"/>
      <c r="C160" s="164"/>
      <c r="D160" s="327"/>
      <c r="E160" s="165"/>
      <c r="F160" s="364"/>
      <c r="G160" s="399"/>
      <c r="H160" s="342"/>
      <c r="I160" s="295"/>
      <c r="L160" s="342"/>
      <c r="M160" s="295"/>
      <c r="P160" s="342"/>
      <c r="Q160" s="295"/>
    </row>
    <row r="161" spans="1:20" x14ac:dyDescent="0.2">
      <c r="A161" s="613">
        <f t="shared" si="75"/>
        <v>154</v>
      </c>
      <c r="B161" s="164" t="str">
        <f>'WP1 Light Inventory'!A155</f>
        <v>55E &amp; 56E</v>
      </c>
      <c r="C161" s="164"/>
      <c r="D161" s="327" t="str">
        <f>'WP1 Light Inventory'!D155</f>
        <v>Light Emitting Diode</v>
      </c>
      <c r="E161" s="165" t="str">
        <f>'WP1 Light Inventory'!E155</f>
        <v>LED 0-030</v>
      </c>
      <c r="F161" s="364">
        <f>'WP1 Light Inventory'!J155</f>
        <v>0</v>
      </c>
      <c r="G161" s="366">
        <f>'WP12 Condensed Sch. Level Costs'!O154</f>
        <v>5.25</v>
      </c>
      <c r="H161" s="339">
        <f t="shared" ref="H161:H170" si="94">$Y$8</f>
        <v>5.8200000000000005E-4</v>
      </c>
      <c r="I161" s="295">
        <f t="shared" ref="I161:I170" si="95">+F161*J161*12</f>
        <v>0</v>
      </c>
      <c r="J161" s="163">
        <f t="shared" ref="J161:J170" si="96">ROUND(+H161*G161,2)</f>
        <v>0</v>
      </c>
      <c r="L161" s="339">
        <f t="shared" ref="L161:L170" si="97">$Y$9</f>
        <v>6.3900000000000003E-4</v>
      </c>
      <c r="M161" s="295">
        <f t="shared" ref="M161:M170" si="98">+F161*N161*12</f>
        <v>0</v>
      </c>
      <c r="N161" s="163">
        <f t="shared" ref="N161:N170" si="99">ROUND(+L161*G161,2)</f>
        <v>0</v>
      </c>
      <c r="P161" s="176"/>
      <c r="Q161" s="295"/>
      <c r="T161" s="613" t="s">
        <v>1187</v>
      </c>
    </row>
    <row r="162" spans="1:20" x14ac:dyDescent="0.2">
      <c r="A162" s="613">
        <f t="shared" si="75"/>
        <v>155</v>
      </c>
      <c r="B162" s="164" t="str">
        <f>'WP1 Light Inventory'!A156</f>
        <v>55E &amp; 56E</v>
      </c>
      <c r="C162" s="164"/>
      <c r="D162" s="327" t="str">
        <f>'WP1 Light Inventory'!D156</f>
        <v>Light Emitting Diode</v>
      </c>
      <c r="E162" s="165" t="str">
        <f>'WP1 Light Inventory'!E156</f>
        <v>LED 030.01-060</v>
      </c>
      <c r="F162" s="364">
        <f>'WP1 Light Inventory'!J156</f>
        <v>599</v>
      </c>
      <c r="G162" s="366">
        <f>'WP12 Condensed Sch. Level Costs'!O155</f>
        <v>15.75</v>
      </c>
      <c r="H162" s="339">
        <f t="shared" si="94"/>
        <v>5.8200000000000005E-4</v>
      </c>
      <c r="I162" s="295">
        <f t="shared" si="95"/>
        <v>71.88</v>
      </c>
      <c r="J162" s="163">
        <f t="shared" si="96"/>
        <v>0.01</v>
      </c>
      <c r="L162" s="339">
        <f t="shared" si="97"/>
        <v>6.3900000000000003E-4</v>
      </c>
      <c r="M162" s="295">
        <f t="shared" si="98"/>
        <v>71.88</v>
      </c>
      <c r="N162" s="163">
        <f t="shared" si="99"/>
        <v>0.01</v>
      </c>
      <c r="P162" s="176"/>
      <c r="Q162" s="295"/>
      <c r="T162" s="613" t="s">
        <v>1187</v>
      </c>
    </row>
    <row r="163" spans="1:20" x14ac:dyDescent="0.2">
      <c r="A163" s="613">
        <f t="shared" si="75"/>
        <v>156</v>
      </c>
      <c r="B163" s="164" t="str">
        <f>'WP1 Light Inventory'!A157</f>
        <v>55E &amp; 56E</v>
      </c>
      <c r="C163" s="164"/>
      <c r="D163" s="327" t="str">
        <f>'WP1 Light Inventory'!D157</f>
        <v>Light Emitting Diode</v>
      </c>
      <c r="E163" s="165" t="str">
        <f>'WP1 Light Inventory'!E157</f>
        <v>LED 060.01-090</v>
      </c>
      <c r="F163" s="364">
        <f>'WP1 Light Inventory'!J157</f>
        <v>6</v>
      </c>
      <c r="G163" s="366">
        <f>'WP12 Condensed Sch. Level Costs'!O156</f>
        <v>26.25</v>
      </c>
      <c r="H163" s="339">
        <f t="shared" si="94"/>
        <v>5.8200000000000005E-4</v>
      </c>
      <c r="I163" s="295">
        <f t="shared" si="95"/>
        <v>1.44</v>
      </c>
      <c r="J163" s="163">
        <f t="shared" si="96"/>
        <v>0.02</v>
      </c>
      <c r="L163" s="339">
        <f t="shared" si="97"/>
        <v>6.3900000000000003E-4</v>
      </c>
      <c r="M163" s="295">
        <f t="shared" si="98"/>
        <v>1.44</v>
      </c>
      <c r="N163" s="163">
        <f t="shared" si="99"/>
        <v>0.02</v>
      </c>
      <c r="P163" s="176"/>
      <c r="Q163" s="295"/>
      <c r="T163" s="613" t="s">
        <v>1187</v>
      </c>
    </row>
    <row r="164" spans="1:20" x14ac:dyDescent="0.2">
      <c r="A164" s="613">
        <f t="shared" si="75"/>
        <v>157</v>
      </c>
      <c r="B164" s="164" t="str">
        <f>'WP1 Light Inventory'!A158</f>
        <v>55E &amp; 56E</v>
      </c>
      <c r="C164" s="164"/>
      <c r="D164" s="327" t="str">
        <f>'WP1 Light Inventory'!D158</f>
        <v>Light Emitting Diode</v>
      </c>
      <c r="E164" s="165" t="str">
        <f>'WP1 Light Inventory'!E158</f>
        <v>LED 090.01-120</v>
      </c>
      <c r="F164" s="364">
        <f>'WP1 Light Inventory'!J158</f>
        <v>150</v>
      </c>
      <c r="G164" s="366">
        <f>'WP12 Condensed Sch. Level Costs'!O157</f>
        <v>36.75</v>
      </c>
      <c r="H164" s="339">
        <f t="shared" si="94"/>
        <v>5.8200000000000005E-4</v>
      </c>
      <c r="I164" s="295">
        <f t="shared" si="95"/>
        <v>36</v>
      </c>
      <c r="J164" s="163">
        <f t="shared" si="96"/>
        <v>0.02</v>
      </c>
      <c r="L164" s="339">
        <f t="shared" si="97"/>
        <v>6.3900000000000003E-4</v>
      </c>
      <c r="M164" s="295">
        <f t="shared" si="98"/>
        <v>36</v>
      </c>
      <c r="N164" s="163">
        <f t="shared" si="99"/>
        <v>0.02</v>
      </c>
      <c r="P164" s="176"/>
      <c r="Q164" s="295"/>
      <c r="T164" s="613" t="s">
        <v>1187</v>
      </c>
    </row>
    <row r="165" spans="1:20" x14ac:dyDescent="0.2">
      <c r="A165" s="613">
        <f t="shared" si="75"/>
        <v>158</v>
      </c>
      <c r="B165" s="164" t="str">
        <f>'WP1 Light Inventory'!A159</f>
        <v>55E &amp; 56E</v>
      </c>
      <c r="C165" s="164"/>
      <c r="D165" s="327" t="str">
        <f>'WP1 Light Inventory'!D159</f>
        <v>Light Emitting Diode</v>
      </c>
      <c r="E165" s="165" t="str">
        <f>'WP1 Light Inventory'!E159</f>
        <v>LED 120.01-150</v>
      </c>
      <c r="F165" s="364">
        <f>'WP1 Light Inventory'!J159</f>
        <v>0</v>
      </c>
      <c r="G165" s="366">
        <f>'WP12 Condensed Sch. Level Costs'!O158</f>
        <v>47.25</v>
      </c>
      <c r="H165" s="339">
        <f t="shared" si="94"/>
        <v>5.8200000000000005E-4</v>
      </c>
      <c r="I165" s="295">
        <f t="shared" si="95"/>
        <v>0</v>
      </c>
      <c r="J165" s="163">
        <f t="shared" si="96"/>
        <v>0.03</v>
      </c>
      <c r="L165" s="339">
        <f t="shared" si="97"/>
        <v>6.3900000000000003E-4</v>
      </c>
      <c r="M165" s="295">
        <f t="shared" si="98"/>
        <v>0</v>
      </c>
      <c r="N165" s="163">
        <f t="shared" si="99"/>
        <v>0.03</v>
      </c>
      <c r="P165" s="176"/>
      <c r="Q165" s="295"/>
      <c r="T165" s="613" t="s">
        <v>1187</v>
      </c>
    </row>
    <row r="166" spans="1:20" x14ac:dyDescent="0.2">
      <c r="A166" s="613">
        <f t="shared" si="75"/>
        <v>159</v>
      </c>
      <c r="B166" s="164" t="str">
        <f>'WP1 Light Inventory'!A160</f>
        <v>55E &amp; 56E</v>
      </c>
      <c r="C166" s="164"/>
      <c r="D166" s="327" t="str">
        <f>'WP1 Light Inventory'!D160</f>
        <v>Light Emitting Diode</v>
      </c>
      <c r="E166" s="165" t="str">
        <f>'WP1 Light Inventory'!E160</f>
        <v>LED 150.01-180</v>
      </c>
      <c r="F166" s="364">
        <f>'WP1 Light Inventory'!J160</f>
        <v>0</v>
      </c>
      <c r="G166" s="366">
        <f>'WP12 Condensed Sch. Level Costs'!O159</f>
        <v>57.75</v>
      </c>
      <c r="H166" s="339">
        <f t="shared" si="94"/>
        <v>5.8200000000000005E-4</v>
      </c>
      <c r="I166" s="295">
        <f t="shared" si="95"/>
        <v>0</v>
      </c>
      <c r="J166" s="163">
        <f t="shared" si="96"/>
        <v>0.03</v>
      </c>
      <c r="L166" s="339">
        <f t="shared" si="97"/>
        <v>6.3900000000000003E-4</v>
      </c>
      <c r="M166" s="295">
        <f t="shared" si="98"/>
        <v>0</v>
      </c>
      <c r="N166" s="163">
        <f t="shared" si="99"/>
        <v>0.04</v>
      </c>
      <c r="P166" s="176"/>
      <c r="Q166" s="295"/>
      <c r="T166" s="613" t="s">
        <v>1187</v>
      </c>
    </row>
    <row r="167" spans="1:20" x14ac:dyDescent="0.2">
      <c r="A167" s="613">
        <f t="shared" si="75"/>
        <v>160</v>
      </c>
      <c r="B167" s="164" t="str">
        <f>'WP1 Light Inventory'!A161</f>
        <v>55E &amp; 56E</v>
      </c>
      <c r="C167" s="164"/>
      <c r="D167" s="327" t="str">
        <f>'WP1 Light Inventory'!D161</f>
        <v>Light Emitting Diode</v>
      </c>
      <c r="E167" s="165" t="str">
        <f>'WP1 Light Inventory'!E161</f>
        <v>LED 180.01-210</v>
      </c>
      <c r="F167" s="364">
        <f>'WP1 Light Inventory'!J161</f>
        <v>0</v>
      </c>
      <c r="G167" s="366">
        <f>'WP12 Condensed Sch. Level Costs'!O160</f>
        <v>68.25</v>
      </c>
      <c r="H167" s="339">
        <f t="shared" si="94"/>
        <v>5.8200000000000005E-4</v>
      </c>
      <c r="I167" s="295">
        <f t="shared" si="95"/>
        <v>0</v>
      </c>
      <c r="J167" s="163">
        <f t="shared" si="96"/>
        <v>0.04</v>
      </c>
      <c r="L167" s="339">
        <f t="shared" si="97"/>
        <v>6.3900000000000003E-4</v>
      </c>
      <c r="M167" s="295">
        <f t="shared" si="98"/>
        <v>0</v>
      </c>
      <c r="N167" s="163">
        <f t="shared" si="99"/>
        <v>0.04</v>
      </c>
      <c r="P167" s="176"/>
      <c r="Q167" s="295"/>
      <c r="T167" s="613" t="s">
        <v>1187</v>
      </c>
    </row>
    <row r="168" spans="1:20" x14ac:dyDescent="0.2">
      <c r="A168" s="613">
        <f t="shared" si="75"/>
        <v>161</v>
      </c>
      <c r="B168" s="164" t="str">
        <f>'WP1 Light Inventory'!A162</f>
        <v>55E &amp; 56E</v>
      </c>
      <c r="C168" s="164"/>
      <c r="D168" s="327" t="str">
        <f>'WP1 Light Inventory'!D162</f>
        <v>Light Emitting Diode</v>
      </c>
      <c r="E168" s="165" t="str">
        <f>'WP1 Light Inventory'!E162</f>
        <v>LED 210.01-240</v>
      </c>
      <c r="F168" s="364">
        <f>'WP1 Light Inventory'!J162</f>
        <v>0</v>
      </c>
      <c r="G168" s="366">
        <f>'WP12 Condensed Sch. Level Costs'!O161</f>
        <v>78.75</v>
      </c>
      <c r="H168" s="339">
        <f t="shared" si="94"/>
        <v>5.8200000000000005E-4</v>
      </c>
      <c r="I168" s="295">
        <f t="shared" si="95"/>
        <v>0</v>
      </c>
      <c r="J168" s="163">
        <f t="shared" si="96"/>
        <v>0.05</v>
      </c>
      <c r="L168" s="339">
        <f t="shared" si="97"/>
        <v>6.3900000000000003E-4</v>
      </c>
      <c r="M168" s="295">
        <f t="shared" si="98"/>
        <v>0</v>
      </c>
      <c r="N168" s="163">
        <f t="shared" si="99"/>
        <v>0.05</v>
      </c>
      <c r="P168" s="176"/>
      <c r="Q168" s="295"/>
      <c r="T168" s="613" t="s">
        <v>1187</v>
      </c>
    </row>
    <row r="169" spans="1:20" x14ac:dyDescent="0.2">
      <c r="A169" s="613">
        <f t="shared" si="75"/>
        <v>162</v>
      </c>
      <c r="B169" s="164" t="str">
        <f>'WP1 Light Inventory'!A163</f>
        <v>55E &amp; 56E</v>
      </c>
      <c r="C169" s="164"/>
      <c r="D169" s="327" t="str">
        <f>'WP1 Light Inventory'!D163</f>
        <v>Light Emitting Diode</v>
      </c>
      <c r="E169" s="165" t="str">
        <f>'WP1 Light Inventory'!E163</f>
        <v>LED 240.01-270</v>
      </c>
      <c r="F169" s="364">
        <f>'WP1 Light Inventory'!J163</f>
        <v>0</v>
      </c>
      <c r="G169" s="366">
        <f>'WP12 Condensed Sch. Level Costs'!O162</f>
        <v>89.25</v>
      </c>
      <c r="H169" s="339">
        <f t="shared" si="94"/>
        <v>5.8200000000000005E-4</v>
      </c>
      <c r="I169" s="295">
        <f t="shared" si="95"/>
        <v>0</v>
      </c>
      <c r="J169" s="163">
        <f t="shared" si="96"/>
        <v>0.05</v>
      </c>
      <c r="L169" s="339">
        <f t="shared" si="97"/>
        <v>6.3900000000000003E-4</v>
      </c>
      <c r="M169" s="295">
        <f t="shared" si="98"/>
        <v>0</v>
      </c>
      <c r="N169" s="163">
        <f t="shared" si="99"/>
        <v>0.06</v>
      </c>
      <c r="P169" s="176"/>
      <c r="Q169" s="295"/>
      <c r="T169" s="613" t="s">
        <v>1187</v>
      </c>
    </row>
    <row r="170" spans="1:20" x14ac:dyDescent="0.2">
      <c r="A170" s="613">
        <f t="shared" si="75"/>
        <v>163</v>
      </c>
      <c r="B170" s="164" t="str">
        <f>'WP1 Light Inventory'!A164</f>
        <v>55E &amp; 56E</v>
      </c>
      <c r="C170" s="164"/>
      <c r="D170" s="327" t="str">
        <f>'WP1 Light Inventory'!D164</f>
        <v>Light Emitting Diode</v>
      </c>
      <c r="E170" s="165" t="str">
        <f>'WP1 Light Inventory'!E164</f>
        <v>LED 270.01-300</v>
      </c>
      <c r="F170" s="364">
        <f>'WP1 Light Inventory'!J164</f>
        <v>0</v>
      </c>
      <c r="G170" s="366">
        <f>'WP12 Condensed Sch. Level Costs'!O163</f>
        <v>99.75</v>
      </c>
      <c r="H170" s="339">
        <f t="shared" si="94"/>
        <v>5.8200000000000005E-4</v>
      </c>
      <c r="I170" s="295">
        <f t="shared" si="95"/>
        <v>0</v>
      </c>
      <c r="J170" s="163">
        <f t="shared" si="96"/>
        <v>0.06</v>
      </c>
      <c r="L170" s="339">
        <f t="shared" si="97"/>
        <v>6.3900000000000003E-4</v>
      </c>
      <c r="M170" s="295">
        <f t="shared" si="98"/>
        <v>0</v>
      </c>
      <c r="N170" s="163">
        <f t="shared" si="99"/>
        <v>0.06</v>
      </c>
      <c r="P170" s="176"/>
      <c r="Q170" s="295"/>
      <c r="T170" s="613" t="s">
        <v>1187</v>
      </c>
    </row>
    <row r="171" spans="1:20" x14ac:dyDescent="0.2">
      <c r="A171" s="613">
        <f t="shared" si="75"/>
        <v>164</v>
      </c>
      <c r="B171" s="164"/>
      <c r="C171" s="164"/>
      <c r="D171" s="327"/>
      <c r="E171" s="165"/>
      <c r="F171" s="364"/>
      <c r="G171" s="399"/>
      <c r="H171" s="342"/>
      <c r="I171" s="295"/>
      <c r="L171" s="342"/>
      <c r="M171" s="295"/>
      <c r="P171" s="342"/>
      <c r="Q171" s="295"/>
    </row>
    <row r="172" spans="1:20" x14ac:dyDescent="0.2">
      <c r="A172" s="613">
        <f t="shared" si="75"/>
        <v>165</v>
      </c>
      <c r="B172" s="164" t="s">
        <v>140</v>
      </c>
      <c r="C172" s="164"/>
      <c r="D172" s="327"/>
      <c r="E172" s="165"/>
      <c r="F172" s="364"/>
      <c r="G172" s="399"/>
      <c r="H172" s="342"/>
      <c r="I172" s="295"/>
      <c r="L172" s="342"/>
      <c r="M172" s="295"/>
      <c r="P172" s="342"/>
      <c r="Q172" s="295"/>
    </row>
    <row r="173" spans="1:20" x14ac:dyDescent="0.2">
      <c r="A173" s="613">
        <f t="shared" si="75"/>
        <v>166</v>
      </c>
      <c r="B173" s="164" t="str">
        <f>'WP1 Light Inventory'!A166</f>
        <v>58E &amp; 59E</v>
      </c>
      <c r="C173" s="164" t="str">
        <f>'WP1 Light Inventory'!C166</f>
        <v>Directional</v>
      </c>
      <c r="D173" s="327" t="str">
        <f>'WP1 Light Inventory'!D166</f>
        <v>Sodium Vapor</v>
      </c>
      <c r="E173" s="165" t="str">
        <f>'WP1 Light Inventory'!E166</f>
        <v>DSV 070</v>
      </c>
      <c r="F173" s="364">
        <f>'WP1 Light Inventory'!J166</f>
        <v>53</v>
      </c>
      <c r="G173" s="366">
        <f>'WP12 Condensed Sch. Level Costs'!O165</f>
        <v>24.5</v>
      </c>
      <c r="H173" s="339">
        <f t="shared" ref="H173:H178" si="100">$Y$8</f>
        <v>5.8200000000000005E-4</v>
      </c>
      <c r="I173" s="295">
        <f t="shared" ref="I173:I178" si="101">+F173*J173*12</f>
        <v>6.36</v>
      </c>
      <c r="J173" s="163">
        <f t="shared" ref="J173:J178" si="102">ROUND(+H173*G173,2)</f>
        <v>0.01</v>
      </c>
      <c r="L173" s="339">
        <f t="shared" ref="L173:L178" si="103">$Y$9</f>
        <v>6.3900000000000003E-4</v>
      </c>
      <c r="M173" s="295">
        <f t="shared" ref="M173:M178" si="104">+F173*N173*12</f>
        <v>12.72</v>
      </c>
      <c r="N173" s="163">
        <f t="shared" ref="N173:N178" si="105">ROUND(+L173*G173,2)</f>
        <v>0.02</v>
      </c>
      <c r="P173" s="176"/>
      <c r="Q173" s="295"/>
      <c r="T173" s="613" t="s">
        <v>1188</v>
      </c>
    </row>
    <row r="174" spans="1:20" x14ac:dyDescent="0.2">
      <c r="A174" s="613">
        <f t="shared" si="75"/>
        <v>167</v>
      </c>
      <c r="B174" s="164" t="str">
        <f>'WP1 Light Inventory'!A167</f>
        <v>58E &amp; 59E</v>
      </c>
      <c r="C174" s="164" t="str">
        <f>'WP1 Light Inventory'!C167</f>
        <v>Directional</v>
      </c>
      <c r="D174" s="327" t="str">
        <f>'WP1 Light Inventory'!D167</f>
        <v>Sodium Vapor</v>
      </c>
      <c r="E174" s="165" t="str">
        <f>'WP1 Light Inventory'!E167</f>
        <v>DSV 100</v>
      </c>
      <c r="F174" s="364">
        <f>'WP1 Light Inventory'!J167</f>
        <v>10</v>
      </c>
      <c r="G174" s="366">
        <f>'WP12 Condensed Sch. Level Costs'!O166</f>
        <v>35</v>
      </c>
      <c r="H174" s="339">
        <f t="shared" si="100"/>
        <v>5.8200000000000005E-4</v>
      </c>
      <c r="I174" s="295">
        <f t="shared" si="101"/>
        <v>2.4000000000000004</v>
      </c>
      <c r="J174" s="163">
        <f t="shared" si="102"/>
        <v>0.02</v>
      </c>
      <c r="L174" s="339">
        <f t="shared" si="103"/>
        <v>6.3900000000000003E-4</v>
      </c>
      <c r="M174" s="295">
        <f t="shared" si="104"/>
        <v>2.4000000000000004</v>
      </c>
      <c r="N174" s="163">
        <f t="shared" si="105"/>
        <v>0.02</v>
      </c>
      <c r="P174" s="176"/>
      <c r="Q174" s="295"/>
      <c r="T174" s="613" t="s">
        <v>1188</v>
      </c>
    </row>
    <row r="175" spans="1:20" x14ac:dyDescent="0.2">
      <c r="A175" s="613">
        <f t="shared" si="75"/>
        <v>168</v>
      </c>
      <c r="B175" s="164" t="str">
        <f>'WP1 Light Inventory'!A168</f>
        <v>58E &amp; 59E</v>
      </c>
      <c r="C175" s="164" t="str">
        <f>'WP1 Light Inventory'!C168</f>
        <v>Directional</v>
      </c>
      <c r="D175" s="327" t="str">
        <f>'WP1 Light Inventory'!D168</f>
        <v>Sodium Vapor</v>
      </c>
      <c r="E175" s="165" t="str">
        <f>'WP1 Light Inventory'!E168</f>
        <v>DSV 150</v>
      </c>
      <c r="F175" s="364">
        <f>'WP1 Light Inventory'!J168</f>
        <v>145</v>
      </c>
      <c r="G175" s="366">
        <f>'WP12 Condensed Sch. Level Costs'!O167</f>
        <v>52.5</v>
      </c>
      <c r="H175" s="339">
        <f t="shared" si="100"/>
        <v>5.8200000000000005E-4</v>
      </c>
      <c r="I175" s="295">
        <f t="shared" si="101"/>
        <v>52.199999999999996</v>
      </c>
      <c r="J175" s="163">
        <f t="shared" si="102"/>
        <v>0.03</v>
      </c>
      <c r="L175" s="339">
        <f t="shared" si="103"/>
        <v>6.3900000000000003E-4</v>
      </c>
      <c r="M175" s="295">
        <f t="shared" si="104"/>
        <v>52.199999999999996</v>
      </c>
      <c r="N175" s="163">
        <f t="shared" si="105"/>
        <v>0.03</v>
      </c>
      <c r="P175" s="176"/>
      <c r="Q175" s="295"/>
      <c r="T175" s="613" t="s">
        <v>1188</v>
      </c>
    </row>
    <row r="176" spans="1:20" x14ac:dyDescent="0.2">
      <c r="A176" s="613">
        <f t="shared" si="75"/>
        <v>169</v>
      </c>
      <c r="B176" s="164" t="str">
        <f>'WP1 Light Inventory'!A169</f>
        <v>58E &amp; 59E</v>
      </c>
      <c r="C176" s="164" t="str">
        <f>'WP1 Light Inventory'!C169</f>
        <v>Directional</v>
      </c>
      <c r="D176" s="327" t="str">
        <f>'WP1 Light Inventory'!D169</f>
        <v>Sodium Vapor</v>
      </c>
      <c r="E176" s="165" t="str">
        <f>'WP1 Light Inventory'!E169</f>
        <v>DSV 200</v>
      </c>
      <c r="F176" s="364">
        <f>'WP1 Light Inventory'!J169</f>
        <v>266</v>
      </c>
      <c r="G176" s="366">
        <f>'WP12 Condensed Sch. Level Costs'!O168</f>
        <v>70</v>
      </c>
      <c r="H176" s="339">
        <f t="shared" si="100"/>
        <v>5.8200000000000005E-4</v>
      </c>
      <c r="I176" s="295">
        <f t="shared" si="101"/>
        <v>127.68</v>
      </c>
      <c r="J176" s="163">
        <f t="shared" si="102"/>
        <v>0.04</v>
      </c>
      <c r="L176" s="339">
        <f t="shared" si="103"/>
        <v>6.3900000000000003E-4</v>
      </c>
      <c r="M176" s="295">
        <f t="shared" si="104"/>
        <v>127.68</v>
      </c>
      <c r="N176" s="163">
        <f t="shared" si="105"/>
        <v>0.04</v>
      </c>
      <c r="P176" s="176"/>
      <c r="Q176" s="295"/>
      <c r="T176" s="613" t="s">
        <v>1188</v>
      </c>
    </row>
    <row r="177" spans="1:20" x14ac:dyDescent="0.2">
      <c r="A177" s="613">
        <f t="shared" si="75"/>
        <v>170</v>
      </c>
      <c r="B177" s="164" t="str">
        <f>'WP1 Light Inventory'!A170</f>
        <v>58E &amp; 59E</v>
      </c>
      <c r="C177" s="164" t="str">
        <f>'WP1 Light Inventory'!C170</f>
        <v>Directional</v>
      </c>
      <c r="D177" s="327" t="str">
        <f>'WP1 Light Inventory'!D170</f>
        <v>Sodium Vapor</v>
      </c>
      <c r="E177" s="165" t="str">
        <f>'WP1 Light Inventory'!E170</f>
        <v>DSV 250</v>
      </c>
      <c r="F177" s="364">
        <f>'WP1 Light Inventory'!J170</f>
        <v>39</v>
      </c>
      <c r="G177" s="366">
        <f>'WP12 Condensed Sch. Level Costs'!O169</f>
        <v>87.5</v>
      </c>
      <c r="H177" s="339">
        <f t="shared" si="100"/>
        <v>5.8200000000000005E-4</v>
      </c>
      <c r="I177" s="295">
        <f t="shared" si="101"/>
        <v>23.400000000000002</v>
      </c>
      <c r="J177" s="163">
        <f t="shared" si="102"/>
        <v>0.05</v>
      </c>
      <c r="L177" s="339">
        <f t="shared" si="103"/>
        <v>6.3900000000000003E-4</v>
      </c>
      <c r="M177" s="295">
        <f t="shared" si="104"/>
        <v>28.08</v>
      </c>
      <c r="N177" s="163">
        <f t="shared" si="105"/>
        <v>0.06</v>
      </c>
      <c r="P177" s="176"/>
      <c r="Q177" s="295"/>
      <c r="T177" s="613" t="s">
        <v>1188</v>
      </c>
    </row>
    <row r="178" spans="1:20" x14ac:dyDescent="0.2">
      <c r="A178" s="613">
        <f t="shared" si="75"/>
        <v>171</v>
      </c>
      <c r="B178" s="164" t="str">
        <f>'WP1 Light Inventory'!A171</f>
        <v>58E &amp; 59E</v>
      </c>
      <c r="C178" s="164" t="str">
        <f>'WP1 Light Inventory'!C171</f>
        <v>Directional</v>
      </c>
      <c r="D178" s="327" t="str">
        <f>'WP1 Light Inventory'!D171</f>
        <v>Sodium Vapor</v>
      </c>
      <c r="E178" s="165" t="str">
        <f>'WP1 Light Inventory'!E171</f>
        <v>DSV 400</v>
      </c>
      <c r="F178" s="364">
        <f>'WP1 Light Inventory'!J171</f>
        <v>354</v>
      </c>
      <c r="G178" s="366">
        <f>'WP12 Condensed Sch. Level Costs'!O170</f>
        <v>140</v>
      </c>
      <c r="H178" s="339">
        <f t="shared" si="100"/>
        <v>5.8200000000000005E-4</v>
      </c>
      <c r="I178" s="295">
        <f t="shared" si="101"/>
        <v>339.84000000000003</v>
      </c>
      <c r="J178" s="163">
        <f t="shared" si="102"/>
        <v>0.08</v>
      </c>
      <c r="L178" s="339">
        <f t="shared" si="103"/>
        <v>6.3900000000000003E-4</v>
      </c>
      <c r="M178" s="295">
        <f t="shared" si="104"/>
        <v>382.32</v>
      </c>
      <c r="N178" s="163">
        <f t="shared" si="105"/>
        <v>0.09</v>
      </c>
      <c r="P178" s="176"/>
      <c r="Q178" s="295"/>
      <c r="T178" s="613" t="s">
        <v>1188</v>
      </c>
    </row>
    <row r="179" spans="1:20" x14ac:dyDescent="0.2">
      <c r="A179" s="613">
        <f t="shared" si="75"/>
        <v>172</v>
      </c>
      <c r="B179" s="164"/>
      <c r="C179" s="164"/>
      <c r="D179" s="327"/>
      <c r="E179" s="165"/>
      <c r="F179" s="364"/>
      <c r="G179" s="399"/>
      <c r="H179" s="342"/>
      <c r="I179" s="295"/>
      <c r="L179" s="342"/>
      <c r="M179" s="295"/>
      <c r="P179" s="342"/>
      <c r="Q179" s="295"/>
    </row>
    <row r="180" spans="1:20" x14ac:dyDescent="0.2">
      <c r="A180" s="613">
        <f t="shared" si="75"/>
        <v>173</v>
      </c>
      <c r="B180" s="164" t="str">
        <f>'WP1 Light Inventory'!A173</f>
        <v>58E &amp; 59E</v>
      </c>
      <c r="C180" s="164" t="str">
        <f>'WP1 Light Inventory'!C173</f>
        <v>Horizontal</v>
      </c>
      <c r="D180" s="327" t="str">
        <f>'WP1 Light Inventory'!D173</f>
        <v>Sodium Vapor</v>
      </c>
      <c r="E180" s="165" t="str">
        <f>'WP1 Light Inventory'!E173</f>
        <v>HSV 100</v>
      </c>
      <c r="F180" s="364">
        <f>'WP1 Light Inventory'!J173</f>
        <v>1</v>
      </c>
      <c r="G180" s="366">
        <f>'WP12 Condensed Sch. Level Costs'!O172</f>
        <v>35</v>
      </c>
      <c r="H180" s="339">
        <f t="shared" ref="H180:H184" si="106">$Y$8</f>
        <v>5.8200000000000005E-4</v>
      </c>
      <c r="I180" s="295">
        <f t="shared" ref="I180:I184" si="107">+F180*J180*12</f>
        <v>0.24</v>
      </c>
      <c r="J180" s="163">
        <f t="shared" ref="J180:J184" si="108">ROUND(+H180*G180,2)</f>
        <v>0.02</v>
      </c>
      <c r="L180" s="339">
        <f t="shared" ref="L180:L184" si="109">$Y$9</f>
        <v>6.3900000000000003E-4</v>
      </c>
      <c r="M180" s="295">
        <f t="shared" ref="M180:M184" si="110">+F180*N180*12</f>
        <v>0.24</v>
      </c>
      <c r="N180" s="163">
        <f t="shared" ref="N180:N184" si="111">ROUND(+L180*G180,2)</f>
        <v>0.02</v>
      </c>
      <c r="P180" s="176"/>
      <c r="Q180" s="295"/>
      <c r="T180" s="613" t="s">
        <v>1189</v>
      </c>
    </row>
    <row r="181" spans="1:20" x14ac:dyDescent="0.2">
      <c r="A181" s="613">
        <f t="shared" si="75"/>
        <v>174</v>
      </c>
      <c r="B181" s="164" t="str">
        <f>'WP1 Light Inventory'!A174</f>
        <v>58E &amp; 59E</v>
      </c>
      <c r="C181" s="164" t="str">
        <f>'WP1 Light Inventory'!C174</f>
        <v>Horizontal</v>
      </c>
      <c r="D181" s="327" t="str">
        <f>'WP1 Light Inventory'!D174</f>
        <v>Sodium Vapor</v>
      </c>
      <c r="E181" s="165" t="str">
        <f>'WP1 Light Inventory'!E174</f>
        <v>HSV 150</v>
      </c>
      <c r="F181" s="364">
        <f>'WP1 Light Inventory'!J174</f>
        <v>16</v>
      </c>
      <c r="G181" s="366">
        <f>'WP12 Condensed Sch. Level Costs'!O173</f>
        <v>52.5</v>
      </c>
      <c r="H181" s="339">
        <f t="shared" si="106"/>
        <v>5.8200000000000005E-4</v>
      </c>
      <c r="I181" s="295">
        <f t="shared" si="107"/>
        <v>5.76</v>
      </c>
      <c r="J181" s="163">
        <f t="shared" si="108"/>
        <v>0.03</v>
      </c>
      <c r="L181" s="339">
        <f t="shared" si="109"/>
        <v>6.3900000000000003E-4</v>
      </c>
      <c r="M181" s="295">
        <f t="shared" si="110"/>
        <v>5.76</v>
      </c>
      <c r="N181" s="163">
        <f t="shared" si="111"/>
        <v>0.03</v>
      </c>
      <c r="P181" s="176"/>
      <c r="Q181" s="295"/>
      <c r="T181" s="613" t="s">
        <v>1189</v>
      </c>
    </row>
    <row r="182" spans="1:20" x14ac:dyDescent="0.2">
      <c r="A182" s="613">
        <f t="shared" si="75"/>
        <v>175</v>
      </c>
      <c r="B182" s="164" t="str">
        <f>'WP1 Light Inventory'!A175</f>
        <v>58E &amp; 59E</v>
      </c>
      <c r="C182" s="164" t="str">
        <f>'WP1 Light Inventory'!C175</f>
        <v>Horizontal</v>
      </c>
      <c r="D182" s="327" t="str">
        <f>'WP1 Light Inventory'!D175</f>
        <v>Sodium Vapor</v>
      </c>
      <c r="E182" s="165" t="str">
        <f>'WP1 Light Inventory'!E175</f>
        <v>HSV 200</v>
      </c>
      <c r="F182" s="364">
        <f>'WP1 Light Inventory'!J175</f>
        <v>9</v>
      </c>
      <c r="G182" s="366">
        <f>'WP12 Condensed Sch. Level Costs'!O174</f>
        <v>70</v>
      </c>
      <c r="H182" s="339">
        <f t="shared" si="106"/>
        <v>5.8200000000000005E-4</v>
      </c>
      <c r="I182" s="295">
        <f t="shared" si="107"/>
        <v>4.32</v>
      </c>
      <c r="J182" s="163">
        <f t="shared" si="108"/>
        <v>0.04</v>
      </c>
      <c r="L182" s="339">
        <f t="shared" si="109"/>
        <v>6.3900000000000003E-4</v>
      </c>
      <c r="M182" s="295">
        <f t="shared" si="110"/>
        <v>4.32</v>
      </c>
      <c r="N182" s="163">
        <f t="shared" si="111"/>
        <v>0.04</v>
      </c>
      <c r="P182" s="176"/>
      <c r="Q182" s="295"/>
      <c r="T182" s="613" t="s">
        <v>1189</v>
      </c>
    </row>
    <row r="183" spans="1:20" x14ac:dyDescent="0.2">
      <c r="A183" s="613">
        <f t="shared" si="75"/>
        <v>176</v>
      </c>
      <c r="B183" s="164" t="str">
        <f>'WP1 Light Inventory'!A176</f>
        <v>58E &amp; 59E</v>
      </c>
      <c r="C183" s="164" t="str">
        <f>'WP1 Light Inventory'!C176</f>
        <v>Horizontal</v>
      </c>
      <c r="D183" s="327" t="str">
        <f>'WP1 Light Inventory'!D176</f>
        <v>Sodium Vapor</v>
      </c>
      <c r="E183" s="165" t="str">
        <f>'WP1 Light Inventory'!E176</f>
        <v>HSV 250</v>
      </c>
      <c r="F183" s="364">
        <f>'WP1 Light Inventory'!J176</f>
        <v>34</v>
      </c>
      <c r="G183" s="366">
        <f>'WP12 Condensed Sch. Level Costs'!O175</f>
        <v>87.5</v>
      </c>
      <c r="H183" s="339">
        <f t="shared" si="106"/>
        <v>5.8200000000000005E-4</v>
      </c>
      <c r="I183" s="295">
        <f t="shared" si="107"/>
        <v>20.400000000000002</v>
      </c>
      <c r="J183" s="163">
        <f t="shared" si="108"/>
        <v>0.05</v>
      </c>
      <c r="L183" s="339">
        <f t="shared" si="109"/>
        <v>6.3900000000000003E-4</v>
      </c>
      <c r="M183" s="295">
        <f t="shared" si="110"/>
        <v>24.48</v>
      </c>
      <c r="N183" s="163">
        <f t="shared" si="111"/>
        <v>0.06</v>
      </c>
      <c r="P183" s="176"/>
      <c r="Q183" s="295"/>
      <c r="T183" s="613" t="s">
        <v>1189</v>
      </c>
    </row>
    <row r="184" spans="1:20" x14ac:dyDescent="0.2">
      <c r="A184" s="613">
        <f t="shared" si="75"/>
        <v>177</v>
      </c>
      <c r="B184" s="164" t="str">
        <f>'WP1 Light Inventory'!A177</f>
        <v>58E &amp; 59E</v>
      </c>
      <c r="C184" s="164" t="str">
        <f>'WP1 Light Inventory'!C177</f>
        <v>Horizontal</v>
      </c>
      <c r="D184" s="327" t="str">
        <f>'WP1 Light Inventory'!D177</f>
        <v>Sodium Vapor</v>
      </c>
      <c r="E184" s="165" t="str">
        <f>'WP1 Light Inventory'!E177</f>
        <v>HSV 400</v>
      </c>
      <c r="F184" s="364">
        <f>'WP1 Light Inventory'!J177</f>
        <v>48</v>
      </c>
      <c r="G184" s="366">
        <f>'WP12 Condensed Sch. Level Costs'!O176</f>
        <v>140</v>
      </c>
      <c r="H184" s="339">
        <f t="shared" si="106"/>
        <v>5.8200000000000005E-4</v>
      </c>
      <c r="I184" s="295">
        <f t="shared" si="107"/>
        <v>46.08</v>
      </c>
      <c r="J184" s="163">
        <f t="shared" si="108"/>
        <v>0.08</v>
      </c>
      <c r="L184" s="339">
        <f t="shared" si="109"/>
        <v>6.3900000000000003E-4</v>
      </c>
      <c r="M184" s="295">
        <f t="shared" si="110"/>
        <v>51.84</v>
      </c>
      <c r="N184" s="163">
        <f t="shared" si="111"/>
        <v>0.09</v>
      </c>
      <c r="P184" s="176"/>
      <c r="Q184" s="295"/>
      <c r="T184" s="613" t="s">
        <v>1189</v>
      </c>
    </row>
    <row r="185" spans="1:20" x14ac:dyDescent="0.2">
      <c r="A185" s="613">
        <f t="shared" si="75"/>
        <v>178</v>
      </c>
      <c r="B185" s="164"/>
      <c r="C185" s="164"/>
      <c r="D185" s="327"/>
      <c r="E185" s="165"/>
      <c r="F185" s="364"/>
      <c r="G185" s="399"/>
      <c r="H185" s="342"/>
      <c r="I185" s="295"/>
      <c r="L185" s="342"/>
      <c r="M185" s="295"/>
      <c r="P185" s="342"/>
      <c r="Q185" s="295"/>
    </row>
    <row r="186" spans="1:20" x14ac:dyDescent="0.2">
      <c r="A186" s="613">
        <f t="shared" si="75"/>
        <v>179</v>
      </c>
      <c r="B186" s="164" t="str">
        <f>'WP1 Light Inventory'!A179</f>
        <v>58E &amp; 59E</v>
      </c>
      <c r="C186" s="164" t="str">
        <f>'WP1 Light Inventory'!C179</f>
        <v>Directional</v>
      </c>
      <c r="D186" s="327" t="str">
        <f>'WP1 Light Inventory'!D179</f>
        <v>Metal Halide</v>
      </c>
      <c r="E186" s="165" t="str">
        <f>'WP1 Light Inventory'!E179</f>
        <v>DMH 175</v>
      </c>
      <c r="F186" s="364">
        <f>'WP1 Light Inventory'!J179</f>
        <v>3</v>
      </c>
      <c r="G186" s="366">
        <f>'WP12 Condensed Sch. Level Costs'!O178</f>
        <v>61.25</v>
      </c>
      <c r="H186" s="339">
        <f t="shared" ref="H186:H189" si="112">$Y$8</f>
        <v>5.8200000000000005E-4</v>
      </c>
      <c r="I186" s="295">
        <f t="shared" ref="I186:I189" si="113">+F186*J186*12</f>
        <v>1.44</v>
      </c>
      <c r="J186" s="163">
        <f t="shared" ref="J186:J189" si="114">ROUND(+H186*G186,2)</f>
        <v>0.04</v>
      </c>
      <c r="L186" s="339">
        <f t="shared" ref="L186:L189" si="115">$Y$9</f>
        <v>6.3900000000000003E-4</v>
      </c>
      <c r="M186" s="295">
        <f t="shared" ref="M186:M189" si="116">+F186*N186*12</f>
        <v>1.44</v>
      </c>
      <c r="N186" s="163">
        <f t="shared" ref="N186:N189" si="117">ROUND(+L186*G186,2)</f>
        <v>0.04</v>
      </c>
      <c r="P186" s="176"/>
      <c r="Q186" s="295"/>
      <c r="T186" s="613" t="s">
        <v>1188</v>
      </c>
    </row>
    <row r="187" spans="1:20" x14ac:dyDescent="0.2">
      <c r="A187" s="613">
        <f t="shared" si="75"/>
        <v>180</v>
      </c>
      <c r="B187" s="164" t="str">
        <f>'WP1 Light Inventory'!A180</f>
        <v>58E &amp; 59E</v>
      </c>
      <c r="C187" s="164" t="str">
        <f>'WP1 Light Inventory'!C180</f>
        <v>Directional</v>
      </c>
      <c r="D187" s="327" t="str">
        <f>'WP1 Light Inventory'!D180</f>
        <v>Metal Halide</v>
      </c>
      <c r="E187" s="165" t="str">
        <f>'WP1 Light Inventory'!E180</f>
        <v>DMH 250</v>
      </c>
      <c r="F187" s="364">
        <f>'WP1 Light Inventory'!J180</f>
        <v>17</v>
      </c>
      <c r="G187" s="366">
        <f>'WP12 Condensed Sch. Level Costs'!O179</f>
        <v>87.5</v>
      </c>
      <c r="H187" s="339">
        <f t="shared" si="112"/>
        <v>5.8200000000000005E-4</v>
      </c>
      <c r="I187" s="295">
        <f t="shared" si="113"/>
        <v>10.200000000000001</v>
      </c>
      <c r="J187" s="163">
        <f t="shared" si="114"/>
        <v>0.05</v>
      </c>
      <c r="L187" s="339">
        <f t="shared" si="115"/>
        <v>6.3900000000000003E-4</v>
      </c>
      <c r="M187" s="295">
        <f t="shared" si="116"/>
        <v>12.24</v>
      </c>
      <c r="N187" s="163">
        <f t="shared" si="117"/>
        <v>0.06</v>
      </c>
      <c r="P187" s="176"/>
      <c r="Q187" s="295"/>
      <c r="T187" s="613" t="s">
        <v>1188</v>
      </c>
    </row>
    <row r="188" spans="1:20" x14ac:dyDescent="0.2">
      <c r="A188" s="613">
        <f t="shared" si="75"/>
        <v>181</v>
      </c>
      <c r="B188" s="164" t="str">
        <f>'WP1 Light Inventory'!A181</f>
        <v>58E &amp; 59E</v>
      </c>
      <c r="C188" s="164" t="str">
        <f>'WP1 Light Inventory'!C181</f>
        <v>Directional</v>
      </c>
      <c r="D188" s="327" t="str">
        <f>'WP1 Light Inventory'!D181</f>
        <v>Metal Halide</v>
      </c>
      <c r="E188" s="165" t="str">
        <f>'WP1 Light Inventory'!E181</f>
        <v>DMH 400</v>
      </c>
      <c r="F188" s="364">
        <f>'WP1 Light Inventory'!J181</f>
        <v>88</v>
      </c>
      <c r="G188" s="366">
        <f>'WP12 Condensed Sch. Level Costs'!O180</f>
        <v>140</v>
      </c>
      <c r="H188" s="339">
        <f t="shared" si="112"/>
        <v>5.8200000000000005E-4</v>
      </c>
      <c r="I188" s="295">
        <f t="shared" si="113"/>
        <v>84.48</v>
      </c>
      <c r="J188" s="163">
        <f t="shared" si="114"/>
        <v>0.08</v>
      </c>
      <c r="L188" s="339">
        <f t="shared" si="115"/>
        <v>6.3900000000000003E-4</v>
      </c>
      <c r="M188" s="295">
        <f t="shared" si="116"/>
        <v>95.039999999999992</v>
      </c>
      <c r="N188" s="163">
        <f t="shared" si="117"/>
        <v>0.09</v>
      </c>
      <c r="P188" s="176"/>
      <c r="Q188" s="295"/>
      <c r="T188" s="613" t="s">
        <v>1188</v>
      </c>
    </row>
    <row r="189" spans="1:20" x14ac:dyDescent="0.2">
      <c r="A189" s="613">
        <f t="shared" si="75"/>
        <v>182</v>
      </c>
      <c r="B189" s="164" t="str">
        <f>'WP1 Light Inventory'!A182</f>
        <v>58E &amp; 59E</v>
      </c>
      <c r="C189" s="164" t="str">
        <f>'WP1 Light Inventory'!C182</f>
        <v>Directional</v>
      </c>
      <c r="D189" s="327" t="str">
        <f>'WP1 Light Inventory'!D182</f>
        <v>Metal Halide</v>
      </c>
      <c r="E189" s="165" t="str">
        <f>'WP1 Light Inventory'!E182</f>
        <v>DMH 1000</v>
      </c>
      <c r="F189" s="364">
        <f>'WP1 Light Inventory'!J182</f>
        <v>128</v>
      </c>
      <c r="G189" s="366">
        <f>'WP12 Condensed Sch. Level Costs'!O181</f>
        <v>350</v>
      </c>
      <c r="H189" s="339">
        <f t="shared" si="112"/>
        <v>5.8200000000000005E-4</v>
      </c>
      <c r="I189" s="295">
        <f t="shared" si="113"/>
        <v>307.20000000000005</v>
      </c>
      <c r="J189" s="163">
        <f t="shared" si="114"/>
        <v>0.2</v>
      </c>
      <c r="L189" s="339">
        <f t="shared" si="115"/>
        <v>6.3900000000000003E-4</v>
      </c>
      <c r="M189" s="295">
        <f t="shared" si="116"/>
        <v>337.92</v>
      </c>
      <c r="N189" s="163">
        <f t="shared" si="117"/>
        <v>0.22</v>
      </c>
      <c r="P189" s="176"/>
      <c r="Q189" s="295"/>
      <c r="T189" s="613" t="s">
        <v>1188</v>
      </c>
    </row>
    <row r="190" spans="1:20" x14ac:dyDescent="0.2">
      <c r="A190" s="613">
        <f t="shared" si="75"/>
        <v>183</v>
      </c>
      <c r="B190" s="164"/>
      <c r="C190" s="164"/>
      <c r="D190" s="327"/>
      <c r="E190" s="165"/>
      <c r="F190" s="364"/>
      <c r="G190" s="399"/>
      <c r="H190" s="339"/>
      <c r="I190" s="295"/>
      <c r="L190" s="339"/>
      <c r="M190" s="295"/>
      <c r="P190" s="339"/>
      <c r="Q190" s="295"/>
    </row>
    <row r="191" spans="1:20" x14ac:dyDescent="0.2">
      <c r="A191" s="613">
        <f t="shared" si="75"/>
        <v>184</v>
      </c>
      <c r="B191" s="164" t="str">
        <f>'WP1 Light Inventory'!A184</f>
        <v>58E &amp; 59E</v>
      </c>
      <c r="C191" s="164" t="str">
        <f>'WP1 Light Inventory'!C184</f>
        <v>Horizontal</v>
      </c>
      <c r="D191" s="327" t="str">
        <f>'WP1 Light Inventory'!D184</f>
        <v>Metal Halide</v>
      </c>
      <c r="E191" s="165" t="str">
        <f>'WP1 Light Inventory'!E184</f>
        <v>HMH 250</v>
      </c>
      <c r="F191" s="364">
        <f>'WP1 Light Inventory'!J184</f>
        <v>10</v>
      </c>
      <c r="G191" s="366">
        <f>'WP12 Condensed Sch. Level Costs'!O183</f>
        <v>87.5</v>
      </c>
      <c r="H191" s="339">
        <f t="shared" ref="H191:H192" si="118">$Y$8</f>
        <v>5.8200000000000005E-4</v>
      </c>
      <c r="I191" s="295">
        <f t="shared" ref="I191:I192" si="119">+F191*J191*12</f>
        <v>6</v>
      </c>
      <c r="J191" s="163">
        <f t="shared" ref="J191:J192" si="120">ROUND(+H191*G191,2)</f>
        <v>0.05</v>
      </c>
      <c r="L191" s="339">
        <f t="shared" ref="L191:L192" si="121">$Y$9</f>
        <v>6.3900000000000003E-4</v>
      </c>
      <c r="M191" s="295">
        <f t="shared" ref="M191:M192" si="122">+F191*N191*12</f>
        <v>7.1999999999999993</v>
      </c>
      <c r="N191" s="163">
        <f t="shared" ref="N191:N192" si="123">ROUND(+L191*G191,2)</f>
        <v>0.06</v>
      </c>
      <c r="P191" s="176"/>
      <c r="Q191" s="295"/>
      <c r="T191" s="613" t="s">
        <v>1189</v>
      </c>
    </row>
    <row r="192" spans="1:20" x14ac:dyDescent="0.2">
      <c r="A192" s="613">
        <f t="shared" si="75"/>
        <v>185</v>
      </c>
      <c r="B192" s="164" t="str">
        <f>'WP1 Light Inventory'!A185</f>
        <v>58E &amp; 59E</v>
      </c>
      <c r="C192" s="164" t="str">
        <f>'WP1 Light Inventory'!C185</f>
        <v>Horizontal</v>
      </c>
      <c r="D192" s="327" t="str">
        <f>'WP1 Light Inventory'!D185</f>
        <v>Metal Halide</v>
      </c>
      <c r="E192" s="165" t="str">
        <f>'WP1 Light Inventory'!E185</f>
        <v>HMH 400</v>
      </c>
      <c r="F192" s="364">
        <f>'WP1 Light Inventory'!J185</f>
        <v>40</v>
      </c>
      <c r="G192" s="366">
        <f>'WP12 Condensed Sch. Level Costs'!O184</f>
        <v>140</v>
      </c>
      <c r="H192" s="339">
        <f t="shared" si="118"/>
        <v>5.8200000000000005E-4</v>
      </c>
      <c r="I192" s="295">
        <f t="shared" si="119"/>
        <v>38.400000000000006</v>
      </c>
      <c r="J192" s="163">
        <f t="shared" si="120"/>
        <v>0.08</v>
      </c>
      <c r="L192" s="339">
        <f t="shared" si="121"/>
        <v>6.3900000000000003E-4</v>
      </c>
      <c r="M192" s="295">
        <f t="shared" si="122"/>
        <v>43.199999999999996</v>
      </c>
      <c r="N192" s="163">
        <f t="shared" si="123"/>
        <v>0.09</v>
      </c>
      <c r="P192" s="176"/>
      <c r="Q192" s="295"/>
      <c r="T192" s="613" t="s">
        <v>1189</v>
      </c>
    </row>
    <row r="193" spans="1:20" x14ac:dyDescent="0.2">
      <c r="A193" s="613">
        <f t="shared" si="75"/>
        <v>186</v>
      </c>
      <c r="B193" s="164"/>
      <c r="C193" s="164"/>
      <c r="D193" s="327"/>
      <c r="E193" s="165"/>
      <c r="F193" s="364"/>
      <c r="G193" s="399"/>
      <c r="H193" s="342"/>
      <c r="I193" s="295"/>
      <c r="L193" s="342"/>
      <c r="M193" s="295"/>
      <c r="P193" s="342"/>
      <c r="Q193" s="295"/>
    </row>
    <row r="194" spans="1:20" ht="13.5" customHeight="1" x14ac:dyDescent="0.2">
      <c r="A194" s="613">
        <f t="shared" si="75"/>
        <v>187</v>
      </c>
      <c r="B194" s="164" t="str">
        <f>'WP1 Light Inventory'!A187</f>
        <v>58E &amp; 59E</v>
      </c>
      <c r="C194" s="164"/>
      <c r="D194" s="327" t="str">
        <f>'WP1 Light Inventory'!D187</f>
        <v>Light Emitting Diode</v>
      </c>
      <c r="E194" s="165" t="str">
        <f>'WP1 Light Inventory'!E187</f>
        <v>LED 0-030</v>
      </c>
      <c r="F194" s="364">
        <f>'WP1 Light Inventory'!J187</f>
        <v>0</v>
      </c>
      <c r="G194" s="366">
        <f>'WP12 Condensed Sch. Level Costs'!O186</f>
        <v>5.25</v>
      </c>
      <c r="H194" s="339">
        <f t="shared" ref="H194:H209" si="124">$Y$8</f>
        <v>5.8200000000000005E-4</v>
      </c>
      <c r="I194" s="295">
        <f t="shared" ref="I194:I209" si="125">+F194*J194*12</f>
        <v>0</v>
      </c>
      <c r="J194" s="163">
        <f t="shared" ref="J194:J209" si="126">ROUND(+H194*G194,2)</f>
        <v>0</v>
      </c>
      <c r="L194" s="339">
        <f t="shared" ref="L194:L209" si="127">$Y$9</f>
        <v>6.3900000000000003E-4</v>
      </c>
      <c r="M194" s="295">
        <f t="shared" ref="M194:M209" si="128">+F194*N194*12</f>
        <v>0</v>
      </c>
      <c r="N194" s="163">
        <f t="shared" ref="N194:N209" si="129">ROUND(+L194*G194,2)</f>
        <v>0</v>
      </c>
      <c r="P194" s="176"/>
      <c r="Q194" s="295"/>
      <c r="T194" s="613" t="s">
        <v>1190</v>
      </c>
    </row>
    <row r="195" spans="1:20" x14ac:dyDescent="0.2">
      <c r="A195" s="613">
        <f t="shared" si="75"/>
        <v>188</v>
      </c>
      <c r="B195" s="164" t="str">
        <f>'WP1 Light Inventory'!A188</f>
        <v>58E &amp; 59E</v>
      </c>
      <c r="C195" s="164"/>
      <c r="D195" s="327" t="str">
        <f>'WP1 Light Inventory'!D188</f>
        <v>Light Emitting Diode</v>
      </c>
      <c r="E195" s="165" t="str">
        <f>'WP1 Light Inventory'!E188</f>
        <v>LED 030.01-060</v>
      </c>
      <c r="F195" s="364">
        <f>'WP1 Light Inventory'!J188</f>
        <v>3</v>
      </c>
      <c r="G195" s="366">
        <f>'WP12 Condensed Sch. Level Costs'!O187</f>
        <v>15.75</v>
      </c>
      <c r="H195" s="339">
        <f t="shared" si="124"/>
        <v>5.8200000000000005E-4</v>
      </c>
      <c r="I195" s="295">
        <f t="shared" si="125"/>
        <v>0.36</v>
      </c>
      <c r="J195" s="163">
        <f t="shared" si="126"/>
        <v>0.01</v>
      </c>
      <c r="L195" s="339">
        <f t="shared" si="127"/>
        <v>6.3900000000000003E-4</v>
      </c>
      <c r="M195" s="295">
        <f t="shared" si="128"/>
        <v>0.36</v>
      </c>
      <c r="N195" s="163">
        <f t="shared" si="129"/>
        <v>0.01</v>
      </c>
      <c r="P195" s="176"/>
      <c r="Q195" s="295"/>
      <c r="T195" s="613" t="s">
        <v>1190</v>
      </c>
    </row>
    <row r="196" spans="1:20" x14ac:dyDescent="0.2">
      <c r="A196" s="613">
        <f t="shared" si="75"/>
        <v>189</v>
      </c>
      <c r="B196" s="164" t="str">
        <f>'WP1 Light Inventory'!A189</f>
        <v>58E &amp; 59E</v>
      </c>
      <c r="C196" s="164"/>
      <c r="D196" s="327" t="str">
        <f>'WP1 Light Inventory'!D189</f>
        <v>Light Emitting Diode</v>
      </c>
      <c r="E196" s="165" t="str">
        <f>'WP1 Light Inventory'!E189</f>
        <v>LED 060.01-090</v>
      </c>
      <c r="F196" s="364">
        <f>'WP1 Light Inventory'!J189</f>
        <v>50</v>
      </c>
      <c r="G196" s="366">
        <f>'WP12 Condensed Sch. Level Costs'!O188</f>
        <v>26.25</v>
      </c>
      <c r="H196" s="339">
        <f t="shared" si="124"/>
        <v>5.8200000000000005E-4</v>
      </c>
      <c r="I196" s="295">
        <f t="shared" si="125"/>
        <v>12</v>
      </c>
      <c r="J196" s="163">
        <f t="shared" si="126"/>
        <v>0.02</v>
      </c>
      <c r="L196" s="339">
        <f t="shared" si="127"/>
        <v>6.3900000000000003E-4</v>
      </c>
      <c r="M196" s="295">
        <f t="shared" si="128"/>
        <v>12</v>
      </c>
      <c r="N196" s="163">
        <f t="shared" si="129"/>
        <v>0.02</v>
      </c>
      <c r="P196" s="176"/>
      <c r="Q196" s="295"/>
      <c r="T196" s="613" t="s">
        <v>1190</v>
      </c>
    </row>
    <row r="197" spans="1:20" x14ac:dyDescent="0.2">
      <c r="A197" s="613">
        <f t="shared" si="75"/>
        <v>190</v>
      </c>
      <c r="B197" s="164" t="str">
        <f>'WP1 Light Inventory'!A190</f>
        <v>58E &amp; 59E</v>
      </c>
      <c r="C197" s="164"/>
      <c r="D197" s="327" t="str">
        <f>'WP1 Light Inventory'!D190</f>
        <v>Light Emitting Diode</v>
      </c>
      <c r="E197" s="165" t="str">
        <f>'WP1 Light Inventory'!E190</f>
        <v>LED 090.01-120</v>
      </c>
      <c r="F197" s="364">
        <f>'WP1 Light Inventory'!J190</f>
        <v>15</v>
      </c>
      <c r="G197" s="366">
        <f>'WP12 Condensed Sch. Level Costs'!O189</f>
        <v>36.75</v>
      </c>
      <c r="H197" s="339">
        <f t="shared" si="124"/>
        <v>5.8200000000000005E-4</v>
      </c>
      <c r="I197" s="295">
        <f t="shared" si="125"/>
        <v>3.5999999999999996</v>
      </c>
      <c r="J197" s="163">
        <f t="shared" si="126"/>
        <v>0.02</v>
      </c>
      <c r="L197" s="339">
        <f t="shared" si="127"/>
        <v>6.3900000000000003E-4</v>
      </c>
      <c r="M197" s="295">
        <f t="shared" si="128"/>
        <v>3.5999999999999996</v>
      </c>
      <c r="N197" s="163">
        <f t="shared" si="129"/>
        <v>0.02</v>
      </c>
      <c r="P197" s="176"/>
      <c r="Q197" s="295"/>
      <c r="T197" s="613" t="s">
        <v>1190</v>
      </c>
    </row>
    <row r="198" spans="1:20" x14ac:dyDescent="0.2">
      <c r="A198" s="613">
        <f t="shared" si="75"/>
        <v>191</v>
      </c>
      <c r="B198" s="164" t="str">
        <f>'WP1 Light Inventory'!A191</f>
        <v>58E &amp; 59E</v>
      </c>
      <c r="C198" s="164"/>
      <c r="D198" s="327" t="str">
        <f>'WP1 Light Inventory'!D191</f>
        <v>Light Emitting Diode</v>
      </c>
      <c r="E198" s="165" t="str">
        <f>'WP1 Light Inventory'!E191</f>
        <v>LED 120.01-150</v>
      </c>
      <c r="F198" s="364">
        <f>'WP1 Light Inventory'!J191</f>
        <v>94</v>
      </c>
      <c r="G198" s="366">
        <f>'WP12 Condensed Sch. Level Costs'!O190</f>
        <v>47.25</v>
      </c>
      <c r="H198" s="339">
        <f t="shared" si="124"/>
        <v>5.8200000000000005E-4</v>
      </c>
      <c r="I198" s="295">
        <f t="shared" si="125"/>
        <v>33.839999999999996</v>
      </c>
      <c r="J198" s="163">
        <f t="shared" si="126"/>
        <v>0.03</v>
      </c>
      <c r="L198" s="339">
        <f t="shared" si="127"/>
        <v>6.3900000000000003E-4</v>
      </c>
      <c r="M198" s="295">
        <f t="shared" si="128"/>
        <v>33.839999999999996</v>
      </c>
      <c r="N198" s="163">
        <f t="shared" si="129"/>
        <v>0.03</v>
      </c>
      <c r="P198" s="176"/>
      <c r="Q198" s="295"/>
      <c r="T198" s="613" t="s">
        <v>1190</v>
      </c>
    </row>
    <row r="199" spans="1:20" x14ac:dyDescent="0.2">
      <c r="A199" s="613">
        <f t="shared" si="75"/>
        <v>192</v>
      </c>
      <c r="B199" s="164" t="str">
        <f>'WP1 Light Inventory'!A192</f>
        <v>58E &amp; 59E</v>
      </c>
      <c r="C199" s="164"/>
      <c r="D199" s="327" t="str">
        <f>'WP1 Light Inventory'!D192</f>
        <v>Light Emitting Diode</v>
      </c>
      <c r="E199" s="165" t="str">
        <f>'WP1 Light Inventory'!E192</f>
        <v>LED 150.01-180</v>
      </c>
      <c r="F199" s="364">
        <f>'WP1 Light Inventory'!J192</f>
        <v>11</v>
      </c>
      <c r="G199" s="366">
        <f>'WP12 Condensed Sch. Level Costs'!O191</f>
        <v>57.75</v>
      </c>
      <c r="H199" s="339">
        <f t="shared" si="124"/>
        <v>5.8200000000000005E-4</v>
      </c>
      <c r="I199" s="295">
        <f t="shared" si="125"/>
        <v>3.9599999999999995</v>
      </c>
      <c r="J199" s="163">
        <f t="shared" si="126"/>
        <v>0.03</v>
      </c>
      <c r="L199" s="339">
        <f t="shared" si="127"/>
        <v>6.3900000000000003E-4</v>
      </c>
      <c r="M199" s="295">
        <f t="shared" si="128"/>
        <v>5.28</v>
      </c>
      <c r="N199" s="163">
        <f t="shared" si="129"/>
        <v>0.04</v>
      </c>
      <c r="P199" s="176"/>
      <c r="Q199" s="295"/>
      <c r="T199" s="613" t="s">
        <v>1190</v>
      </c>
    </row>
    <row r="200" spans="1:20" x14ac:dyDescent="0.2">
      <c r="A200" s="613">
        <f t="shared" si="75"/>
        <v>193</v>
      </c>
      <c r="B200" s="164" t="str">
        <f>'WP1 Light Inventory'!A193</f>
        <v>58E &amp; 59E</v>
      </c>
      <c r="C200" s="164"/>
      <c r="D200" s="327" t="str">
        <f>'WP1 Light Inventory'!D193</f>
        <v>Light Emitting Diode</v>
      </c>
      <c r="E200" s="165" t="str">
        <f>'WP1 Light Inventory'!E193</f>
        <v>LED 180.01-210</v>
      </c>
      <c r="F200" s="364">
        <f>'WP1 Light Inventory'!J193</f>
        <v>0</v>
      </c>
      <c r="G200" s="366">
        <f>'WP12 Condensed Sch. Level Costs'!O192</f>
        <v>68.25</v>
      </c>
      <c r="H200" s="339">
        <f t="shared" si="124"/>
        <v>5.8200000000000005E-4</v>
      </c>
      <c r="I200" s="295">
        <f t="shared" si="125"/>
        <v>0</v>
      </c>
      <c r="J200" s="163">
        <f t="shared" si="126"/>
        <v>0.04</v>
      </c>
      <c r="L200" s="339">
        <f t="shared" si="127"/>
        <v>6.3900000000000003E-4</v>
      </c>
      <c r="M200" s="295">
        <f t="shared" si="128"/>
        <v>0</v>
      </c>
      <c r="N200" s="163">
        <f t="shared" si="129"/>
        <v>0.04</v>
      </c>
      <c r="P200" s="176"/>
      <c r="Q200" s="295"/>
      <c r="T200" s="613" t="s">
        <v>1190</v>
      </c>
    </row>
    <row r="201" spans="1:20" x14ac:dyDescent="0.2">
      <c r="A201" s="613">
        <f t="shared" si="75"/>
        <v>194</v>
      </c>
      <c r="B201" s="164" t="str">
        <f>'WP1 Light Inventory'!A194</f>
        <v>58E &amp; 59E</v>
      </c>
      <c r="C201" s="164"/>
      <c r="D201" s="327" t="str">
        <f>'WP1 Light Inventory'!D194</f>
        <v>Light Emitting Diode</v>
      </c>
      <c r="E201" s="165" t="str">
        <f>'WP1 Light Inventory'!E194</f>
        <v>LED 210.01-240</v>
      </c>
      <c r="F201" s="364">
        <f>'WP1 Light Inventory'!J194</f>
        <v>10</v>
      </c>
      <c r="G201" s="366">
        <f>'WP12 Condensed Sch. Level Costs'!O193</f>
        <v>78.75</v>
      </c>
      <c r="H201" s="339">
        <f t="shared" si="124"/>
        <v>5.8200000000000005E-4</v>
      </c>
      <c r="I201" s="295">
        <f t="shared" si="125"/>
        <v>6</v>
      </c>
      <c r="J201" s="163">
        <f t="shared" si="126"/>
        <v>0.05</v>
      </c>
      <c r="L201" s="339">
        <f t="shared" si="127"/>
        <v>6.3900000000000003E-4</v>
      </c>
      <c r="M201" s="295">
        <f t="shared" si="128"/>
        <v>6</v>
      </c>
      <c r="N201" s="163">
        <f t="shared" si="129"/>
        <v>0.05</v>
      </c>
      <c r="P201" s="176"/>
      <c r="Q201" s="295"/>
      <c r="T201" s="613" t="s">
        <v>1190</v>
      </c>
    </row>
    <row r="202" spans="1:20" x14ac:dyDescent="0.2">
      <c r="A202" s="613">
        <f t="shared" ref="A202:A212" si="130">A201+1</f>
        <v>195</v>
      </c>
      <c r="B202" s="164" t="str">
        <f>'WP1 Light Inventory'!A195</f>
        <v>58E &amp; 59E</v>
      </c>
      <c r="C202" s="164"/>
      <c r="D202" s="327" t="str">
        <f>'WP1 Light Inventory'!D195</f>
        <v>Light Emitting Diode</v>
      </c>
      <c r="E202" s="165" t="str">
        <f>'WP1 Light Inventory'!E195</f>
        <v>LED 240.01-270</v>
      </c>
      <c r="F202" s="364">
        <f>'WP1 Light Inventory'!J195</f>
        <v>22</v>
      </c>
      <c r="G202" s="366">
        <f>'WP12 Condensed Sch. Level Costs'!O194</f>
        <v>89.25</v>
      </c>
      <c r="H202" s="339">
        <f t="shared" si="124"/>
        <v>5.8200000000000005E-4</v>
      </c>
      <c r="I202" s="295">
        <f t="shared" si="125"/>
        <v>13.200000000000001</v>
      </c>
      <c r="J202" s="163">
        <f t="shared" si="126"/>
        <v>0.05</v>
      </c>
      <c r="L202" s="339">
        <f t="shared" si="127"/>
        <v>6.3900000000000003E-4</v>
      </c>
      <c r="M202" s="295">
        <f t="shared" si="128"/>
        <v>15.839999999999998</v>
      </c>
      <c r="N202" s="163">
        <f t="shared" si="129"/>
        <v>0.06</v>
      </c>
      <c r="P202" s="176"/>
      <c r="Q202" s="295"/>
      <c r="T202" s="613" t="s">
        <v>1190</v>
      </c>
    </row>
    <row r="203" spans="1:20" x14ac:dyDescent="0.2">
      <c r="A203" s="613">
        <f t="shared" si="130"/>
        <v>196</v>
      </c>
      <c r="B203" s="164" t="str">
        <f>'WP1 Light Inventory'!A196</f>
        <v>58E &amp; 59E</v>
      </c>
      <c r="C203" s="164"/>
      <c r="D203" s="327" t="str">
        <f>'WP1 Light Inventory'!D196</f>
        <v>Light Emitting Diode</v>
      </c>
      <c r="E203" s="165" t="str">
        <f>'WP1 Light Inventory'!E196</f>
        <v>LED 270.01-300</v>
      </c>
      <c r="F203" s="364">
        <f>'WP1 Light Inventory'!J196</f>
        <v>0</v>
      </c>
      <c r="G203" s="366">
        <f>'WP12 Condensed Sch. Level Costs'!O195</f>
        <v>99.75</v>
      </c>
      <c r="H203" s="339">
        <f t="shared" si="124"/>
        <v>5.8200000000000005E-4</v>
      </c>
      <c r="I203" s="295">
        <f t="shared" si="125"/>
        <v>0</v>
      </c>
      <c r="J203" s="163">
        <f t="shared" si="126"/>
        <v>0.06</v>
      </c>
      <c r="L203" s="339">
        <f t="shared" si="127"/>
        <v>6.3900000000000003E-4</v>
      </c>
      <c r="M203" s="295">
        <f t="shared" si="128"/>
        <v>0</v>
      </c>
      <c r="N203" s="163">
        <f t="shared" si="129"/>
        <v>0.06</v>
      </c>
      <c r="P203" s="176"/>
      <c r="Q203" s="295"/>
      <c r="T203" s="613" t="s">
        <v>1190</v>
      </c>
    </row>
    <row r="204" spans="1:20" x14ac:dyDescent="0.2">
      <c r="A204" s="613">
        <f t="shared" si="130"/>
        <v>197</v>
      </c>
      <c r="B204" s="164" t="str">
        <f>'WP1 Light Inventory'!A197</f>
        <v>58E &amp; 59E</v>
      </c>
      <c r="C204" s="164"/>
      <c r="D204" s="327" t="str">
        <f>'WP1 Light Inventory'!D197</f>
        <v>Light Emitting Diode</v>
      </c>
      <c r="E204" s="165" t="str">
        <f>'WP1 Light Inventory'!E197</f>
        <v>LED 300.01-400</v>
      </c>
      <c r="F204" s="364">
        <f>'WP1 Light Inventory'!J197</f>
        <v>0</v>
      </c>
      <c r="G204" s="366">
        <f>'WP12 Condensed Sch. Level Costs'!O196</f>
        <v>122.5</v>
      </c>
      <c r="H204" s="339">
        <f t="shared" si="124"/>
        <v>5.8200000000000005E-4</v>
      </c>
      <c r="I204" s="295">
        <f t="shared" si="125"/>
        <v>0</v>
      </c>
      <c r="J204" s="163">
        <f t="shared" si="126"/>
        <v>7.0000000000000007E-2</v>
      </c>
      <c r="L204" s="339">
        <f t="shared" si="127"/>
        <v>6.3900000000000003E-4</v>
      </c>
      <c r="M204" s="295">
        <f t="shared" si="128"/>
        <v>0</v>
      </c>
      <c r="N204" s="163">
        <f t="shared" si="129"/>
        <v>0.08</v>
      </c>
      <c r="P204" s="176"/>
      <c r="Q204" s="295"/>
      <c r="T204" s="613" t="s">
        <v>1190</v>
      </c>
    </row>
    <row r="205" spans="1:20" x14ac:dyDescent="0.2">
      <c r="A205" s="613">
        <f t="shared" si="130"/>
        <v>198</v>
      </c>
      <c r="B205" s="164" t="str">
        <f>'WP1 Light Inventory'!A198</f>
        <v>58E &amp; 59E</v>
      </c>
      <c r="C205" s="164"/>
      <c r="D205" s="327" t="str">
        <f>'WP1 Light Inventory'!D198</f>
        <v>Light Emitting Diode</v>
      </c>
      <c r="E205" s="165" t="str">
        <f>'WP1 Light Inventory'!E198</f>
        <v>LED 400.01-500</v>
      </c>
      <c r="F205" s="364">
        <f>'WP1 Light Inventory'!J198</f>
        <v>0</v>
      </c>
      <c r="G205" s="366">
        <f>'WP12 Condensed Sch. Level Costs'!O197</f>
        <v>157.5</v>
      </c>
      <c r="H205" s="339">
        <f t="shared" si="124"/>
        <v>5.8200000000000005E-4</v>
      </c>
      <c r="I205" s="295">
        <f t="shared" si="125"/>
        <v>0</v>
      </c>
      <c r="J205" s="163">
        <f t="shared" si="126"/>
        <v>0.09</v>
      </c>
      <c r="L205" s="339">
        <f t="shared" si="127"/>
        <v>6.3900000000000003E-4</v>
      </c>
      <c r="M205" s="295">
        <f t="shared" si="128"/>
        <v>0</v>
      </c>
      <c r="N205" s="163">
        <f t="shared" si="129"/>
        <v>0.1</v>
      </c>
      <c r="P205" s="176"/>
      <c r="Q205" s="295"/>
      <c r="T205" s="613" t="s">
        <v>1190</v>
      </c>
    </row>
    <row r="206" spans="1:20" x14ac:dyDescent="0.2">
      <c r="A206" s="613">
        <f t="shared" si="130"/>
        <v>199</v>
      </c>
      <c r="B206" s="164" t="str">
        <f>'WP1 Light Inventory'!A199</f>
        <v>58E &amp; 59E</v>
      </c>
      <c r="C206" s="164"/>
      <c r="D206" s="327" t="str">
        <f>'WP1 Light Inventory'!D199</f>
        <v>Light Emitting Diode</v>
      </c>
      <c r="E206" s="165" t="str">
        <f>'WP1 Light Inventory'!E199</f>
        <v>LED 500.01-600</v>
      </c>
      <c r="F206" s="364">
        <f>'WP1 Light Inventory'!J199</f>
        <v>0</v>
      </c>
      <c r="G206" s="366">
        <f>'WP12 Condensed Sch. Level Costs'!O198</f>
        <v>192.5</v>
      </c>
      <c r="H206" s="339">
        <f t="shared" si="124"/>
        <v>5.8200000000000005E-4</v>
      </c>
      <c r="I206" s="295">
        <f t="shared" si="125"/>
        <v>0</v>
      </c>
      <c r="J206" s="163">
        <f t="shared" si="126"/>
        <v>0.11</v>
      </c>
      <c r="L206" s="339">
        <f t="shared" si="127"/>
        <v>6.3900000000000003E-4</v>
      </c>
      <c r="M206" s="295">
        <f t="shared" si="128"/>
        <v>0</v>
      </c>
      <c r="N206" s="163">
        <f t="shared" si="129"/>
        <v>0.12</v>
      </c>
      <c r="P206" s="176"/>
      <c r="Q206" s="295"/>
      <c r="T206" s="613" t="s">
        <v>1190</v>
      </c>
    </row>
    <row r="207" spans="1:20" x14ac:dyDescent="0.2">
      <c r="A207" s="613">
        <f t="shared" si="130"/>
        <v>200</v>
      </c>
      <c r="B207" s="164" t="str">
        <f>'WP1 Light Inventory'!A200</f>
        <v>58E &amp; 59E</v>
      </c>
      <c r="C207" s="164"/>
      <c r="D207" s="327" t="str">
        <f>'WP1 Light Inventory'!D200</f>
        <v>Light Emitting Diode</v>
      </c>
      <c r="E207" s="165" t="str">
        <f>'WP1 Light Inventory'!E200</f>
        <v>LED 600.01-700</v>
      </c>
      <c r="F207" s="364">
        <f>'WP1 Light Inventory'!J200</f>
        <v>0</v>
      </c>
      <c r="G207" s="366">
        <f>'WP12 Condensed Sch. Level Costs'!O199</f>
        <v>227.5</v>
      </c>
      <c r="H207" s="339">
        <f t="shared" si="124"/>
        <v>5.8200000000000005E-4</v>
      </c>
      <c r="I207" s="295">
        <f t="shared" si="125"/>
        <v>0</v>
      </c>
      <c r="J207" s="163">
        <f t="shared" si="126"/>
        <v>0.13</v>
      </c>
      <c r="L207" s="339">
        <f t="shared" si="127"/>
        <v>6.3900000000000003E-4</v>
      </c>
      <c r="M207" s="295">
        <f t="shared" si="128"/>
        <v>0</v>
      </c>
      <c r="N207" s="163">
        <f t="shared" si="129"/>
        <v>0.15</v>
      </c>
      <c r="P207" s="176"/>
      <c r="Q207" s="295"/>
      <c r="T207" s="613" t="s">
        <v>1190</v>
      </c>
    </row>
    <row r="208" spans="1:20" x14ac:dyDescent="0.2">
      <c r="A208" s="613">
        <f t="shared" si="130"/>
        <v>201</v>
      </c>
      <c r="B208" s="164" t="str">
        <f>'WP1 Light Inventory'!A201</f>
        <v>58E &amp; 59E</v>
      </c>
      <c r="C208" s="164"/>
      <c r="D208" s="327" t="str">
        <f>'WP1 Light Inventory'!D201</f>
        <v>Light Emitting Diode</v>
      </c>
      <c r="E208" s="165" t="str">
        <f>'WP1 Light Inventory'!E201</f>
        <v>LED 700.01-800</v>
      </c>
      <c r="F208" s="364">
        <f>'WP1 Light Inventory'!J201</f>
        <v>0</v>
      </c>
      <c r="G208" s="366">
        <f>'WP12 Condensed Sch. Level Costs'!O200</f>
        <v>262.5</v>
      </c>
      <c r="H208" s="339">
        <f t="shared" si="124"/>
        <v>5.8200000000000005E-4</v>
      </c>
      <c r="I208" s="295">
        <f t="shared" si="125"/>
        <v>0</v>
      </c>
      <c r="J208" s="163">
        <f t="shared" si="126"/>
        <v>0.15</v>
      </c>
      <c r="L208" s="339">
        <f t="shared" si="127"/>
        <v>6.3900000000000003E-4</v>
      </c>
      <c r="M208" s="295">
        <f t="shared" si="128"/>
        <v>0</v>
      </c>
      <c r="N208" s="163">
        <f t="shared" si="129"/>
        <v>0.17</v>
      </c>
      <c r="P208" s="176"/>
      <c r="Q208" s="295"/>
      <c r="T208" s="613" t="s">
        <v>1190</v>
      </c>
    </row>
    <row r="209" spans="1:20" x14ac:dyDescent="0.2">
      <c r="A209" s="613">
        <f t="shared" si="130"/>
        <v>202</v>
      </c>
      <c r="B209" s="164" t="str">
        <f>'WP1 Light Inventory'!A202</f>
        <v>58E &amp; 59E</v>
      </c>
      <c r="C209" s="164"/>
      <c r="D209" s="327" t="str">
        <f>'WP1 Light Inventory'!D202</f>
        <v>Light Emitting Diode</v>
      </c>
      <c r="E209" s="165" t="str">
        <f>'WP1 Light Inventory'!E202</f>
        <v>LED 800.01-900</v>
      </c>
      <c r="F209" s="364">
        <f>'WP1 Light Inventory'!J202</f>
        <v>0</v>
      </c>
      <c r="G209" s="366">
        <f>'WP12 Condensed Sch. Level Costs'!O201</f>
        <v>297.5</v>
      </c>
      <c r="H209" s="339">
        <f t="shared" si="124"/>
        <v>5.8200000000000005E-4</v>
      </c>
      <c r="I209" s="295">
        <f t="shared" si="125"/>
        <v>0</v>
      </c>
      <c r="J209" s="163">
        <f t="shared" si="126"/>
        <v>0.17</v>
      </c>
      <c r="L209" s="339">
        <f t="shared" si="127"/>
        <v>6.3900000000000003E-4</v>
      </c>
      <c r="M209" s="295">
        <f t="shared" si="128"/>
        <v>0</v>
      </c>
      <c r="N209" s="163">
        <f t="shared" si="129"/>
        <v>0.19</v>
      </c>
      <c r="P209" s="176"/>
      <c r="Q209" s="295"/>
      <c r="T209" s="613" t="s">
        <v>1190</v>
      </c>
    </row>
    <row r="210" spans="1:20" x14ac:dyDescent="0.2">
      <c r="A210" s="613">
        <f t="shared" si="130"/>
        <v>203</v>
      </c>
      <c r="B210" s="164"/>
      <c r="C210" s="164"/>
      <c r="D210" s="327"/>
      <c r="E210" s="165"/>
      <c r="F210" s="364"/>
      <c r="G210" s="399"/>
      <c r="H210" s="342"/>
      <c r="I210" s="295"/>
      <c r="L210" s="342"/>
      <c r="M210" s="295"/>
      <c r="P210" s="342"/>
      <c r="Q210" s="295"/>
    </row>
    <row r="211" spans="1:20" x14ac:dyDescent="0.2">
      <c r="A211" s="613">
        <f t="shared" si="130"/>
        <v>204</v>
      </c>
      <c r="B211" s="164" t="s">
        <v>247</v>
      </c>
      <c r="C211" s="164"/>
      <c r="D211" s="327"/>
      <c r="E211" s="165"/>
      <c r="F211" s="364"/>
      <c r="G211" s="399"/>
      <c r="H211" s="342"/>
      <c r="I211" s="295"/>
      <c r="L211" s="342"/>
      <c r="M211" s="295"/>
      <c r="P211" s="342"/>
      <c r="Q211" s="295"/>
    </row>
    <row r="212" spans="1:20" x14ac:dyDescent="0.2">
      <c r="A212" s="613">
        <f t="shared" si="130"/>
        <v>205</v>
      </c>
      <c r="B212" s="164" t="str">
        <f>'WP1 Light Inventory'!A204</f>
        <v>57E</v>
      </c>
      <c r="C212" s="164"/>
      <c r="D212" s="327" t="str">
        <f>'WP1 Light Inventory'!D204</f>
        <v>Per W charge</v>
      </c>
      <c r="E212" s="596"/>
      <c r="F212" s="224">
        <f>G220</f>
        <v>5370526</v>
      </c>
      <c r="G212" s="364">
        <f>+F212/G221</f>
        <v>11226169</v>
      </c>
      <c r="H212" s="339">
        <f>$Y$8</f>
        <v>5.8200000000000005E-4</v>
      </c>
      <c r="I212" s="295">
        <f>+H212*F212</f>
        <v>3125.6461320000003</v>
      </c>
      <c r="J212" s="166">
        <f>ROUND(+I212/G212,5)</f>
        <v>2.7999999999999998E-4</v>
      </c>
      <c r="K212" s="166"/>
      <c r="L212" s="339">
        <f t="shared" ref="L212" si="131">$Y$9</f>
        <v>6.3900000000000003E-4</v>
      </c>
      <c r="M212" s="295">
        <f>+L212*F212</f>
        <v>3431.766114</v>
      </c>
      <c r="N212" s="166">
        <f>ROUND(+M212/G212,5)</f>
        <v>3.1E-4</v>
      </c>
      <c r="O212" s="166"/>
      <c r="P212" s="176"/>
      <c r="Q212" s="295"/>
      <c r="R212" s="166"/>
      <c r="S212" s="166"/>
      <c r="T212" s="613" t="s">
        <v>1188</v>
      </c>
    </row>
    <row r="213" spans="1:20" x14ac:dyDescent="0.2">
      <c r="B213" s="164"/>
      <c r="C213" s="164"/>
      <c r="D213" s="327"/>
      <c r="E213" s="165"/>
      <c r="F213" s="596" t="s">
        <v>664</v>
      </c>
      <c r="G213" s="399" t="s">
        <v>663</v>
      </c>
      <c r="H213" s="342"/>
      <c r="I213" s="295"/>
      <c r="L213" s="342"/>
      <c r="M213" s="295"/>
      <c r="P213" s="342"/>
      <c r="Q213" s="295"/>
    </row>
    <row r="214" spans="1:20" x14ac:dyDescent="0.2">
      <c r="B214" s="164"/>
      <c r="C214" s="164"/>
      <c r="D214" s="327"/>
      <c r="E214" s="165"/>
      <c r="F214" s="342"/>
      <c r="G214" s="399"/>
      <c r="H214" s="342"/>
      <c r="L214" s="342"/>
      <c r="P214" s="342"/>
    </row>
    <row r="215" spans="1:20" ht="10.8" thickBot="1" x14ac:dyDescent="0.25">
      <c r="B215" s="164"/>
      <c r="C215" s="164"/>
      <c r="D215" s="327"/>
      <c r="E215" s="165"/>
      <c r="F215" s="173"/>
      <c r="G215" s="173" t="s">
        <v>19</v>
      </c>
      <c r="H215" s="342"/>
      <c r="I215" s="147">
        <f>SUM(I10:I213)</f>
        <v>35980.686132000003</v>
      </c>
      <c r="L215" s="342"/>
      <c r="M215" s="147">
        <f>SUM(M10:M213)</f>
        <v>38189.766113999991</v>
      </c>
      <c r="P215" s="342"/>
      <c r="Q215" s="174"/>
    </row>
    <row r="216" spans="1:20" ht="11.4" thickTop="1" thickBot="1" x14ac:dyDescent="0.25">
      <c r="B216" s="164"/>
      <c r="C216" s="164"/>
      <c r="D216" s="327"/>
      <c r="E216" s="165"/>
      <c r="F216" s="173"/>
      <c r="G216" s="173"/>
      <c r="H216" s="342"/>
      <c r="I216" s="365"/>
      <c r="L216" s="223"/>
      <c r="M216" s="365"/>
      <c r="P216" s="223"/>
      <c r="Q216" s="365"/>
    </row>
    <row r="217" spans="1:20" x14ac:dyDescent="0.2">
      <c r="B217" s="164"/>
      <c r="C217" s="164"/>
      <c r="D217" s="352"/>
      <c r="E217" s="353"/>
      <c r="F217" s="354"/>
      <c r="G217" s="355"/>
      <c r="H217" s="342"/>
      <c r="I217" s="401"/>
      <c r="L217" s="223"/>
      <c r="M217" s="401"/>
      <c r="P217" s="223"/>
      <c r="Q217" s="401"/>
    </row>
    <row r="218" spans="1:20" x14ac:dyDescent="0.2">
      <c r="B218" s="164"/>
      <c r="C218" s="164"/>
      <c r="D218" s="356" t="s">
        <v>694</v>
      </c>
      <c r="E218" s="165"/>
      <c r="F218" s="596"/>
      <c r="G218" s="357"/>
      <c r="H218" s="342"/>
      <c r="L218" s="342"/>
      <c r="P218" s="342"/>
    </row>
    <row r="219" spans="1:20" x14ac:dyDescent="0.2">
      <c r="B219" s="164"/>
      <c r="C219" s="164"/>
      <c r="D219" s="358" t="s">
        <v>693</v>
      </c>
      <c r="E219" s="165"/>
      <c r="F219" s="596"/>
      <c r="G219" s="357">
        <v>11226169</v>
      </c>
      <c r="H219" s="342"/>
      <c r="L219" s="342"/>
      <c r="P219" s="342"/>
    </row>
    <row r="220" spans="1:20" x14ac:dyDescent="0.2">
      <c r="B220" s="164"/>
      <c r="C220" s="164"/>
      <c r="D220" s="358" t="s">
        <v>708</v>
      </c>
      <c r="E220" s="165"/>
      <c r="F220" s="596"/>
      <c r="G220" s="357">
        <v>5370526</v>
      </c>
      <c r="H220" s="342"/>
      <c r="L220" s="342"/>
      <c r="P220" s="342"/>
    </row>
    <row r="221" spans="1:20" ht="10.8" thickBot="1" x14ac:dyDescent="0.25">
      <c r="B221" s="164"/>
      <c r="C221" s="164"/>
      <c r="D221" s="359" t="s">
        <v>662</v>
      </c>
      <c r="E221" s="360"/>
      <c r="F221" s="361"/>
      <c r="G221" s="362">
        <f>+G220/G219</f>
        <v>0.47839347510268193</v>
      </c>
      <c r="H221" s="342"/>
      <c r="L221" s="342"/>
      <c r="P221" s="342"/>
    </row>
    <row r="222" spans="1:20" x14ac:dyDescent="0.2">
      <c r="B222" s="245"/>
      <c r="C222" s="245"/>
    </row>
    <row r="224" spans="1:20" x14ac:dyDescent="0.2">
      <c r="B224" s="245"/>
      <c r="C224" s="245"/>
    </row>
    <row r="225" spans="2:3" x14ac:dyDescent="0.2">
      <c r="B225" s="245"/>
      <c r="C225" s="245"/>
    </row>
    <row r="226" spans="2:3" ht="13.8" x14ac:dyDescent="0.3">
      <c r="C226" s="641"/>
    </row>
  </sheetData>
  <mergeCells count="9">
    <mergeCell ref="W6:Y6"/>
    <mergeCell ref="A1:U1"/>
    <mergeCell ref="A2:U2"/>
    <mergeCell ref="A3:U3"/>
    <mergeCell ref="A4:U4"/>
    <mergeCell ref="H6:J6"/>
    <mergeCell ref="L6:N6"/>
    <mergeCell ref="P6:R6"/>
    <mergeCell ref="L5:R5"/>
  </mergeCells>
  <pageMargins left="0.7" right="0.7" top="0.75" bottom="0.75" header="0.3" footer="0.3"/>
  <pageSetup scale="48"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228"/>
  <sheetViews>
    <sheetView tabSelected="1" zoomScaleNormal="100" workbookViewId="0">
      <pane ySplit="7" topLeftCell="A8" activePane="bottomLeft" state="frozen"/>
      <selection activeCell="D32" sqref="D32"/>
      <selection pane="bottomLeft" activeCell="M9" sqref="M9"/>
    </sheetView>
  </sheetViews>
  <sheetFormatPr defaultColWidth="9.109375" defaultRowHeight="10.199999999999999" x14ac:dyDescent="0.2"/>
  <cols>
    <col min="1" max="1" width="4.6640625" style="613" customWidth="1"/>
    <col min="2" max="2" width="10.6640625" style="244" bestFit="1" customWidth="1"/>
    <col min="3" max="3" width="16.44140625" style="244" bestFit="1" customWidth="1"/>
    <col min="4" max="4" width="38.88671875" style="244" bestFit="1" customWidth="1"/>
    <col min="5" max="5" width="12.109375" style="244" bestFit="1" customWidth="1"/>
    <col min="6" max="6" width="10.109375" style="244" customWidth="1"/>
    <col min="7" max="7" width="10.5546875" style="364" bestFit="1" customWidth="1"/>
    <col min="8" max="8" width="8.88671875" style="244" bestFit="1" customWidth="1"/>
    <col min="9" max="9" width="12" style="364" bestFit="1" customWidth="1"/>
    <col min="10" max="10" width="12.6640625" style="163" bestFit="1" customWidth="1"/>
    <col min="11" max="11" width="0.6640625" style="163" customWidth="1"/>
    <col min="12" max="12" width="8.88671875" style="244" bestFit="1" customWidth="1"/>
    <col min="13" max="13" width="12" style="364" bestFit="1" customWidth="1"/>
    <col min="14" max="14" width="12.6640625" style="163" bestFit="1" customWidth="1"/>
    <col min="15" max="15" width="0.6640625" style="163" customWidth="1"/>
    <col min="16" max="16" width="9.44140625" style="244" bestFit="1" customWidth="1"/>
    <col min="17" max="17" width="12" style="364" bestFit="1" customWidth="1"/>
    <col min="18" max="18" width="12.6640625" style="163" bestFit="1" customWidth="1"/>
    <col min="19" max="19" width="0.6640625" style="163" customWidth="1"/>
    <col min="20" max="20" width="13.88671875" style="317" bestFit="1" customWidth="1"/>
    <col min="21" max="21" width="0.6640625" style="244" customWidth="1"/>
    <col min="22" max="22" width="9.33203125" style="244" bestFit="1" customWidth="1"/>
    <col min="23" max="23" width="10.44140625" style="244" bestFit="1" customWidth="1"/>
    <col min="24" max="24" width="12.6640625" style="244" bestFit="1" customWidth="1"/>
    <col min="25" max="25" width="10" style="244" bestFit="1" customWidth="1"/>
    <col min="26" max="26" width="1.44140625" style="244" customWidth="1"/>
    <col min="27" max="27" width="10.33203125" style="244" bestFit="1" customWidth="1"/>
    <col min="28" max="28" width="10.44140625" style="244" bestFit="1" customWidth="1"/>
    <col min="29" max="29" width="1.44140625" style="244" customWidth="1"/>
    <col min="30" max="31" width="10.33203125" style="244" bestFit="1" customWidth="1"/>
    <col min="32" max="32" width="1.44140625" style="244" customWidth="1"/>
    <col min="33" max="33" width="9.33203125" style="244" bestFit="1" customWidth="1"/>
    <col min="34" max="34" width="10" style="244" bestFit="1" customWidth="1"/>
    <col min="35" max="16384" width="9.109375" style="244"/>
  </cols>
  <sheetData>
    <row r="1" spans="1:34" ht="14.4" x14ac:dyDescent="0.3">
      <c r="A1" s="729" t="str">
        <f>'BDJ-6 Base Revenue (Summary)'!A1:I1</f>
        <v>Puget Sound Energy</v>
      </c>
      <c r="B1" s="729"/>
      <c r="C1" s="729"/>
      <c r="D1" s="729"/>
      <c r="E1" s="729"/>
      <c r="F1" s="729"/>
      <c r="G1" s="729"/>
      <c r="H1" s="729"/>
      <c r="I1" s="729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</row>
    <row r="2" spans="1:34" ht="14.4" x14ac:dyDescent="0.3">
      <c r="A2" s="729" t="s">
        <v>690</v>
      </c>
      <c r="B2" s="729"/>
      <c r="C2" s="729"/>
      <c r="D2" s="729"/>
      <c r="E2" s="729"/>
      <c r="F2" s="729"/>
      <c r="G2" s="729"/>
      <c r="H2" s="729"/>
      <c r="I2" s="729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</row>
    <row r="3" spans="1:34" ht="15" customHeight="1" x14ac:dyDescent="0.3">
      <c r="A3" s="729" t="str">
        <f>'BDJ-6 Base Revenue (Summary)'!A3:I3</f>
        <v>Current Base Rate vs Proposed</v>
      </c>
      <c r="B3" s="729"/>
      <c r="C3" s="729"/>
      <c r="D3" s="729"/>
      <c r="E3" s="729"/>
      <c r="F3" s="729"/>
      <c r="G3" s="729"/>
      <c r="H3" s="729"/>
      <c r="I3" s="729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34" ht="15" customHeight="1" x14ac:dyDescent="0.2">
      <c r="A4" s="729" t="str">
        <f>'BDJ-6 Base Revenue (Summary)'!A5:I5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</row>
    <row r="5" spans="1:34" ht="15" thickBot="1" x14ac:dyDescent="0.35">
      <c r="A5" s="609"/>
      <c r="B5" s="609"/>
      <c r="C5" s="609"/>
      <c r="D5" s="609"/>
      <c r="E5" s="609"/>
      <c r="F5" s="609"/>
      <c r="G5" s="609"/>
      <c r="H5" s="609"/>
      <c r="I5" s="609"/>
      <c r="J5" s="612"/>
      <c r="K5" s="612"/>
      <c r="L5" s="609"/>
      <c r="M5" s="609"/>
      <c r="N5" s="612"/>
      <c r="O5" s="612"/>
      <c r="P5" s="609"/>
      <c r="Q5" s="609"/>
      <c r="R5" s="612"/>
      <c r="S5" s="612"/>
      <c r="T5" s="612"/>
      <c r="U5" s="612"/>
    </row>
    <row r="6" spans="1:34" ht="15" thickBot="1" x14ac:dyDescent="0.35">
      <c r="H6" s="732" t="s">
        <v>704</v>
      </c>
      <c r="I6" s="733"/>
      <c r="J6" s="769"/>
      <c r="L6" s="732" t="s">
        <v>705</v>
      </c>
      <c r="M6" s="733"/>
      <c r="N6" s="769"/>
      <c r="P6" s="732" t="s">
        <v>706</v>
      </c>
      <c r="Q6" s="733"/>
      <c r="R6" s="769"/>
      <c r="W6" s="732" t="s">
        <v>702</v>
      </c>
      <c r="X6" s="733"/>
      <c r="Y6" s="769"/>
    </row>
    <row r="7" spans="1:34" s="300" customFormat="1" ht="60.75" customHeight="1" x14ac:dyDescent="0.2">
      <c r="A7" s="617" t="s">
        <v>1</v>
      </c>
      <c r="B7" s="617" t="s">
        <v>53</v>
      </c>
      <c r="C7" s="617"/>
      <c r="D7" s="617" t="s">
        <v>67</v>
      </c>
      <c r="E7" s="617" t="s">
        <v>160</v>
      </c>
      <c r="F7" s="172" t="s">
        <v>691</v>
      </c>
      <c r="G7" s="171" t="s">
        <v>968</v>
      </c>
      <c r="H7" s="617" t="s">
        <v>700</v>
      </c>
      <c r="I7" s="614" t="s">
        <v>709</v>
      </c>
      <c r="J7" s="725" t="s">
        <v>715</v>
      </c>
      <c r="K7" s="81"/>
      <c r="L7" s="617" t="s">
        <v>700</v>
      </c>
      <c r="M7" s="614" t="s">
        <v>709</v>
      </c>
      <c r="N7" s="725" t="s">
        <v>715</v>
      </c>
      <c r="O7" s="81"/>
      <c r="P7" s="617" t="s">
        <v>700</v>
      </c>
      <c r="Q7" s="614" t="s">
        <v>709</v>
      </c>
      <c r="R7" s="81" t="s">
        <v>715</v>
      </c>
      <c r="S7" s="40"/>
      <c r="T7" s="614" t="s">
        <v>665</v>
      </c>
      <c r="V7" s="244"/>
      <c r="W7" s="171" t="s">
        <v>710</v>
      </c>
      <c r="X7" s="171" t="s">
        <v>701</v>
      </c>
      <c r="Y7" s="171" t="s">
        <v>703</v>
      </c>
      <c r="AA7" s="715" t="s">
        <v>1202</v>
      </c>
      <c r="AB7" s="716" t="s">
        <v>1200</v>
      </c>
      <c r="AD7" s="715" t="s">
        <v>1202</v>
      </c>
      <c r="AE7" s="716" t="s">
        <v>1200</v>
      </c>
      <c r="AG7" s="715" t="s">
        <v>1202</v>
      </c>
      <c r="AH7" s="716" t="s">
        <v>1200</v>
      </c>
    </row>
    <row r="8" spans="1:34" x14ac:dyDescent="0.2">
      <c r="A8" s="613">
        <v>1</v>
      </c>
      <c r="B8" s="596"/>
      <c r="C8" s="175"/>
      <c r="D8" s="363"/>
      <c r="E8" s="170"/>
      <c r="F8" s="364"/>
      <c r="G8" s="397"/>
      <c r="H8" s="169"/>
      <c r="I8" s="596"/>
      <c r="J8" s="726"/>
      <c r="K8" s="168"/>
      <c r="L8" s="169"/>
      <c r="M8" s="596"/>
      <c r="N8" s="726"/>
      <c r="O8" s="168"/>
      <c r="P8" s="169"/>
      <c r="Q8" s="596"/>
      <c r="R8" s="168"/>
      <c r="S8" s="168"/>
      <c r="V8" s="175" t="s">
        <v>697</v>
      </c>
      <c r="W8" s="645">
        <f>'Rate Spread Lighting'!$U$27*1000</f>
        <v>2792467.4077684362</v>
      </c>
      <c r="X8" s="689">
        <f>'[1]Exhibit No.__(BDJ-MYRP)'!$I$143</f>
        <v>62703000</v>
      </c>
      <c r="Y8" s="167">
        <f>ROUND(W8/X8,6)</f>
        <v>4.4534999999999998E-2</v>
      </c>
      <c r="AA8" s="717">
        <v>3929316</v>
      </c>
      <c r="AB8" s="718">
        <f>W8-AA8</f>
        <v>-1136848.5922315638</v>
      </c>
      <c r="AD8" s="720">
        <v>62703000</v>
      </c>
      <c r="AE8" s="718">
        <f>X8-AD8</f>
        <v>0</v>
      </c>
      <c r="AG8" s="721">
        <v>6.2665999999999999E-2</v>
      </c>
      <c r="AH8" s="722">
        <f>Y8-AG8</f>
        <v>-1.8131000000000001E-2</v>
      </c>
    </row>
    <row r="9" spans="1:34" x14ac:dyDescent="0.2">
      <c r="A9" s="613">
        <f t="shared" ref="A9:A72" si="0">A8+1</f>
        <v>2</v>
      </c>
      <c r="B9" s="596"/>
      <c r="C9" s="175"/>
      <c r="D9" s="363"/>
      <c r="E9" s="170"/>
      <c r="F9" s="364"/>
      <c r="G9" s="397"/>
      <c r="H9" s="169"/>
      <c r="I9" s="596"/>
      <c r="J9" s="726"/>
      <c r="K9" s="168"/>
      <c r="L9" s="169"/>
      <c r="M9" s="596"/>
      <c r="N9" s="726"/>
      <c r="O9" s="168"/>
      <c r="P9" s="169"/>
      <c r="Q9" s="596"/>
      <c r="R9" s="168"/>
      <c r="S9" s="168"/>
      <c r="V9" s="175" t="s">
        <v>698</v>
      </c>
      <c r="W9" s="645">
        <f>'Rate Spread Lighting'!$V$27*1000</f>
        <v>1897279.8334782636</v>
      </c>
      <c r="X9" s="689">
        <f>'[1]Exhibit No.__(BDJ-MYRP)'!$O$143</f>
        <v>61382000</v>
      </c>
      <c r="Y9" s="167">
        <f>ROUND(W9/X9,6)</f>
        <v>3.0908999999999999E-2</v>
      </c>
      <c r="AA9" s="717">
        <v>3050818</v>
      </c>
      <c r="AB9" s="718">
        <f>W9-AA9</f>
        <v>-1153538.1665217364</v>
      </c>
      <c r="AD9" s="720">
        <v>61382000</v>
      </c>
      <c r="AE9" s="718">
        <f>X9-AD9</f>
        <v>0</v>
      </c>
      <c r="AG9" s="721">
        <v>4.9702000000000003E-2</v>
      </c>
      <c r="AH9" s="722">
        <f>Y9-AG9</f>
        <v>-1.8793000000000004E-2</v>
      </c>
    </row>
    <row r="10" spans="1:34" ht="10.8" thickBot="1" x14ac:dyDescent="0.25">
      <c r="A10" s="613">
        <f t="shared" si="0"/>
        <v>3</v>
      </c>
      <c r="B10" s="596"/>
      <c r="C10" s="175"/>
      <c r="D10" s="363"/>
      <c r="E10" s="170"/>
      <c r="F10" s="364"/>
      <c r="G10" s="397"/>
      <c r="H10" s="169"/>
      <c r="I10" s="596"/>
      <c r="J10" s="726"/>
      <c r="K10" s="168"/>
      <c r="L10" s="169"/>
      <c r="M10" s="596"/>
      <c r="N10" s="726"/>
      <c r="O10" s="168"/>
      <c r="P10" s="169"/>
      <c r="Q10" s="596"/>
      <c r="R10" s="168"/>
      <c r="S10" s="168"/>
      <c r="V10" s="175" t="s">
        <v>699</v>
      </c>
      <c r="W10" s="363"/>
      <c r="X10" s="364"/>
      <c r="Y10" s="167"/>
      <c r="AA10" s="719"/>
      <c r="AB10" s="707"/>
      <c r="AD10" s="719"/>
      <c r="AE10" s="707"/>
      <c r="AG10" s="719"/>
      <c r="AH10" s="707"/>
    </row>
    <row r="11" spans="1:34" x14ac:dyDescent="0.2">
      <c r="A11" s="613">
        <f t="shared" si="0"/>
        <v>4</v>
      </c>
      <c r="B11" s="164" t="s">
        <v>134</v>
      </c>
      <c r="C11" s="164"/>
      <c r="F11" s="364"/>
      <c r="G11" s="399"/>
      <c r="H11" s="596"/>
      <c r="I11" s="244"/>
      <c r="J11" s="727"/>
      <c r="L11" s="596"/>
      <c r="M11" s="244"/>
      <c r="N11" s="727"/>
      <c r="P11" s="596"/>
      <c r="Q11" s="244"/>
    </row>
    <row r="12" spans="1:34" x14ac:dyDescent="0.2">
      <c r="A12" s="613">
        <f t="shared" si="0"/>
        <v>5</v>
      </c>
      <c r="B12" s="164">
        <f>'WP1 Light Inventory'!A9</f>
        <v>3</v>
      </c>
      <c r="C12" s="164"/>
      <c r="D12" s="327" t="str">
        <f>'WP1 Light Inventory'!D9</f>
        <v>Compact Fluorescent</v>
      </c>
      <c r="E12" s="165" t="str">
        <f>'WP1 Light Inventory'!E9</f>
        <v>CF 22</v>
      </c>
      <c r="F12" s="364">
        <f>'WP1 Light Inventory'!J9</f>
        <v>59</v>
      </c>
      <c r="G12" s="366">
        <f>'WP12 Condensed Sch. Level Costs'!O8</f>
        <v>7.7</v>
      </c>
      <c r="H12" s="339">
        <f>$Y$8</f>
        <v>4.4534999999999998E-2</v>
      </c>
      <c r="I12" s="295">
        <f>+F12*J12*12</f>
        <v>240.72000000000003</v>
      </c>
      <c r="J12" s="727">
        <f>ROUND(+H12*G12,2)</f>
        <v>0.34</v>
      </c>
      <c r="L12" s="339">
        <f>$Y$9</f>
        <v>3.0908999999999999E-2</v>
      </c>
      <c r="M12" s="295">
        <f>+F12*N12*12</f>
        <v>169.92000000000002</v>
      </c>
      <c r="N12" s="727">
        <f>ROUND(+L12*G12,2)</f>
        <v>0.24</v>
      </c>
      <c r="P12" s="176"/>
      <c r="Q12" s="295"/>
      <c r="T12" s="613" t="s">
        <v>1140</v>
      </c>
    </row>
    <row r="13" spans="1:34" x14ac:dyDescent="0.2">
      <c r="A13" s="613">
        <f t="shared" si="0"/>
        <v>6</v>
      </c>
      <c r="B13" s="164"/>
      <c r="C13" s="164"/>
      <c r="D13" s="327"/>
      <c r="E13" s="165"/>
      <c r="F13" s="364"/>
      <c r="G13" s="399"/>
      <c r="H13" s="342"/>
      <c r="I13" s="295"/>
      <c r="J13" s="727"/>
      <c r="L13" s="342"/>
      <c r="M13" s="295"/>
      <c r="N13" s="727"/>
      <c r="P13" s="342"/>
      <c r="Q13" s="295"/>
      <c r="T13" s="613"/>
    </row>
    <row r="14" spans="1:34" x14ac:dyDescent="0.2">
      <c r="A14" s="613">
        <f t="shared" si="0"/>
        <v>7</v>
      </c>
      <c r="B14" s="164" t="str">
        <f>'WP1 Light Inventory'!A11</f>
        <v>50E-A</v>
      </c>
      <c r="C14" s="164"/>
      <c r="D14" s="327" t="str">
        <f>'WP1 Light Inventory'!D11</f>
        <v>Mercury Vapor</v>
      </c>
      <c r="E14" s="165" t="str">
        <f>'WP1 Light Inventory'!E11</f>
        <v>MV 100</v>
      </c>
      <c r="F14" s="364">
        <f>'WP1 Light Inventory'!J11</f>
        <v>2</v>
      </c>
      <c r="G14" s="366">
        <f>'WP12 Condensed Sch. Level Costs'!O10</f>
        <v>35</v>
      </c>
      <c r="H14" s="339">
        <f t="shared" ref="H14:H16" si="1">$Y$8</f>
        <v>4.4534999999999998E-2</v>
      </c>
      <c r="I14" s="295">
        <f t="shared" ref="I14:I16" si="2">+F14*J14*12</f>
        <v>37.44</v>
      </c>
      <c r="J14" s="727">
        <f t="shared" ref="J14:J16" si="3">ROUND(+H14*G14,2)</f>
        <v>1.56</v>
      </c>
      <c r="L14" s="339">
        <f t="shared" ref="L14:L16" si="4">$Y$9</f>
        <v>3.0908999999999999E-2</v>
      </c>
      <c r="M14" s="295">
        <f t="shared" ref="M14:M16" si="5">+F14*N14*12</f>
        <v>25.92</v>
      </c>
      <c r="N14" s="727">
        <f t="shared" ref="N14:N16" si="6">ROUND(+L14*G14,2)</f>
        <v>1.08</v>
      </c>
      <c r="P14" s="176"/>
      <c r="Q14" s="295"/>
      <c r="T14" s="613" t="s">
        <v>1140</v>
      </c>
    </row>
    <row r="15" spans="1:34" x14ac:dyDescent="0.2">
      <c r="A15" s="613">
        <f t="shared" si="0"/>
        <v>8</v>
      </c>
      <c r="B15" s="164" t="str">
        <f>'WP1 Light Inventory'!A12</f>
        <v>50E-A</v>
      </c>
      <c r="C15" s="164"/>
      <c r="D15" s="327" t="str">
        <f>'WP1 Light Inventory'!D12</f>
        <v>Mercury Vapor</v>
      </c>
      <c r="E15" s="165" t="str">
        <f>'WP1 Light Inventory'!E12</f>
        <v>MV 175</v>
      </c>
      <c r="F15" s="364">
        <f>'WP1 Light Inventory'!J12</f>
        <v>19</v>
      </c>
      <c r="G15" s="366">
        <f>'WP12 Condensed Sch. Level Costs'!O11</f>
        <v>61.25</v>
      </c>
      <c r="H15" s="339">
        <f t="shared" si="1"/>
        <v>4.4534999999999998E-2</v>
      </c>
      <c r="I15" s="295">
        <f t="shared" si="2"/>
        <v>622.43999999999994</v>
      </c>
      <c r="J15" s="727">
        <f t="shared" si="3"/>
        <v>2.73</v>
      </c>
      <c r="L15" s="339">
        <f t="shared" si="4"/>
        <v>3.0908999999999999E-2</v>
      </c>
      <c r="M15" s="295">
        <f t="shared" si="5"/>
        <v>430.91999999999996</v>
      </c>
      <c r="N15" s="727">
        <f t="shared" si="6"/>
        <v>1.89</v>
      </c>
      <c r="P15" s="176"/>
      <c r="Q15" s="295"/>
      <c r="T15" s="613" t="s">
        <v>1140</v>
      </c>
    </row>
    <row r="16" spans="1:34" x14ac:dyDescent="0.2">
      <c r="A16" s="613">
        <f t="shared" si="0"/>
        <v>9</v>
      </c>
      <c r="B16" s="164" t="str">
        <f>'WP1 Light Inventory'!A13</f>
        <v>50E-A</v>
      </c>
      <c r="C16" s="164"/>
      <c r="D16" s="327" t="str">
        <f>'WP1 Light Inventory'!D13</f>
        <v>Mercury Vapor</v>
      </c>
      <c r="E16" s="165" t="str">
        <f>'WP1 Light Inventory'!E13</f>
        <v>MV 400</v>
      </c>
      <c r="F16" s="364">
        <f>'WP1 Light Inventory'!J13</f>
        <v>20</v>
      </c>
      <c r="G16" s="366">
        <f>'WP12 Condensed Sch. Level Costs'!O12</f>
        <v>140</v>
      </c>
      <c r="H16" s="339">
        <f t="shared" si="1"/>
        <v>4.4534999999999998E-2</v>
      </c>
      <c r="I16" s="295">
        <f t="shared" si="2"/>
        <v>1495.2</v>
      </c>
      <c r="J16" s="727">
        <f t="shared" si="3"/>
        <v>6.23</v>
      </c>
      <c r="L16" s="339">
        <f t="shared" si="4"/>
        <v>3.0908999999999999E-2</v>
      </c>
      <c r="M16" s="295">
        <f t="shared" si="5"/>
        <v>1039.1999999999998</v>
      </c>
      <c r="N16" s="727">
        <f t="shared" si="6"/>
        <v>4.33</v>
      </c>
      <c r="P16" s="176"/>
      <c r="Q16" s="295"/>
      <c r="T16" s="613" t="s">
        <v>1140</v>
      </c>
    </row>
    <row r="17" spans="1:20" x14ac:dyDescent="0.2">
      <c r="A17" s="613">
        <f t="shared" si="0"/>
        <v>10</v>
      </c>
      <c r="B17" s="164"/>
      <c r="C17" s="164"/>
      <c r="D17" s="327"/>
      <c r="E17" s="165"/>
      <c r="F17" s="364"/>
      <c r="G17" s="399"/>
      <c r="H17" s="342"/>
      <c r="I17" s="295"/>
      <c r="J17" s="727"/>
      <c r="L17" s="342"/>
      <c r="M17" s="295"/>
      <c r="N17" s="727"/>
      <c r="P17" s="342"/>
      <c r="Q17" s="295"/>
    </row>
    <row r="18" spans="1:20" x14ac:dyDescent="0.2">
      <c r="A18" s="613">
        <f t="shared" si="0"/>
        <v>11</v>
      </c>
      <c r="B18" s="164" t="str">
        <f>'WP1 Light Inventory'!A15</f>
        <v>50E-B</v>
      </c>
      <c r="C18" s="164" t="str">
        <f>'WP1 Light Inventory'!C15</f>
        <v>Energy Only</v>
      </c>
      <c r="D18" s="327" t="str">
        <f>'WP1 Light Inventory'!D15</f>
        <v>Mercury Vapor</v>
      </c>
      <c r="E18" s="165" t="str">
        <f>'WP1 Light Inventory'!E15</f>
        <v>MV 100</v>
      </c>
      <c r="F18" s="364">
        <f>'WP1 Light Inventory'!J15</f>
        <v>0</v>
      </c>
      <c r="G18" s="366">
        <f>'WP12 Condensed Sch. Level Costs'!O14</f>
        <v>35</v>
      </c>
      <c r="H18" s="339">
        <f t="shared" ref="H18:H21" si="7">$Y$8</f>
        <v>4.4534999999999998E-2</v>
      </c>
      <c r="I18" s="295">
        <f t="shared" ref="I18:I21" si="8">+F18*J18*12</f>
        <v>0</v>
      </c>
      <c r="J18" s="727">
        <f t="shared" ref="J18:J21" si="9">ROUND(+H18*G18,2)</f>
        <v>1.56</v>
      </c>
      <c r="L18" s="339">
        <f t="shared" ref="L18:L21" si="10">$Y$9</f>
        <v>3.0908999999999999E-2</v>
      </c>
      <c r="M18" s="295">
        <f t="shared" ref="M18:M21" si="11">+F18*N18*12</f>
        <v>0</v>
      </c>
      <c r="N18" s="727">
        <f t="shared" ref="N18:N21" si="12">ROUND(+L18*G18,2)</f>
        <v>1.08</v>
      </c>
      <c r="P18" s="176"/>
      <c r="Q18" s="295"/>
      <c r="T18" s="613" t="s">
        <v>1140</v>
      </c>
    </row>
    <row r="19" spans="1:20" x14ac:dyDescent="0.2">
      <c r="A19" s="613">
        <f t="shared" si="0"/>
        <v>12</v>
      </c>
      <c r="B19" s="164" t="str">
        <f>'WP1 Light Inventory'!A16</f>
        <v>50E-B</v>
      </c>
      <c r="C19" s="164" t="str">
        <f>'WP1 Light Inventory'!C16</f>
        <v>Energy Only</v>
      </c>
      <c r="D19" s="327" t="str">
        <f>'WP1 Light Inventory'!D16</f>
        <v>Mercury Vapor</v>
      </c>
      <c r="E19" s="165" t="str">
        <f>'WP1 Light Inventory'!E16</f>
        <v>MV 175</v>
      </c>
      <c r="F19" s="364">
        <f>'WP1 Light Inventory'!J16</f>
        <v>1</v>
      </c>
      <c r="G19" s="366">
        <f>'WP12 Condensed Sch. Level Costs'!O15</f>
        <v>61.25</v>
      </c>
      <c r="H19" s="339">
        <f t="shared" si="7"/>
        <v>4.4534999999999998E-2</v>
      </c>
      <c r="I19" s="295">
        <f t="shared" si="8"/>
        <v>32.76</v>
      </c>
      <c r="J19" s="727">
        <f t="shared" si="9"/>
        <v>2.73</v>
      </c>
      <c r="L19" s="339">
        <f t="shared" si="10"/>
        <v>3.0908999999999999E-2</v>
      </c>
      <c r="M19" s="295">
        <f t="shared" si="11"/>
        <v>22.68</v>
      </c>
      <c r="N19" s="727">
        <f t="shared" si="12"/>
        <v>1.89</v>
      </c>
      <c r="P19" s="176"/>
      <c r="Q19" s="295"/>
      <c r="T19" s="613" t="s">
        <v>1140</v>
      </c>
    </row>
    <row r="20" spans="1:20" x14ac:dyDescent="0.2">
      <c r="A20" s="613">
        <f t="shared" si="0"/>
        <v>13</v>
      </c>
      <c r="B20" s="164" t="str">
        <f>'WP1 Light Inventory'!A17</f>
        <v>50E-B</v>
      </c>
      <c r="C20" s="164" t="str">
        <f>'WP1 Light Inventory'!C17</f>
        <v>Energy Only</v>
      </c>
      <c r="D20" s="327" t="str">
        <f>'WP1 Light Inventory'!D17</f>
        <v>Mercury Vapor</v>
      </c>
      <c r="E20" s="165" t="str">
        <f>'WP1 Light Inventory'!E17</f>
        <v>MV 400</v>
      </c>
      <c r="F20" s="364">
        <f>'WP1 Light Inventory'!J17</f>
        <v>0</v>
      </c>
      <c r="G20" s="366">
        <f>'WP12 Condensed Sch. Level Costs'!O16</f>
        <v>140</v>
      </c>
      <c r="H20" s="339">
        <f t="shared" si="7"/>
        <v>4.4534999999999998E-2</v>
      </c>
      <c r="I20" s="295">
        <f t="shared" si="8"/>
        <v>0</v>
      </c>
      <c r="J20" s="727">
        <f t="shared" si="9"/>
        <v>6.23</v>
      </c>
      <c r="L20" s="339">
        <f t="shared" si="10"/>
        <v>3.0908999999999999E-2</v>
      </c>
      <c r="M20" s="295">
        <f t="shared" si="11"/>
        <v>0</v>
      </c>
      <c r="N20" s="727">
        <f t="shared" si="12"/>
        <v>4.33</v>
      </c>
      <c r="P20" s="176"/>
      <c r="Q20" s="295"/>
      <c r="T20" s="613" t="s">
        <v>1140</v>
      </c>
    </row>
    <row r="21" spans="1:20" x14ac:dyDescent="0.2">
      <c r="A21" s="613">
        <f t="shared" si="0"/>
        <v>14</v>
      </c>
      <c r="B21" s="164" t="str">
        <f>'WP1 Light Inventory'!A18</f>
        <v>50E-B</v>
      </c>
      <c r="C21" s="164" t="str">
        <f>'WP1 Light Inventory'!C18</f>
        <v>Energy Only</v>
      </c>
      <c r="D21" s="327" t="str">
        <f>'WP1 Light Inventory'!D18</f>
        <v>Mercury Vapor</v>
      </c>
      <c r="E21" s="165" t="str">
        <f>'WP1 Light Inventory'!E18</f>
        <v>MV 700</v>
      </c>
      <c r="F21" s="364">
        <f>'WP1 Light Inventory'!J18</f>
        <v>0</v>
      </c>
      <c r="G21" s="366">
        <f>'WP12 Condensed Sch. Level Costs'!O17</f>
        <v>245</v>
      </c>
      <c r="H21" s="339">
        <f t="shared" si="7"/>
        <v>4.4534999999999998E-2</v>
      </c>
      <c r="I21" s="295">
        <f t="shared" si="8"/>
        <v>0</v>
      </c>
      <c r="J21" s="727">
        <f t="shared" si="9"/>
        <v>10.91</v>
      </c>
      <c r="L21" s="339">
        <f t="shared" si="10"/>
        <v>3.0908999999999999E-2</v>
      </c>
      <c r="M21" s="295">
        <f t="shared" si="11"/>
        <v>0</v>
      </c>
      <c r="N21" s="727">
        <f t="shared" si="12"/>
        <v>7.57</v>
      </c>
      <c r="P21" s="176"/>
      <c r="Q21" s="295"/>
      <c r="T21" s="613" t="s">
        <v>1140</v>
      </c>
    </row>
    <row r="22" spans="1:20" x14ac:dyDescent="0.2">
      <c r="A22" s="613">
        <f t="shared" si="0"/>
        <v>15</v>
      </c>
      <c r="B22" s="164"/>
      <c r="C22" s="164"/>
      <c r="D22" s="327"/>
      <c r="E22" s="165"/>
      <c r="F22" s="364"/>
      <c r="G22" s="399"/>
      <c r="H22" s="342"/>
      <c r="I22" s="295"/>
      <c r="J22" s="727"/>
      <c r="L22" s="342"/>
      <c r="M22" s="295"/>
      <c r="N22" s="727"/>
      <c r="P22" s="342"/>
      <c r="Q22" s="295"/>
    </row>
    <row r="23" spans="1:20" x14ac:dyDescent="0.2">
      <c r="A23" s="613">
        <f t="shared" si="0"/>
        <v>16</v>
      </c>
      <c r="B23" s="164" t="s">
        <v>135</v>
      </c>
      <c r="C23" s="164"/>
      <c r="D23" s="327"/>
      <c r="E23" s="165"/>
      <c r="F23" s="364"/>
      <c r="G23" s="399"/>
      <c r="H23" s="342"/>
      <c r="I23" s="295"/>
      <c r="J23" s="727"/>
      <c r="L23" s="342"/>
      <c r="M23" s="295"/>
      <c r="N23" s="727"/>
      <c r="P23" s="342"/>
      <c r="Q23" s="295"/>
    </row>
    <row r="24" spans="1:20" ht="11.25" customHeight="1" x14ac:dyDescent="0.2">
      <c r="A24" s="613">
        <f t="shared" si="0"/>
        <v>17</v>
      </c>
      <c r="B24" s="164" t="str">
        <f>'WP1 Light Inventory'!A20</f>
        <v>51E</v>
      </c>
      <c r="C24" s="164"/>
      <c r="D24" s="327" t="str">
        <f>'WP1 Light Inventory'!D20</f>
        <v>Light Emitting Diode</v>
      </c>
      <c r="E24" s="165" t="str">
        <f>'WP1 Light Inventory'!E20</f>
        <v>LED 0-030</v>
      </c>
      <c r="F24" s="364">
        <f>'WP1 Light Inventory'!J20</f>
        <v>0</v>
      </c>
      <c r="G24" s="366">
        <f>'WP12 Condensed Sch. Level Costs'!O19</f>
        <v>5.25</v>
      </c>
      <c r="H24" s="339">
        <f t="shared" ref="H24:H33" si="13">$Y$8</f>
        <v>4.4534999999999998E-2</v>
      </c>
      <c r="I24" s="295">
        <f t="shared" ref="I24:I33" si="14">+F24*J24*12</f>
        <v>0</v>
      </c>
      <c r="J24" s="727">
        <f t="shared" ref="J24:J33" si="15">ROUND(+H24*G24,2)</f>
        <v>0.23</v>
      </c>
      <c r="L24" s="339">
        <f t="shared" ref="L24:L33" si="16">$Y$9</f>
        <v>3.0908999999999999E-2</v>
      </c>
      <c r="M24" s="295">
        <f t="shared" ref="M24:M33" si="17">+F24*N24*12</f>
        <v>0</v>
      </c>
      <c r="N24" s="727">
        <f t="shared" ref="N24:N33" si="18">ROUND(+L24*G24,2)</f>
        <v>0.16</v>
      </c>
      <c r="P24" s="176"/>
      <c r="Q24" s="295"/>
      <c r="T24" s="613" t="s">
        <v>1132</v>
      </c>
    </row>
    <row r="25" spans="1:20" x14ac:dyDescent="0.2">
      <c r="A25" s="613">
        <f t="shared" si="0"/>
        <v>18</v>
      </c>
      <c r="B25" s="164" t="str">
        <f>'WP1 Light Inventory'!A21</f>
        <v>51E</v>
      </c>
      <c r="C25" s="164"/>
      <c r="D25" s="327" t="str">
        <f>'WP1 Light Inventory'!D21</f>
        <v>Light Emitting Diode</v>
      </c>
      <c r="E25" s="165" t="str">
        <f>'WP1 Light Inventory'!E21</f>
        <v>LED 030.01-060</v>
      </c>
      <c r="F25" s="364">
        <f>'WP1 Light Inventory'!J21</f>
        <v>4351</v>
      </c>
      <c r="G25" s="366">
        <f>'WP12 Condensed Sch. Level Costs'!O20</f>
        <v>15.75</v>
      </c>
      <c r="H25" s="339">
        <f t="shared" si="13"/>
        <v>4.4534999999999998E-2</v>
      </c>
      <c r="I25" s="295">
        <f t="shared" si="14"/>
        <v>36548.399999999994</v>
      </c>
      <c r="J25" s="727">
        <f t="shared" si="15"/>
        <v>0.7</v>
      </c>
      <c r="L25" s="339">
        <f t="shared" si="16"/>
        <v>3.0908999999999999E-2</v>
      </c>
      <c r="M25" s="295">
        <f t="shared" si="17"/>
        <v>25583.879999999997</v>
      </c>
      <c r="N25" s="727">
        <f t="shared" si="18"/>
        <v>0.49</v>
      </c>
      <c r="P25" s="176"/>
      <c r="Q25" s="295"/>
      <c r="T25" s="613" t="s">
        <v>1132</v>
      </c>
    </row>
    <row r="26" spans="1:20" x14ac:dyDescent="0.2">
      <c r="A26" s="613">
        <f t="shared" si="0"/>
        <v>19</v>
      </c>
      <c r="B26" s="164" t="str">
        <f>'WP1 Light Inventory'!A22</f>
        <v>51E</v>
      </c>
      <c r="C26" s="164"/>
      <c r="D26" s="327" t="str">
        <f>'WP1 Light Inventory'!D22</f>
        <v>Light Emitting Diode</v>
      </c>
      <c r="E26" s="165" t="str">
        <f>'WP1 Light Inventory'!E22</f>
        <v>LED 060.01-090</v>
      </c>
      <c r="F26" s="364">
        <f>'WP1 Light Inventory'!J22</f>
        <v>2380</v>
      </c>
      <c r="G26" s="366">
        <f>'WP12 Condensed Sch. Level Costs'!O21</f>
        <v>26.25</v>
      </c>
      <c r="H26" s="339">
        <f t="shared" si="13"/>
        <v>4.4534999999999998E-2</v>
      </c>
      <c r="I26" s="295">
        <f t="shared" si="14"/>
        <v>33415.199999999997</v>
      </c>
      <c r="J26" s="727">
        <f t="shared" si="15"/>
        <v>1.17</v>
      </c>
      <c r="L26" s="339">
        <f t="shared" si="16"/>
        <v>3.0908999999999999E-2</v>
      </c>
      <c r="M26" s="295">
        <f t="shared" si="17"/>
        <v>23133.600000000002</v>
      </c>
      <c r="N26" s="727">
        <f t="shared" si="18"/>
        <v>0.81</v>
      </c>
      <c r="P26" s="176"/>
      <c r="Q26" s="295"/>
      <c r="T26" s="613" t="s">
        <v>1132</v>
      </c>
    </row>
    <row r="27" spans="1:20" x14ac:dyDescent="0.2">
      <c r="A27" s="613">
        <f t="shared" si="0"/>
        <v>20</v>
      </c>
      <c r="B27" s="164" t="str">
        <f>'WP1 Light Inventory'!A23</f>
        <v>51E</v>
      </c>
      <c r="C27" s="164"/>
      <c r="D27" s="327" t="str">
        <f>'WP1 Light Inventory'!D23</f>
        <v>Light Emitting Diode</v>
      </c>
      <c r="E27" s="165" t="str">
        <f>'WP1 Light Inventory'!E23</f>
        <v>LED 090.01-120</v>
      </c>
      <c r="F27" s="364">
        <f>'WP1 Light Inventory'!J23</f>
        <v>1030</v>
      </c>
      <c r="G27" s="366">
        <f>'WP12 Condensed Sch. Level Costs'!O22</f>
        <v>36.75</v>
      </c>
      <c r="H27" s="339">
        <f t="shared" si="13"/>
        <v>4.4534999999999998E-2</v>
      </c>
      <c r="I27" s="295">
        <f t="shared" si="14"/>
        <v>20270.399999999998</v>
      </c>
      <c r="J27" s="727">
        <f t="shared" si="15"/>
        <v>1.64</v>
      </c>
      <c r="L27" s="339">
        <f t="shared" si="16"/>
        <v>3.0908999999999999E-2</v>
      </c>
      <c r="M27" s="295">
        <f t="shared" si="17"/>
        <v>14090.399999999998</v>
      </c>
      <c r="N27" s="727">
        <f t="shared" si="18"/>
        <v>1.1399999999999999</v>
      </c>
      <c r="P27" s="176"/>
      <c r="Q27" s="295"/>
      <c r="T27" s="613" t="s">
        <v>1132</v>
      </c>
    </row>
    <row r="28" spans="1:20" x14ac:dyDescent="0.2">
      <c r="A28" s="613">
        <f t="shared" si="0"/>
        <v>21</v>
      </c>
      <c r="B28" s="164" t="str">
        <f>'WP1 Light Inventory'!A24</f>
        <v>51E</v>
      </c>
      <c r="C28" s="164"/>
      <c r="D28" s="327" t="str">
        <f>'WP1 Light Inventory'!D24</f>
        <v>Light Emitting Diode</v>
      </c>
      <c r="E28" s="165" t="str">
        <f>'WP1 Light Inventory'!E24</f>
        <v>LED 120.01-150</v>
      </c>
      <c r="F28" s="364">
        <f>'WP1 Light Inventory'!J24</f>
        <v>485</v>
      </c>
      <c r="G28" s="366">
        <f>'WP12 Condensed Sch. Level Costs'!O23</f>
        <v>47.25</v>
      </c>
      <c r="H28" s="339">
        <f t="shared" si="13"/>
        <v>4.4534999999999998E-2</v>
      </c>
      <c r="I28" s="295">
        <f t="shared" si="14"/>
        <v>12222</v>
      </c>
      <c r="J28" s="727">
        <f t="shared" si="15"/>
        <v>2.1</v>
      </c>
      <c r="L28" s="339">
        <f t="shared" si="16"/>
        <v>3.0908999999999999E-2</v>
      </c>
      <c r="M28" s="295">
        <f t="shared" si="17"/>
        <v>8497.2000000000007</v>
      </c>
      <c r="N28" s="727">
        <f t="shared" si="18"/>
        <v>1.46</v>
      </c>
      <c r="P28" s="176"/>
      <c r="Q28" s="295"/>
      <c r="T28" s="613" t="s">
        <v>1132</v>
      </c>
    </row>
    <row r="29" spans="1:20" x14ac:dyDescent="0.2">
      <c r="A29" s="613">
        <f t="shared" si="0"/>
        <v>22</v>
      </c>
      <c r="B29" s="164" t="str">
        <f>'WP1 Light Inventory'!A25</f>
        <v>51E</v>
      </c>
      <c r="C29" s="164"/>
      <c r="D29" s="327" t="str">
        <f>'WP1 Light Inventory'!D25</f>
        <v>Light Emitting Diode</v>
      </c>
      <c r="E29" s="165" t="str">
        <f>'WP1 Light Inventory'!E25</f>
        <v>LED 150.01-180</v>
      </c>
      <c r="F29" s="364">
        <f>'WP1 Light Inventory'!J25</f>
        <v>69</v>
      </c>
      <c r="G29" s="366">
        <f>'WP12 Condensed Sch. Level Costs'!O24</f>
        <v>57.75</v>
      </c>
      <c r="H29" s="339">
        <f t="shared" si="13"/>
        <v>4.4534999999999998E-2</v>
      </c>
      <c r="I29" s="295">
        <f t="shared" si="14"/>
        <v>2127.96</v>
      </c>
      <c r="J29" s="727">
        <f t="shared" si="15"/>
        <v>2.57</v>
      </c>
      <c r="L29" s="339">
        <f t="shared" si="16"/>
        <v>3.0908999999999999E-2</v>
      </c>
      <c r="M29" s="295">
        <f t="shared" si="17"/>
        <v>1473.8400000000001</v>
      </c>
      <c r="N29" s="727">
        <f t="shared" si="18"/>
        <v>1.78</v>
      </c>
      <c r="P29" s="176"/>
      <c r="Q29" s="295"/>
      <c r="T29" s="613" t="s">
        <v>1132</v>
      </c>
    </row>
    <row r="30" spans="1:20" x14ac:dyDescent="0.2">
      <c r="A30" s="613">
        <f t="shared" si="0"/>
        <v>23</v>
      </c>
      <c r="B30" s="164" t="str">
        <f>'WP1 Light Inventory'!A26</f>
        <v>51E</v>
      </c>
      <c r="C30" s="164"/>
      <c r="D30" s="327" t="str">
        <f>'WP1 Light Inventory'!D26</f>
        <v>Light Emitting Diode</v>
      </c>
      <c r="E30" s="165" t="str">
        <f>'WP1 Light Inventory'!E26</f>
        <v>LED 180.01-210</v>
      </c>
      <c r="F30" s="364">
        <f>'WP1 Light Inventory'!J26</f>
        <v>201</v>
      </c>
      <c r="G30" s="366">
        <f>'WP12 Condensed Sch. Level Costs'!O25</f>
        <v>68.25</v>
      </c>
      <c r="H30" s="339">
        <f t="shared" si="13"/>
        <v>4.4534999999999998E-2</v>
      </c>
      <c r="I30" s="295">
        <f t="shared" si="14"/>
        <v>7332.48</v>
      </c>
      <c r="J30" s="727">
        <f t="shared" si="15"/>
        <v>3.04</v>
      </c>
      <c r="L30" s="339">
        <f t="shared" si="16"/>
        <v>3.0908999999999999E-2</v>
      </c>
      <c r="M30" s="295">
        <f t="shared" si="17"/>
        <v>5089.32</v>
      </c>
      <c r="N30" s="727">
        <f t="shared" si="18"/>
        <v>2.11</v>
      </c>
      <c r="P30" s="176"/>
      <c r="Q30" s="295"/>
      <c r="T30" s="613" t="s">
        <v>1132</v>
      </c>
    </row>
    <row r="31" spans="1:20" x14ac:dyDescent="0.2">
      <c r="A31" s="613">
        <f t="shared" si="0"/>
        <v>24</v>
      </c>
      <c r="B31" s="164" t="str">
        <f>'WP1 Light Inventory'!A27</f>
        <v>51E</v>
      </c>
      <c r="C31" s="164"/>
      <c r="D31" s="327" t="str">
        <f>'WP1 Light Inventory'!D27</f>
        <v>Light Emitting Diode</v>
      </c>
      <c r="E31" s="165" t="str">
        <f>'WP1 Light Inventory'!E27</f>
        <v>LED 210.01-240</v>
      </c>
      <c r="F31" s="364">
        <f>'WP1 Light Inventory'!J27</f>
        <v>59</v>
      </c>
      <c r="G31" s="366">
        <f>'WP12 Condensed Sch. Level Costs'!O26</f>
        <v>78.75</v>
      </c>
      <c r="H31" s="339">
        <f t="shared" si="13"/>
        <v>4.4534999999999998E-2</v>
      </c>
      <c r="I31" s="295">
        <f t="shared" si="14"/>
        <v>2485.08</v>
      </c>
      <c r="J31" s="727">
        <f t="shared" si="15"/>
        <v>3.51</v>
      </c>
      <c r="L31" s="339">
        <f t="shared" si="16"/>
        <v>3.0908999999999999E-2</v>
      </c>
      <c r="M31" s="295">
        <f t="shared" si="17"/>
        <v>1720.44</v>
      </c>
      <c r="N31" s="727">
        <f t="shared" si="18"/>
        <v>2.4300000000000002</v>
      </c>
      <c r="P31" s="176"/>
      <c r="Q31" s="295"/>
      <c r="T31" s="613" t="s">
        <v>1132</v>
      </c>
    </row>
    <row r="32" spans="1:20" x14ac:dyDescent="0.2">
      <c r="A32" s="613">
        <f t="shared" si="0"/>
        <v>25</v>
      </c>
      <c r="B32" s="164" t="str">
        <f>'WP1 Light Inventory'!A28</f>
        <v>51E</v>
      </c>
      <c r="C32" s="164"/>
      <c r="D32" s="327" t="str">
        <f>'WP1 Light Inventory'!D28</f>
        <v>Light Emitting Diode</v>
      </c>
      <c r="E32" s="165" t="str">
        <f>'WP1 Light Inventory'!E28</f>
        <v>LED 240.01-270</v>
      </c>
      <c r="F32" s="364">
        <f>'WP1 Light Inventory'!J28</f>
        <v>8</v>
      </c>
      <c r="G32" s="366">
        <f>'WP12 Condensed Sch. Level Costs'!O27</f>
        <v>89.25</v>
      </c>
      <c r="H32" s="339">
        <f t="shared" si="13"/>
        <v>4.4534999999999998E-2</v>
      </c>
      <c r="I32" s="295">
        <f t="shared" si="14"/>
        <v>381.12</v>
      </c>
      <c r="J32" s="727">
        <f t="shared" si="15"/>
        <v>3.97</v>
      </c>
      <c r="L32" s="339">
        <f t="shared" si="16"/>
        <v>3.0908999999999999E-2</v>
      </c>
      <c r="M32" s="295">
        <f t="shared" si="17"/>
        <v>264.95999999999998</v>
      </c>
      <c r="N32" s="727">
        <f t="shared" si="18"/>
        <v>2.76</v>
      </c>
      <c r="P32" s="176"/>
      <c r="Q32" s="295"/>
      <c r="T32" s="613" t="s">
        <v>1132</v>
      </c>
    </row>
    <row r="33" spans="1:20" x14ac:dyDescent="0.2">
      <c r="A33" s="613">
        <f t="shared" si="0"/>
        <v>26</v>
      </c>
      <c r="B33" s="164" t="str">
        <f>'WP1 Light Inventory'!A29</f>
        <v>51E</v>
      </c>
      <c r="C33" s="164"/>
      <c r="D33" s="327" t="str">
        <f>'WP1 Light Inventory'!D29</f>
        <v>Light Emitting Diode</v>
      </c>
      <c r="E33" s="165" t="str">
        <f>'WP1 Light Inventory'!E29</f>
        <v>LED 270.01-300</v>
      </c>
      <c r="F33" s="364">
        <f>'WP1 Light Inventory'!J29</f>
        <v>79</v>
      </c>
      <c r="G33" s="366">
        <f>'WP12 Condensed Sch. Level Costs'!O28</f>
        <v>99.75</v>
      </c>
      <c r="H33" s="339">
        <f t="shared" si="13"/>
        <v>4.4534999999999998E-2</v>
      </c>
      <c r="I33" s="295">
        <f t="shared" si="14"/>
        <v>4209.1200000000008</v>
      </c>
      <c r="J33" s="727">
        <f t="shared" si="15"/>
        <v>4.4400000000000004</v>
      </c>
      <c r="L33" s="339">
        <f t="shared" si="16"/>
        <v>3.0908999999999999E-2</v>
      </c>
      <c r="M33" s="295">
        <f t="shared" si="17"/>
        <v>2919.84</v>
      </c>
      <c r="N33" s="727">
        <f t="shared" si="18"/>
        <v>3.08</v>
      </c>
      <c r="P33" s="176"/>
      <c r="Q33" s="295"/>
      <c r="T33" s="613" t="s">
        <v>1132</v>
      </c>
    </row>
    <row r="34" spans="1:20" x14ac:dyDescent="0.2">
      <c r="A34" s="613">
        <f t="shared" si="0"/>
        <v>27</v>
      </c>
      <c r="B34" s="164"/>
      <c r="C34" s="164"/>
      <c r="D34" s="327"/>
      <c r="E34" s="165"/>
      <c r="F34" s="364"/>
      <c r="G34" s="399"/>
      <c r="H34" s="342"/>
      <c r="I34" s="295"/>
      <c r="J34" s="727"/>
      <c r="L34" s="342"/>
      <c r="M34" s="295"/>
      <c r="N34" s="727"/>
      <c r="P34" s="342"/>
      <c r="Q34" s="295"/>
    </row>
    <row r="35" spans="1:20" ht="11.25" customHeight="1" x14ac:dyDescent="0.2">
      <c r="A35" s="613">
        <f t="shared" si="0"/>
        <v>28</v>
      </c>
      <c r="B35" s="164" t="str">
        <f>'WP1 Light Inventory'!A31</f>
        <v>51E</v>
      </c>
      <c r="C35" s="327" t="str">
        <f>'WP1 Light Inventory'!C31</f>
        <v>SMART LIGHT</v>
      </c>
      <c r="D35" s="327" t="str">
        <f>'WP1 Light Inventory'!D31</f>
        <v>Light Emitting Diode</v>
      </c>
      <c r="E35" s="165" t="str">
        <f>'WP1 Light Inventory'!E31</f>
        <v>LED 0-030</v>
      </c>
      <c r="F35" s="364">
        <f>'WP1 Light Inventory'!J31</f>
        <v>0</v>
      </c>
      <c r="G35" s="366">
        <f>'WP12 Condensed Sch. Level Costs'!O30</f>
        <v>5.25</v>
      </c>
      <c r="H35" s="339">
        <f t="shared" ref="H35:H44" si="19">$Y$8</f>
        <v>4.4534999999999998E-2</v>
      </c>
      <c r="I35" s="295"/>
      <c r="J35" s="727"/>
      <c r="L35" s="339">
        <f t="shared" ref="L35:L44" si="20">$Y$9</f>
        <v>3.0908999999999999E-2</v>
      </c>
      <c r="M35" s="295"/>
      <c r="N35" s="727"/>
      <c r="P35" s="176"/>
      <c r="Q35" s="295"/>
      <c r="T35" s="613" t="s">
        <v>1132</v>
      </c>
    </row>
    <row r="36" spans="1:20" x14ac:dyDescent="0.2">
      <c r="A36" s="613">
        <f t="shared" si="0"/>
        <v>29</v>
      </c>
      <c r="B36" s="164" t="str">
        <f>'WP1 Light Inventory'!A32</f>
        <v>51E</v>
      </c>
      <c r="C36" s="327" t="str">
        <f>'WP1 Light Inventory'!C32</f>
        <v>SMART LIGHT</v>
      </c>
      <c r="D36" s="327" t="str">
        <f>'WP1 Light Inventory'!D32</f>
        <v>Light Emitting Diode</v>
      </c>
      <c r="E36" s="165" t="str">
        <f>'WP1 Light Inventory'!E32</f>
        <v>LED 030.01-060</v>
      </c>
      <c r="F36" s="364">
        <f>'WP1 Light Inventory'!J32</f>
        <v>0</v>
      </c>
      <c r="G36" s="366">
        <f>'WP12 Condensed Sch. Level Costs'!O31</f>
        <v>15.75</v>
      </c>
      <c r="H36" s="339">
        <f t="shared" si="19"/>
        <v>4.4534999999999998E-2</v>
      </c>
      <c r="I36" s="295"/>
      <c r="J36" s="727"/>
      <c r="L36" s="339">
        <f t="shared" si="20"/>
        <v>3.0908999999999999E-2</v>
      </c>
      <c r="M36" s="295"/>
      <c r="N36" s="727"/>
      <c r="P36" s="176"/>
      <c r="Q36" s="295"/>
      <c r="T36" s="613" t="s">
        <v>1132</v>
      </c>
    </row>
    <row r="37" spans="1:20" x14ac:dyDescent="0.2">
      <c r="A37" s="613">
        <f t="shared" si="0"/>
        <v>30</v>
      </c>
      <c r="B37" s="164" t="str">
        <f>'WP1 Light Inventory'!A33</f>
        <v>51E</v>
      </c>
      <c r="C37" s="327" t="str">
        <f>'WP1 Light Inventory'!C33</f>
        <v>SMART LIGHT</v>
      </c>
      <c r="D37" s="327" t="str">
        <f>'WP1 Light Inventory'!D33</f>
        <v>Light Emitting Diode</v>
      </c>
      <c r="E37" s="165" t="str">
        <f>'WP1 Light Inventory'!E33</f>
        <v>LED 060.01-090</v>
      </c>
      <c r="F37" s="364">
        <f>'WP1 Light Inventory'!J33</f>
        <v>0</v>
      </c>
      <c r="G37" s="366">
        <f>'WP12 Condensed Sch. Level Costs'!O32</f>
        <v>26.25</v>
      </c>
      <c r="H37" s="339">
        <f t="shared" si="19"/>
        <v>4.4534999999999998E-2</v>
      </c>
      <c r="I37" s="295"/>
      <c r="J37" s="727"/>
      <c r="L37" s="339">
        <f t="shared" si="20"/>
        <v>3.0908999999999999E-2</v>
      </c>
      <c r="M37" s="295"/>
      <c r="N37" s="727"/>
      <c r="P37" s="176"/>
      <c r="Q37" s="295"/>
      <c r="T37" s="613" t="s">
        <v>1132</v>
      </c>
    </row>
    <row r="38" spans="1:20" x14ac:dyDescent="0.2">
      <c r="A38" s="613">
        <f t="shared" si="0"/>
        <v>31</v>
      </c>
      <c r="B38" s="164" t="str">
        <f>'WP1 Light Inventory'!A34</f>
        <v>51E</v>
      </c>
      <c r="C38" s="327" t="str">
        <f>'WP1 Light Inventory'!C34</f>
        <v>SMART LIGHT</v>
      </c>
      <c r="D38" s="327" t="str">
        <f>'WP1 Light Inventory'!D34</f>
        <v>Light Emitting Diode</v>
      </c>
      <c r="E38" s="165" t="str">
        <f>'WP1 Light Inventory'!E34</f>
        <v>LED 090.01-120</v>
      </c>
      <c r="F38" s="364">
        <f>'WP1 Light Inventory'!J34</f>
        <v>0</v>
      </c>
      <c r="G38" s="366">
        <f>'WP12 Condensed Sch. Level Costs'!O33</f>
        <v>36.75</v>
      </c>
      <c r="H38" s="339">
        <f t="shared" si="19"/>
        <v>4.4534999999999998E-2</v>
      </c>
      <c r="I38" s="295"/>
      <c r="J38" s="727"/>
      <c r="L38" s="339">
        <f t="shared" si="20"/>
        <v>3.0908999999999999E-2</v>
      </c>
      <c r="M38" s="295"/>
      <c r="N38" s="727"/>
      <c r="P38" s="176"/>
      <c r="Q38" s="295"/>
      <c r="T38" s="613" t="s">
        <v>1132</v>
      </c>
    </row>
    <row r="39" spans="1:20" ht="12" customHeight="1" x14ac:dyDescent="0.2">
      <c r="A39" s="613">
        <f t="shared" si="0"/>
        <v>32</v>
      </c>
      <c r="B39" s="164" t="str">
        <f>'WP1 Light Inventory'!A35</f>
        <v>51E</v>
      </c>
      <c r="C39" s="327" t="str">
        <f>'WP1 Light Inventory'!C35</f>
        <v>SMART LIGHT</v>
      </c>
      <c r="D39" s="327" t="str">
        <f>'WP1 Light Inventory'!D35</f>
        <v>Light Emitting Diode</v>
      </c>
      <c r="E39" s="165" t="str">
        <f>'WP1 Light Inventory'!E35</f>
        <v>LED 120.01-150</v>
      </c>
      <c r="F39" s="364">
        <f>'WP1 Light Inventory'!J35</f>
        <v>0</v>
      </c>
      <c r="G39" s="366">
        <f>'WP12 Condensed Sch. Level Costs'!O34</f>
        <v>47.25</v>
      </c>
      <c r="H39" s="339">
        <f t="shared" si="19"/>
        <v>4.4534999999999998E-2</v>
      </c>
      <c r="I39" s="295"/>
      <c r="J39" s="727"/>
      <c r="L39" s="339">
        <f t="shared" si="20"/>
        <v>3.0908999999999999E-2</v>
      </c>
      <c r="M39" s="295"/>
      <c r="N39" s="727"/>
      <c r="P39" s="176"/>
      <c r="Q39" s="295"/>
      <c r="T39" s="613" t="s">
        <v>1132</v>
      </c>
    </row>
    <row r="40" spans="1:20" x14ac:dyDescent="0.2">
      <c r="A40" s="613">
        <f t="shared" si="0"/>
        <v>33</v>
      </c>
      <c r="B40" s="164" t="str">
        <f>'WP1 Light Inventory'!A36</f>
        <v>51E</v>
      </c>
      <c r="C40" s="327" t="str">
        <f>'WP1 Light Inventory'!C36</f>
        <v>SMART LIGHT</v>
      </c>
      <c r="D40" s="327" t="str">
        <f>'WP1 Light Inventory'!D36</f>
        <v>Light Emitting Diode</v>
      </c>
      <c r="E40" s="165" t="str">
        <f>'WP1 Light Inventory'!E36</f>
        <v>LED 150.01-180</v>
      </c>
      <c r="F40" s="364">
        <f>'WP1 Light Inventory'!J36</f>
        <v>0</v>
      </c>
      <c r="G40" s="366">
        <f>'WP12 Condensed Sch. Level Costs'!O35</f>
        <v>57.75</v>
      </c>
      <c r="H40" s="339">
        <f t="shared" si="19"/>
        <v>4.4534999999999998E-2</v>
      </c>
      <c r="I40" s="295"/>
      <c r="J40" s="727"/>
      <c r="L40" s="339">
        <f t="shared" si="20"/>
        <v>3.0908999999999999E-2</v>
      </c>
      <c r="M40" s="295"/>
      <c r="N40" s="727"/>
      <c r="P40" s="176"/>
      <c r="Q40" s="295"/>
      <c r="T40" s="613" t="s">
        <v>1132</v>
      </c>
    </row>
    <row r="41" spans="1:20" x14ac:dyDescent="0.2">
      <c r="A41" s="613">
        <f t="shared" si="0"/>
        <v>34</v>
      </c>
      <c r="B41" s="164" t="str">
        <f>'WP1 Light Inventory'!A37</f>
        <v>51E</v>
      </c>
      <c r="C41" s="327" t="str">
        <f>'WP1 Light Inventory'!C37</f>
        <v>SMART LIGHT</v>
      </c>
      <c r="D41" s="327" t="str">
        <f>'WP1 Light Inventory'!D37</f>
        <v>Light Emitting Diode</v>
      </c>
      <c r="E41" s="165" t="str">
        <f>'WP1 Light Inventory'!E37</f>
        <v>LED 180.01-210</v>
      </c>
      <c r="F41" s="364">
        <f>'WP1 Light Inventory'!J37</f>
        <v>0</v>
      </c>
      <c r="G41" s="366">
        <f>'WP12 Condensed Sch. Level Costs'!O36</f>
        <v>68.25</v>
      </c>
      <c r="H41" s="339">
        <f t="shared" si="19"/>
        <v>4.4534999999999998E-2</v>
      </c>
      <c r="I41" s="295"/>
      <c r="J41" s="727"/>
      <c r="L41" s="339">
        <f t="shared" si="20"/>
        <v>3.0908999999999999E-2</v>
      </c>
      <c r="M41" s="295"/>
      <c r="N41" s="727"/>
      <c r="P41" s="176"/>
      <c r="Q41" s="295"/>
      <c r="T41" s="613" t="s">
        <v>1132</v>
      </c>
    </row>
    <row r="42" spans="1:20" x14ac:dyDescent="0.2">
      <c r="A42" s="613">
        <f t="shared" si="0"/>
        <v>35</v>
      </c>
      <c r="B42" s="164" t="str">
        <f>'WP1 Light Inventory'!A38</f>
        <v>51E</v>
      </c>
      <c r="C42" s="327" t="str">
        <f>'WP1 Light Inventory'!C38</f>
        <v>SMART LIGHT</v>
      </c>
      <c r="D42" s="327" t="str">
        <f>'WP1 Light Inventory'!D38</f>
        <v>Light Emitting Diode</v>
      </c>
      <c r="E42" s="165" t="str">
        <f>'WP1 Light Inventory'!E38</f>
        <v>LED 210.01-240</v>
      </c>
      <c r="F42" s="364">
        <f>'WP1 Light Inventory'!J38</f>
        <v>0</v>
      </c>
      <c r="G42" s="366">
        <f>'WP12 Condensed Sch. Level Costs'!O37</f>
        <v>78.75</v>
      </c>
      <c r="H42" s="339">
        <f t="shared" si="19"/>
        <v>4.4534999999999998E-2</v>
      </c>
      <c r="I42" s="295"/>
      <c r="J42" s="727"/>
      <c r="L42" s="339">
        <f t="shared" si="20"/>
        <v>3.0908999999999999E-2</v>
      </c>
      <c r="M42" s="295"/>
      <c r="N42" s="727"/>
      <c r="P42" s="176"/>
      <c r="Q42" s="295"/>
      <c r="T42" s="613" t="s">
        <v>1132</v>
      </c>
    </row>
    <row r="43" spans="1:20" x14ac:dyDescent="0.2">
      <c r="A43" s="613">
        <f t="shared" si="0"/>
        <v>36</v>
      </c>
      <c r="B43" s="164" t="str">
        <f>'WP1 Light Inventory'!A39</f>
        <v>51E</v>
      </c>
      <c r="C43" s="327" t="str">
        <f>'WP1 Light Inventory'!C39</f>
        <v>SMART LIGHT</v>
      </c>
      <c r="D43" s="327" t="str">
        <f>'WP1 Light Inventory'!D39</f>
        <v>Light Emitting Diode</v>
      </c>
      <c r="E43" s="165" t="str">
        <f>'WP1 Light Inventory'!E39</f>
        <v>LED 240.01-270</v>
      </c>
      <c r="F43" s="364">
        <f>'WP1 Light Inventory'!J39</f>
        <v>0</v>
      </c>
      <c r="G43" s="366">
        <f>'WP12 Condensed Sch. Level Costs'!O38</f>
        <v>89.25</v>
      </c>
      <c r="H43" s="339">
        <f t="shared" si="19"/>
        <v>4.4534999999999998E-2</v>
      </c>
      <c r="I43" s="295"/>
      <c r="J43" s="727"/>
      <c r="L43" s="339">
        <f t="shared" si="20"/>
        <v>3.0908999999999999E-2</v>
      </c>
      <c r="M43" s="295"/>
      <c r="N43" s="727"/>
      <c r="P43" s="176"/>
      <c r="Q43" s="295"/>
      <c r="T43" s="613" t="s">
        <v>1132</v>
      </c>
    </row>
    <row r="44" spans="1:20" x14ac:dyDescent="0.2">
      <c r="A44" s="613">
        <f t="shared" si="0"/>
        <v>37</v>
      </c>
      <c r="B44" s="164" t="str">
        <f>'WP1 Light Inventory'!A40</f>
        <v>51E</v>
      </c>
      <c r="C44" s="327" t="str">
        <f>'WP1 Light Inventory'!C40</f>
        <v>SMART LIGHT</v>
      </c>
      <c r="D44" s="327" t="str">
        <f>'WP1 Light Inventory'!D40</f>
        <v>Light Emitting Diode</v>
      </c>
      <c r="E44" s="165" t="str">
        <f>'WP1 Light Inventory'!E40</f>
        <v>LED 270.01-300</v>
      </c>
      <c r="F44" s="364">
        <f>'WP1 Light Inventory'!J40</f>
        <v>0</v>
      </c>
      <c r="G44" s="366">
        <f>'WP12 Condensed Sch. Level Costs'!O39</f>
        <v>99.75</v>
      </c>
      <c r="H44" s="339">
        <f t="shared" si="19"/>
        <v>4.4534999999999998E-2</v>
      </c>
      <c r="I44" s="295"/>
      <c r="J44" s="727"/>
      <c r="L44" s="339">
        <f t="shared" si="20"/>
        <v>3.0908999999999999E-2</v>
      </c>
      <c r="M44" s="295"/>
      <c r="N44" s="727"/>
      <c r="P44" s="176"/>
      <c r="Q44" s="295"/>
      <c r="T44" s="613" t="s">
        <v>1132</v>
      </c>
    </row>
    <row r="45" spans="1:20" x14ac:dyDescent="0.2">
      <c r="A45" s="613">
        <f t="shared" si="0"/>
        <v>38</v>
      </c>
      <c r="B45" s="164"/>
      <c r="C45" s="327"/>
      <c r="D45" s="327"/>
      <c r="E45" s="165"/>
      <c r="F45" s="364"/>
      <c r="G45" s="366"/>
      <c r="H45" s="339"/>
      <c r="I45" s="295"/>
      <c r="J45" s="727"/>
      <c r="L45" s="339"/>
      <c r="M45" s="295"/>
      <c r="N45" s="727"/>
      <c r="P45" s="176"/>
      <c r="Q45" s="295"/>
      <c r="T45" s="613"/>
    </row>
    <row r="46" spans="1:20" x14ac:dyDescent="0.2">
      <c r="A46" s="613">
        <f t="shared" si="0"/>
        <v>39</v>
      </c>
      <c r="B46" s="164" t="s">
        <v>136</v>
      </c>
      <c r="C46" s="164"/>
      <c r="D46" s="327"/>
      <c r="E46" s="165"/>
      <c r="F46" s="364"/>
      <c r="G46" s="399"/>
      <c r="H46" s="342"/>
      <c r="I46" s="295"/>
      <c r="J46" s="727"/>
      <c r="L46" s="342"/>
      <c r="M46" s="295"/>
      <c r="N46" s="727"/>
      <c r="P46" s="342"/>
      <c r="Q46" s="295"/>
    </row>
    <row r="47" spans="1:20" x14ac:dyDescent="0.2">
      <c r="A47" s="613">
        <f t="shared" si="0"/>
        <v>40</v>
      </c>
      <c r="B47" s="164" t="str">
        <f>'WP1 Light Inventory'!A42</f>
        <v xml:space="preserve">52E </v>
      </c>
      <c r="C47" s="164"/>
      <c r="D47" s="327" t="str">
        <f>'WP1 Light Inventory'!D42</f>
        <v>Sodium Vapor</v>
      </c>
      <c r="E47" s="165" t="str">
        <f>'WP1 Light Inventory'!E42</f>
        <v>SV 50</v>
      </c>
      <c r="F47" s="364">
        <f>'WP1 Light Inventory'!J42</f>
        <v>0</v>
      </c>
      <c r="G47" s="366">
        <f>'WP12 Condensed Sch. Level Costs'!O41</f>
        <v>17.5</v>
      </c>
      <c r="H47" s="339">
        <f t="shared" ref="H47:H54" si="21">$Y$8</f>
        <v>4.4534999999999998E-2</v>
      </c>
      <c r="I47" s="295">
        <f t="shared" ref="I47:I54" si="22">+F47*J47*12</f>
        <v>0</v>
      </c>
      <c r="J47" s="727">
        <f t="shared" ref="J47:J54" si="23">ROUND(+H47*G47,2)</f>
        <v>0.78</v>
      </c>
      <c r="L47" s="339">
        <f t="shared" ref="L47:L54" si="24">$Y$9</f>
        <v>3.0908999999999999E-2</v>
      </c>
      <c r="M47" s="295">
        <f t="shared" ref="M47:M54" si="25">+F47*N47*12</f>
        <v>0</v>
      </c>
      <c r="N47" s="727">
        <f t="shared" ref="N47:N54" si="26">ROUND(+L47*G47,2)</f>
        <v>0.54</v>
      </c>
      <c r="P47" s="176"/>
      <c r="Q47" s="295"/>
      <c r="T47" s="613" t="s">
        <v>1132</v>
      </c>
    </row>
    <row r="48" spans="1:20" x14ac:dyDescent="0.2">
      <c r="A48" s="613">
        <f t="shared" si="0"/>
        <v>41</v>
      </c>
      <c r="B48" s="164" t="str">
        <f>'WP1 Light Inventory'!A43</f>
        <v xml:space="preserve">52E </v>
      </c>
      <c r="C48" s="164"/>
      <c r="D48" s="327" t="str">
        <f>'WP1 Light Inventory'!D43</f>
        <v>Sodium Vapor</v>
      </c>
      <c r="E48" s="165" t="str">
        <f>'WP1 Light Inventory'!E43</f>
        <v>SV 070</v>
      </c>
      <c r="F48" s="364">
        <f>'WP1 Light Inventory'!J43</f>
        <v>670</v>
      </c>
      <c r="G48" s="366">
        <f>'WP12 Condensed Sch. Level Costs'!O42</f>
        <v>24.5</v>
      </c>
      <c r="H48" s="339">
        <f t="shared" si="21"/>
        <v>4.4534999999999998E-2</v>
      </c>
      <c r="I48" s="295">
        <f t="shared" si="22"/>
        <v>8763.6</v>
      </c>
      <c r="J48" s="727">
        <f t="shared" si="23"/>
        <v>1.0900000000000001</v>
      </c>
      <c r="L48" s="339">
        <f t="shared" si="24"/>
        <v>3.0908999999999999E-2</v>
      </c>
      <c r="M48" s="295">
        <f t="shared" si="25"/>
        <v>6110.4</v>
      </c>
      <c r="N48" s="727">
        <f t="shared" si="26"/>
        <v>0.76</v>
      </c>
      <c r="P48" s="176"/>
      <c r="Q48" s="295"/>
      <c r="T48" s="613" t="s">
        <v>1132</v>
      </c>
    </row>
    <row r="49" spans="1:20" x14ac:dyDescent="0.2">
      <c r="A49" s="613">
        <f t="shared" si="0"/>
        <v>42</v>
      </c>
      <c r="B49" s="164" t="str">
        <f>'WP1 Light Inventory'!A44</f>
        <v xml:space="preserve">52E </v>
      </c>
      <c r="C49" s="164"/>
      <c r="D49" s="327" t="str">
        <f>'WP1 Light Inventory'!D44</f>
        <v>Sodium Vapor</v>
      </c>
      <c r="E49" s="165" t="str">
        <f>'WP1 Light Inventory'!E44</f>
        <v>SV 100</v>
      </c>
      <c r="F49" s="364">
        <f>'WP1 Light Inventory'!J44</f>
        <v>9604</v>
      </c>
      <c r="G49" s="366">
        <f>'WP12 Condensed Sch. Level Costs'!O43</f>
        <v>35</v>
      </c>
      <c r="H49" s="339">
        <f t="shared" si="21"/>
        <v>4.4534999999999998E-2</v>
      </c>
      <c r="I49" s="295">
        <f t="shared" si="22"/>
        <v>179786.88</v>
      </c>
      <c r="J49" s="727">
        <f t="shared" si="23"/>
        <v>1.56</v>
      </c>
      <c r="L49" s="339">
        <f t="shared" si="24"/>
        <v>3.0908999999999999E-2</v>
      </c>
      <c r="M49" s="295">
        <f t="shared" si="25"/>
        <v>124467.84000000003</v>
      </c>
      <c r="N49" s="727">
        <f t="shared" si="26"/>
        <v>1.08</v>
      </c>
      <c r="P49" s="176"/>
      <c r="Q49" s="295"/>
      <c r="T49" s="613" t="s">
        <v>1132</v>
      </c>
    </row>
    <row r="50" spans="1:20" x14ac:dyDescent="0.2">
      <c r="A50" s="613">
        <f t="shared" si="0"/>
        <v>43</v>
      </c>
      <c r="B50" s="164" t="str">
        <f>'WP1 Light Inventory'!A45</f>
        <v xml:space="preserve">52E </v>
      </c>
      <c r="C50" s="164"/>
      <c r="D50" s="327" t="str">
        <f>'WP1 Light Inventory'!D45</f>
        <v>Sodium Vapor</v>
      </c>
      <c r="E50" s="165" t="str">
        <f>'WP1 Light Inventory'!E45</f>
        <v>SV 150</v>
      </c>
      <c r="F50" s="364">
        <f>'WP1 Light Inventory'!J45</f>
        <v>4470</v>
      </c>
      <c r="G50" s="366">
        <f>'WP12 Condensed Sch. Level Costs'!O44</f>
        <v>52.5</v>
      </c>
      <c r="H50" s="339">
        <f t="shared" si="21"/>
        <v>4.4534999999999998E-2</v>
      </c>
      <c r="I50" s="295">
        <f t="shared" si="22"/>
        <v>125517.59999999999</v>
      </c>
      <c r="J50" s="727">
        <f t="shared" si="23"/>
        <v>2.34</v>
      </c>
      <c r="L50" s="339">
        <f t="shared" si="24"/>
        <v>3.0908999999999999E-2</v>
      </c>
      <c r="M50" s="295">
        <f t="shared" si="25"/>
        <v>86896.8</v>
      </c>
      <c r="N50" s="727">
        <f t="shared" si="26"/>
        <v>1.62</v>
      </c>
      <c r="P50" s="176"/>
      <c r="Q50" s="295"/>
      <c r="T50" s="613" t="s">
        <v>1132</v>
      </c>
    </row>
    <row r="51" spans="1:20" x14ac:dyDescent="0.2">
      <c r="A51" s="613">
        <f t="shared" si="0"/>
        <v>44</v>
      </c>
      <c r="B51" s="164" t="str">
        <f>'WP1 Light Inventory'!A46</f>
        <v xml:space="preserve">52E </v>
      </c>
      <c r="C51" s="164"/>
      <c r="D51" s="327" t="str">
        <f>'WP1 Light Inventory'!D46</f>
        <v>Sodium Vapor</v>
      </c>
      <c r="E51" s="165" t="str">
        <f>'WP1 Light Inventory'!E46</f>
        <v>SV 200</v>
      </c>
      <c r="F51" s="364">
        <f>'WP1 Light Inventory'!J46</f>
        <v>948</v>
      </c>
      <c r="G51" s="366">
        <f>'WP12 Condensed Sch. Level Costs'!O45</f>
        <v>70</v>
      </c>
      <c r="H51" s="339">
        <f t="shared" si="21"/>
        <v>4.4534999999999998E-2</v>
      </c>
      <c r="I51" s="295">
        <f t="shared" si="22"/>
        <v>35493.120000000003</v>
      </c>
      <c r="J51" s="727">
        <f t="shared" si="23"/>
        <v>3.12</v>
      </c>
      <c r="L51" s="339">
        <f t="shared" si="24"/>
        <v>3.0908999999999999E-2</v>
      </c>
      <c r="M51" s="295">
        <f t="shared" si="25"/>
        <v>24572.16</v>
      </c>
      <c r="N51" s="727">
        <f t="shared" si="26"/>
        <v>2.16</v>
      </c>
      <c r="P51" s="176"/>
      <c r="Q51" s="295"/>
      <c r="T51" s="613" t="s">
        <v>1132</v>
      </c>
    </row>
    <row r="52" spans="1:20" x14ac:dyDescent="0.2">
      <c r="A52" s="613">
        <f t="shared" si="0"/>
        <v>45</v>
      </c>
      <c r="B52" s="164" t="str">
        <f>'WP1 Light Inventory'!A47</f>
        <v xml:space="preserve">52E </v>
      </c>
      <c r="C52" s="164"/>
      <c r="D52" s="327" t="str">
        <f>'WP1 Light Inventory'!D47</f>
        <v>Sodium Vapor</v>
      </c>
      <c r="E52" s="165" t="str">
        <f>'WP1 Light Inventory'!E47</f>
        <v>SV 250</v>
      </c>
      <c r="F52" s="364">
        <f>'WP1 Light Inventory'!J47</f>
        <v>1399</v>
      </c>
      <c r="G52" s="366">
        <f>'WP12 Condensed Sch. Level Costs'!O46</f>
        <v>87.5</v>
      </c>
      <c r="H52" s="339">
        <f t="shared" si="21"/>
        <v>4.4534999999999998E-2</v>
      </c>
      <c r="I52" s="295">
        <f t="shared" si="22"/>
        <v>65473.2</v>
      </c>
      <c r="J52" s="727">
        <f t="shared" si="23"/>
        <v>3.9</v>
      </c>
      <c r="L52" s="339">
        <f t="shared" si="24"/>
        <v>3.0908999999999999E-2</v>
      </c>
      <c r="M52" s="295">
        <f t="shared" si="25"/>
        <v>45327.600000000006</v>
      </c>
      <c r="N52" s="727">
        <f t="shared" si="26"/>
        <v>2.7</v>
      </c>
      <c r="P52" s="176"/>
      <c r="Q52" s="295"/>
      <c r="T52" s="613" t="s">
        <v>1132</v>
      </c>
    </row>
    <row r="53" spans="1:20" x14ac:dyDescent="0.2">
      <c r="A53" s="613">
        <f t="shared" si="0"/>
        <v>46</v>
      </c>
      <c r="B53" s="164" t="str">
        <f>'WP1 Light Inventory'!A48</f>
        <v xml:space="preserve">52E </v>
      </c>
      <c r="C53" s="164"/>
      <c r="D53" s="327" t="str">
        <f>'WP1 Light Inventory'!D48</f>
        <v>Sodium Vapor</v>
      </c>
      <c r="E53" s="165" t="str">
        <f>'WP1 Light Inventory'!E48</f>
        <v>SV 310</v>
      </c>
      <c r="F53" s="364">
        <f>'WP1 Light Inventory'!J48</f>
        <v>141</v>
      </c>
      <c r="G53" s="366">
        <f>'WP12 Condensed Sch. Level Costs'!O47</f>
        <v>108.5</v>
      </c>
      <c r="H53" s="339">
        <f t="shared" si="21"/>
        <v>4.4534999999999998E-2</v>
      </c>
      <c r="I53" s="295">
        <f t="shared" si="22"/>
        <v>8172.36</v>
      </c>
      <c r="J53" s="727">
        <f t="shared" si="23"/>
        <v>4.83</v>
      </c>
      <c r="L53" s="339">
        <f t="shared" si="24"/>
        <v>3.0908999999999999E-2</v>
      </c>
      <c r="M53" s="295">
        <f t="shared" si="25"/>
        <v>5668.2000000000007</v>
      </c>
      <c r="N53" s="727">
        <f t="shared" si="26"/>
        <v>3.35</v>
      </c>
      <c r="P53" s="176"/>
      <c r="Q53" s="295"/>
      <c r="T53" s="613" t="s">
        <v>1132</v>
      </c>
    </row>
    <row r="54" spans="1:20" x14ac:dyDescent="0.2">
      <c r="A54" s="613">
        <f t="shared" si="0"/>
        <v>47</v>
      </c>
      <c r="B54" s="164" t="str">
        <f>'WP1 Light Inventory'!A49</f>
        <v xml:space="preserve">52E </v>
      </c>
      <c r="C54" s="164"/>
      <c r="D54" s="327" t="str">
        <f>'WP1 Light Inventory'!D49</f>
        <v>Sodium Vapor</v>
      </c>
      <c r="E54" s="165" t="str">
        <f>'WP1 Light Inventory'!E49</f>
        <v>SV 400</v>
      </c>
      <c r="F54" s="364">
        <f>'WP1 Light Inventory'!J49</f>
        <v>589</v>
      </c>
      <c r="G54" s="366">
        <f>'WP12 Condensed Sch. Level Costs'!O48</f>
        <v>140</v>
      </c>
      <c r="H54" s="339">
        <f t="shared" si="21"/>
        <v>4.4534999999999998E-2</v>
      </c>
      <c r="I54" s="295">
        <f t="shared" si="22"/>
        <v>44033.64</v>
      </c>
      <c r="J54" s="727">
        <f t="shared" si="23"/>
        <v>6.23</v>
      </c>
      <c r="L54" s="339">
        <f t="shared" si="24"/>
        <v>3.0908999999999999E-2</v>
      </c>
      <c r="M54" s="295">
        <f t="shared" si="25"/>
        <v>30604.44</v>
      </c>
      <c r="N54" s="727">
        <f t="shared" si="26"/>
        <v>4.33</v>
      </c>
      <c r="P54" s="176"/>
      <c r="Q54" s="295"/>
      <c r="T54" s="613" t="s">
        <v>1132</v>
      </c>
    </row>
    <row r="55" spans="1:20" x14ac:dyDescent="0.2">
      <c r="A55" s="613">
        <f t="shared" si="0"/>
        <v>48</v>
      </c>
      <c r="B55" s="164"/>
      <c r="C55" s="164"/>
      <c r="D55" s="327"/>
      <c r="E55" s="165"/>
      <c r="F55" s="364"/>
      <c r="G55" s="399"/>
      <c r="H55" s="342"/>
      <c r="I55" s="295"/>
      <c r="J55" s="727"/>
      <c r="L55" s="342"/>
      <c r="M55" s="295"/>
      <c r="N55" s="727"/>
      <c r="P55" s="342"/>
      <c r="Q55" s="295"/>
    </row>
    <row r="56" spans="1:20" x14ac:dyDescent="0.2">
      <c r="A56" s="613">
        <f t="shared" si="0"/>
        <v>49</v>
      </c>
      <c r="B56" s="164" t="str">
        <f>'WP1 Light Inventory'!A51</f>
        <v xml:space="preserve">52E </v>
      </c>
      <c r="C56" s="164"/>
      <c r="D56" s="327" t="str">
        <f>'WP1 Light Inventory'!D51</f>
        <v>Metal Halide</v>
      </c>
      <c r="E56" s="165" t="str">
        <f>'WP1 Light Inventory'!E51</f>
        <v>MH 070</v>
      </c>
      <c r="F56" s="364">
        <f>'WP1 Light Inventory'!J51</f>
        <v>70</v>
      </c>
      <c r="G56" s="366">
        <f>'WP12 Condensed Sch. Level Costs'!O50</f>
        <v>24.5</v>
      </c>
      <c r="H56" s="339">
        <f t="shared" ref="H56:H62" si="27">$Y$8</f>
        <v>4.4534999999999998E-2</v>
      </c>
      <c r="I56" s="295">
        <f t="shared" ref="I56:I62" si="28">+F56*J56*12</f>
        <v>915.60000000000014</v>
      </c>
      <c r="J56" s="727">
        <f t="shared" ref="J56:J62" si="29">ROUND(+H56*G56,2)</f>
        <v>1.0900000000000001</v>
      </c>
      <c r="L56" s="339">
        <f t="shared" ref="L56:L62" si="30">$Y$9</f>
        <v>3.0908999999999999E-2</v>
      </c>
      <c r="M56" s="295">
        <f t="shared" ref="M56:M62" si="31">+F56*N56*12</f>
        <v>638.40000000000009</v>
      </c>
      <c r="N56" s="727">
        <f t="shared" ref="N56:N62" si="32">ROUND(+L56*G56,2)</f>
        <v>0.76</v>
      </c>
      <c r="P56" s="176"/>
      <c r="Q56" s="295"/>
      <c r="T56" s="613" t="s">
        <v>1133</v>
      </c>
    </row>
    <row r="57" spans="1:20" x14ac:dyDescent="0.2">
      <c r="A57" s="613">
        <f t="shared" si="0"/>
        <v>50</v>
      </c>
      <c r="B57" s="164" t="str">
        <f>'WP1 Light Inventory'!A52</f>
        <v xml:space="preserve">52E </v>
      </c>
      <c r="C57" s="164"/>
      <c r="D57" s="327" t="str">
        <f>'WP1 Light Inventory'!D52</f>
        <v>Metal Halide</v>
      </c>
      <c r="E57" s="165" t="str">
        <f>'WP1 Light Inventory'!E52</f>
        <v>MH 100</v>
      </c>
      <c r="F57" s="364">
        <f>'WP1 Light Inventory'!J52</f>
        <v>4</v>
      </c>
      <c r="G57" s="366">
        <f>'WP12 Condensed Sch. Level Costs'!O51</f>
        <v>35</v>
      </c>
      <c r="H57" s="339">
        <f t="shared" si="27"/>
        <v>4.4534999999999998E-2</v>
      </c>
      <c r="I57" s="295">
        <f t="shared" si="28"/>
        <v>74.88</v>
      </c>
      <c r="J57" s="727">
        <f t="shared" si="29"/>
        <v>1.56</v>
      </c>
      <c r="L57" s="339">
        <f t="shared" si="30"/>
        <v>3.0908999999999999E-2</v>
      </c>
      <c r="M57" s="295">
        <f t="shared" si="31"/>
        <v>51.84</v>
      </c>
      <c r="N57" s="727">
        <f t="shared" si="32"/>
        <v>1.08</v>
      </c>
      <c r="P57" s="176"/>
      <c r="Q57" s="295"/>
      <c r="T57" s="613" t="s">
        <v>1133</v>
      </c>
    </row>
    <row r="58" spans="1:20" x14ac:dyDescent="0.2">
      <c r="A58" s="613">
        <f t="shared" si="0"/>
        <v>51</v>
      </c>
      <c r="B58" s="164" t="str">
        <f>'WP1 Light Inventory'!A53</f>
        <v xml:space="preserve">52E </v>
      </c>
      <c r="C58" s="164"/>
      <c r="D58" s="327" t="str">
        <f>'WP1 Light Inventory'!D53</f>
        <v>Metal Halide</v>
      </c>
      <c r="E58" s="165" t="str">
        <f>'WP1 Light Inventory'!E53</f>
        <v>MH 150</v>
      </c>
      <c r="F58" s="364">
        <f>'WP1 Light Inventory'!J53</f>
        <v>201</v>
      </c>
      <c r="G58" s="366">
        <f>'WP12 Condensed Sch. Level Costs'!O52</f>
        <v>52.5</v>
      </c>
      <c r="H58" s="339">
        <f t="shared" si="27"/>
        <v>4.4534999999999998E-2</v>
      </c>
      <c r="I58" s="295">
        <f t="shared" si="28"/>
        <v>5644.08</v>
      </c>
      <c r="J58" s="727">
        <f t="shared" si="29"/>
        <v>2.34</v>
      </c>
      <c r="L58" s="339">
        <f t="shared" si="30"/>
        <v>3.0908999999999999E-2</v>
      </c>
      <c r="M58" s="295">
        <f t="shared" si="31"/>
        <v>3907.44</v>
      </c>
      <c r="N58" s="727">
        <f t="shared" si="32"/>
        <v>1.62</v>
      </c>
      <c r="P58" s="176"/>
      <c r="Q58" s="295"/>
      <c r="T58" s="613" t="s">
        <v>1133</v>
      </c>
    </row>
    <row r="59" spans="1:20" x14ac:dyDescent="0.2">
      <c r="A59" s="613">
        <f t="shared" si="0"/>
        <v>52</v>
      </c>
      <c r="B59" s="164" t="str">
        <f>'WP1 Light Inventory'!A54</f>
        <v xml:space="preserve">52E </v>
      </c>
      <c r="C59" s="164"/>
      <c r="D59" s="327" t="str">
        <f>'WP1 Light Inventory'!D54</f>
        <v>Metal Halide</v>
      </c>
      <c r="E59" s="165" t="str">
        <f>'WP1 Light Inventory'!E54</f>
        <v>MH 175</v>
      </c>
      <c r="F59" s="364">
        <f>'WP1 Light Inventory'!J54</f>
        <v>212</v>
      </c>
      <c r="G59" s="366">
        <f>'WP12 Condensed Sch. Level Costs'!O53</f>
        <v>61.25</v>
      </c>
      <c r="H59" s="339">
        <f t="shared" si="27"/>
        <v>4.4534999999999998E-2</v>
      </c>
      <c r="I59" s="295">
        <f t="shared" si="28"/>
        <v>6945.12</v>
      </c>
      <c r="J59" s="727">
        <f t="shared" si="29"/>
        <v>2.73</v>
      </c>
      <c r="L59" s="339">
        <f t="shared" si="30"/>
        <v>3.0908999999999999E-2</v>
      </c>
      <c r="M59" s="295">
        <f t="shared" si="31"/>
        <v>4808.16</v>
      </c>
      <c r="N59" s="727">
        <f t="shared" si="32"/>
        <v>1.89</v>
      </c>
      <c r="P59" s="176"/>
      <c r="Q59" s="295"/>
      <c r="T59" s="613" t="s">
        <v>1133</v>
      </c>
    </row>
    <row r="60" spans="1:20" x14ac:dyDescent="0.2">
      <c r="A60" s="613">
        <f t="shared" si="0"/>
        <v>53</v>
      </c>
      <c r="B60" s="164" t="str">
        <f>'WP1 Light Inventory'!A55</f>
        <v xml:space="preserve">52E </v>
      </c>
      <c r="C60" s="164"/>
      <c r="D60" s="327" t="str">
        <f>'WP1 Light Inventory'!D55</f>
        <v>Metal Halide</v>
      </c>
      <c r="E60" s="165" t="str">
        <f>'WP1 Light Inventory'!E55</f>
        <v>MH 250</v>
      </c>
      <c r="F60" s="364">
        <f>'WP1 Light Inventory'!J55</f>
        <v>36</v>
      </c>
      <c r="G60" s="366">
        <f>'WP12 Condensed Sch. Level Costs'!O54</f>
        <v>87.5</v>
      </c>
      <c r="H60" s="339">
        <f t="shared" si="27"/>
        <v>4.4534999999999998E-2</v>
      </c>
      <c r="I60" s="295">
        <f t="shared" si="28"/>
        <v>1684.8000000000002</v>
      </c>
      <c r="J60" s="727">
        <f t="shared" si="29"/>
        <v>3.9</v>
      </c>
      <c r="L60" s="339">
        <f t="shared" si="30"/>
        <v>3.0908999999999999E-2</v>
      </c>
      <c r="M60" s="295">
        <f t="shared" si="31"/>
        <v>1166.4000000000001</v>
      </c>
      <c r="N60" s="727">
        <f t="shared" si="32"/>
        <v>2.7</v>
      </c>
      <c r="P60" s="176"/>
      <c r="Q60" s="295"/>
      <c r="T60" s="613" t="s">
        <v>1133</v>
      </c>
    </row>
    <row r="61" spans="1:20" x14ac:dyDescent="0.2">
      <c r="A61" s="613">
        <f t="shared" si="0"/>
        <v>54</v>
      </c>
      <c r="B61" s="164" t="str">
        <f>'WP1 Light Inventory'!A56</f>
        <v xml:space="preserve">52E </v>
      </c>
      <c r="C61" s="164"/>
      <c r="D61" s="327" t="str">
        <f>'WP1 Light Inventory'!D56</f>
        <v>Metal Halide</v>
      </c>
      <c r="E61" s="165" t="str">
        <f>'WP1 Light Inventory'!E56</f>
        <v>MH 400</v>
      </c>
      <c r="F61" s="364">
        <f>'WP1 Light Inventory'!J56</f>
        <v>57</v>
      </c>
      <c r="G61" s="366">
        <f>'WP12 Condensed Sch. Level Costs'!O55</f>
        <v>140</v>
      </c>
      <c r="H61" s="339">
        <f t="shared" si="27"/>
        <v>4.4534999999999998E-2</v>
      </c>
      <c r="I61" s="295">
        <f t="shared" si="28"/>
        <v>4261.32</v>
      </c>
      <c r="J61" s="727">
        <f t="shared" si="29"/>
        <v>6.23</v>
      </c>
      <c r="L61" s="339">
        <f t="shared" si="30"/>
        <v>3.0908999999999999E-2</v>
      </c>
      <c r="M61" s="295">
        <f t="shared" si="31"/>
        <v>2961.7200000000003</v>
      </c>
      <c r="N61" s="727">
        <f t="shared" si="32"/>
        <v>4.33</v>
      </c>
      <c r="P61" s="176"/>
      <c r="Q61" s="295"/>
      <c r="T61" s="613" t="s">
        <v>1133</v>
      </c>
    </row>
    <row r="62" spans="1:20" x14ac:dyDescent="0.2">
      <c r="A62" s="613">
        <f t="shared" si="0"/>
        <v>55</v>
      </c>
      <c r="B62" s="164" t="str">
        <f>'WP1 Light Inventory'!A57</f>
        <v xml:space="preserve">52E </v>
      </c>
      <c r="C62" s="164"/>
      <c r="D62" s="327" t="str">
        <f>'WP1 Light Inventory'!D57</f>
        <v>Metal Halide</v>
      </c>
      <c r="E62" s="165" t="str">
        <f>'WP1 Light Inventory'!E57</f>
        <v>MH 1000</v>
      </c>
      <c r="F62" s="364">
        <f>'WP1 Light Inventory'!J57</f>
        <v>18</v>
      </c>
      <c r="G62" s="366">
        <f>'WP12 Condensed Sch. Level Costs'!O56</f>
        <v>350</v>
      </c>
      <c r="H62" s="339">
        <f t="shared" si="27"/>
        <v>4.4534999999999998E-2</v>
      </c>
      <c r="I62" s="295">
        <f t="shared" si="28"/>
        <v>3367.44</v>
      </c>
      <c r="J62" s="727">
        <f t="shared" si="29"/>
        <v>15.59</v>
      </c>
      <c r="L62" s="339">
        <f t="shared" si="30"/>
        <v>3.0908999999999999E-2</v>
      </c>
      <c r="M62" s="295">
        <f t="shared" si="31"/>
        <v>2337.12</v>
      </c>
      <c r="N62" s="727">
        <f t="shared" si="32"/>
        <v>10.82</v>
      </c>
      <c r="P62" s="176"/>
      <c r="Q62" s="295"/>
      <c r="T62" s="613" t="s">
        <v>1133</v>
      </c>
    </row>
    <row r="63" spans="1:20" x14ac:dyDescent="0.2">
      <c r="A63" s="613">
        <f t="shared" si="0"/>
        <v>56</v>
      </c>
      <c r="B63" s="164"/>
      <c r="C63" s="164"/>
      <c r="D63" s="327"/>
      <c r="E63" s="165"/>
      <c r="F63" s="364"/>
      <c r="G63" s="399"/>
      <c r="H63" s="342"/>
      <c r="I63" s="295"/>
      <c r="J63" s="727"/>
      <c r="L63" s="342"/>
      <c r="M63" s="295"/>
      <c r="N63" s="727"/>
      <c r="P63" s="342"/>
      <c r="Q63" s="295"/>
    </row>
    <row r="64" spans="1:20" x14ac:dyDescent="0.2">
      <c r="A64" s="613">
        <f t="shared" si="0"/>
        <v>57</v>
      </c>
      <c r="B64" s="164" t="s">
        <v>137</v>
      </c>
      <c r="C64" s="164"/>
      <c r="D64" s="327"/>
      <c r="E64" s="165"/>
      <c r="F64" s="364"/>
      <c r="G64" s="399"/>
      <c r="H64" s="342"/>
      <c r="I64" s="295"/>
      <c r="J64" s="727"/>
      <c r="L64" s="342"/>
      <c r="M64" s="295"/>
      <c r="N64" s="727"/>
      <c r="P64" s="342"/>
      <c r="Q64" s="295"/>
    </row>
    <row r="65" spans="1:20" x14ac:dyDescent="0.2">
      <c r="A65" s="613">
        <f t="shared" si="0"/>
        <v>58</v>
      </c>
      <c r="B65" s="164" t="str">
        <f>'WP1 Light Inventory'!A59</f>
        <v>53E</v>
      </c>
      <c r="C65" s="164" t="str">
        <f>'WP1 Light Inventory'!C59</f>
        <v xml:space="preserve">Company Owned </v>
      </c>
      <c r="D65" s="327" t="str">
        <f>'WP1 Light Inventory'!D59</f>
        <v>Sodium Vapor</v>
      </c>
      <c r="E65" s="165" t="str">
        <f>'WP1 Light Inventory'!E59</f>
        <v>SV 050</v>
      </c>
      <c r="F65" s="364">
        <f>'WP1 Light Inventory'!J59</f>
        <v>0</v>
      </c>
      <c r="G65" s="366">
        <f>'WP12 Condensed Sch. Level Costs'!O58</f>
        <v>17.5</v>
      </c>
      <c r="H65" s="339">
        <f t="shared" ref="H65:H73" si="33">$Y$8</f>
        <v>4.4534999999999998E-2</v>
      </c>
      <c r="I65" s="295">
        <f t="shared" ref="I65:I73" si="34">+F65*J65*12</f>
        <v>0</v>
      </c>
      <c r="J65" s="727">
        <f t="shared" ref="J65:J73" si="35">ROUND(+H65*G65,2)</f>
        <v>0.78</v>
      </c>
      <c r="L65" s="339">
        <f t="shared" ref="L65:L73" si="36">$Y$9</f>
        <v>3.0908999999999999E-2</v>
      </c>
      <c r="M65" s="295">
        <f t="shared" ref="M65:M73" si="37">+F65*N65*12</f>
        <v>0</v>
      </c>
      <c r="N65" s="727">
        <f t="shared" ref="N65:N73" si="38">ROUND(+L65*G65,2)</f>
        <v>0.54</v>
      </c>
      <c r="P65" s="176"/>
      <c r="Q65" s="295"/>
      <c r="T65" s="613" t="s">
        <v>1133</v>
      </c>
    </row>
    <row r="66" spans="1:20" x14ac:dyDescent="0.2">
      <c r="A66" s="613">
        <f t="shared" si="0"/>
        <v>59</v>
      </c>
      <c r="B66" s="164" t="str">
        <f>'WP1 Light Inventory'!A60</f>
        <v>53E</v>
      </c>
      <c r="C66" s="164" t="str">
        <f>'WP1 Light Inventory'!C60</f>
        <v xml:space="preserve">Company Owned </v>
      </c>
      <c r="D66" s="327" t="str">
        <f>'WP1 Light Inventory'!D60</f>
        <v>Sodium Vapor</v>
      </c>
      <c r="E66" s="165" t="str">
        <f>'WP1 Light Inventory'!E60</f>
        <v>SV 070</v>
      </c>
      <c r="F66" s="364">
        <f>'WP1 Light Inventory'!J60</f>
        <v>3836</v>
      </c>
      <c r="G66" s="366">
        <f>'WP12 Condensed Sch. Level Costs'!O59</f>
        <v>24.5</v>
      </c>
      <c r="H66" s="339">
        <f t="shared" si="33"/>
        <v>4.4534999999999998E-2</v>
      </c>
      <c r="I66" s="295">
        <f t="shared" si="34"/>
        <v>50174.880000000005</v>
      </c>
      <c r="J66" s="727">
        <f t="shared" si="35"/>
        <v>1.0900000000000001</v>
      </c>
      <c r="L66" s="339">
        <f t="shared" si="36"/>
        <v>3.0908999999999999E-2</v>
      </c>
      <c r="M66" s="295">
        <f t="shared" si="37"/>
        <v>34984.32</v>
      </c>
      <c r="N66" s="727">
        <f t="shared" si="38"/>
        <v>0.76</v>
      </c>
      <c r="P66" s="176"/>
      <c r="Q66" s="295"/>
      <c r="T66" s="613" t="s">
        <v>1133</v>
      </c>
    </row>
    <row r="67" spans="1:20" x14ac:dyDescent="0.2">
      <c r="A67" s="613">
        <f t="shared" si="0"/>
        <v>60</v>
      </c>
      <c r="B67" s="164" t="str">
        <f>'WP1 Light Inventory'!A61</f>
        <v>53E</v>
      </c>
      <c r="C67" s="164" t="str">
        <f>'WP1 Light Inventory'!C61</f>
        <v xml:space="preserve">Company Owned </v>
      </c>
      <c r="D67" s="327" t="str">
        <f>'WP1 Light Inventory'!D61</f>
        <v>Sodium Vapor</v>
      </c>
      <c r="E67" s="165" t="str">
        <f>'WP1 Light Inventory'!E61</f>
        <v>SV 100</v>
      </c>
      <c r="F67" s="364">
        <f>'WP1 Light Inventory'!J61</f>
        <v>28412</v>
      </c>
      <c r="G67" s="366">
        <f>'WP12 Condensed Sch. Level Costs'!O60</f>
        <v>35</v>
      </c>
      <c r="H67" s="339">
        <f t="shared" si="33"/>
        <v>4.4534999999999998E-2</v>
      </c>
      <c r="I67" s="295">
        <f t="shared" si="34"/>
        <v>531872.64</v>
      </c>
      <c r="J67" s="727">
        <f t="shared" si="35"/>
        <v>1.56</v>
      </c>
      <c r="L67" s="339">
        <f t="shared" si="36"/>
        <v>3.0908999999999999E-2</v>
      </c>
      <c r="M67" s="295">
        <f t="shared" si="37"/>
        <v>368219.52</v>
      </c>
      <c r="N67" s="727">
        <f t="shared" si="38"/>
        <v>1.08</v>
      </c>
      <c r="P67" s="176"/>
      <c r="Q67" s="295"/>
      <c r="T67" s="613" t="s">
        <v>1133</v>
      </c>
    </row>
    <row r="68" spans="1:20" x14ac:dyDescent="0.2">
      <c r="A68" s="613">
        <f t="shared" si="0"/>
        <v>61</v>
      </c>
      <c r="B68" s="164" t="str">
        <f>'WP1 Light Inventory'!A62</f>
        <v>53E</v>
      </c>
      <c r="C68" s="164" t="str">
        <f>'WP1 Light Inventory'!C62</f>
        <v xml:space="preserve">Company Owned </v>
      </c>
      <c r="D68" s="327" t="str">
        <f>'WP1 Light Inventory'!D62</f>
        <v>Sodium Vapor</v>
      </c>
      <c r="E68" s="165" t="str">
        <f>'WP1 Light Inventory'!E62</f>
        <v>SV 150</v>
      </c>
      <c r="F68" s="364">
        <f>'WP1 Light Inventory'!J62</f>
        <v>3485</v>
      </c>
      <c r="G68" s="366">
        <f>'WP12 Condensed Sch. Level Costs'!O61</f>
        <v>52.5</v>
      </c>
      <c r="H68" s="339">
        <f t="shared" si="33"/>
        <v>4.4534999999999998E-2</v>
      </c>
      <c r="I68" s="295">
        <f t="shared" si="34"/>
        <v>97858.799999999988</v>
      </c>
      <c r="J68" s="727">
        <f t="shared" si="35"/>
        <v>2.34</v>
      </c>
      <c r="L68" s="339">
        <f t="shared" si="36"/>
        <v>3.0908999999999999E-2</v>
      </c>
      <c r="M68" s="295">
        <f t="shared" si="37"/>
        <v>67748.400000000009</v>
      </c>
      <c r="N68" s="727">
        <f t="shared" si="38"/>
        <v>1.62</v>
      </c>
      <c r="P68" s="176"/>
      <c r="Q68" s="295"/>
      <c r="T68" s="613" t="s">
        <v>1133</v>
      </c>
    </row>
    <row r="69" spans="1:20" x14ac:dyDescent="0.2">
      <c r="A69" s="613">
        <f t="shared" si="0"/>
        <v>62</v>
      </c>
      <c r="B69" s="164" t="str">
        <f>'WP1 Light Inventory'!A63</f>
        <v>53E</v>
      </c>
      <c r="C69" s="164" t="str">
        <f>'WP1 Light Inventory'!C63</f>
        <v xml:space="preserve">Company Owned </v>
      </c>
      <c r="D69" s="327" t="str">
        <f>'WP1 Light Inventory'!D63</f>
        <v>Sodium Vapor</v>
      </c>
      <c r="E69" s="165" t="str">
        <f>'WP1 Light Inventory'!E63</f>
        <v>SV 200</v>
      </c>
      <c r="F69" s="364">
        <f>'WP1 Light Inventory'!J63</f>
        <v>4408</v>
      </c>
      <c r="G69" s="366">
        <f>'WP12 Condensed Sch. Level Costs'!O62</f>
        <v>70</v>
      </c>
      <c r="H69" s="339">
        <f t="shared" si="33"/>
        <v>4.4534999999999998E-2</v>
      </c>
      <c r="I69" s="295">
        <f t="shared" si="34"/>
        <v>165035.52000000002</v>
      </c>
      <c r="J69" s="727">
        <f t="shared" si="35"/>
        <v>3.12</v>
      </c>
      <c r="L69" s="339">
        <f t="shared" si="36"/>
        <v>3.0908999999999999E-2</v>
      </c>
      <c r="M69" s="295">
        <f t="shared" si="37"/>
        <v>114255.36000000002</v>
      </c>
      <c r="N69" s="727">
        <f t="shared" si="38"/>
        <v>2.16</v>
      </c>
      <c r="P69" s="176"/>
      <c r="Q69" s="295"/>
      <c r="T69" s="613" t="s">
        <v>1133</v>
      </c>
    </row>
    <row r="70" spans="1:20" x14ac:dyDescent="0.2">
      <c r="A70" s="613">
        <f t="shared" si="0"/>
        <v>63</v>
      </c>
      <c r="B70" s="164" t="str">
        <f>'WP1 Light Inventory'!A64</f>
        <v>53E</v>
      </c>
      <c r="C70" s="164" t="str">
        <f>'WP1 Light Inventory'!C64</f>
        <v xml:space="preserve">Company Owned </v>
      </c>
      <c r="D70" s="327" t="str">
        <f>'WP1 Light Inventory'!D64</f>
        <v>Sodium Vapor</v>
      </c>
      <c r="E70" s="165" t="str">
        <f>'WP1 Light Inventory'!E64</f>
        <v>SV 250</v>
      </c>
      <c r="F70" s="364">
        <f>'WP1 Light Inventory'!J64</f>
        <v>1615</v>
      </c>
      <c r="G70" s="366">
        <f>'WP12 Condensed Sch. Level Costs'!O63</f>
        <v>87.5</v>
      </c>
      <c r="H70" s="339">
        <f t="shared" si="33"/>
        <v>4.4534999999999998E-2</v>
      </c>
      <c r="I70" s="295">
        <f t="shared" si="34"/>
        <v>75582</v>
      </c>
      <c r="J70" s="727">
        <f t="shared" si="35"/>
        <v>3.9</v>
      </c>
      <c r="L70" s="339">
        <f t="shared" si="36"/>
        <v>3.0908999999999999E-2</v>
      </c>
      <c r="M70" s="295">
        <f t="shared" si="37"/>
        <v>52326</v>
      </c>
      <c r="N70" s="727">
        <f t="shared" si="38"/>
        <v>2.7</v>
      </c>
      <c r="P70" s="176"/>
      <c r="Q70" s="295"/>
      <c r="T70" s="613" t="s">
        <v>1133</v>
      </c>
    </row>
    <row r="71" spans="1:20" x14ac:dyDescent="0.2">
      <c r="A71" s="613">
        <f t="shared" si="0"/>
        <v>64</v>
      </c>
      <c r="B71" s="164" t="str">
        <f>'WP1 Light Inventory'!A65</f>
        <v>53E</v>
      </c>
      <c r="C71" s="164" t="str">
        <f>'WP1 Light Inventory'!C65</f>
        <v xml:space="preserve">Company Owned </v>
      </c>
      <c r="D71" s="327" t="str">
        <f>'WP1 Light Inventory'!D65</f>
        <v>Sodium Vapor</v>
      </c>
      <c r="E71" s="165" t="str">
        <f>'WP1 Light Inventory'!E65</f>
        <v>SV 310</v>
      </c>
      <c r="F71" s="364">
        <f>'WP1 Light Inventory'!J65</f>
        <v>15</v>
      </c>
      <c r="G71" s="366">
        <f>'WP12 Condensed Sch. Level Costs'!O64</f>
        <v>108.5</v>
      </c>
      <c r="H71" s="339">
        <f t="shared" si="33"/>
        <v>4.4534999999999998E-2</v>
      </c>
      <c r="I71" s="295">
        <f t="shared" si="34"/>
        <v>869.40000000000009</v>
      </c>
      <c r="J71" s="727">
        <f t="shared" si="35"/>
        <v>4.83</v>
      </c>
      <c r="L71" s="339">
        <f t="shared" si="36"/>
        <v>3.0908999999999999E-2</v>
      </c>
      <c r="M71" s="295">
        <f t="shared" si="37"/>
        <v>603</v>
      </c>
      <c r="N71" s="727">
        <f t="shared" si="38"/>
        <v>3.35</v>
      </c>
      <c r="P71" s="176"/>
      <c r="Q71" s="295"/>
      <c r="T71" s="613" t="s">
        <v>1133</v>
      </c>
    </row>
    <row r="72" spans="1:20" x14ac:dyDescent="0.2">
      <c r="A72" s="613">
        <f t="shared" si="0"/>
        <v>65</v>
      </c>
      <c r="B72" s="164" t="str">
        <f>'WP1 Light Inventory'!A66</f>
        <v>53E</v>
      </c>
      <c r="C72" s="164" t="str">
        <f>'WP1 Light Inventory'!C66</f>
        <v xml:space="preserve">Company Owned </v>
      </c>
      <c r="D72" s="327" t="str">
        <f>'WP1 Light Inventory'!D66</f>
        <v>Sodium Vapor</v>
      </c>
      <c r="E72" s="165" t="str">
        <f>'WP1 Light Inventory'!E66</f>
        <v>SV 400</v>
      </c>
      <c r="F72" s="364">
        <f>'WP1 Light Inventory'!J66</f>
        <v>884</v>
      </c>
      <c r="G72" s="366">
        <f>'WP12 Condensed Sch. Level Costs'!O65</f>
        <v>140</v>
      </c>
      <c r="H72" s="339">
        <f t="shared" si="33"/>
        <v>4.4534999999999998E-2</v>
      </c>
      <c r="I72" s="295">
        <f t="shared" si="34"/>
        <v>66087.840000000011</v>
      </c>
      <c r="J72" s="727">
        <f t="shared" si="35"/>
        <v>6.23</v>
      </c>
      <c r="L72" s="339">
        <f t="shared" si="36"/>
        <v>3.0908999999999999E-2</v>
      </c>
      <c r="M72" s="295">
        <f t="shared" si="37"/>
        <v>45932.639999999999</v>
      </c>
      <c r="N72" s="727">
        <f t="shared" si="38"/>
        <v>4.33</v>
      </c>
      <c r="P72" s="176"/>
      <c r="Q72" s="295"/>
      <c r="T72" s="613" t="s">
        <v>1133</v>
      </c>
    </row>
    <row r="73" spans="1:20" x14ac:dyDescent="0.2">
      <c r="A73" s="613">
        <f t="shared" ref="A73:A136" si="39">A72+1</f>
        <v>66</v>
      </c>
      <c r="B73" s="164" t="str">
        <f>'WP1 Light Inventory'!A67</f>
        <v>53E</v>
      </c>
      <c r="C73" s="164" t="str">
        <f>'WP1 Light Inventory'!C67</f>
        <v xml:space="preserve">Company Owned </v>
      </c>
      <c r="D73" s="327" t="str">
        <f>'WP1 Light Inventory'!D67</f>
        <v>Sodium Vapor</v>
      </c>
      <c r="E73" s="165" t="str">
        <f>'WP1 Light Inventory'!E67</f>
        <v>SV 1000</v>
      </c>
      <c r="F73" s="364">
        <f>'WP1 Light Inventory'!J67</f>
        <v>0</v>
      </c>
      <c r="G73" s="366">
        <f>'WP12 Condensed Sch. Level Costs'!O66</f>
        <v>350</v>
      </c>
      <c r="H73" s="339">
        <f t="shared" si="33"/>
        <v>4.4534999999999998E-2</v>
      </c>
      <c r="I73" s="295">
        <f t="shared" si="34"/>
        <v>0</v>
      </c>
      <c r="J73" s="727">
        <f t="shared" si="35"/>
        <v>15.59</v>
      </c>
      <c r="L73" s="339">
        <f t="shared" si="36"/>
        <v>3.0908999999999999E-2</v>
      </c>
      <c r="M73" s="295">
        <f t="shared" si="37"/>
        <v>0</v>
      </c>
      <c r="N73" s="727">
        <f t="shared" si="38"/>
        <v>10.82</v>
      </c>
      <c r="P73" s="176"/>
      <c r="Q73" s="295"/>
      <c r="T73" s="613" t="s">
        <v>1133</v>
      </c>
    </row>
    <row r="74" spans="1:20" x14ac:dyDescent="0.2">
      <c r="A74" s="613">
        <f t="shared" si="39"/>
        <v>67</v>
      </c>
      <c r="B74" s="164"/>
      <c r="C74" s="164"/>
      <c r="D74" s="327"/>
      <c r="E74" s="165"/>
      <c r="F74" s="364"/>
      <c r="G74" s="399"/>
      <c r="H74" s="342"/>
      <c r="I74" s="295"/>
      <c r="J74" s="727"/>
      <c r="L74" s="342"/>
      <c r="M74" s="295"/>
      <c r="N74" s="727"/>
      <c r="P74" s="342"/>
      <c r="Q74" s="295"/>
    </row>
    <row r="75" spans="1:20" x14ac:dyDescent="0.2">
      <c r="A75" s="613">
        <f t="shared" si="39"/>
        <v>68</v>
      </c>
      <c r="B75" s="164" t="str">
        <f>'WP1 Light Inventory'!A69</f>
        <v>53E</v>
      </c>
      <c r="C75" s="164" t="str">
        <f>'WP1 Light Inventory'!C69</f>
        <v xml:space="preserve">Company Owned </v>
      </c>
      <c r="D75" s="327" t="str">
        <f>'WP1 Light Inventory'!D69</f>
        <v>Metal Halide</v>
      </c>
      <c r="E75" s="165" t="str">
        <f>'WP1 Light Inventory'!E69</f>
        <v>MH 070</v>
      </c>
      <c r="F75" s="364">
        <f>'WP1 Light Inventory'!J69</f>
        <v>0</v>
      </c>
      <c r="G75" s="366">
        <f>'WP12 Condensed Sch. Level Costs'!O68</f>
        <v>24.5</v>
      </c>
      <c r="H75" s="339">
        <f t="shared" ref="H75:H79" si="40">$Y$8</f>
        <v>4.4534999999999998E-2</v>
      </c>
      <c r="I75" s="295">
        <f t="shared" ref="I75:I79" si="41">+F75*J75*12</f>
        <v>0</v>
      </c>
      <c r="J75" s="727">
        <f t="shared" ref="J75:J79" si="42">ROUND(+H75*G75,2)</f>
        <v>1.0900000000000001</v>
      </c>
      <c r="L75" s="339">
        <f t="shared" ref="L75:L79" si="43">$Y$9</f>
        <v>3.0908999999999999E-2</v>
      </c>
      <c r="M75" s="295">
        <f t="shared" ref="M75:M79" si="44">+F75*N75*12</f>
        <v>0</v>
      </c>
      <c r="N75" s="727">
        <f t="shared" ref="N75:N79" si="45">ROUND(+L75*G75,2)</f>
        <v>0.76</v>
      </c>
      <c r="P75" s="176"/>
      <c r="Q75" s="295"/>
      <c r="T75" s="613" t="s">
        <v>1134</v>
      </c>
    </row>
    <row r="76" spans="1:20" x14ac:dyDescent="0.2">
      <c r="A76" s="613">
        <f t="shared" si="39"/>
        <v>69</v>
      </c>
      <c r="B76" s="164" t="str">
        <f>'WP1 Light Inventory'!A70</f>
        <v>53E</v>
      </c>
      <c r="C76" s="164" t="str">
        <f>'WP1 Light Inventory'!C70</f>
        <v xml:space="preserve">Company Owned </v>
      </c>
      <c r="D76" s="327" t="str">
        <f>'WP1 Light Inventory'!D70</f>
        <v>Metal Halide</v>
      </c>
      <c r="E76" s="165" t="str">
        <f>'WP1 Light Inventory'!E70</f>
        <v>MH 100</v>
      </c>
      <c r="F76" s="364">
        <f>'WP1 Light Inventory'!J70</f>
        <v>0</v>
      </c>
      <c r="G76" s="366">
        <f>'WP12 Condensed Sch. Level Costs'!O69</f>
        <v>35</v>
      </c>
      <c r="H76" s="339">
        <f t="shared" si="40"/>
        <v>4.4534999999999998E-2</v>
      </c>
      <c r="I76" s="295">
        <f t="shared" si="41"/>
        <v>0</v>
      </c>
      <c r="J76" s="727">
        <f t="shared" si="42"/>
        <v>1.56</v>
      </c>
      <c r="L76" s="339">
        <f t="shared" si="43"/>
        <v>3.0908999999999999E-2</v>
      </c>
      <c r="M76" s="295">
        <f t="shared" si="44"/>
        <v>0</v>
      </c>
      <c r="N76" s="727">
        <f t="shared" si="45"/>
        <v>1.08</v>
      </c>
      <c r="P76" s="176"/>
      <c r="Q76" s="295"/>
      <c r="T76" s="613" t="s">
        <v>1134</v>
      </c>
    </row>
    <row r="77" spans="1:20" x14ac:dyDescent="0.2">
      <c r="A77" s="613">
        <f t="shared" si="39"/>
        <v>70</v>
      </c>
      <c r="B77" s="164" t="str">
        <f>'WP1 Light Inventory'!A71</f>
        <v>53E</v>
      </c>
      <c r="C77" s="164" t="str">
        <f>'WP1 Light Inventory'!C71</f>
        <v xml:space="preserve">Company Owned </v>
      </c>
      <c r="D77" s="327" t="str">
        <f>'WP1 Light Inventory'!D71</f>
        <v>Metal Halide</v>
      </c>
      <c r="E77" s="165" t="str">
        <f>'WP1 Light Inventory'!E71</f>
        <v>MH 150</v>
      </c>
      <c r="F77" s="364">
        <f>'WP1 Light Inventory'!J71</f>
        <v>0</v>
      </c>
      <c r="G77" s="366">
        <f>'WP12 Condensed Sch. Level Costs'!O70</f>
        <v>52.5</v>
      </c>
      <c r="H77" s="339">
        <f t="shared" si="40"/>
        <v>4.4534999999999998E-2</v>
      </c>
      <c r="I77" s="295">
        <f t="shared" si="41"/>
        <v>0</v>
      </c>
      <c r="J77" s="727">
        <f t="shared" si="42"/>
        <v>2.34</v>
      </c>
      <c r="L77" s="339">
        <f t="shared" si="43"/>
        <v>3.0908999999999999E-2</v>
      </c>
      <c r="M77" s="295">
        <f t="shared" si="44"/>
        <v>0</v>
      </c>
      <c r="N77" s="727">
        <f t="shared" si="45"/>
        <v>1.62</v>
      </c>
      <c r="P77" s="176"/>
      <c r="Q77" s="295"/>
      <c r="T77" s="613" t="s">
        <v>1134</v>
      </c>
    </row>
    <row r="78" spans="1:20" x14ac:dyDescent="0.2">
      <c r="A78" s="613">
        <f t="shared" si="39"/>
        <v>71</v>
      </c>
      <c r="B78" s="164" t="str">
        <f>'WP1 Light Inventory'!A72</f>
        <v>53E</v>
      </c>
      <c r="C78" s="164" t="str">
        <f>'WP1 Light Inventory'!C72</f>
        <v xml:space="preserve">Company Owned </v>
      </c>
      <c r="D78" s="327" t="str">
        <f>'WP1 Light Inventory'!D72</f>
        <v>Metal Halide</v>
      </c>
      <c r="E78" s="165" t="str">
        <f>'WP1 Light Inventory'!E72</f>
        <v>MH 250</v>
      </c>
      <c r="F78" s="364">
        <f>'WP1 Light Inventory'!J72</f>
        <v>0</v>
      </c>
      <c r="G78" s="366">
        <f>'WP12 Condensed Sch. Level Costs'!O71</f>
        <v>87.5</v>
      </c>
      <c r="H78" s="339">
        <f t="shared" si="40"/>
        <v>4.4534999999999998E-2</v>
      </c>
      <c r="I78" s="295">
        <f t="shared" si="41"/>
        <v>0</v>
      </c>
      <c r="J78" s="727">
        <f t="shared" si="42"/>
        <v>3.9</v>
      </c>
      <c r="L78" s="339">
        <f t="shared" si="43"/>
        <v>3.0908999999999999E-2</v>
      </c>
      <c r="M78" s="295">
        <f t="shared" si="44"/>
        <v>0</v>
      </c>
      <c r="N78" s="727">
        <f t="shared" si="45"/>
        <v>2.7</v>
      </c>
      <c r="P78" s="176"/>
      <c r="Q78" s="295"/>
      <c r="T78" s="613" t="s">
        <v>1134</v>
      </c>
    </row>
    <row r="79" spans="1:20" x14ac:dyDescent="0.2">
      <c r="A79" s="613">
        <f t="shared" si="39"/>
        <v>72</v>
      </c>
      <c r="B79" s="164" t="str">
        <f>'WP1 Light Inventory'!A73</f>
        <v>53E</v>
      </c>
      <c r="C79" s="164" t="str">
        <f>'WP1 Light Inventory'!C73</f>
        <v xml:space="preserve">Company Owned </v>
      </c>
      <c r="D79" s="327" t="str">
        <f>'WP1 Light Inventory'!D73</f>
        <v>Metal Halide</v>
      </c>
      <c r="E79" s="165" t="str">
        <f>'WP1 Light Inventory'!E73</f>
        <v>MH 400</v>
      </c>
      <c r="F79" s="364">
        <f>'WP1 Light Inventory'!J73</f>
        <v>0</v>
      </c>
      <c r="G79" s="366">
        <f>'WP12 Condensed Sch. Level Costs'!O72</f>
        <v>140</v>
      </c>
      <c r="H79" s="339">
        <f t="shared" si="40"/>
        <v>4.4534999999999998E-2</v>
      </c>
      <c r="I79" s="295">
        <f t="shared" si="41"/>
        <v>0</v>
      </c>
      <c r="J79" s="727">
        <f t="shared" si="42"/>
        <v>6.23</v>
      </c>
      <c r="L79" s="339">
        <f t="shared" si="43"/>
        <v>3.0908999999999999E-2</v>
      </c>
      <c r="M79" s="295">
        <f t="shared" si="44"/>
        <v>0</v>
      </c>
      <c r="N79" s="727">
        <f t="shared" si="45"/>
        <v>4.33</v>
      </c>
      <c r="P79" s="176"/>
      <c r="Q79" s="295"/>
      <c r="T79" s="613" t="s">
        <v>1134</v>
      </c>
    </row>
    <row r="80" spans="1:20" x14ac:dyDescent="0.2">
      <c r="A80" s="613">
        <f t="shared" si="39"/>
        <v>73</v>
      </c>
      <c r="B80" s="164"/>
      <c r="C80" s="164"/>
      <c r="D80" s="327"/>
      <c r="E80" s="165"/>
      <c r="F80" s="364"/>
      <c r="G80" s="399"/>
      <c r="H80" s="342"/>
      <c r="I80" s="295"/>
      <c r="J80" s="727"/>
      <c r="L80" s="342"/>
      <c r="M80" s="295"/>
      <c r="N80" s="727"/>
      <c r="P80" s="342"/>
      <c r="Q80" s="295"/>
    </row>
    <row r="81" spans="1:20" ht="11.25" customHeight="1" x14ac:dyDescent="0.2">
      <c r="A81" s="613">
        <f t="shared" si="39"/>
        <v>74</v>
      </c>
      <c r="B81" s="164" t="str">
        <f>'WP1 Light Inventory'!A75</f>
        <v>53E</v>
      </c>
      <c r="C81" s="164" t="str">
        <f>'WP1 Light Inventory'!C75</f>
        <v xml:space="preserve">Company Owned </v>
      </c>
      <c r="D81" s="327" t="str">
        <f>'WP1 Light Inventory'!D75</f>
        <v>Light Emitting Diode</v>
      </c>
      <c r="E81" s="165" t="str">
        <f>'WP1 Light Inventory'!E75</f>
        <v>LED 0-030</v>
      </c>
      <c r="F81" s="364">
        <f>'WP1 Light Inventory'!J75</f>
        <v>0</v>
      </c>
      <c r="G81" s="366">
        <f>'WP12 Condensed Sch. Level Costs'!O74</f>
        <v>5.25</v>
      </c>
      <c r="H81" s="339">
        <f t="shared" ref="H81:H90" si="46">$Y$8</f>
        <v>4.4534999999999998E-2</v>
      </c>
      <c r="I81" s="295">
        <f t="shared" ref="I81:I90" si="47">+F81*J81*12</f>
        <v>0</v>
      </c>
      <c r="J81" s="727">
        <f t="shared" ref="J81:J90" si="48">ROUND(+H81*G81,2)</f>
        <v>0.23</v>
      </c>
      <c r="L81" s="339">
        <f t="shared" ref="L81:L90" si="49">$Y$9</f>
        <v>3.0908999999999999E-2</v>
      </c>
      <c r="M81" s="295">
        <f t="shared" ref="M81:M90" si="50">+F81*N81*12</f>
        <v>0</v>
      </c>
      <c r="N81" s="727">
        <f t="shared" ref="N81:N90" si="51">ROUND(+L81*G81,2)</f>
        <v>0.16</v>
      </c>
      <c r="P81" s="176"/>
      <c r="Q81" s="295"/>
      <c r="S81" s="239"/>
      <c r="T81" s="613" t="s">
        <v>1135</v>
      </c>
    </row>
    <row r="82" spans="1:20" x14ac:dyDescent="0.2">
      <c r="A82" s="613">
        <f t="shared" si="39"/>
        <v>75</v>
      </c>
      <c r="B82" s="164" t="str">
        <f>'WP1 Light Inventory'!A76</f>
        <v>53E</v>
      </c>
      <c r="C82" s="164" t="str">
        <f>'WP1 Light Inventory'!C76</f>
        <v xml:space="preserve">Company Owned </v>
      </c>
      <c r="D82" s="327" t="str">
        <f>'WP1 Light Inventory'!D76</f>
        <v>Light Emitting Diode</v>
      </c>
      <c r="E82" s="165" t="str">
        <f>'WP1 Light Inventory'!E76</f>
        <v>LED 030.01-060</v>
      </c>
      <c r="F82" s="364">
        <f>'WP1 Light Inventory'!J76</f>
        <v>21897</v>
      </c>
      <c r="G82" s="366">
        <f>'WP12 Condensed Sch. Level Costs'!O75</f>
        <v>15.75</v>
      </c>
      <c r="H82" s="339">
        <f t="shared" si="46"/>
        <v>4.4534999999999998E-2</v>
      </c>
      <c r="I82" s="295">
        <f t="shared" si="47"/>
        <v>183934.8</v>
      </c>
      <c r="J82" s="727">
        <f t="shared" si="48"/>
        <v>0.7</v>
      </c>
      <c r="L82" s="339">
        <f t="shared" si="49"/>
        <v>3.0908999999999999E-2</v>
      </c>
      <c r="M82" s="295">
        <f t="shared" si="50"/>
        <v>128754.36000000002</v>
      </c>
      <c r="N82" s="727">
        <f t="shared" si="51"/>
        <v>0.49</v>
      </c>
      <c r="P82" s="176"/>
      <c r="Q82" s="295"/>
      <c r="T82" s="613" t="s">
        <v>1135</v>
      </c>
    </row>
    <row r="83" spans="1:20" x14ac:dyDescent="0.2">
      <c r="A83" s="613">
        <f t="shared" si="39"/>
        <v>76</v>
      </c>
      <c r="B83" s="164" t="str">
        <f>'WP1 Light Inventory'!A77</f>
        <v>53E</v>
      </c>
      <c r="C83" s="164" t="str">
        <f>'WP1 Light Inventory'!C77</f>
        <v xml:space="preserve">Company Owned </v>
      </c>
      <c r="D83" s="327" t="str">
        <f>'WP1 Light Inventory'!D77</f>
        <v>Light Emitting Diode</v>
      </c>
      <c r="E83" s="165" t="str">
        <f>'WP1 Light Inventory'!E77</f>
        <v>LED 060.01-090</v>
      </c>
      <c r="F83" s="364">
        <f>'WP1 Light Inventory'!J77</f>
        <v>430</v>
      </c>
      <c r="G83" s="366">
        <f>'WP12 Condensed Sch. Level Costs'!O76</f>
        <v>26.25</v>
      </c>
      <c r="H83" s="339">
        <f t="shared" si="46"/>
        <v>4.4534999999999998E-2</v>
      </c>
      <c r="I83" s="295">
        <f t="shared" si="47"/>
        <v>6037.2</v>
      </c>
      <c r="J83" s="727">
        <f t="shared" si="48"/>
        <v>1.17</v>
      </c>
      <c r="L83" s="339">
        <f t="shared" si="49"/>
        <v>3.0908999999999999E-2</v>
      </c>
      <c r="M83" s="295">
        <f t="shared" si="50"/>
        <v>4179.6000000000004</v>
      </c>
      <c r="N83" s="727">
        <f t="shared" si="51"/>
        <v>0.81</v>
      </c>
      <c r="P83" s="176"/>
      <c r="Q83" s="295"/>
      <c r="T83" s="613" t="s">
        <v>1135</v>
      </c>
    </row>
    <row r="84" spans="1:20" x14ac:dyDescent="0.2">
      <c r="A84" s="613">
        <f t="shared" si="39"/>
        <v>77</v>
      </c>
      <c r="B84" s="164" t="str">
        <f>'WP1 Light Inventory'!A78</f>
        <v>53E</v>
      </c>
      <c r="C84" s="164" t="str">
        <f>'WP1 Light Inventory'!C78</f>
        <v xml:space="preserve">Company Owned </v>
      </c>
      <c r="D84" s="327" t="str">
        <f>'WP1 Light Inventory'!D78</f>
        <v>Light Emitting Diode</v>
      </c>
      <c r="E84" s="165" t="str">
        <f>'WP1 Light Inventory'!E78</f>
        <v>LED 090.01-120</v>
      </c>
      <c r="F84" s="364">
        <f>'WP1 Light Inventory'!J78</f>
        <v>2478</v>
      </c>
      <c r="G84" s="366">
        <f>'WP12 Condensed Sch. Level Costs'!O77</f>
        <v>36.75</v>
      </c>
      <c r="H84" s="339">
        <f t="shared" si="46"/>
        <v>4.4534999999999998E-2</v>
      </c>
      <c r="I84" s="295">
        <f t="shared" si="47"/>
        <v>48767.039999999994</v>
      </c>
      <c r="J84" s="727">
        <f t="shared" si="48"/>
        <v>1.64</v>
      </c>
      <c r="L84" s="339">
        <f t="shared" si="49"/>
        <v>3.0908999999999999E-2</v>
      </c>
      <c r="M84" s="295">
        <f t="shared" si="50"/>
        <v>33899.039999999994</v>
      </c>
      <c r="N84" s="727">
        <f t="shared" si="51"/>
        <v>1.1399999999999999</v>
      </c>
      <c r="P84" s="176"/>
      <c r="Q84" s="295"/>
      <c r="T84" s="613" t="s">
        <v>1135</v>
      </c>
    </row>
    <row r="85" spans="1:20" x14ac:dyDescent="0.2">
      <c r="A85" s="613">
        <f t="shared" si="39"/>
        <v>78</v>
      </c>
      <c r="B85" s="164" t="str">
        <f>'WP1 Light Inventory'!A79</f>
        <v>53E</v>
      </c>
      <c r="C85" s="164" t="str">
        <f>'WP1 Light Inventory'!C79</f>
        <v xml:space="preserve">Company Owned </v>
      </c>
      <c r="D85" s="327" t="str">
        <f>'WP1 Light Inventory'!D79</f>
        <v>Light Emitting Diode</v>
      </c>
      <c r="E85" s="165" t="str">
        <f>'WP1 Light Inventory'!E79</f>
        <v>LED 120.01-150</v>
      </c>
      <c r="F85" s="364">
        <f>'WP1 Light Inventory'!J79</f>
        <v>1833</v>
      </c>
      <c r="G85" s="366">
        <f>'WP12 Condensed Sch. Level Costs'!O78</f>
        <v>47.25</v>
      </c>
      <c r="H85" s="339">
        <f t="shared" si="46"/>
        <v>4.4534999999999998E-2</v>
      </c>
      <c r="I85" s="295">
        <f t="shared" si="47"/>
        <v>46191.600000000006</v>
      </c>
      <c r="J85" s="727">
        <f t="shared" si="48"/>
        <v>2.1</v>
      </c>
      <c r="L85" s="339">
        <f t="shared" si="49"/>
        <v>3.0908999999999999E-2</v>
      </c>
      <c r="M85" s="295">
        <f t="shared" si="50"/>
        <v>32114.159999999996</v>
      </c>
      <c r="N85" s="727">
        <f t="shared" si="51"/>
        <v>1.46</v>
      </c>
      <c r="P85" s="176"/>
      <c r="Q85" s="295"/>
      <c r="T85" s="613" t="s">
        <v>1135</v>
      </c>
    </row>
    <row r="86" spans="1:20" x14ac:dyDescent="0.2">
      <c r="A86" s="613">
        <f t="shared" si="39"/>
        <v>79</v>
      </c>
      <c r="B86" s="164" t="str">
        <f>'WP1 Light Inventory'!A80</f>
        <v>53E</v>
      </c>
      <c r="C86" s="164" t="str">
        <f>'WP1 Light Inventory'!C80</f>
        <v xml:space="preserve">Company Owned </v>
      </c>
      <c r="D86" s="327" t="str">
        <f>'WP1 Light Inventory'!D80</f>
        <v>Light Emitting Diode</v>
      </c>
      <c r="E86" s="165" t="str">
        <f>'WP1 Light Inventory'!E80</f>
        <v>LED 150.01-180</v>
      </c>
      <c r="F86" s="364">
        <f>'WP1 Light Inventory'!J80</f>
        <v>105</v>
      </c>
      <c r="G86" s="366">
        <f>'WP12 Condensed Sch. Level Costs'!O79</f>
        <v>57.75</v>
      </c>
      <c r="H86" s="339">
        <f t="shared" si="46"/>
        <v>4.4534999999999998E-2</v>
      </c>
      <c r="I86" s="295">
        <f t="shared" si="47"/>
        <v>3238.2</v>
      </c>
      <c r="J86" s="727">
        <f t="shared" si="48"/>
        <v>2.57</v>
      </c>
      <c r="L86" s="339">
        <f t="shared" si="49"/>
        <v>3.0908999999999999E-2</v>
      </c>
      <c r="M86" s="295">
        <f t="shared" si="50"/>
        <v>2242.8000000000002</v>
      </c>
      <c r="N86" s="727">
        <f t="shared" si="51"/>
        <v>1.78</v>
      </c>
      <c r="P86" s="176"/>
      <c r="Q86" s="295"/>
      <c r="T86" s="613" t="s">
        <v>1135</v>
      </c>
    </row>
    <row r="87" spans="1:20" x14ac:dyDescent="0.2">
      <c r="A87" s="613">
        <f t="shared" si="39"/>
        <v>80</v>
      </c>
      <c r="B87" s="164" t="str">
        <f>'WP1 Light Inventory'!A81</f>
        <v>53E</v>
      </c>
      <c r="C87" s="164" t="str">
        <f>'WP1 Light Inventory'!C81</f>
        <v xml:space="preserve">Company Owned </v>
      </c>
      <c r="D87" s="327" t="str">
        <f>'WP1 Light Inventory'!D81</f>
        <v>Light Emitting Diode</v>
      </c>
      <c r="E87" s="165" t="str">
        <f>'WP1 Light Inventory'!E81</f>
        <v>LED 180.01-210</v>
      </c>
      <c r="F87" s="364">
        <f>'WP1 Light Inventory'!J81</f>
        <v>427</v>
      </c>
      <c r="G87" s="366">
        <f>'WP12 Condensed Sch. Level Costs'!O80</f>
        <v>68.25</v>
      </c>
      <c r="H87" s="339">
        <f t="shared" si="46"/>
        <v>4.4534999999999998E-2</v>
      </c>
      <c r="I87" s="295">
        <f t="shared" si="47"/>
        <v>15576.96</v>
      </c>
      <c r="J87" s="727">
        <f t="shared" si="48"/>
        <v>3.04</v>
      </c>
      <c r="L87" s="339">
        <f t="shared" si="49"/>
        <v>3.0908999999999999E-2</v>
      </c>
      <c r="M87" s="295">
        <f t="shared" si="50"/>
        <v>10811.64</v>
      </c>
      <c r="N87" s="727">
        <f t="shared" si="51"/>
        <v>2.11</v>
      </c>
      <c r="P87" s="176"/>
      <c r="Q87" s="295"/>
      <c r="T87" s="613" t="s">
        <v>1135</v>
      </c>
    </row>
    <row r="88" spans="1:20" x14ac:dyDescent="0.2">
      <c r="A88" s="613">
        <f t="shared" si="39"/>
        <v>81</v>
      </c>
      <c r="B88" s="164" t="str">
        <f>'WP1 Light Inventory'!A82</f>
        <v>53E</v>
      </c>
      <c r="C88" s="164" t="str">
        <f>'WP1 Light Inventory'!C82</f>
        <v xml:space="preserve">Company Owned </v>
      </c>
      <c r="D88" s="327" t="str">
        <f>'WP1 Light Inventory'!D82</f>
        <v>Light Emitting Diode</v>
      </c>
      <c r="E88" s="165" t="str">
        <f>'WP1 Light Inventory'!E82</f>
        <v>LED 210.01-240</v>
      </c>
      <c r="F88" s="364">
        <f>'WP1 Light Inventory'!J82</f>
        <v>36</v>
      </c>
      <c r="G88" s="366">
        <f>'WP12 Condensed Sch. Level Costs'!O81</f>
        <v>78.75</v>
      </c>
      <c r="H88" s="339">
        <f t="shared" si="46"/>
        <v>4.4534999999999998E-2</v>
      </c>
      <c r="I88" s="295">
        <f t="shared" si="47"/>
        <v>1516.3199999999997</v>
      </c>
      <c r="J88" s="727">
        <f t="shared" si="48"/>
        <v>3.51</v>
      </c>
      <c r="L88" s="339">
        <f t="shared" si="49"/>
        <v>3.0908999999999999E-2</v>
      </c>
      <c r="M88" s="295">
        <f t="shared" si="50"/>
        <v>1049.76</v>
      </c>
      <c r="N88" s="727">
        <f t="shared" si="51"/>
        <v>2.4300000000000002</v>
      </c>
      <c r="P88" s="176"/>
      <c r="Q88" s="295"/>
      <c r="T88" s="613" t="s">
        <v>1135</v>
      </c>
    </row>
    <row r="89" spans="1:20" x14ac:dyDescent="0.2">
      <c r="A89" s="613">
        <f t="shared" si="39"/>
        <v>82</v>
      </c>
      <c r="B89" s="164" t="str">
        <f>'WP1 Light Inventory'!A83</f>
        <v>53E</v>
      </c>
      <c r="C89" s="164" t="str">
        <f>'WP1 Light Inventory'!C83</f>
        <v xml:space="preserve">Company Owned </v>
      </c>
      <c r="D89" s="327" t="str">
        <f>'WP1 Light Inventory'!D83</f>
        <v>Light Emitting Diode</v>
      </c>
      <c r="E89" s="165" t="str">
        <f>'WP1 Light Inventory'!E83</f>
        <v>LED 240.01-270</v>
      </c>
      <c r="F89" s="364">
        <f>'WP1 Light Inventory'!J83</f>
        <v>24</v>
      </c>
      <c r="G89" s="366">
        <f>'WP12 Condensed Sch. Level Costs'!O82</f>
        <v>89.25</v>
      </c>
      <c r="H89" s="339">
        <f t="shared" si="46"/>
        <v>4.4534999999999998E-2</v>
      </c>
      <c r="I89" s="295">
        <f t="shared" si="47"/>
        <v>1143.3600000000001</v>
      </c>
      <c r="J89" s="727">
        <f t="shared" si="48"/>
        <v>3.97</v>
      </c>
      <c r="L89" s="339">
        <f t="shared" si="49"/>
        <v>3.0908999999999999E-2</v>
      </c>
      <c r="M89" s="295">
        <f t="shared" si="50"/>
        <v>794.87999999999988</v>
      </c>
      <c r="N89" s="727">
        <f t="shared" si="51"/>
        <v>2.76</v>
      </c>
      <c r="P89" s="176"/>
      <c r="Q89" s="295"/>
      <c r="T89" s="613" t="s">
        <v>1135</v>
      </c>
    </row>
    <row r="90" spans="1:20" x14ac:dyDescent="0.2">
      <c r="A90" s="613">
        <f t="shared" si="39"/>
        <v>83</v>
      </c>
      <c r="B90" s="164" t="str">
        <f>'WP1 Light Inventory'!A84</f>
        <v>53E</v>
      </c>
      <c r="C90" s="164" t="str">
        <f>'WP1 Light Inventory'!C84</f>
        <v xml:space="preserve">Company Owned </v>
      </c>
      <c r="D90" s="327" t="str">
        <f>'WP1 Light Inventory'!D84</f>
        <v>Light Emitting Diode</v>
      </c>
      <c r="E90" s="165" t="str">
        <f>'WP1 Light Inventory'!E84</f>
        <v>LED 270.01-300</v>
      </c>
      <c r="F90" s="364">
        <f>'WP1 Light Inventory'!J84</f>
        <v>157</v>
      </c>
      <c r="G90" s="366">
        <f>'WP12 Condensed Sch. Level Costs'!O83</f>
        <v>99.75</v>
      </c>
      <c r="H90" s="339">
        <f t="shared" si="46"/>
        <v>4.4534999999999998E-2</v>
      </c>
      <c r="I90" s="295">
        <f t="shared" si="47"/>
        <v>8364.9600000000009</v>
      </c>
      <c r="J90" s="727">
        <f t="shared" si="48"/>
        <v>4.4400000000000004</v>
      </c>
      <c r="L90" s="339">
        <f t="shared" si="49"/>
        <v>3.0908999999999999E-2</v>
      </c>
      <c r="M90" s="295">
        <f t="shared" si="50"/>
        <v>5802.72</v>
      </c>
      <c r="N90" s="727">
        <f t="shared" si="51"/>
        <v>3.08</v>
      </c>
      <c r="P90" s="176"/>
      <c r="Q90" s="295"/>
      <c r="T90" s="613" t="s">
        <v>1135</v>
      </c>
    </row>
    <row r="91" spans="1:20" x14ac:dyDescent="0.2">
      <c r="A91" s="613">
        <f t="shared" si="39"/>
        <v>84</v>
      </c>
      <c r="B91" s="164"/>
      <c r="C91" s="164"/>
      <c r="D91" s="327"/>
      <c r="E91" s="165"/>
      <c r="F91" s="364"/>
      <c r="G91" s="399"/>
      <c r="H91" s="342"/>
      <c r="I91" s="295"/>
      <c r="J91" s="727"/>
      <c r="L91" s="342"/>
      <c r="M91" s="295"/>
      <c r="N91" s="727"/>
      <c r="P91" s="342"/>
      <c r="Q91" s="295"/>
    </row>
    <row r="92" spans="1:20" ht="9.75" customHeight="1" x14ac:dyDescent="0.2">
      <c r="A92" s="613">
        <f t="shared" si="39"/>
        <v>85</v>
      </c>
      <c r="B92" s="164" t="str">
        <f>'WP1 Light Inventory'!A86</f>
        <v>53E</v>
      </c>
      <c r="C92" s="164" t="str">
        <f>'WP1 Light Inventory'!C86</f>
        <v>SMART LIGHT</v>
      </c>
      <c r="D92" s="327" t="str">
        <f>'WP1 Light Inventory'!D86</f>
        <v>Light Emitting Diode</v>
      </c>
      <c r="E92" s="165" t="str">
        <f>'WP1 Light Inventory'!E86</f>
        <v>LED 0-030</v>
      </c>
      <c r="F92" s="364">
        <f>'WP1 Light Inventory'!J86</f>
        <v>0</v>
      </c>
      <c r="G92" s="366">
        <f>'WP12 Condensed Sch. Level Costs'!O85</f>
        <v>5.25</v>
      </c>
      <c r="H92" s="339">
        <f t="shared" ref="H92:H101" si="52">$Y$8</f>
        <v>4.4534999999999998E-2</v>
      </c>
      <c r="I92" s="295"/>
      <c r="J92" s="727"/>
      <c r="L92" s="339">
        <f t="shared" ref="L92:L101" si="53">$Y$9</f>
        <v>3.0908999999999999E-2</v>
      </c>
      <c r="M92" s="295"/>
      <c r="N92" s="727"/>
      <c r="P92" s="176"/>
      <c r="Q92" s="295"/>
      <c r="T92" s="613" t="s">
        <v>1132</v>
      </c>
    </row>
    <row r="93" spans="1:20" x14ac:dyDescent="0.2">
      <c r="A93" s="613">
        <f t="shared" si="39"/>
        <v>86</v>
      </c>
      <c r="B93" s="164" t="str">
        <f>'WP1 Light Inventory'!A87</f>
        <v>53E</v>
      </c>
      <c r="C93" s="164" t="str">
        <f>'WP1 Light Inventory'!C87</f>
        <v>SMART LIGHT</v>
      </c>
      <c r="D93" s="327" t="str">
        <f>'WP1 Light Inventory'!D87</f>
        <v>Light Emitting Diode</v>
      </c>
      <c r="E93" s="165" t="str">
        <f>'WP1 Light Inventory'!E87</f>
        <v>LED 030.01-060</v>
      </c>
      <c r="F93" s="364">
        <f>'WP1 Light Inventory'!J87</f>
        <v>0</v>
      </c>
      <c r="G93" s="366">
        <f>'WP12 Condensed Sch. Level Costs'!O86</f>
        <v>15.75</v>
      </c>
      <c r="H93" s="339">
        <f t="shared" si="52"/>
        <v>4.4534999999999998E-2</v>
      </c>
      <c r="I93" s="295"/>
      <c r="J93" s="727"/>
      <c r="L93" s="339">
        <f t="shared" si="53"/>
        <v>3.0908999999999999E-2</v>
      </c>
      <c r="M93" s="295"/>
      <c r="N93" s="727"/>
      <c r="P93" s="176"/>
      <c r="Q93" s="295"/>
      <c r="T93" s="613" t="s">
        <v>1132</v>
      </c>
    </row>
    <row r="94" spans="1:20" x14ac:dyDescent="0.2">
      <c r="A94" s="613">
        <f t="shared" si="39"/>
        <v>87</v>
      </c>
      <c r="B94" s="164" t="str">
        <f>'WP1 Light Inventory'!A88</f>
        <v>53E</v>
      </c>
      <c r="C94" s="164" t="str">
        <f>'WP1 Light Inventory'!C88</f>
        <v>SMART LIGHT</v>
      </c>
      <c r="D94" s="327" t="str">
        <f>'WP1 Light Inventory'!D88</f>
        <v>Light Emitting Diode</v>
      </c>
      <c r="E94" s="165" t="str">
        <f>'WP1 Light Inventory'!E88</f>
        <v>LED 060.01-090</v>
      </c>
      <c r="F94" s="364">
        <f>'WP1 Light Inventory'!J88</f>
        <v>0</v>
      </c>
      <c r="G94" s="366">
        <f>'WP12 Condensed Sch. Level Costs'!O87</f>
        <v>26.25</v>
      </c>
      <c r="H94" s="339">
        <f t="shared" si="52"/>
        <v>4.4534999999999998E-2</v>
      </c>
      <c r="I94" s="295"/>
      <c r="J94" s="727"/>
      <c r="L94" s="339">
        <f t="shared" si="53"/>
        <v>3.0908999999999999E-2</v>
      </c>
      <c r="M94" s="295"/>
      <c r="N94" s="727"/>
      <c r="P94" s="176"/>
      <c r="Q94" s="295"/>
      <c r="T94" s="613" t="s">
        <v>1132</v>
      </c>
    </row>
    <row r="95" spans="1:20" x14ac:dyDescent="0.2">
      <c r="A95" s="613">
        <f t="shared" si="39"/>
        <v>88</v>
      </c>
      <c r="B95" s="164" t="str">
        <f>'WP1 Light Inventory'!A89</f>
        <v>53E</v>
      </c>
      <c r="C95" s="164" t="str">
        <f>'WP1 Light Inventory'!C89</f>
        <v>SMART LIGHT</v>
      </c>
      <c r="D95" s="327" t="str">
        <f>'WP1 Light Inventory'!D89</f>
        <v>Light Emitting Diode</v>
      </c>
      <c r="E95" s="165" t="str">
        <f>'WP1 Light Inventory'!E89</f>
        <v>LED 090.01-120</v>
      </c>
      <c r="F95" s="364">
        <f>'WP1 Light Inventory'!J89</f>
        <v>0</v>
      </c>
      <c r="G95" s="366">
        <f>'WP12 Condensed Sch. Level Costs'!O88</f>
        <v>36.75</v>
      </c>
      <c r="H95" s="339">
        <f t="shared" si="52"/>
        <v>4.4534999999999998E-2</v>
      </c>
      <c r="I95" s="295"/>
      <c r="J95" s="727"/>
      <c r="L95" s="339">
        <f t="shared" si="53"/>
        <v>3.0908999999999999E-2</v>
      </c>
      <c r="M95" s="295"/>
      <c r="N95" s="727"/>
      <c r="P95" s="176"/>
      <c r="Q95" s="295"/>
      <c r="T95" s="613" t="s">
        <v>1132</v>
      </c>
    </row>
    <row r="96" spans="1:20" x14ac:dyDescent="0.2">
      <c r="A96" s="613">
        <f t="shared" si="39"/>
        <v>89</v>
      </c>
      <c r="B96" s="164" t="str">
        <f>'WP1 Light Inventory'!A90</f>
        <v>53E</v>
      </c>
      <c r="C96" s="164" t="str">
        <f>'WP1 Light Inventory'!C90</f>
        <v>SMART LIGHT</v>
      </c>
      <c r="D96" s="327" t="str">
        <f>'WP1 Light Inventory'!D90</f>
        <v>Light Emitting Diode</v>
      </c>
      <c r="E96" s="165" t="str">
        <f>'WP1 Light Inventory'!E90</f>
        <v>LED 120.01-150</v>
      </c>
      <c r="F96" s="364">
        <f>'WP1 Light Inventory'!J90</f>
        <v>0</v>
      </c>
      <c r="G96" s="366">
        <f>'WP12 Condensed Sch. Level Costs'!O89</f>
        <v>47.25</v>
      </c>
      <c r="H96" s="339">
        <f t="shared" si="52"/>
        <v>4.4534999999999998E-2</v>
      </c>
      <c r="I96" s="295"/>
      <c r="J96" s="727"/>
      <c r="L96" s="339">
        <f t="shared" si="53"/>
        <v>3.0908999999999999E-2</v>
      </c>
      <c r="M96" s="295"/>
      <c r="N96" s="727"/>
      <c r="P96" s="176"/>
      <c r="Q96" s="295"/>
      <c r="T96" s="613" t="s">
        <v>1132</v>
      </c>
    </row>
    <row r="97" spans="1:20" x14ac:dyDescent="0.2">
      <c r="A97" s="613">
        <f t="shared" si="39"/>
        <v>90</v>
      </c>
      <c r="B97" s="164" t="str">
        <f>'WP1 Light Inventory'!A91</f>
        <v>53E</v>
      </c>
      <c r="C97" s="164" t="str">
        <f>'WP1 Light Inventory'!C91</f>
        <v>SMART LIGHT</v>
      </c>
      <c r="D97" s="327" t="str">
        <f>'WP1 Light Inventory'!D91</f>
        <v>Light Emitting Diode</v>
      </c>
      <c r="E97" s="165" t="str">
        <f>'WP1 Light Inventory'!E91</f>
        <v>LED 150.01-180</v>
      </c>
      <c r="F97" s="364">
        <f>'WP1 Light Inventory'!J91</f>
        <v>0</v>
      </c>
      <c r="G97" s="366">
        <f>'WP12 Condensed Sch. Level Costs'!O90</f>
        <v>57.75</v>
      </c>
      <c r="H97" s="339">
        <f t="shared" si="52"/>
        <v>4.4534999999999998E-2</v>
      </c>
      <c r="I97" s="295"/>
      <c r="J97" s="727"/>
      <c r="L97" s="339">
        <f t="shared" si="53"/>
        <v>3.0908999999999999E-2</v>
      </c>
      <c r="M97" s="295"/>
      <c r="N97" s="727"/>
      <c r="P97" s="176"/>
      <c r="Q97" s="295"/>
      <c r="T97" s="613" t="s">
        <v>1132</v>
      </c>
    </row>
    <row r="98" spans="1:20" x14ac:dyDescent="0.2">
      <c r="A98" s="613">
        <f t="shared" si="39"/>
        <v>91</v>
      </c>
      <c r="B98" s="164" t="str">
        <f>'WP1 Light Inventory'!A92</f>
        <v>53E</v>
      </c>
      <c r="C98" s="164" t="str">
        <f>'WP1 Light Inventory'!C92</f>
        <v>SMART LIGHT</v>
      </c>
      <c r="D98" s="327" t="str">
        <f>'WP1 Light Inventory'!D92</f>
        <v>Light Emitting Diode</v>
      </c>
      <c r="E98" s="165" t="str">
        <f>'WP1 Light Inventory'!E92</f>
        <v>LED 180.01-210</v>
      </c>
      <c r="F98" s="364">
        <f>'WP1 Light Inventory'!J92</f>
        <v>0</v>
      </c>
      <c r="G98" s="366">
        <f>'WP12 Condensed Sch. Level Costs'!O91</f>
        <v>68.25</v>
      </c>
      <c r="H98" s="339">
        <f t="shared" si="52"/>
        <v>4.4534999999999998E-2</v>
      </c>
      <c r="I98" s="295"/>
      <c r="J98" s="727"/>
      <c r="L98" s="339">
        <f t="shared" si="53"/>
        <v>3.0908999999999999E-2</v>
      </c>
      <c r="M98" s="295"/>
      <c r="N98" s="727"/>
      <c r="P98" s="176"/>
      <c r="Q98" s="295"/>
      <c r="T98" s="613" t="s">
        <v>1132</v>
      </c>
    </row>
    <row r="99" spans="1:20" x14ac:dyDescent="0.2">
      <c r="A99" s="613">
        <f t="shared" si="39"/>
        <v>92</v>
      </c>
      <c r="B99" s="164" t="str">
        <f>'WP1 Light Inventory'!A93</f>
        <v>53E</v>
      </c>
      <c r="C99" s="164" t="str">
        <f>'WP1 Light Inventory'!C93</f>
        <v>SMART LIGHT</v>
      </c>
      <c r="D99" s="327" t="str">
        <f>'WP1 Light Inventory'!D93</f>
        <v>Light Emitting Diode</v>
      </c>
      <c r="E99" s="165" t="str">
        <f>'WP1 Light Inventory'!E93</f>
        <v>LED 210.01-240</v>
      </c>
      <c r="F99" s="364">
        <f>'WP1 Light Inventory'!J93</f>
        <v>0</v>
      </c>
      <c r="G99" s="366">
        <f>'WP12 Condensed Sch. Level Costs'!O92</f>
        <v>78.75</v>
      </c>
      <c r="H99" s="339">
        <f t="shared" si="52"/>
        <v>4.4534999999999998E-2</v>
      </c>
      <c r="I99" s="295"/>
      <c r="J99" s="727"/>
      <c r="L99" s="339">
        <f t="shared" si="53"/>
        <v>3.0908999999999999E-2</v>
      </c>
      <c r="M99" s="295"/>
      <c r="N99" s="727"/>
      <c r="P99" s="176"/>
      <c r="Q99" s="295"/>
      <c r="T99" s="613" t="s">
        <v>1132</v>
      </c>
    </row>
    <row r="100" spans="1:20" x14ac:dyDescent="0.2">
      <c r="A100" s="613">
        <f t="shared" si="39"/>
        <v>93</v>
      </c>
      <c r="B100" s="164" t="str">
        <f>'WP1 Light Inventory'!A94</f>
        <v>53E</v>
      </c>
      <c r="C100" s="164" t="str">
        <f>'WP1 Light Inventory'!C94</f>
        <v>SMART LIGHT</v>
      </c>
      <c r="D100" s="327" t="str">
        <f>'WP1 Light Inventory'!D94</f>
        <v>Light Emitting Diode</v>
      </c>
      <c r="E100" s="165" t="str">
        <f>'WP1 Light Inventory'!E94</f>
        <v>LED 240.01-270</v>
      </c>
      <c r="F100" s="364">
        <f>'WP1 Light Inventory'!J94</f>
        <v>0</v>
      </c>
      <c r="G100" s="366">
        <f>'WP12 Condensed Sch. Level Costs'!O93</f>
        <v>89.25</v>
      </c>
      <c r="H100" s="339">
        <f t="shared" si="52"/>
        <v>4.4534999999999998E-2</v>
      </c>
      <c r="I100" s="295"/>
      <c r="J100" s="727"/>
      <c r="L100" s="339">
        <f t="shared" si="53"/>
        <v>3.0908999999999999E-2</v>
      </c>
      <c r="M100" s="295"/>
      <c r="N100" s="727"/>
      <c r="P100" s="176"/>
      <c r="Q100" s="295"/>
      <c r="T100" s="613" t="s">
        <v>1132</v>
      </c>
    </row>
    <row r="101" spans="1:20" x14ac:dyDescent="0.2">
      <c r="A101" s="613">
        <f t="shared" si="39"/>
        <v>94</v>
      </c>
      <c r="B101" s="164" t="str">
        <f>'WP1 Light Inventory'!A95</f>
        <v>53E</v>
      </c>
      <c r="C101" s="164" t="str">
        <f>'WP1 Light Inventory'!C95</f>
        <v>SMART LIGHT</v>
      </c>
      <c r="D101" s="327" t="str">
        <f>'WP1 Light Inventory'!D95</f>
        <v>Light Emitting Diode</v>
      </c>
      <c r="E101" s="165" t="str">
        <f>'WP1 Light Inventory'!E95</f>
        <v>LED 270.01-300</v>
      </c>
      <c r="F101" s="364">
        <f>'WP1 Light Inventory'!J95</f>
        <v>0</v>
      </c>
      <c r="G101" s="366">
        <f>'WP12 Condensed Sch. Level Costs'!O94</f>
        <v>99.75</v>
      </c>
      <c r="H101" s="339">
        <f t="shared" si="52"/>
        <v>4.4534999999999998E-2</v>
      </c>
      <c r="I101" s="295"/>
      <c r="J101" s="727"/>
      <c r="L101" s="339">
        <f t="shared" si="53"/>
        <v>3.0908999999999999E-2</v>
      </c>
      <c r="M101" s="295"/>
      <c r="N101" s="727"/>
      <c r="P101" s="176"/>
      <c r="Q101" s="295"/>
      <c r="T101" s="613" t="s">
        <v>1132</v>
      </c>
    </row>
    <row r="102" spans="1:20" x14ac:dyDescent="0.2">
      <c r="A102" s="613">
        <f t="shared" si="39"/>
        <v>95</v>
      </c>
      <c r="B102" s="164"/>
      <c r="C102" s="164"/>
      <c r="D102" s="327"/>
      <c r="E102" s="165"/>
      <c r="F102" s="364"/>
      <c r="G102" s="399"/>
      <c r="H102" s="342"/>
      <c r="I102" s="295"/>
      <c r="J102" s="727"/>
      <c r="L102" s="342"/>
      <c r="M102" s="295"/>
      <c r="N102" s="727"/>
      <c r="P102" s="342"/>
      <c r="Q102" s="295"/>
    </row>
    <row r="103" spans="1:20" x14ac:dyDescent="0.2">
      <c r="A103" s="613">
        <f t="shared" si="39"/>
        <v>96</v>
      </c>
      <c r="B103" s="164" t="str">
        <f>'WP1 Light Inventory'!A97</f>
        <v>53E</v>
      </c>
      <c r="C103" s="164" t="str">
        <f>'WP1 Light Inventory'!C97</f>
        <v>Customer Owned</v>
      </c>
      <c r="D103" s="327" t="str">
        <f>'WP1 Light Inventory'!D97</f>
        <v>Sodium Vapor</v>
      </c>
      <c r="E103" s="165" t="str">
        <f>'WP1 Light Inventory'!E97</f>
        <v>SV 050</v>
      </c>
      <c r="F103" s="364">
        <f>'WP1 Light Inventory'!J97</f>
        <v>0</v>
      </c>
      <c r="G103" s="366">
        <f>'WP12 Condensed Sch. Level Costs'!O96</f>
        <v>17.5</v>
      </c>
      <c r="H103" s="339">
        <f t="shared" ref="H103:H111" si="54">$Y$8</f>
        <v>4.4534999999999998E-2</v>
      </c>
      <c r="I103" s="295">
        <f t="shared" ref="I103:I111" si="55">+F103*J103*12</f>
        <v>0</v>
      </c>
      <c r="J103" s="727">
        <f t="shared" ref="J103:J111" si="56">ROUND(+H103*G103,2)</f>
        <v>0.78</v>
      </c>
      <c r="L103" s="339">
        <f t="shared" ref="L103:L111" si="57">$Y$9</f>
        <v>3.0908999999999999E-2</v>
      </c>
      <c r="M103" s="295">
        <f t="shared" ref="M103:M111" si="58">+F103*N103*12</f>
        <v>0</v>
      </c>
      <c r="N103" s="727">
        <f t="shared" ref="N103:N111" si="59">ROUND(+L103*G103,2)</f>
        <v>0.54</v>
      </c>
      <c r="P103" s="176"/>
      <c r="Q103" s="295"/>
      <c r="T103" s="613" t="s">
        <v>1134</v>
      </c>
    </row>
    <row r="104" spans="1:20" x14ac:dyDescent="0.2">
      <c r="A104" s="613">
        <f t="shared" si="39"/>
        <v>97</v>
      </c>
      <c r="B104" s="164" t="str">
        <f>'WP1 Light Inventory'!A98</f>
        <v>53E</v>
      </c>
      <c r="C104" s="164" t="str">
        <f>'WP1 Light Inventory'!C98</f>
        <v>Customer Owned</v>
      </c>
      <c r="D104" s="327" t="str">
        <f>'WP1 Light Inventory'!D98</f>
        <v>Sodium Vapor</v>
      </c>
      <c r="E104" s="165" t="str">
        <f>'WP1 Light Inventory'!E98</f>
        <v>SV 070</v>
      </c>
      <c r="F104" s="364">
        <f>'WP1 Light Inventory'!J98</f>
        <v>52</v>
      </c>
      <c r="G104" s="366">
        <f>'WP12 Condensed Sch. Level Costs'!O97</f>
        <v>24.5</v>
      </c>
      <c r="H104" s="339">
        <f t="shared" si="54"/>
        <v>4.4534999999999998E-2</v>
      </c>
      <c r="I104" s="295">
        <f t="shared" si="55"/>
        <v>680.16000000000008</v>
      </c>
      <c r="J104" s="727">
        <f t="shared" si="56"/>
        <v>1.0900000000000001</v>
      </c>
      <c r="L104" s="339">
        <f t="shared" si="57"/>
        <v>3.0908999999999999E-2</v>
      </c>
      <c r="M104" s="295">
        <f t="shared" si="58"/>
        <v>474.24</v>
      </c>
      <c r="N104" s="727">
        <f t="shared" si="59"/>
        <v>0.76</v>
      </c>
      <c r="P104" s="176"/>
      <c r="Q104" s="295"/>
      <c r="T104" s="613" t="s">
        <v>1134</v>
      </c>
    </row>
    <row r="105" spans="1:20" x14ac:dyDescent="0.2">
      <c r="A105" s="613">
        <f t="shared" si="39"/>
        <v>98</v>
      </c>
      <c r="B105" s="164" t="str">
        <f>'WP1 Light Inventory'!A99</f>
        <v>53E</v>
      </c>
      <c r="C105" s="164" t="str">
        <f>'WP1 Light Inventory'!C99</f>
        <v>Customer Owned</v>
      </c>
      <c r="D105" s="327" t="str">
        <f>'WP1 Light Inventory'!D99</f>
        <v>Sodium Vapor</v>
      </c>
      <c r="E105" s="165" t="str">
        <f>'WP1 Light Inventory'!E99</f>
        <v>SV 100</v>
      </c>
      <c r="F105" s="364">
        <f>'WP1 Light Inventory'!J99</f>
        <v>204</v>
      </c>
      <c r="G105" s="366">
        <f>'WP12 Condensed Sch. Level Costs'!O98</f>
        <v>35</v>
      </c>
      <c r="H105" s="339">
        <f t="shared" si="54"/>
        <v>4.4534999999999998E-2</v>
      </c>
      <c r="I105" s="295">
        <f t="shared" si="55"/>
        <v>3818.88</v>
      </c>
      <c r="J105" s="727">
        <f t="shared" si="56"/>
        <v>1.56</v>
      </c>
      <c r="L105" s="339">
        <f t="shared" si="57"/>
        <v>3.0908999999999999E-2</v>
      </c>
      <c r="M105" s="295">
        <f t="shared" si="58"/>
        <v>2643.84</v>
      </c>
      <c r="N105" s="727">
        <f t="shared" si="59"/>
        <v>1.08</v>
      </c>
      <c r="P105" s="176"/>
      <c r="Q105" s="295"/>
      <c r="T105" s="613" t="s">
        <v>1134</v>
      </c>
    </row>
    <row r="106" spans="1:20" x14ac:dyDescent="0.2">
      <c r="A106" s="613">
        <f t="shared" si="39"/>
        <v>99</v>
      </c>
      <c r="B106" s="164" t="str">
        <f>'WP1 Light Inventory'!A100</f>
        <v>53E</v>
      </c>
      <c r="C106" s="164" t="str">
        <f>'WP1 Light Inventory'!C100</f>
        <v>Customer Owned</v>
      </c>
      <c r="D106" s="327" t="str">
        <f>'WP1 Light Inventory'!D100</f>
        <v>Sodium Vapor</v>
      </c>
      <c r="E106" s="165" t="str">
        <f>'WP1 Light Inventory'!E100</f>
        <v>SV 150</v>
      </c>
      <c r="F106" s="364">
        <f>'WP1 Light Inventory'!J100</f>
        <v>96</v>
      </c>
      <c r="G106" s="366">
        <f>'WP12 Condensed Sch. Level Costs'!O99</f>
        <v>52.5</v>
      </c>
      <c r="H106" s="339">
        <f t="shared" si="54"/>
        <v>4.4534999999999998E-2</v>
      </c>
      <c r="I106" s="295">
        <f t="shared" si="55"/>
        <v>2695.68</v>
      </c>
      <c r="J106" s="727">
        <f t="shared" si="56"/>
        <v>2.34</v>
      </c>
      <c r="L106" s="339">
        <f t="shared" si="57"/>
        <v>3.0908999999999999E-2</v>
      </c>
      <c r="M106" s="295">
        <f t="shared" si="58"/>
        <v>1866.2400000000002</v>
      </c>
      <c r="N106" s="727">
        <f t="shared" si="59"/>
        <v>1.62</v>
      </c>
      <c r="P106" s="176"/>
      <c r="Q106" s="295"/>
      <c r="T106" s="613" t="s">
        <v>1134</v>
      </c>
    </row>
    <row r="107" spans="1:20" x14ac:dyDescent="0.2">
      <c r="A107" s="613">
        <f t="shared" si="39"/>
        <v>100</v>
      </c>
      <c r="B107" s="164" t="str">
        <f>'WP1 Light Inventory'!A101</f>
        <v>53E</v>
      </c>
      <c r="C107" s="164" t="str">
        <f>'WP1 Light Inventory'!C101</f>
        <v>Customer Owned</v>
      </c>
      <c r="D107" s="327" t="str">
        <f>'WP1 Light Inventory'!D101</f>
        <v>Sodium Vapor</v>
      </c>
      <c r="E107" s="165" t="str">
        <f>'WP1 Light Inventory'!E101</f>
        <v>SV 200</v>
      </c>
      <c r="F107" s="364">
        <f>'WP1 Light Inventory'!J101</f>
        <v>372</v>
      </c>
      <c r="G107" s="366">
        <f>'WP12 Condensed Sch. Level Costs'!O100</f>
        <v>70</v>
      </c>
      <c r="H107" s="339">
        <f t="shared" si="54"/>
        <v>4.4534999999999998E-2</v>
      </c>
      <c r="I107" s="295">
        <f t="shared" si="55"/>
        <v>13927.68</v>
      </c>
      <c r="J107" s="727">
        <f t="shared" si="56"/>
        <v>3.12</v>
      </c>
      <c r="L107" s="339">
        <f t="shared" si="57"/>
        <v>3.0908999999999999E-2</v>
      </c>
      <c r="M107" s="295">
        <f t="shared" si="58"/>
        <v>9642.2400000000016</v>
      </c>
      <c r="N107" s="727">
        <f t="shared" si="59"/>
        <v>2.16</v>
      </c>
      <c r="P107" s="176"/>
      <c r="Q107" s="295"/>
      <c r="T107" s="613" t="s">
        <v>1134</v>
      </c>
    </row>
    <row r="108" spans="1:20" x14ac:dyDescent="0.2">
      <c r="A108" s="613">
        <f t="shared" si="39"/>
        <v>101</v>
      </c>
      <c r="B108" s="164" t="str">
        <f>'WP1 Light Inventory'!A102</f>
        <v>53E</v>
      </c>
      <c r="C108" s="164" t="str">
        <f>'WP1 Light Inventory'!C102</f>
        <v>Customer Owned</v>
      </c>
      <c r="D108" s="327" t="str">
        <f>'WP1 Light Inventory'!D102</f>
        <v>Sodium Vapor</v>
      </c>
      <c r="E108" s="165" t="str">
        <f>'WP1 Light Inventory'!E102</f>
        <v>SV 250</v>
      </c>
      <c r="F108" s="364">
        <f>'WP1 Light Inventory'!J102</f>
        <v>246</v>
      </c>
      <c r="G108" s="366">
        <f>'WP12 Condensed Sch. Level Costs'!O101</f>
        <v>87.5</v>
      </c>
      <c r="H108" s="339">
        <f t="shared" si="54"/>
        <v>4.4534999999999998E-2</v>
      </c>
      <c r="I108" s="295">
        <f t="shared" si="55"/>
        <v>11512.8</v>
      </c>
      <c r="J108" s="727">
        <f t="shared" si="56"/>
        <v>3.9</v>
      </c>
      <c r="L108" s="339">
        <f t="shared" si="57"/>
        <v>3.0908999999999999E-2</v>
      </c>
      <c r="M108" s="295">
        <f t="shared" si="58"/>
        <v>7970.4000000000005</v>
      </c>
      <c r="N108" s="727">
        <f t="shared" si="59"/>
        <v>2.7</v>
      </c>
      <c r="P108" s="176"/>
      <c r="Q108" s="295"/>
      <c r="T108" s="613" t="s">
        <v>1134</v>
      </c>
    </row>
    <row r="109" spans="1:20" x14ac:dyDescent="0.2">
      <c r="A109" s="613">
        <f t="shared" si="39"/>
        <v>102</v>
      </c>
      <c r="B109" s="164" t="str">
        <f>'WP1 Light Inventory'!A103</f>
        <v>53E</v>
      </c>
      <c r="C109" s="164" t="str">
        <f>'WP1 Light Inventory'!C103</f>
        <v>Customer Owned</v>
      </c>
      <c r="D109" s="327" t="str">
        <f>'WP1 Light Inventory'!D103</f>
        <v>Sodium Vapor</v>
      </c>
      <c r="E109" s="165" t="str">
        <f>'WP1 Light Inventory'!E103</f>
        <v>SV 310</v>
      </c>
      <c r="F109" s="364">
        <f>'WP1 Light Inventory'!J103</f>
        <v>7</v>
      </c>
      <c r="G109" s="366">
        <f>'WP12 Condensed Sch. Level Costs'!O102</f>
        <v>108.5</v>
      </c>
      <c r="H109" s="339">
        <f t="shared" si="54"/>
        <v>4.4534999999999998E-2</v>
      </c>
      <c r="I109" s="295">
        <f t="shared" si="55"/>
        <v>405.72</v>
      </c>
      <c r="J109" s="727">
        <f t="shared" si="56"/>
        <v>4.83</v>
      </c>
      <c r="L109" s="339">
        <f t="shared" si="57"/>
        <v>3.0908999999999999E-2</v>
      </c>
      <c r="M109" s="295">
        <f t="shared" si="58"/>
        <v>281.39999999999998</v>
      </c>
      <c r="N109" s="727">
        <f t="shared" si="59"/>
        <v>3.35</v>
      </c>
      <c r="P109" s="176"/>
      <c r="Q109" s="295"/>
      <c r="T109" s="613" t="s">
        <v>1134</v>
      </c>
    </row>
    <row r="110" spans="1:20" x14ac:dyDescent="0.2">
      <c r="A110" s="613">
        <f t="shared" si="39"/>
        <v>103</v>
      </c>
      <c r="B110" s="164" t="str">
        <f>'WP1 Light Inventory'!A104</f>
        <v>53E</v>
      </c>
      <c r="C110" s="164" t="str">
        <f>'WP1 Light Inventory'!C104</f>
        <v>Customer Owned</v>
      </c>
      <c r="D110" s="327" t="str">
        <f>'WP1 Light Inventory'!D104</f>
        <v>Sodium Vapor</v>
      </c>
      <c r="E110" s="165" t="str">
        <f>'WP1 Light Inventory'!E104</f>
        <v>SV 400</v>
      </c>
      <c r="F110" s="364">
        <f>'WP1 Light Inventory'!J104</f>
        <v>398</v>
      </c>
      <c r="G110" s="366">
        <f>'WP12 Condensed Sch. Level Costs'!O103</f>
        <v>140</v>
      </c>
      <c r="H110" s="339">
        <f t="shared" si="54"/>
        <v>4.4534999999999998E-2</v>
      </c>
      <c r="I110" s="295">
        <f t="shared" si="55"/>
        <v>29754.48</v>
      </c>
      <c r="J110" s="727">
        <f t="shared" si="56"/>
        <v>6.23</v>
      </c>
      <c r="L110" s="339">
        <f t="shared" si="57"/>
        <v>3.0908999999999999E-2</v>
      </c>
      <c r="M110" s="295">
        <f t="shared" si="58"/>
        <v>20680.079999999998</v>
      </c>
      <c r="N110" s="727">
        <f t="shared" si="59"/>
        <v>4.33</v>
      </c>
      <c r="P110" s="176"/>
      <c r="Q110" s="295"/>
      <c r="T110" s="613" t="s">
        <v>1134</v>
      </c>
    </row>
    <row r="111" spans="1:20" x14ac:dyDescent="0.2">
      <c r="A111" s="613">
        <f t="shared" si="39"/>
        <v>104</v>
      </c>
      <c r="B111" s="164" t="str">
        <f>'WP1 Light Inventory'!A105</f>
        <v>53E</v>
      </c>
      <c r="C111" s="164" t="str">
        <f>'WP1 Light Inventory'!C105</f>
        <v>Customer Owned</v>
      </c>
      <c r="D111" s="327" t="str">
        <f>'WP1 Light Inventory'!D105</f>
        <v>Sodium Vapor</v>
      </c>
      <c r="E111" s="165" t="str">
        <f>'WP1 Light Inventory'!E105</f>
        <v>SV 1000</v>
      </c>
      <c r="F111" s="364">
        <f>'WP1 Light Inventory'!J105</f>
        <v>0</v>
      </c>
      <c r="G111" s="366">
        <f>'WP12 Condensed Sch. Level Costs'!O104</f>
        <v>350</v>
      </c>
      <c r="H111" s="339">
        <f t="shared" si="54"/>
        <v>4.4534999999999998E-2</v>
      </c>
      <c r="I111" s="295">
        <f t="shared" si="55"/>
        <v>0</v>
      </c>
      <c r="J111" s="727">
        <f t="shared" si="56"/>
        <v>15.59</v>
      </c>
      <c r="L111" s="339">
        <f t="shared" si="57"/>
        <v>3.0908999999999999E-2</v>
      </c>
      <c r="M111" s="295">
        <f t="shared" si="58"/>
        <v>0</v>
      </c>
      <c r="N111" s="727">
        <f t="shared" si="59"/>
        <v>10.82</v>
      </c>
      <c r="P111" s="176"/>
      <c r="Q111" s="295"/>
      <c r="T111" s="613" t="s">
        <v>1134</v>
      </c>
    </row>
    <row r="112" spans="1:20" x14ac:dyDescent="0.2">
      <c r="A112" s="613">
        <f t="shared" si="39"/>
        <v>105</v>
      </c>
      <c r="B112" s="164"/>
      <c r="C112" s="164"/>
      <c r="D112" s="327"/>
      <c r="E112" s="165"/>
      <c r="F112" s="364"/>
      <c r="G112" s="399"/>
      <c r="H112" s="342"/>
      <c r="I112" s="295"/>
      <c r="J112" s="727"/>
      <c r="L112" s="342"/>
      <c r="M112" s="295"/>
      <c r="N112" s="727"/>
      <c r="P112" s="342"/>
      <c r="Q112" s="295"/>
    </row>
    <row r="113" spans="1:20" x14ac:dyDescent="0.2">
      <c r="A113" s="613">
        <f t="shared" si="39"/>
        <v>106</v>
      </c>
      <c r="B113" s="164" t="str">
        <f>'WP1 Light Inventory'!A107</f>
        <v>53E</v>
      </c>
      <c r="C113" s="164" t="str">
        <f>'WP1 Light Inventory'!C107</f>
        <v>Customer Owned</v>
      </c>
      <c r="D113" s="327" t="str">
        <f>'WP1 Light Inventory'!D107</f>
        <v>Metal Halide</v>
      </c>
      <c r="E113" s="165" t="str">
        <f>'WP1 Light Inventory'!E107</f>
        <v>MH 70</v>
      </c>
      <c r="F113" s="364">
        <f>'WP1 Light Inventory'!J107</f>
        <v>0</v>
      </c>
      <c r="G113" s="366">
        <f>'WP12 Condensed Sch. Level Costs'!O106</f>
        <v>24.5</v>
      </c>
      <c r="H113" s="339">
        <f t="shared" ref="H113:H118" si="60">$Y$8</f>
        <v>4.4534999999999998E-2</v>
      </c>
      <c r="I113" s="295">
        <f t="shared" ref="I113:I118" si="61">+F113*J113*12</f>
        <v>0</v>
      </c>
      <c r="J113" s="727">
        <f t="shared" ref="J113:J118" si="62">ROUND(+H113*G113,2)</f>
        <v>1.0900000000000001</v>
      </c>
      <c r="L113" s="339">
        <f t="shared" ref="L113:L118" si="63">$Y$9</f>
        <v>3.0908999999999999E-2</v>
      </c>
      <c r="M113" s="295">
        <f t="shared" ref="M113:M118" si="64">+F113*N113*12</f>
        <v>0</v>
      </c>
      <c r="N113" s="727">
        <f t="shared" ref="N113:N118" si="65">ROUND(+L113*G113,2)</f>
        <v>0.76</v>
      </c>
      <c r="P113" s="176"/>
      <c r="Q113" s="295"/>
      <c r="T113" s="613" t="s">
        <v>1134</v>
      </c>
    </row>
    <row r="114" spans="1:20" x14ac:dyDescent="0.2">
      <c r="A114" s="613">
        <f t="shared" si="39"/>
        <v>107</v>
      </c>
      <c r="B114" s="164" t="str">
        <f>'WP1 Light Inventory'!A108</f>
        <v>53E</v>
      </c>
      <c r="C114" s="164" t="str">
        <f>'WP1 Light Inventory'!C108</f>
        <v>Customer Owned</v>
      </c>
      <c r="D114" s="327" t="str">
        <f>'WP1 Light Inventory'!D108</f>
        <v>Metal Halide</v>
      </c>
      <c r="E114" s="165" t="str">
        <f>'WP1 Light Inventory'!E108</f>
        <v>MH 100</v>
      </c>
      <c r="F114" s="364">
        <f>'WP1 Light Inventory'!J108</f>
        <v>0</v>
      </c>
      <c r="G114" s="366">
        <f>'WP12 Condensed Sch. Level Costs'!O107</f>
        <v>35</v>
      </c>
      <c r="H114" s="339">
        <f t="shared" si="60"/>
        <v>4.4534999999999998E-2</v>
      </c>
      <c r="I114" s="295">
        <f t="shared" si="61"/>
        <v>0</v>
      </c>
      <c r="J114" s="727">
        <f t="shared" si="62"/>
        <v>1.56</v>
      </c>
      <c r="L114" s="339">
        <f t="shared" si="63"/>
        <v>3.0908999999999999E-2</v>
      </c>
      <c r="M114" s="295">
        <f t="shared" si="64"/>
        <v>0</v>
      </c>
      <c r="N114" s="727">
        <f t="shared" si="65"/>
        <v>1.08</v>
      </c>
      <c r="P114" s="176"/>
      <c r="Q114" s="295"/>
      <c r="T114" s="613" t="s">
        <v>1134</v>
      </c>
    </row>
    <row r="115" spans="1:20" x14ac:dyDescent="0.2">
      <c r="A115" s="613">
        <f t="shared" si="39"/>
        <v>108</v>
      </c>
      <c r="B115" s="164" t="str">
        <f>'WP1 Light Inventory'!A109</f>
        <v>53E</v>
      </c>
      <c r="C115" s="164" t="str">
        <f>'WP1 Light Inventory'!C109</f>
        <v>Customer Owned</v>
      </c>
      <c r="D115" s="327" t="str">
        <f>'WP1 Light Inventory'!D109</f>
        <v>Metal Halide</v>
      </c>
      <c r="E115" s="165" t="str">
        <f>'WP1 Light Inventory'!E109</f>
        <v>MH 150</v>
      </c>
      <c r="F115" s="364">
        <f>'WP1 Light Inventory'!J109</f>
        <v>0</v>
      </c>
      <c r="G115" s="366">
        <f>'WP12 Condensed Sch. Level Costs'!O108</f>
        <v>52.5</v>
      </c>
      <c r="H115" s="339">
        <f t="shared" si="60"/>
        <v>4.4534999999999998E-2</v>
      </c>
      <c r="I115" s="295">
        <f t="shared" si="61"/>
        <v>0</v>
      </c>
      <c r="J115" s="727">
        <f t="shared" si="62"/>
        <v>2.34</v>
      </c>
      <c r="L115" s="339">
        <f t="shared" si="63"/>
        <v>3.0908999999999999E-2</v>
      </c>
      <c r="M115" s="295">
        <f t="shared" si="64"/>
        <v>0</v>
      </c>
      <c r="N115" s="727">
        <f t="shared" si="65"/>
        <v>1.62</v>
      </c>
      <c r="P115" s="176"/>
      <c r="Q115" s="295"/>
      <c r="T115" s="613" t="s">
        <v>1134</v>
      </c>
    </row>
    <row r="116" spans="1:20" x14ac:dyDescent="0.2">
      <c r="A116" s="613">
        <f t="shared" si="39"/>
        <v>109</v>
      </c>
      <c r="B116" s="164" t="str">
        <f>'WP1 Light Inventory'!A110</f>
        <v>53E</v>
      </c>
      <c r="C116" s="164" t="str">
        <f>'WP1 Light Inventory'!C110</f>
        <v>Customer Owned</v>
      </c>
      <c r="D116" s="327" t="str">
        <f>'WP1 Light Inventory'!D110</f>
        <v>Metal Halide</v>
      </c>
      <c r="E116" s="165" t="str">
        <f>'WP1 Light Inventory'!E110</f>
        <v>MH 175</v>
      </c>
      <c r="F116" s="364">
        <f>'WP1 Light Inventory'!J110</f>
        <v>4</v>
      </c>
      <c r="G116" s="366">
        <f>'WP12 Condensed Sch. Level Costs'!O109</f>
        <v>61.25</v>
      </c>
      <c r="H116" s="339">
        <f t="shared" si="60"/>
        <v>4.4534999999999998E-2</v>
      </c>
      <c r="I116" s="295">
        <f t="shared" si="61"/>
        <v>131.04</v>
      </c>
      <c r="J116" s="727">
        <f t="shared" si="62"/>
        <v>2.73</v>
      </c>
      <c r="L116" s="339">
        <f t="shared" si="63"/>
        <v>3.0908999999999999E-2</v>
      </c>
      <c r="M116" s="295">
        <f t="shared" si="64"/>
        <v>90.72</v>
      </c>
      <c r="N116" s="727">
        <f t="shared" si="65"/>
        <v>1.89</v>
      </c>
      <c r="P116" s="176"/>
      <c r="Q116" s="295"/>
      <c r="T116" s="613" t="s">
        <v>1134</v>
      </c>
    </row>
    <row r="117" spans="1:20" x14ac:dyDescent="0.2">
      <c r="A117" s="613">
        <f t="shared" si="39"/>
        <v>110</v>
      </c>
      <c r="B117" s="164" t="str">
        <f>'WP1 Light Inventory'!A111</f>
        <v>53E</v>
      </c>
      <c r="C117" s="164" t="str">
        <f>'WP1 Light Inventory'!C111</f>
        <v>Customer Owned</v>
      </c>
      <c r="D117" s="327" t="str">
        <f>'WP1 Light Inventory'!D111</f>
        <v>Metal Halide</v>
      </c>
      <c r="E117" s="165" t="str">
        <f>'WP1 Light Inventory'!E111</f>
        <v>MH 250</v>
      </c>
      <c r="F117" s="364">
        <f>'WP1 Light Inventory'!J111</f>
        <v>0</v>
      </c>
      <c r="G117" s="366">
        <f>'WP12 Condensed Sch. Level Costs'!O110</f>
        <v>87.5</v>
      </c>
      <c r="H117" s="339">
        <f t="shared" si="60"/>
        <v>4.4534999999999998E-2</v>
      </c>
      <c r="I117" s="295">
        <f t="shared" si="61"/>
        <v>0</v>
      </c>
      <c r="J117" s="727">
        <f t="shared" si="62"/>
        <v>3.9</v>
      </c>
      <c r="L117" s="339">
        <f t="shared" si="63"/>
        <v>3.0908999999999999E-2</v>
      </c>
      <c r="M117" s="295">
        <f t="shared" si="64"/>
        <v>0</v>
      </c>
      <c r="N117" s="727">
        <f t="shared" si="65"/>
        <v>2.7</v>
      </c>
      <c r="P117" s="176"/>
      <c r="Q117" s="295"/>
      <c r="T117" s="613" t="s">
        <v>1134</v>
      </c>
    </row>
    <row r="118" spans="1:20" x14ac:dyDescent="0.2">
      <c r="A118" s="613">
        <f t="shared" si="39"/>
        <v>111</v>
      </c>
      <c r="B118" s="164" t="str">
        <f>'WP1 Light Inventory'!A112</f>
        <v>53E</v>
      </c>
      <c r="C118" s="164" t="str">
        <f>'WP1 Light Inventory'!C112</f>
        <v>Customer Owned</v>
      </c>
      <c r="D118" s="327" t="str">
        <f>'WP1 Light Inventory'!D112</f>
        <v>Metal Halide</v>
      </c>
      <c r="E118" s="165" t="str">
        <f>'WP1 Light Inventory'!E112</f>
        <v>MH 400</v>
      </c>
      <c r="F118" s="364">
        <f>'WP1 Light Inventory'!J112</f>
        <v>0</v>
      </c>
      <c r="G118" s="366">
        <f>'WP12 Condensed Sch. Level Costs'!O111</f>
        <v>140</v>
      </c>
      <c r="H118" s="339">
        <f t="shared" si="60"/>
        <v>4.4534999999999998E-2</v>
      </c>
      <c r="I118" s="295">
        <f t="shared" si="61"/>
        <v>0</v>
      </c>
      <c r="J118" s="727">
        <f t="shared" si="62"/>
        <v>6.23</v>
      </c>
      <c r="L118" s="339">
        <f t="shared" si="63"/>
        <v>3.0908999999999999E-2</v>
      </c>
      <c r="M118" s="295">
        <f t="shared" si="64"/>
        <v>0</v>
      </c>
      <c r="N118" s="727">
        <f t="shared" si="65"/>
        <v>4.33</v>
      </c>
      <c r="P118" s="176"/>
      <c r="Q118" s="295"/>
      <c r="T118" s="613" t="s">
        <v>1134</v>
      </c>
    </row>
    <row r="119" spans="1:20" x14ac:dyDescent="0.2">
      <c r="A119" s="613">
        <f t="shared" si="39"/>
        <v>112</v>
      </c>
      <c r="B119" s="164"/>
      <c r="C119" s="164"/>
      <c r="D119" s="327"/>
      <c r="E119" s="165"/>
      <c r="F119" s="364"/>
      <c r="G119" s="399"/>
      <c r="H119" s="342"/>
      <c r="I119" s="295"/>
      <c r="J119" s="727"/>
      <c r="L119" s="342"/>
      <c r="M119" s="295"/>
      <c r="N119" s="727"/>
      <c r="P119" s="342"/>
      <c r="Q119" s="295"/>
    </row>
    <row r="120" spans="1:20" x14ac:dyDescent="0.2">
      <c r="A120" s="613">
        <f t="shared" si="39"/>
        <v>113</v>
      </c>
      <c r="B120" s="164" t="str">
        <f>'WP1 Light Inventory'!A114</f>
        <v>53E</v>
      </c>
      <c r="C120" s="164" t="str">
        <f>'WP1 Light Inventory'!C114</f>
        <v>Customer Owned</v>
      </c>
      <c r="D120" s="327" t="str">
        <f>'WP1 Light Inventory'!D114</f>
        <v>Light Emitting Diode</v>
      </c>
      <c r="E120" s="165" t="str">
        <f>'WP1 Light Inventory'!E114</f>
        <v>LED 0-030</v>
      </c>
      <c r="F120" s="364">
        <f>'WP1 Light Inventory'!J114</f>
        <v>0</v>
      </c>
      <c r="G120" s="366">
        <f>'WP12 Condensed Sch. Level Costs'!O113</f>
        <v>5.25</v>
      </c>
      <c r="H120" s="339">
        <f t="shared" ref="H120:H129" si="66">$Y$8</f>
        <v>4.4534999999999998E-2</v>
      </c>
      <c r="I120" s="295">
        <f t="shared" ref="I120:I129" si="67">+F120*J120*12</f>
        <v>0</v>
      </c>
      <c r="J120" s="727">
        <f t="shared" ref="J120:J129" si="68">ROUND(+H120*G120,2)</f>
        <v>0.23</v>
      </c>
      <c r="L120" s="339">
        <f t="shared" ref="L120:L129" si="69">$Y$9</f>
        <v>3.0908999999999999E-2</v>
      </c>
      <c r="M120" s="295">
        <f t="shared" ref="M120:M129" si="70">+F120*N120*12</f>
        <v>0</v>
      </c>
      <c r="N120" s="727">
        <f t="shared" ref="N120:N129" si="71">ROUND(+L120*G120,2)</f>
        <v>0.16</v>
      </c>
      <c r="P120" s="176"/>
      <c r="Q120" s="295"/>
      <c r="T120" s="613" t="s">
        <v>1132</v>
      </c>
    </row>
    <row r="121" spans="1:20" x14ac:dyDescent="0.2">
      <c r="A121" s="613">
        <f t="shared" si="39"/>
        <v>114</v>
      </c>
      <c r="B121" s="164" t="str">
        <f>'WP1 Light Inventory'!A115</f>
        <v>53E</v>
      </c>
      <c r="C121" s="164" t="str">
        <f>'WP1 Light Inventory'!C115</f>
        <v>Customer Owned</v>
      </c>
      <c r="D121" s="327" t="str">
        <f>'WP1 Light Inventory'!D115</f>
        <v>Light Emitting Diode</v>
      </c>
      <c r="E121" s="165" t="str">
        <f>'WP1 Light Inventory'!E115</f>
        <v>LED 030.01-060</v>
      </c>
      <c r="F121" s="364">
        <f>'WP1 Light Inventory'!J115</f>
        <v>656</v>
      </c>
      <c r="G121" s="366">
        <f>'WP12 Condensed Sch. Level Costs'!O114</f>
        <v>15.75</v>
      </c>
      <c r="H121" s="339">
        <f t="shared" si="66"/>
        <v>4.4534999999999998E-2</v>
      </c>
      <c r="I121" s="295">
        <f t="shared" si="67"/>
        <v>5510.4</v>
      </c>
      <c r="J121" s="727">
        <f t="shared" si="68"/>
        <v>0.7</v>
      </c>
      <c r="L121" s="339">
        <f t="shared" si="69"/>
        <v>3.0908999999999999E-2</v>
      </c>
      <c r="M121" s="295">
        <f t="shared" si="70"/>
        <v>3857.2799999999997</v>
      </c>
      <c r="N121" s="727">
        <f t="shared" si="71"/>
        <v>0.49</v>
      </c>
      <c r="P121" s="176"/>
      <c r="Q121" s="295"/>
      <c r="T121" s="613" t="s">
        <v>1132</v>
      </c>
    </row>
    <row r="122" spans="1:20" x14ac:dyDescent="0.2">
      <c r="A122" s="613">
        <f t="shared" si="39"/>
        <v>115</v>
      </c>
      <c r="B122" s="164" t="str">
        <f>'WP1 Light Inventory'!A116</f>
        <v>53E</v>
      </c>
      <c r="C122" s="164" t="str">
        <f>'WP1 Light Inventory'!C116</f>
        <v>Customer Owned</v>
      </c>
      <c r="D122" s="327" t="str">
        <f>'WP1 Light Inventory'!D116</f>
        <v>Light Emitting Diode</v>
      </c>
      <c r="E122" s="165" t="str">
        <f>'WP1 Light Inventory'!E116</f>
        <v>LED 060.01-090</v>
      </c>
      <c r="F122" s="364">
        <f>'WP1 Light Inventory'!J116</f>
        <v>634</v>
      </c>
      <c r="G122" s="366">
        <f>'WP12 Condensed Sch. Level Costs'!O115</f>
        <v>26.25</v>
      </c>
      <c r="H122" s="339">
        <f t="shared" si="66"/>
        <v>4.4534999999999998E-2</v>
      </c>
      <c r="I122" s="295">
        <f t="shared" si="67"/>
        <v>8901.36</v>
      </c>
      <c r="J122" s="727">
        <f t="shared" si="68"/>
        <v>1.17</v>
      </c>
      <c r="L122" s="339">
        <f t="shared" si="69"/>
        <v>3.0908999999999999E-2</v>
      </c>
      <c r="M122" s="295">
        <f t="shared" si="70"/>
        <v>6162.4800000000014</v>
      </c>
      <c r="N122" s="727">
        <f t="shared" si="71"/>
        <v>0.81</v>
      </c>
      <c r="P122" s="176"/>
      <c r="Q122" s="295"/>
      <c r="T122" s="613" t="s">
        <v>1132</v>
      </c>
    </row>
    <row r="123" spans="1:20" x14ac:dyDescent="0.2">
      <c r="A123" s="613">
        <f t="shared" si="39"/>
        <v>116</v>
      </c>
      <c r="B123" s="164" t="str">
        <f>'WP1 Light Inventory'!A117</f>
        <v>53E</v>
      </c>
      <c r="C123" s="164" t="str">
        <f>'WP1 Light Inventory'!C117</f>
        <v>Customer Owned</v>
      </c>
      <c r="D123" s="327" t="str">
        <f>'WP1 Light Inventory'!D117</f>
        <v>Light Emitting Diode</v>
      </c>
      <c r="E123" s="165" t="str">
        <f>'WP1 Light Inventory'!E117</f>
        <v>LED 090.01-120</v>
      </c>
      <c r="F123" s="364">
        <f>'WP1 Light Inventory'!J117</f>
        <v>869</v>
      </c>
      <c r="G123" s="366">
        <f>'WP12 Condensed Sch. Level Costs'!O116</f>
        <v>36.75</v>
      </c>
      <c r="H123" s="339">
        <f t="shared" si="66"/>
        <v>4.4534999999999998E-2</v>
      </c>
      <c r="I123" s="295">
        <f t="shared" si="67"/>
        <v>17101.919999999998</v>
      </c>
      <c r="J123" s="727">
        <f t="shared" si="68"/>
        <v>1.64</v>
      </c>
      <c r="L123" s="339">
        <f t="shared" si="69"/>
        <v>3.0908999999999999E-2</v>
      </c>
      <c r="M123" s="295">
        <f t="shared" si="70"/>
        <v>11887.92</v>
      </c>
      <c r="N123" s="727">
        <f t="shared" si="71"/>
        <v>1.1399999999999999</v>
      </c>
      <c r="P123" s="176"/>
      <c r="Q123" s="295"/>
      <c r="T123" s="613" t="s">
        <v>1132</v>
      </c>
    </row>
    <row r="124" spans="1:20" x14ac:dyDescent="0.2">
      <c r="A124" s="613">
        <f t="shared" si="39"/>
        <v>117</v>
      </c>
      <c r="B124" s="164" t="str">
        <f>'WP1 Light Inventory'!A118</f>
        <v>53E</v>
      </c>
      <c r="C124" s="164" t="str">
        <f>'WP1 Light Inventory'!C118</f>
        <v>Customer Owned</v>
      </c>
      <c r="D124" s="327" t="str">
        <f>'WP1 Light Inventory'!D118</f>
        <v>Light Emitting Diode</v>
      </c>
      <c r="E124" s="165" t="str">
        <f>'WP1 Light Inventory'!E118</f>
        <v>LED 120.01-150</v>
      </c>
      <c r="F124" s="364">
        <f>'WP1 Light Inventory'!J118</f>
        <v>101</v>
      </c>
      <c r="G124" s="366">
        <f>'WP12 Condensed Sch. Level Costs'!O117</f>
        <v>47.25</v>
      </c>
      <c r="H124" s="339">
        <f t="shared" si="66"/>
        <v>4.4534999999999998E-2</v>
      </c>
      <c r="I124" s="295">
        <f t="shared" si="67"/>
        <v>2545.2000000000003</v>
      </c>
      <c r="J124" s="727">
        <f t="shared" si="68"/>
        <v>2.1</v>
      </c>
      <c r="L124" s="339">
        <f t="shared" si="69"/>
        <v>3.0908999999999999E-2</v>
      </c>
      <c r="M124" s="295">
        <f t="shared" si="70"/>
        <v>1769.52</v>
      </c>
      <c r="N124" s="727">
        <f t="shared" si="71"/>
        <v>1.46</v>
      </c>
      <c r="P124" s="176"/>
      <c r="Q124" s="295"/>
      <c r="T124" s="613" t="s">
        <v>1132</v>
      </c>
    </row>
    <row r="125" spans="1:20" x14ac:dyDescent="0.2">
      <c r="A125" s="613">
        <f t="shared" si="39"/>
        <v>118</v>
      </c>
      <c r="B125" s="164" t="str">
        <f>'WP1 Light Inventory'!A119</f>
        <v>53E</v>
      </c>
      <c r="C125" s="164" t="str">
        <f>'WP1 Light Inventory'!C119</f>
        <v>Customer Owned</v>
      </c>
      <c r="D125" s="327" t="str">
        <f>'WP1 Light Inventory'!D119</f>
        <v>Light Emitting Diode</v>
      </c>
      <c r="E125" s="165" t="str">
        <f>'WP1 Light Inventory'!E119</f>
        <v>LED 150.01-180</v>
      </c>
      <c r="F125" s="364">
        <f>'WP1 Light Inventory'!J119</f>
        <v>1330</v>
      </c>
      <c r="G125" s="366">
        <f>'WP12 Condensed Sch. Level Costs'!O118</f>
        <v>57.75</v>
      </c>
      <c r="H125" s="339">
        <f t="shared" si="66"/>
        <v>4.4534999999999998E-2</v>
      </c>
      <c r="I125" s="295">
        <f t="shared" si="67"/>
        <v>41017.199999999997</v>
      </c>
      <c r="J125" s="727">
        <f t="shared" si="68"/>
        <v>2.57</v>
      </c>
      <c r="L125" s="339">
        <f t="shared" si="69"/>
        <v>3.0908999999999999E-2</v>
      </c>
      <c r="M125" s="295">
        <f t="shared" si="70"/>
        <v>28408.800000000003</v>
      </c>
      <c r="N125" s="727">
        <f t="shared" si="71"/>
        <v>1.78</v>
      </c>
      <c r="P125" s="176"/>
      <c r="Q125" s="295"/>
      <c r="T125" s="613" t="s">
        <v>1132</v>
      </c>
    </row>
    <row r="126" spans="1:20" x14ac:dyDescent="0.2">
      <c r="A126" s="613">
        <f t="shared" si="39"/>
        <v>119</v>
      </c>
      <c r="B126" s="164" t="str">
        <f>'WP1 Light Inventory'!A120</f>
        <v>53E</v>
      </c>
      <c r="C126" s="164" t="str">
        <f>'WP1 Light Inventory'!C120</f>
        <v>Customer Owned</v>
      </c>
      <c r="D126" s="327" t="str">
        <f>'WP1 Light Inventory'!D120</f>
        <v>Light Emitting Diode</v>
      </c>
      <c r="E126" s="165" t="str">
        <f>'WP1 Light Inventory'!E120</f>
        <v>LED 180.01-210</v>
      </c>
      <c r="F126" s="364">
        <f>'WP1 Light Inventory'!J120</f>
        <v>106</v>
      </c>
      <c r="G126" s="366">
        <f>'WP12 Condensed Sch. Level Costs'!O119</f>
        <v>68.25</v>
      </c>
      <c r="H126" s="339">
        <f t="shared" si="66"/>
        <v>4.4534999999999998E-2</v>
      </c>
      <c r="I126" s="295">
        <f t="shared" si="67"/>
        <v>3866.88</v>
      </c>
      <c r="J126" s="727">
        <f t="shared" si="68"/>
        <v>3.04</v>
      </c>
      <c r="L126" s="339">
        <f t="shared" si="69"/>
        <v>3.0908999999999999E-2</v>
      </c>
      <c r="M126" s="295">
        <f t="shared" si="70"/>
        <v>2683.92</v>
      </c>
      <c r="N126" s="727">
        <f t="shared" si="71"/>
        <v>2.11</v>
      </c>
      <c r="P126" s="176"/>
      <c r="Q126" s="295"/>
      <c r="T126" s="613" t="s">
        <v>1132</v>
      </c>
    </row>
    <row r="127" spans="1:20" x14ac:dyDescent="0.2">
      <c r="A127" s="613">
        <f t="shared" si="39"/>
        <v>120</v>
      </c>
      <c r="B127" s="164" t="str">
        <f>'WP1 Light Inventory'!A121</f>
        <v>53E</v>
      </c>
      <c r="C127" s="164" t="str">
        <f>'WP1 Light Inventory'!C121</f>
        <v>Customer Owned</v>
      </c>
      <c r="D127" s="327" t="str">
        <f>'WP1 Light Inventory'!D121</f>
        <v>Light Emitting Diode</v>
      </c>
      <c r="E127" s="165" t="str">
        <f>'WP1 Light Inventory'!E121</f>
        <v>LED 210.01-240</v>
      </c>
      <c r="F127" s="364">
        <f>'WP1 Light Inventory'!J121</f>
        <v>0</v>
      </c>
      <c r="G127" s="366">
        <f>'WP12 Condensed Sch. Level Costs'!O120</f>
        <v>78.75</v>
      </c>
      <c r="H127" s="339">
        <f t="shared" si="66"/>
        <v>4.4534999999999998E-2</v>
      </c>
      <c r="I127" s="295">
        <f t="shared" si="67"/>
        <v>0</v>
      </c>
      <c r="J127" s="727">
        <f t="shared" si="68"/>
        <v>3.51</v>
      </c>
      <c r="L127" s="339">
        <f t="shared" si="69"/>
        <v>3.0908999999999999E-2</v>
      </c>
      <c r="M127" s="295">
        <f t="shared" si="70"/>
        <v>0</v>
      </c>
      <c r="N127" s="727">
        <f t="shared" si="71"/>
        <v>2.4300000000000002</v>
      </c>
      <c r="P127" s="176"/>
      <c r="Q127" s="295"/>
      <c r="T127" s="613" t="s">
        <v>1132</v>
      </c>
    </row>
    <row r="128" spans="1:20" x14ac:dyDescent="0.2">
      <c r="A128" s="613">
        <f t="shared" si="39"/>
        <v>121</v>
      </c>
      <c r="B128" s="164" t="str">
        <f>'WP1 Light Inventory'!A122</f>
        <v>53E</v>
      </c>
      <c r="C128" s="164" t="str">
        <f>'WP1 Light Inventory'!C122</f>
        <v>Customer Owned</v>
      </c>
      <c r="D128" s="327" t="str">
        <f>'WP1 Light Inventory'!D122</f>
        <v>Light Emitting Diode</v>
      </c>
      <c r="E128" s="165" t="str">
        <f>'WP1 Light Inventory'!E122</f>
        <v>LED 240.01-270</v>
      </c>
      <c r="F128" s="364">
        <f>'WP1 Light Inventory'!J122</f>
        <v>2</v>
      </c>
      <c r="G128" s="366">
        <f>'WP12 Condensed Sch. Level Costs'!O121</f>
        <v>89.25</v>
      </c>
      <c r="H128" s="339">
        <f t="shared" si="66"/>
        <v>4.4534999999999998E-2</v>
      </c>
      <c r="I128" s="295">
        <f t="shared" si="67"/>
        <v>95.28</v>
      </c>
      <c r="J128" s="727">
        <f t="shared" si="68"/>
        <v>3.97</v>
      </c>
      <c r="L128" s="339">
        <f t="shared" si="69"/>
        <v>3.0908999999999999E-2</v>
      </c>
      <c r="M128" s="295">
        <f t="shared" si="70"/>
        <v>66.239999999999995</v>
      </c>
      <c r="N128" s="727">
        <f t="shared" si="71"/>
        <v>2.76</v>
      </c>
      <c r="P128" s="176"/>
      <c r="Q128" s="295"/>
      <c r="T128" s="613" t="s">
        <v>1132</v>
      </c>
    </row>
    <row r="129" spans="1:20" x14ac:dyDescent="0.2">
      <c r="A129" s="613">
        <f t="shared" si="39"/>
        <v>122</v>
      </c>
      <c r="B129" s="164" t="str">
        <f>'WP1 Light Inventory'!A123</f>
        <v>53E</v>
      </c>
      <c r="C129" s="164" t="str">
        <f>'WP1 Light Inventory'!C123</f>
        <v>Customer Owned</v>
      </c>
      <c r="D129" s="327" t="str">
        <f>'WP1 Light Inventory'!D123</f>
        <v>Light Emitting Diode</v>
      </c>
      <c r="E129" s="165" t="str">
        <f>'WP1 Light Inventory'!E123</f>
        <v>LED 270.01-300</v>
      </c>
      <c r="F129" s="364">
        <f>'WP1 Light Inventory'!J123</f>
        <v>0</v>
      </c>
      <c r="G129" s="366">
        <f>'WP12 Condensed Sch. Level Costs'!O122</f>
        <v>99.75</v>
      </c>
      <c r="H129" s="339">
        <f t="shared" si="66"/>
        <v>4.4534999999999998E-2</v>
      </c>
      <c r="I129" s="295">
        <f t="shared" si="67"/>
        <v>0</v>
      </c>
      <c r="J129" s="727">
        <f t="shared" si="68"/>
        <v>4.4400000000000004</v>
      </c>
      <c r="L129" s="339">
        <f t="shared" si="69"/>
        <v>3.0908999999999999E-2</v>
      </c>
      <c r="M129" s="295">
        <f t="shared" si="70"/>
        <v>0</v>
      </c>
      <c r="N129" s="727">
        <f t="shared" si="71"/>
        <v>3.08</v>
      </c>
      <c r="P129" s="176"/>
      <c r="Q129" s="295"/>
      <c r="T129" s="613" t="s">
        <v>1132</v>
      </c>
    </row>
    <row r="130" spans="1:20" x14ac:dyDescent="0.2">
      <c r="A130" s="613">
        <f t="shared" si="39"/>
        <v>123</v>
      </c>
      <c r="B130" s="164"/>
      <c r="C130" s="164"/>
      <c r="D130" s="327"/>
      <c r="E130" s="165"/>
      <c r="F130" s="364"/>
      <c r="G130" s="399"/>
      <c r="H130" s="342"/>
      <c r="I130" s="295"/>
      <c r="J130" s="727"/>
      <c r="L130" s="342"/>
      <c r="M130" s="295"/>
      <c r="N130" s="727"/>
      <c r="P130" s="342"/>
      <c r="Q130" s="295"/>
    </row>
    <row r="131" spans="1:20" x14ac:dyDescent="0.2">
      <c r="A131" s="613">
        <f t="shared" si="39"/>
        <v>124</v>
      </c>
      <c r="B131" s="164" t="s">
        <v>138</v>
      </c>
      <c r="C131" s="164"/>
      <c r="D131" s="327"/>
      <c r="E131" s="165"/>
      <c r="F131" s="364"/>
      <c r="G131" s="399"/>
      <c r="H131" s="342"/>
      <c r="I131" s="295"/>
      <c r="J131" s="727"/>
      <c r="L131" s="342"/>
      <c r="M131" s="295"/>
      <c r="N131" s="727"/>
      <c r="P131" s="342"/>
      <c r="Q131" s="295"/>
    </row>
    <row r="132" spans="1:20" x14ac:dyDescent="0.2">
      <c r="A132" s="613">
        <f t="shared" si="39"/>
        <v>125</v>
      </c>
      <c r="B132" s="164" t="str">
        <f>'WP1 Light Inventory'!A125</f>
        <v>54E</v>
      </c>
      <c r="C132" s="164"/>
      <c r="D132" s="327" t="str">
        <f>'WP1 Light Inventory'!D125</f>
        <v>Sodium Vapor</v>
      </c>
      <c r="E132" s="165" t="str">
        <f>'WP1 Light Inventory'!E125</f>
        <v>SV 050</v>
      </c>
      <c r="F132" s="364">
        <f>'WP1 Light Inventory'!J125</f>
        <v>38</v>
      </c>
      <c r="G132" s="366">
        <f>'WP12 Condensed Sch. Level Costs'!O124</f>
        <v>17.5</v>
      </c>
      <c r="H132" s="339">
        <f t="shared" ref="H132:H151" si="72">$Y$8</f>
        <v>4.4534999999999998E-2</v>
      </c>
      <c r="I132" s="295">
        <f t="shared" ref="I132:I140" si="73">+F132*J132*12</f>
        <v>355.68</v>
      </c>
      <c r="J132" s="727">
        <f t="shared" ref="J132:J140" si="74">ROUND(+H132*G132,2)</f>
        <v>0.78</v>
      </c>
      <c r="L132" s="339">
        <f t="shared" ref="L132:L140" si="75">$Y$9</f>
        <v>3.0908999999999999E-2</v>
      </c>
      <c r="M132" s="295">
        <f t="shared" ref="M132:M140" si="76">+F132*N132*12</f>
        <v>246.24000000000004</v>
      </c>
      <c r="N132" s="727">
        <f t="shared" ref="N132:N140" si="77">ROUND(+L132*G132,2)</f>
        <v>0.54</v>
      </c>
      <c r="P132" s="176"/>
      <c r="Q132" s="295"/>
      <c r="T132" s="613" t="s">
        <v>1135</v>
      </c>
    </row>
    <row r="133" spans="1:20" x14ac:dyDescent="0.2">
      <c r="A133" s="613">
        <f t="shared" si="39"/>
        <v>126</v>
      </c>
      <c r="B133" s="164" t="str">
        <f>'WP1 Light Inventory'!A126</f>
        <v>54E</v>
      </c>
      <c r="C133" s="164"/>
      <c r="D133" s="327" t="str">
        <f>'WP1 Light Inventory'!D126</f>
        <v>Sodium Vapor</v>
      </c>
      <c r="E133" s="165" t="str">
        <f>'WP1 Light Inventory'!E126</f>
        <v>SV 070</v>
      </c>
      <c r="F133" s="364">
        <f>'WP1 Light Inventory'!J126</f>
        <v>676</v>
      </c>
      <c r="G133" s="366">
        <f>'WP12 Condensed Sch. Level Costs'!O125</f>
        <v>24.5</v>
      </c>
      <c r="H133" s="339">
        <f t="shared" si="72"/>
        <v>4.4534999999999998E-2</v>
      </c>
      <c r="I133" s="295">
        <f t="shared" si="73"/>
        <v>8842.08</v>
      </c>
      <c r="J133" s="727">
        <f t="shared" si="74"/>
        <v>1.0900000000000001</v>
      </c>
      <c r="L133" s="339">
        <f t="shared" si="75"/>
        <v>3.0908999999999999E-2</v>
      </c>
      <c r="M133" s="295">
        <f t="shared" si="76"/>
        <v>6165.12</v>
      </c>
      <c r="N133" s="727">
        <f t="shared" si="77"/>
        <v>0.76</v>
      </c>
      <c r="P133" s="176"/>
      <c r="Q133" s="295"/>
      <c r="T133" s="613" t="s">
        <v>1135</v>
      </c>
    </row>
    <row r="134" spans="1:20" x14ac:dyDescent="0.2">
      <c r="A134" s="613">
        <f t="shared" si="39"/>
        <v>127</v>
      </c>
      <c r="B134" s="164" t="str">
        <f>'WP1 Light Inventory'!A127</f>
        <v>54E</v>
      </c>
      <c r="C134" s="164"/>
      <c r="D134" s="327" t="str">
        <f>'WP1 Light Inventory'!D127</f>
        <v>Sodium Vapor</v>
      </c>
      <c r="E134" s="165" t="str">
        <f>'WP1 Light Inventory'!E127</f>
        <v>SV 100</v>
      </c>
      <c r="F134" s="364">
        <f>'WP1 Light Inventory'!J127</f>
        <v>1524</v>
      </c>
      <c r="G134" s="366">
        <f>'WP12 Condensed Sch. Level Costs'!O126</f>
        <v>35</v>
      </c>
      <c r="H134" s="339">
        <f t="shared" si="72"/>
        <v>4.4534999999999998E-2</v>
      </c>
      <c r="I134" s="295">
        <f t="shared" si="73"/>
        <v>28529.279999999999</v>
      </c>
      <c r="J134" s="727">
        <f t="shared" si="74"/>
        <v>1.56</v>
      </c>
      <c r="L134" s="339">
        <f t="shared" si="75"/>
        <v>3.0908999999999999E-2</v>
      </c>
      <c r="M134" s="295">
        <f t="shared" si="76"/>
        <v>19751.04</v>
      </c>
      <c r="N134" s="727">
        <f t="shared" si="77"/>
        <v>1.08</v>
      </c>
      <c r="P134" s="176"/>
      <c r="Q134" s="295"/>
      <c r="T134" s="613" t="s">
        <v>1135</v>
      </c>
    </row>
    <row r="135" spans="1:20" x14ac:dyDescent="0.2">
      <c r="A135" s="613">
        <f t="shared" si="39"/>
        <v>128</v>
      </c>
      <c r="B135" s="164" t="str">
        <f>'WP1 Light Inventory'!A128</f>
        <v>54E</v>
      </c>
      <c r="C135" s="164"/>
      <c r="D135" s="327" t="str">
        <f>'WP1 Light Inventory'!D128</f>
        <v>Sodium Vapor</v>
      </c>
      <c r="E135" s="165" t="str">
        <f>'WP1 Light Inventory'!E128</f>
        <v>SV 150</v>
      </c>
      <c r="F135" s="364">
        <f>'WP1 Light Inventory'!J128</f>
        <v>456</v>
      </c>
      <c r="G135" s="366">
        <f>'WP12 Condensed Sch. Level Costs'!O127</f>
        <v>52.5</v>
      </c>
      <c r="H135" s="339">
        <f t="shared" si="72"/>
        <v>4.4534999999999998E-2</v>
      </c>
      <c r="I135" s="295">
        <f t="shared" si="73"/>
        <v>12804.48</v>
      </c>
      <c r="J135" s="727">
        <f t="shared" si="74"/>
        <v>2.34</v>
      </c>
      <c r="L135" s="339">
        <f t="shared" si="75"/>
        <v>3.0908999999999999E-2</v>
      </c>
      <c r="M135" s="295">
        <f t="shared" si="76"/>
        <v>8864.64</v>
      </c>
      <c r="N135" s="727">
        <f t="shared" si="77"/>
        <v>1.62</v>
      </c>
      <c r="P135" s="176"/>
      <c r="Q135" s="295"/>
      <c r="T135" s="613" t="s">
        <v>1135</v>
      </c>
    </row>
    <row r="136" spans="1:20" x14ac:dyDescent="0.2">
      <c r="A136" s="613">
        <f t="shared" si="39"/>
        <v>129</v>
      </c>
      <c r="B136" s="164" t="str">
        <f>'WP1 Light Inventory'!A129</f>
        <v>54E</v>
      </c>
      <c r="C136" s="164"/>
      <c r="D136" s="327" t="str">
        <f>'WP1 Light Inventory'!D129</f>
        <v>Sodium Vapor</v>
      </c>
      <c r="E136" s="165" t="str">
        <f>'WP1 Light Inventory'!E129</f>
        <v>SV 200</v>
      </c>
      <c r="F136" s="364">
        <f>'WP1 Light Inventory'!J129</f>
        <v>548</v>
      </c>
      <c r="G136" s="366">
        <f>'WP12 Condensed Sch. Level Costs'!O128</f>
        <v>70</v>
      </c>
      <c r="H136" s="339">
        <f t="shared" si="72"/>
        <v>4.4534999999999998E-2</v>
      </c>
      <c r="I136" s="295">
        <f t="shared" si="73"/>
        <v>20517.12</v>
      </c>
      <c r="J136" s="727">
        <f t="shared" si="74"/>
        <v>3.12</v>
      </c>
      <c r="L136" s="339">
        <f t="shared" si="75"/>
        <v>3.0908999999999999E-2</v>
      </c>
      <c r="M136" s="295">
        <f t="shared" si="76"/>
        <v>14204.16</v>
      </c>
      <c r="N136" s="727">
        <f t="shared" si="77"/>
        <v>2.16</v>
      </c>
      <c r="P136" s="176"/>
      <c r="Q136" s="295"/>
      <c r="T136" s="613" t="s">
        <v>1135</v>
      </c>
    </row>
    <row r="137" spans="1:20" x14ac:dyDescent="0.2">
      <c r="A137" s="613">
        <f t="shared" ref="A137:A195" si="78">A136+1</f>
        <v>130</v>
      </c>
      <c r="B137" s="164" t="str">
        <f>'WP1 Light Inventory'!A130</f>
        <v>54E</v>
      </c>
      <c r="C137" s="164"/>
      <c r="D137" s="327" t="str">
        <f>'WP1 Light Inventory'!D130</f>
        <v>Sodium Vapor</v>
      </c>
      <c r="E137" s="165" t="str">
        <f>'WP1 Light Inventory'!E130</f>
        <v>SV 250</v>
      </c>
      <c r="F137" s="364">
        <f>'WP1 Light Inventory'!J130</f>
        <v>1362</v>
      </c>
      <c r="G137" s="366">
        <f>'WP12 Condensed Sch. Level Costs'!O129</f>
        <v>87.5</v>
      </c>
      <c r="H137" s="339">
        <f t="shared" si="72"/>
        <v>4.4534999999999998E-2</v>
      </c>
      <c r="I137" s="295">
        <f t="shared" si="73"/>
        <v>63741.600000000006</v>
      </c>
      <c r="J137" s="727">
        <f t="shared" si="74"/>
        <v>3.9</v>
      </c>
      <c r="L137" s="339">
        <f t="shared" si="75"/>
        <v>3.0908999999999999E-2</v>
      </c>
      <c r="M137" s="295">
        <f t="shared" si="76"/>
        <v>44128.800000000003</v>
      </c>
      <c r="N137" s="727">
        <f t="shared" si="77"/>
        <v>2.7</v>
      </c>
      <c r="P137" s="176"/>
      <c r="Q137" s="295"/>
      <c r="T137" s="613" t="s">
        <v>1135</v>
      </c>
    </row>
    <row r="138" spans="1:20" x14ac:dyDescent="0.2">
      <c r="A138" s="613">
        <f t="shared" si="78"/>
        <v>131</v>
      </c>
      <c r="B138" s="164" t="str">
        <f>'WP1 Light Inventory'!A131</f>
        <v>54E</v>
      </c>
      <c r="C138" s="164"/>
      <c r="D138" s="327" t="str">
        <f>'WP1 Light Inventory'!D131</f>
        <v>Sodium Vapor</v>
      </c>
      <c r="E138" s="165" t="str">
        <f>'WP1 Light Inventory'!E131</f>
        <v>SV 310</v>
      </c>
      <c r="F138" s="364">
        <f>'WP1 Light Inventory'!J131</f>
        <v>56</v>
      </c>
      <c r="G138" s="366">
        <f>'WP12 Condensed Sch. Level Costs'!O130</f>
        <v>108.5</v>
      </c>
      <c r="H138" s="339">
        <f t="shared" si="72"/>
        <v>4.4534999999999998E-2</v>
      </c>
      <c r="I138" s="295">
        <f t="shared" si="73"/>
        <v>3245.76</v>
      </c>
      <c r="J138" s="727">
        <f t="shared" si="74"/>
        <v>4.83</v>
      </c>
      <c r="L138" s="339">
        <f t="shared" si="75"/>
        <v>3.0908999999999999E-2</v>
      </c>
      <c r="M138" s="295">
        <f t="shared" si="76"/>
        <v>2251.1999999999998</v>
      </c>
      <c r="N138" s="727">
        <f t="shared" si="77"/>
        <v>3.35</v>
      </c>
      <c r="P138" s="176"/>
      <c r="Q138" s="295"/>
      <c r="T138" s="613" t="s">
        <v>1135</v>
      </c>
    </row>
    <row r="139" spans="1:20" x14ac:dyDescent="0.2">
      <c r="A139" s="613">
        <f t="shared" si="78"/>
        <v>132</v>
      </c>
      <c r="B139" s="164" t="str">
        <f>'WP1 Light Inventory'!A132</f>
        <v>54E</v>
      </c>
      <c r="C139" s="164"/>
      <c r="D139" s="327" t="str">
        <f>'WP1 Light Inventory'!D132</f>
        <v>Sodium Vapor</v>
      </c>
      <c r="E139" s="165" t="str">
        <f>'WP1 Light Inventory'!E132</f>
        <v>SV 400</v>
      </c>
      <c r="F139" s="364">
        <f>'WP1 Light Inventory'!J132</f>
        <v>616</v>
      </c>
      <c r="G139" s="366">
        <f>'WP12 Condensed Sch. Level Costs'!O131</f>
        <v>140</v>
      </c>
      <c r="H139" s="339">
        <f t="shared" si="72"/>
        <v>4.4534999999999998E-2</v>
      </c>
      <c r="I139" s="295">
        <f t="shared" si="73"/>
        <v>46052.160000000003</v>
      </c>
      <c r="J139" s="727">
        <f t="shared" si="74"/>
        <v>6.23</v>
      </c>
      <c r="L139" s="339">
        <f t="shared" si="75"/>
        <v>3.0908999999999999E-2</v>
      </c>
      <c r="M139" s="295">
        <f t="shared" si="76"/>
        <v>32007.360000000001</v>
      </c>
      <c r="N139" s="727">
        <f t="shared" si="77"/>
        <v>4.33</v>
      </c>
      <c r="P139" s="176"/>
      <c r="Q139" s="295"/>
      <c r="T139" s="613" t="s">
        <v>1135</v>
      </c>
    </row>
    <row r="140" spans="1:20" x14ac:dyDescent="0.2">
      <c r="A140" s="613">
        <f t="shared" si="78"/>
        <v>133</v>
      </c>
      <c r="B140" s="164" t="str">
        <f>'WP1 Light Inventory'!A133</f>
        <v>54E</v>
      </c>
      <c r="C140" s="164"/>
      <c r="D140" s="327" t="str">
        <f>'WP1 Light Inventory'!D133</f>
        <v>Sodium Vapor</v>
      </c>
      <c r="E140" s="165" t="str">
        <f>'WP1 Light Inventory'!E133</f>
        <v>SV 1000</v>
      </c>
      <c r="F140" s="364">
        <f>'WP1 Light Inventory'!J133</f>
        <v>10</v>
      </c>
      <c r="G140" s="366">
        <f>'WP12 Condensed Sch. Level Costs'!O132</f>
        <v>350</v>
      </c>
      <c r="H140" s="339">
        <f t="shared" si="72"/>
        <v>4.4534999999999998E-2</v>
      </c>
      <c r="I140" s="295">
        <f t="shared" si="73"/>
        <v>1870.8000000000002</v>
      </c>
      <c r="J140" s="727">
        <f t="shared" si="74"/>
        <v>15.59</v>
      </c>
      <c r="L140" s="339">
        <f t="shared" si="75"/>
        <v>3.0908999999999999E-2</v>
      </c>
      <c r="M140" s="295">
        <f t="shared" si="76"/>
        <v>1298.4000000000001</v>
      </c>
      <c r="N140" s="727">
        <f t="shared" si="77"/>
        <v>10.82</v>
      </c>
      <c r="P140" s="176"/>
      <c r="Q140" s="295"/>
      <c r="T140" s="613" t="s">
        <v>1135</v>
      </c>
    </row>
    <row r="141" spans="1:20" x14ac:dyDescent="0.2">
      <c r="A141" s="613">
        <f t="shared" si="78"/>
        <v>134</v>
      </c>
      <c r="B141" s="164"/>
      <c r="C141" s="164"/>
      <c r="D141" s="327"/>
      <c r="E141" s="165"/>
      <c r="F141" s="364"/>
      <c r="G141" s="399"/>
      <c r="H141" s="342"/>
      <c r="I141" s="295"/>
      <c r="J141" s="727"/>
      <c r="L141" s="342"/>
      <c r="M141" s="295"/>
      <c r="N141" s="727"/>
      <c r="P141" s="342"/>
      <c r="Q141" s="295"/>
    </row>
    <row r="142" spans="1:20" ht="12" customHeight="1" x14ac:dyDescent="0.2">
      <c r="A142" s="613">
        <f t="shared" si="78"/>
        <v>135</v>
      </c>
      <c r="B142" s="164" t="str">
        <f>'WP1 Light Inventory'!A135</f>
        <v>54E</v>
      </c>
      <c r="C142" s="164"/>
      <c r="D142" s="327" t="str">
        <f>'WP1 Light Inventory'!D135</f>
        <v>Light Emitting Diode</v>
      </c>
      <c r="E142" s="165" t="str">
        <f>'WP1 Light Inventory'!E135</f>
        <v>LED 0-030</v>
      </c>
      <c r="F142" s="364">
        <f>'WP1 Light Inventory'!J135</f>
        <v>0</v>
      </c>
      <c r="G142" s="366">
        <f>'WP12 Condensed Sch. Level Costs'!O134</f>
        <v>5.25</v>
      </c>
      <c r="H142" s="339">
        <f t="shared" si="72"/>
        <v>4.4534999999999998E-2</v>
      </c>
      <c r="I142" s="295">
        <f t="shared" ref="I142:I151" si="79">+F142*J142*12</f>
        <v>0</v>
      </c>
      <c r="J142" s="727">
        <f t="shared" ref="J142:J151" si="80">ROUND(+H142*G142,2)</f>
        <v>0.23</v>
      </c>
      <c r="L142" s="339">
        <f t="shared" ref="L142:L151" si="81">$Y$9</f>
        <v>3.0908999999999999E-2</v>
      </c>
      <c r="M142" s="295">
        <f t="shared" ref="M142:M151" si="82">+F142*N142*12</f>
        <v>0</v>
      </c>
      <c r="N142" s="727">
        <f t="shared" ref="N142:N151" si="83">ROUND(+L142*G142,2)</f>
        <v>0.16</v>
      </c>
      <c r="P142" s="176"/>
      <c r="Q142" s="295"/>
      <c r="T142" s="613" t="s">
        <v>1132</v>
      </c>
    </row>
    <row r="143" spans="1:20" x14ac:dyDescent="0.2">
      <c r="A143" s="613">
        <f t="shared" si="78"/>
        <v>136</v>
      </c>
      <c r="B143" s="164" t="str">
        <f>'WP1 Light Inventory'!A136</f>
        <v>54E</v>
      </c>
      <c r="C143" s="164"/>
      <c r="D143" s="327" t="str">
        <f>'WP1 Light Inventory'!D136</f>
        <v>Light Emitting Diode</v>
      </c>
      <c r="E143" s="165" t="str">
        <f>'WP1 Light Inventory'!E136</f>
        <v>LED 030.01-060</v>
      </c>
      <c r="F143" s="364">
        <f>'WP1 Light Inventory'!J136</f>
        <v>1267</v>
      </c>
      <c r="G143" s="366">
        <f>'WP12 Condensed Sch. Level Costs'!O135</f>
        <v>15.75</v>
      </c>
      <c r="H143" s="339">
        <f t="shared" si="72"/>
        <v>4.4534999999999998E-2</v>
      </c>
      <c r="I143" s="295">
        <f t="shared" si="79"/>
        <v>10642.8</v>
      </c>
      <c r="J143" s="727">
        <f t="shared" si="80"/>
        <v>0.7</v>
      </c>
      <c r="L143" s="339">
        <f t="shared" si="81"/>
        <v>3.0908999999999999E-2</v>
      </c>
      <c r="M143" s="295">
        <f t="shared" si="82"/>
        <v>7449.9600000000009</v>
      </c>
      <c r="N143" s="727">
        <f t="shared" si="83"/>
        <v>0.49</v>
      </c>
      <c r="P143" s="176"/>
      <c r="Q143" s="295"/>
      <c r="T143" s="613" t="s">
        <v>1132</v>
      </c>
    </row>
    <row r="144" spans="1:20" x14ac:dyDescent="0.2">
      <c r="A144" s="613">
        <f t="shared" si="78"/>
        <v>137</v>
      </c>
      <c r="B144" s="164" t="str">
        <f>'WP1 Light Inventory'!A137</f>
        <v>54E</v>
      </c>
      <c r="C144" s="164"/>
      <c r="D144" s="327" t="str">
        <f>'WP1 Light Inventory'!D137</f>
        <v>Light Emitting Diode</v>
      </c>
      <c r="E144" s="165" t="str">
        <f>'WP1 Light Inventory'!E137</f>
        <v>LED 060.01-090</v>
      </c>
      <c r="F144" s="364">
        <f>'WP1 Light Inventory'!J137</f>
        <v>64</v>
      </c>
      <c r="G144" s="366">
        <f>'WP12 Condensed Sch. Level Costs'!O136</f>
        <v>26.25</v>
      </c>
      <c r="H144" s="339">
        <f t="shared" si="72"/>
        <v>4.4534999999999998E-2</v>
      </c>
      <c r="I144" s="295">
        <f t="shared" si="79"/>
        <v>898.56</v>
      </c>
      <c r="J144" s="727">
        <f t="shared" si="80"/>
        <v>1.17</v>
      </c>
      <c r="L144" s="339">
        <f t="shared" si="81"/>
        <v>3.0908999999999999E-2</v>
      </c>
      <c r="M144" s="295">
        <f t="shared" si="82"/>
        <v>622.08000000000004</v>
      </c>
      <c r="N144" s="727">
        <f t="shared" si="83"/>
        <v>0.81</v>
      </c>
      <c r="P144" s="176"/>
      <c r="Q144" s="295"/>
      <c r="T144" s="613" t="s">
        <v>1132</v>
      </c>
    </row>
    <row r="145" spans="1:20" x14ac:dyDescent="0.2">
      <c r="A145" s="613">
        <f t="shared" si="78"/>
        <v>138</v>
      </c>
      <c r="B145" s="164" t="str">
        <f>'WP1 Light Inventory'!A138</f>
        <v>54E</v>
      </c>
      <c r="C145" s="164"/>
      <c r="D145" s="327" t="str">
        <f>'WP1 Light Inventory'!D138</f>
        <v>Light Emitting Diode</v>
      </c>
      <c r="E145" s="165" t="str">
        <f>'WP1 Light Inventory'!E138</f>
        <v>LED 090.01-120</v>
      </c>
      <c r="F145" s="364">
        <f>'WP1 Light Inventory'!J138</f>
        <v>1330</v>
      </c>
      <c r="G145" s="366">
        <f>'WP12 Condensed Sch. Level Costs'!O137</f>
        <v>36.75</v>
      </c>
      <c r="H145" s="339">
        <f t="shared" si="72"/>
        <v>4.4534999999999998E-2</v>
      </c>
      <c r="I145" s="295">
        <f t="shared" si="79"/>
        <v>26174.399999999998</v>
      </c>
      <c r="J145" s="727">
        <f t="shared" si="80"/>
        <v>1.64</v>
      </c>
      <c r="L145" s="339">
        <f t="shared" si="81"/>
        <v>3.0908999999999999E-2</v>
      </c>
      <c r="M145" s="295">
        <f t="shared" si="82"/>
        <v>18194.399999999998</v>
      </c>
      <c r="N145" s="727">
        <f t="shared" si="83"/>
        <v>1.1399999999999999</v>
      </c>
      <c r="P145" s="176"/>
      <c r="Q145" s="295"/>
      <c r="T145" s="613" t="s">
        <v>1132</v>
      </c>
    </row>
    <row r="146" spans="1:20" x14ac:dyDescent="0.2">
      <c r="A146" s="613">
        <f t="shared" si="78"/>
        <v>139</v>
      </c>
      <c r="B146" s="164" t="str">
        <f>'WP1 Light Inventory'!A139</f>
        <v>54E</v>
      </c>
      <c r="C146" s="164"/>
      <c r="D146" s="327" t="str">
        <f>'WP1 Light Inventory'!D139</f>
        <v>Light Emitting Diode</v>
      </c>
      <c r="E146" s="165" t="str">
        <f>'WP1 Light Inventory'!E139</f>
        <v>LED 120.01-150</v>
      </c>
      <c r="F146" s="364">
        <f>'WP1 Light Inventory'!J139</f>
        <v>666</v>
      </c>
      <c r="G146" s="366">
        <f>'WP12 Condensed Sch. Level Costs'!O138</f>
        <v>47.25</v>
      </c>
      <c r="H146" s="339">
        <f t="shared" si="72"/>
        <v>4.4534999999999998E-2</v>
      </c>
      <c r="I146" s="295">
        <f t="shared" si="79"/>
        <v>16783.2</v>
      </c>
      <c r="J146" s="727">
        <f t="shared" si="80"/>
        <v>2.1</v>
      </c>
      <c r="L146" s="339">
        <f t="shared" si="81"/>
        <v>3.0908999999999999E-2</v>
      </c>
      <c r="M146" s="295">
        <f t="shared" si="82"/>
        <v>11668.32</v>
      </c>
      <c r="N146" s="727">
        <f t="shared" si="83"/>
        <v>1.46</v>
      </c>
      <c r="P146" s="176"/>
      <c r="Q146" s="295"/>
      <c r="T146" s="613" t="s">
        <v>1132</v>
      </c>
    </row>
    <row r="147" spans="1:20" x14ac:dyDescent="0.2">
      <c r="A147" s="613">
        <f t="shared" si="78"/>
        <v>140</v>
      </c>
      <c r="B147" s="164" t="str">
        <f>'WP1 Light Inventory'!A140</f>
        <v>54E</v>
      </c>
      <c r="C147" s="164"/>
      <c r="D147" s="327" t="str">
        <f>'WP1 Light Inventory'!D140</f>
        <v>Light Emitting Diode</v>
      </c>
      <c r="E147" s="165" t="str">
        <f>'WP1 Light Inventory'!E140</f>
        <v>LED 150.01-180</v>
      </c>
      <c r="F147" s="364">
        <f>'WP1 Light Inventory'!J140</f>
        <v>366</v>
      </c>
      <c r="G147" s="366">
        <f>'WP12 Condensed Sch. Level Costs'!O139</f>
        <v>57.75</v>
      </c>
      <c r="H147" s="339">
        <f t="shared" si="72"/>
        <v>4.4534999999999998E-2</v>
      </c>
      <c r="I147" s="295">
        <f t="shared" si="79"/>
        <v>11287.439999999999</v>
      </c>
      <c r="J147" s="727">
        <f t="shared" si="80"/>
        <v>2.57</v>
      </c>
      <c r="L147" s="339">
        <f t="shared" si="81"/>
        <v>3.0908999999999999E-2</v>
      </c>
      <c r="M147" s="295">
        <f t="shared" si="82"/>
        <v>7817.76</v>
      </c>
      <c r="N147" s="727">
        <f t="shared" si="83"/>
        <v>1.78</v>
      </c>
      <c r="P147" s="176"/>
      <c r="Q147" s="295"/>
      <c r="T147" s="613" t="s">
        <v>1132</v>
      </c>
    </row>
    <row r="148" spans="1:20" x14ac:dyDescent="0.2">
      <c r="A148" s="613">
        <f t="shared" si="78"/>
        <v>141</v>
      </c>
      <c r="B148" s="164" t="str">
        <f>'WP1 Light Inventory'!A141</f>
        <v>54E</v>
      </c>
      <c r="C148" s="164"/>
      <c r="D148" s="327" t="str">
        <f>'WP1 Light Inventory'!D141</f>
        <v>Light Emitting Diode</v>
      </c>
      <c r="E148" s="165" t="str">
        <f>'WP1 Light Inventory'!E141</f>
        <v>LED 180.01-210</v>
      </c>
      <c r="F148" s="364">
        <f>'WP1 Light Inventory'!J141</f>
        <v>14</v>
      </c>
      <c r="G148" s="366">
        <f>'WP12 Condensed Sch. Level Costs'!O140</f>
        <v>68.25</v>
      </c>
      <c r="H148" s="339">
        <f t="shared" si="72"/>
        <v>4.4534999999999998E-2</v>
      </c>
      <c r="I148" s="295">
        <f t="shared" si="79"/>
        <v>510.72</v>
      </c>
      <c r="J148" s="727">
        <f t="shared" si="80"/>
        <v>3.04</v>
      </c>
      <c r="L148" s="339">
        <f t="shared" si="81"/>
        <v>3.0908999999999999E-2</v>
      </c>
      <c r="M148" s="295">
        <f t="shared" si="82"/>
        <v>354.48</v>
      </c>
      <c r="N148" s="727">
        <f t="shared" si="83"/>
        <v>2.11</v>
      </c>
      <c r="P148" s="176"/>
      <c r="Q148" s="295"/>
      <c r="T148" s="613" t="s">
        <v>1132</v>
      </c>
    </row>
    <row r="149" spans="1:20" x14ac:dyDescent="0.2">
      <c r="A149" s="613">
        <f t="shared" si="78"/>
        <v>142</v>
      </c>
      <c r="B149" s="164" t="str">
        <f>'WP1 Light Inventory'!A142</f>
        <v>54E</v>
      </c>
      <c r="C149" s="164"/>
      <c r="D149" s="327" t="str">
        <f>'WP1 Light Inventory'!D142</f>
        <v>Light Emitting Diode</v>
      </c>
      <c r="E149" s="165" t="str">
        <f>'WP1 Light Inventory'!E142</f>
        <v>LED 210.01-240</v>
      </c>
      <c r="F149" s="364">
        <f>'WP1 Light Inventory'!J142</f>
        <v>38</v>
      </c>
      <c r="G149" s="366">
        <f>'WP12 Condensed Sch. Level Costs'!O141</f>
        <v>78.75</v>
      </c>
      <c r="H149" s="339">
        <f t="shared" si="72"/>
        <v>4.4534999999999998E-2</v>
      </c>
      <c r="I149" s="295">
        <f t="shared" si="79"/>
        <v>1600.56</v>
      </c>
      <c r="J149" s="727">
        <f t="shared" si="80"/>
        <v>3.51</v>
      </c>
      <c r="L149" s="339">
        <f t="shared" si="81"/>
        <v>3.0908999999999999E-2</v>
      </c>
      <c r="M149" s="295">
        <f t="shared" si="82"/>
        <v>1108.08</v>
      </c>
      <c r="N149" s="727">
        <f t="shared" si="83"/>
        <v>2.4300000000000002</v>
      </c>
      <c r="P149" s="176"/>
      <c r="Q149" s="295"/>
      <c r="T149" s="613" t="s">
        <v>1132</v>
      </c>
    </row>
    <row r="150" spans="1:20" x14ac:dyDescent="0.2">
      <c r="A150" s="613">
        <f t="shared" si="78"/>
        <v>143</v>
      </c>
      <c r="B150" s="164" t="str">
        <f>'WP1 Light Inventory'!A143</f>
        <v>54E</v>
      </c>
      <c r="C150" s="164"/>
      <c r="D150" s="327" t="str">
        <f>'WP1 Light Inventory'!D143</f>
        <v>Light Emitting Diode</v>
      </c>
      <c r="E150" s="165" t="str">
        <f>'WP1 Light Inventory'!E143</f>
        <v>LED 240.01-270</v>
      </c>
      <c r="F150" s="364">
        <f>'WP1 Light Inventory'!J143</f>
        <v>3</v>
      </c>
      <c r="G150" s="366">
        <f>'WP12 Condensed Sch. Level Costs'!O142</f>
        <v>89.25</v>
      </c>
      <c r="H150" s="339">
        <f t="shared" si="72"/>
        <v>4.4534999999999998E-2</v>
      </c>
      <c r="I150" s="295">
        <f t="shared" si="79"/>
        <v>142.92000000000002</v>
      </c>
      <c r="J150" s="727">
        <f t="shared" si="80"/>
        <v>3.97</v>
      </c>
      <c r="L150" s="339">
        <f t="shared" si="81"/>
        <v>3.0908999999999999E-2</v>
      </c>
      <c r="M150" s="295">
        <f t="shared" si="82"/>
        <v>99.359999999999985</v>
      </c>
      <c r="N150" s="727">
        <f t="shared" si="83"/>
        <v>2.76</v>
      </c>
      <c r="P150" s="176"/>
      <c r="Q150" s="295"/>
      <c r="T150" s="613" t="s">
        <v>1132</v>
      </c>
    </row>
    <row r="151" spans="1:20" x14ac:dyDescent="0.2">
      <c r="A151" s="613">
        <f t="shared" si="78"/>
        <v>144</v>
      </c>
      <c r="B151" s="164" t="str">
        <f>'WP1 Light Inventory'!A144</f>
        <v>54E</v>
      </c>
      <c r="C151" s="164"/>
      <c r="D151" s="327" t="str">
        <f>'WP1 Light Inventory'!D144</f>
        <v>Light Emitting Diode</v>
      </c>
      <c r="E151" s="165" t="str">
        <f>'WP1 Light Inventory'!E144</f>
        <v>LED 270.01-300</v>
      </c>
      <c r="F151" s="364">
        <f>'WP1 Light Inventory'!J144</f>
        <v>0</v>
      </c>
      <c r="G151" s="366">
        <f>'WP12 Condensed Sch. Level Costs'!O143</f>
        <v>99.75</v>
      </c>
      <c r="H151" s="339">
        <f t="shared" si="72"/>
        <v>4.4534999999999998E-2</v>
      </c>
      <c r="I151" s="295">
        <f t="shared" si="79"/>
        <v>0</v>
      </c>
      <c r="J151" s="727">
        <f t="shared" si="80"/>
        <v>4.4400000000000004</v>
      </c>
      <c r="L151" s="339">
        <f t="shared" si="81"/>
        <v>3.0908999999999999E-2</v>
      </c>
      <c r="M151" s="295">
        <f t="shared" si="82"/>
        <v>0</v>
      </c>
      <c r="N151" s="727">
        <f t="shared" si="83"/>
        <v>3.08</v>
      </c>
      <c r="P151" s="176"/>
      <c r="Q151" s="295"/>
      <c r="T151" s="613" t="s">
        <v>1132</v>
      </c>
    </row>
    <row r="152" spans="1:20" x14ac:dyDescent="0.2">
      <c r="A152" s="613">
        <f t="shared" si="78"/>
        <v>145</v>
      </c>
      <c r="B152" s="164"/>
      <c r="C152" s="164"/>
      <c r="D152" s="327"/>
      <c r="E152" s="165"/>
      <c r="F152" s="364"/>
      <c r="G152" s="399"/>
      <c r="H152" s="342"/>
      <c r="I152" s="295"/>
      <c r="J152" s="727"/>
      <c r="L152" s="342"/>
      <c r="M152" s="295"/>
      <c r="N152" s="727"/>
      <c r="P152" s="342"/>
      <c r="Q152" s="295"/>
    </row>
    <row r="153" spans="1:20" x14ac:dyDescent="0.2">
      <c r="A153" s="613">
        <f t="shared" si="78"/>
        <v>146</v>
      </c>
      <c r="B153" s="164" t="s">
        <v>139</v>
      </c>
      <c r="C153" s="164"/>
      <c r="D153" s="327"/>
      <c r="E153" s="165"/>
      <c r="F153" s="364"/>
      <c r="G153" s="399"/>
      <c r="H153" s="342"/>
      <c r="I153" s="295"/>
      <c r="J153" s="727"/>
      <c r="L153" s="342"/>
      <c r="M153" s="295"/>
      <c r="N153" s="727"/>
      <c r="P153" s="342"/>
      <c r="Q153" s="295"/>
    </row>
    <row r="154" spans="1:20" x14ac:dyDescent="0.2">
      <c r="A154" s="613">
        <f t="shared" si="78"/>
        <v>147</v>
      </c>
      <c r="B154" s="164" t="str">
        <f>'WP1 Light Inventory'!A146</f>
        <v>55E &amp; 56E</v>
      </c>
      <c r="C154" s="164"/>
      <c r="D154" s="327" t="str">
        <f>'WP1 Light Inventory'!D146</f>
        <v>Sodium Vapor</v>
      </c>
      <c r="E154" s="165" t="str">
        <f>'WP1 Light Inventory'!E146</f>
        <v>SV 070</v>
      </c>
      <c r="F154" s="364">
        <f>'WP1 Light Inventory'!J146</f>
        <v>16</v>
      </c>
      <c r="G154" s="366">
        <f>'WP12 Condensed Sch. Level Costs'!O145</f>
        <v>24.5</v>
      </c>
      <c r="H154" s="339">
        <f t="shared" ref="H154:H172" si="84">$Y$8</f>
        <v>4.4534999999999998E-2</v>
      </c>
      <c r="I154" s="295">
        <f t="shared" ref="I154:I159" si="85">+F154*J154*12</f>
        <v>209.28000000000003</v>
      </c>
      <c r="J154" s="727">
        <f t="shared" ref="J154:J159" si="86">ROUND(+H154*G154,2)</f>
        <v>1.0900000000000001</v>
      </c>
      <c r="L154" s="339">
        <f t="shared" ref="L154:L159" si="87">$Y$9</f>
        <v>3.0908999999999999E-2</v>
      </c>
      <c r="M154" s="295">
        <f t="shared" ref="M154:M159" si="88">+F154*N154*12</f>
        <v>145.92000000000002</v>
      </c>
      <c r="N154" s="727">
        <f t="shared" ref="N154:N159" si="89">ROUND(+L154*G154,2)</f>
        <v>0.76</v>
      </c>
      <c r="P154" s="176"/>
      <c r="Q154" s="295"/>
      <c r="T154" s="613" t="s">
        <v>1136</v>
      </c>
    </row>
    <row r="155" spans="1:20" x14ac:dyDescent="0.2">
      <c r="A155" s="613">
        <f t="shared" si="78"/>
        <v>148</v>
      </c>
      <c r="B155" s="164" t="str">
        <f>'WP1 Light Inventory'!A147</f>
        <v>55E &amp; 56E</v>
      </c>
      <c r="C155" s="164"/>
      <c r="D155" s="327" t="str">
        <f>'WP1 Light Inventory'!D147</f>
        <v>Sodium Vapor</v>
      </c>
      <c r="E155" s="165" t="str">
        <f>'WP1 Light Inventory'!E147</f>
        <v>SV 100</v>
      </c>
      <c r="F155" s="364">
        <f>'WP1 Light Inventory'!J147</f>
        <v>3646</v>
      </c>
      <c r="G155" s="366">
        <f>'WP12 Condensed Sch. Level Costs'!O146</f>
        <v>35</v>
      </c>
      <c r="H155" s="339">
        <f t="shared" si="84"/>
        <v>4.4534999999999998E-2</v>
      </c>
      <c r="I155" s="295">
        <f t="shared" si="85"/>
        <v>68253.119999999995</v>
      </c>
      <c r="J155" s="727">
        <f t="shared" si="86"/>
        <v>1.56</v>
      </c>
      <c r="L155" s="339">
        <f t="shared" si="87"/>
        <v>3.0908999999999999E-2</v>
      </c>
      <c r="M155" s="295">
        <f t="shared" si="88"/>
        <v>47252.160000000003</v>
      </c>
      <c r="N155" s="727">
        <f t="shared" si="89"/>
        <v>1.08</v>
      </c>
      <c r="P155" s="176"/>
      <c r="Q155" s="295"/>
      <c r="T155" s="613" t="s">
        <v>1136</v>
      </c>
    </row>
    <row r="156" spans="1:20" x14ac:dyDescent="0.2">
      <c r="A156" s="613">
        <f t="shared" si="78"/>
        <v>149</v>
      </c>
      <c r="B156" s="164" t="str">
        <f>'WP1 Light Inventory'!A148</f>
        <v>55E &amp; 56E</v>
      </c>
      <c r="C156" s="164"/>
      <c r="D156" s="327" t="str">
        <f>'WP1 Light Inventory'!D148</f>
        <v>Sodium Vapor</v>
      </c>
      <c r="E156" s="165" t="str">
        <f>'WP1 Light Inventory'!E148</f>
        <v>SV 150</v>
      </c>
      <c r="F156" s="364">
        <f>'WP1 Light Inventory'!J148</f>
        <v>488</v>
      </c>
      <c r="G156" s="366">
        <f>'WP12 Condensed Sch. Level Costs'!O147</f>
        <v>52.5</v>
      </c>
      <c r="H156" s="339">
        <f t="shared" si="84"/>
        <v>4.4534999999999998E-2</v>
      </c>
      <c r="I156" s="295">
        <f t="shared" si="85"/>
        <v>13703.039999999997</v>
      </c>
      <c r="J156" s="727">
        <f t="shared" si="86"/>
        <v>2.34</v>
      </c>
      <c r="L156" s="339">
        <f t="shared" si="87"/>
        <v>3.0908999999999999E-2</v>
      </c>
      <c r="M156" s="295">
        <f t="shared" si="88"/>
        <v>9486.7200000000012</v>
      </c>
      <c r="N156" s="727">
        <f t="shared" si="89"/>
        <v>1.62</v>
      </c>
      <c r="P156" s="176"/>
      <c r="Q156" s="295"/>
      <c r="T156" s="613" t="s">
        <v>1136</v>
      </c>
    </row>
    <row r="157" spans="1:20" x14ac:dyDescent="0.2">
      <c r="A157" s="613">
        <f t="shared" si="78"/>
        <v>150</v>
      </c>
      <c r="B157" s="164" t="str">
        <f>'WP1 Light Inventory'!A149</f>
        <v>55E &amp; 56E</v>
      </c>
      <c r="C157" s="164"/>
      <c r="D157" s="327" t="str">
        <f>'WP1 Light Inventory'!D149</f>
        <v>Sodium Vapor</v>
      </c>
      <c r="E157" s="165" t="str">
        <f>'WP1 Light Inventory'!E149</f>
        <v>SV 200</v>
      </c>
      <c r="F157" s="364">
        <f>'WP1 Light Inventory'!J149</f>
        <v>1043</v>
      </c>
      <c r="G157" s="366">
        <f>'WP12 Condensed Sch. Level Costs'!O148</f>
        <v>70</v>
      </c>
      <c r="H157" s="339">
        <f t="shared" si="84"/>
        <v>4.4534999999999998E-2</v>
      </c>
      <c r="I157" s="295">
        <f t="shared" si="85"/>
        <v>39049.920000000006</v>
      </c>
      <c r="J157" s="727">
        <f t="shared" si="86"/>
        <v>3.12</v>
      </c>
      <c r="L157" s="339">
        <f t="shared" si="87"/>
        <v>3.0908999999999999E-2</v>
      </c>
      <c r="M157" s="295">
        <f t="shared" si="88"/>
        <v>27034.560000000001</v>
      </c>
      <c r="N157" s="727">
        <f t="shared" si="89"/>
        <v>2.16</v>
      </c>
      <c r="P157" s="176"/>
      <c r="Q157" s="295"/>
      <c r="T157" s="613" t="s">
        <v>1136</v>
      </c>
    </row>
    <row r="158" spans="1:20" x14ac:dyDescent="0.2">
      <c r="A158" s="613">
        <f t="shared" si="78"/>
        <v>151</v>
      </c>
      <c r="B158" s="164" t="str">
        <f>'WP1 Light Inventory'!A150</f>
        <v>55E &amp; 56E</v>
      </c>
      <c r="C158" s="164"/>
      <c r="D158" s="327" t="str">
        <f>'WP1 Light Inventory'!D150</f>
        <v>Sodium Vapor</v>
      </c>
      <c r="E158" s="165" t="str">
        <f>'WP1 Light Inventory'!E150</f>
        <v>SV 250</v>
      </c>
      <c r="F158" s="364">
        <f>'WP1 Light Inventory'!J150</f>
        <v>111</v>
      </c>
      <c r="G158" s="366">
        <f>'WP12 Condensed Sch. Level Costs'!O149</f>
        <v>87.5</v>
      </c>
      <c r="H158" s="339">
        <f t="shared" si="84"/>
        <v>4.4534999999999998E-2</v>
      </c>
      <c r="I158" s="295">
        <f t="shared" si="85"/>
        <v>5194.7999999999993</v>
      </c>
      <c r="J158" s="727">
        <f t="shared" si="86"/>
        <v>3.9</v>
      </c>
      <c r="L158" s="339">
        <f t="shared" si="87"/>
        <v>3.0908999999999999E-2</v>
      </c>
      <c r="M158" s="295">
        <f t="shared" si="88"/>
        <v>3596.4000000000005</v>
      </c>
      <c r="N158" s="727">
        <f t="shared" si="89"/>
        <v>2.7</v>
      </c>
      <c r="P158" s="176"/>
      <c r="Q158" s="295"/>
      <c r="T158" s="613" t="s">
        <v>1136</v>
      </c>
    </row>
    <row r="159" spans="1:20" x14ac:dyDescent="0.2">
      <c r="A159" s="613">
        <f t="shared" si="78"/>
        <v>152</v>
      </c>
      <c r="B159" s="164" t="str">
        <f>'WP1 Light Inventory'!A151</f>
        <v>55E &amp; 56E</v>
      </c>
      <c r="C159" s="164"/>
      <c r="D159" s="327" t="str">
        <f>'WP1 Light Inventory'!D151</f>
        <v>Sodium Vapor</v>
      </c>
      <c r="E159" s="165" t="str">
        <f>'WP1 Light Inventory'!E151</f>
        <v>SV 400</v>
      </c>
      <c r="F159" s="364">
        <f>'WP1 Light Inventory'!J151</f>
        <v>45</v>
      </c>
      <c r="G159" s="366">
        <f>'WP12 Condensed Sch. Level Costs'!O150</f>
        <v>140</v>
      </c>
      <c r="H159" s="339">
        <f t="shared" si="84"/>
        <v>4.4534999999999998E-2</v>
      </c>
      <c r="I159" s="295">
        <f t="shared" si="85"/>
        <v>3364.2000000000003</v>
      </c>
      <c r="J159" s="727">
        <f t="shared" si="86"/>
        <v>6.23</v>
      </c>
      <c r="L159" s="339">
        <f t="shared" si="87"/>
        <v>3.0908999999999999E-2</v>
      </c>
      <c r="M159" s="295">
        <f t="shared" si="88"/>
        <v>2338.1999999999998</v>
      </c>
      <c r="N159" s="727">
        <f t="shared" si="89"/>
        <v>4.33</v>
      </c>
      <c r="P159" s="176"/>
      <c r="Q159" s="295"/>
      <c r="T159" s="613" t="s">
        <v>1136</v>
      </c>
    </row>
    <row r="160" spans="1:20" x14ac:dyDescent="0.2">
      <c r="A160" s="613">
        <f t="shared" si="78"/>
        <v>153</v>
      </c>
      <c r="B160" s="164"/>
      <c r="C160" s="164"/>
      <c r="D160" s="327"/>
      <c r="E160" s="165"/>
      <c r="F160" s="364"/>
      <c r="G160" s="399"/>
      <c r="H160" s="342"/>
      <c r="I160" s="295"/>
      <c r="J160" s="727"/>
      <c r="L160" s="342"/>
      <c r="M160" s="295"/>
      <c r="N160" s="727"/>
      <c r="P160" s="342"/>
      <c r="Q160" s="295"/>
    </row>
    <row r="161" spans="1:20" x14ac:dyDescent="0.2">
      <c r="A161" s="613">
        <f t="shared" si="78"/>
        <v>154</v>
      </c>
      <c r="B161" s="164" t="str">
        <f>'WP1 Light Inventory'!A153</f>
        <v>55E &amp; 56E</v>
      </c>
      <c r="C161" s="164"/>
      <c r="D161" s="327" t="str">
        <f>'WP1 Light Inventory'!D153</f>
        <v>Metal Halide</v>
      </c>
      <c r="E161" s="165" t="str">
        <f>'WP1 Light Inventory'!E153</f>
        <v>MH 250</v>
      </c>
      <c r="F161" s="364">
        <f>'WP1 Light Inventory'!J153</f>
        <v>6</v>
      </c>
      <c r="G161" s="366">
        <f>'WP12 Condensed Sch. Level Costs'!O152</f>
        <v>87.5</v>
      </c>
      <c r="H161" s="339">
        <f t="shared" si="84"/>
        <v>4.4534999999999998E-2</v>
      </c>
      <c r="I161" s="295">
        <f t="shared" ref="I161" si="90">+F161*J161*12</f>
        <v>280.79999999999995</v>
      </c>
      <c r="J161" s="727">
        <f t="shared" ref="J161" si="91">ROUND(+H161*G161,2)</f>
        <v>3.9</v>
      </c>
      <c r="L161" s="339">
        <f>$Y$9</f>
        <v>3.0908999999999999E-2</v>
      </c>
      <c r="M161" s="295">
        <f>+F161*N161*12</f>
        <v>194.40000000000003</v>
      </c>
      <c r="N161" s="727">
        <f>ROUND(+L161*G161,2)</f>
        <v>2.7</v>
      </c>
      <c r="P161" s="176"/>
      <c r="Q161" s="295"/>
      <c r="T161" s="613" t="s">
        <v>1136</v>
      </c>
    </row>
    <row r="162" spans="1:20" ht="12" customHeight="1" x14ac:dyDescent="0.2">
      <c r="A162" s="613">
        <f t="shared" si="78"/>
        <v>155</v>
      </c>
      <c r="B162" s="164"/>
      <c r="C162" s="164"/>
      <c r="D162" s="327"/>
      <c r="E162" s="165"/>
      <c r="F162" s="364"/>
      <c r="G162" s="399"/>
      <c r="H162" s="342"/>
      <c r="I162" s="295"/>
      <c r="J162" s="727"/>
      <c r="L162" s="342"/>
      <c r="M162" s="295"/>
      <c r="N162" s="727"/>
      <c r="P162" s="342"/>
      <c r="Q162" s="295"/>
    </row>
    <row r="163" spans="1:20" x14ac:dyDescent="0.2">
      <c r="A163" s="613">
        <f t="shared" si="78"/>
        <v>156</v>
      </c>
      <c r="B163" s="164" t="str">
        <f>'WP1 Light Inventory'!A155</f>
        <v>55E &amp; 56E</v>
      </c>
      <c r="C163" s="164"/>
      <c r="D163" s="327" t="str">
        <f>'WP1 Light Inventory'!D155</f>
        <v>Light Emitting Diode</v>
      </c>
      <c r="E163" s="165" t="str">
        <f>'WP1 Light Inventory'!E155</f>
        <v>LED 0-030</v>
      </c>
      <c r="F163" s="364">
        <f>'WP1 Light Inventory'!J155</f>
        <v>0</v>
      </c>
      <c r="G163" s="366">
        <f>'WP12 Condensed Sch. Level Costs'!O154</f>
        <v>5.25</v>
      </c>
      <c r="H163" s="339">
        <f t="shared" si="84"/>
        <v>4.4534999999999998E-2</v>
      </c>
      <c r="I163" s="295">
        <f t="shared" ref="I163:I172" si="92">+F163*J163*12</f>
        <v>0</v>
      </c>
      <c r="J163" s="727">
        <f t="shared" ref="J163:J172" si="93">ROUND(+H163*G163,2)</f>
        <v>0.23</v>
      </c>
      <c r="L163" s="339">
        <f t="shared" ref="L163:L172" si="94">$Y$9</f>
        <v>3.0908999999999999E-2</v>
      </c>
      <c r="M163" s="295">
        <f t="shared" ref="M163:M172" si="95">+F163*N163*12</f>
        <v>0</v>
      </c>
      <c r="N163" s="727">
        <f t="shared" ref="N163:N172" si="96">ROUND(+L163*G163,2)</f>
        <v>0.16</v>
      </c>
      <c r="P163" s="176"/>
      <c r="Q163" s="295"/>
      <c r="T163" s="613" t="s">
        <v>1136</v>
      </c>
    </row>
    <row r="164" spans="1:20" x14ac:dyDescent="0.2">
      <c r="A164" s="613">
        <f t="shared" si="78"/>
        <v>157</v>
      </c>
      <c r="B164" s="164" t="str">
        <f>'WP1 Light Inventory'!A156</f>
        <v>55E &amp; 56E</v>
      </c>
      <c r="C164" s="164"/>
      <c r="D164" s="327" t="str">
        <f>'WP1 Light Inventory'!D156</f>
        <v>Light Emitting Diode</v>
      </c>
      <c r="E164" s="165" t="str">
        <f>'WP1 Light Inventory'!E156</f>
        <v>LED 030.01-060</v>
      </c>
      <c r="F164" s="364">
        <f>'WP1 Light Inventory'!J156</f>
        <v>599</v>
      </c>
      <c r="G164" s="366">
        <f>'WP12 Condensed Sch. Level Costs'!O155</f>
        <v>15.75</v>
      </c>
      <c r="H164" s="339">
        <f t="shared" si="84"/>
        <v>4.4534999999999998E-2</v>
      </c>
      <c r="I164" s="295">
        <f t="shared" si="92"/>
        <v>5031.5999999999995</v>
      </c>
      <c r="J164" s="727">
        <f t="shared" si="93"/>
        <v>0.7</v>
      </c>
      <c r="L164" s="339">
        <f t="shared" si="94"/>
        <v>3.0908999999999999E-2</v>
      </c>
      <c r="M164" s="295">
        <f t="shared" si="95"/>
        <v>3522.12</v>
      </c>
      <c r="N164" s="727">
        <f t="shared" si="96"/>
        <v>0.49</v>
      </c>
      <c r="P164" s="176"/>
      <c r="Q164" s="295"/>
      <c r="T164" s="613" t="s">
        <v>1136</v>
      </c>
    </row>
    <row r="165" spans="1:20" x14ac:dyDescent="0.2">
      <c r="A165" s="613">
        <f t="shared" si="78"/>
        <v>158</v>
      </c>
      <c r="B165" s="164" t="str">
        <f>'WP1 Light Inventory'!A157</f>
        <v>55E &amp; 56E</v>
      </c>
      <c r="C165" s="164"/>
      <c r="D165" s="327" t="str">
        <f>'WP1 Light Inventory'!D157</f>
        <v>Light Emitting Diode</v>
      </c>
      <c r="E165" s="165" t="str">
        <f>'WP1 Light Inventory'!E157</f>
        <v>LED 060.01-090</v>
      </c>
      <c r="F165" s="364">
        <f>'WP1 Light Inventory'!J157</f>
        <v>6</v>
      </c>
      <c r="G165" s="366">
        <f>'WP12 Condensed Sch. Level Costs'!O156</f>
        <v>26.25</v>
      </c>
      <c r="H165" s="339">
        <f t="shared" si="84"/>
        <v>4.4534999999999998E-2</v>
      </c>
      <c r="I165" s="295">
        <f t="shared" si="92"/>
        <v>84.24</v>
      </c>
      <c r="J165" s="727">
        <f t="shared" si="93"/>
        <v>1.17</v>
      </c>
      <c r="L165" s="339">
        <f t="shared" si="94"/>
        <v>3.0908999999999999E-2</v>
      </c>
      <c r="M165" s="295">
        <f t="shared" si="95"/>
        <v>58.320000000000007</v>
      </c>
      <c r="N165" s="727">
        <f t="shared" si="96"/>
        <v>0.81</v>
      </c>
      <c r="P165" s="176"/>
      <c r="Q165" s="295"/>
      <c r="T165" s="613" t="s">
        <v>1136</v>
      </c>
    </row>
    <row r="166" spans="1:20" x14ac:dyDescent="0.2">
      <c r="A166" s="613">
        <f t="shared" si="78"/>
        <v>159</v>
      </c>
      <c r="B166" s="164" t="str">
        <f>'WP1 Light Inventory'!A158</f>
        <v>55E &amp; 56E</v>
      </c>
      <c r="C166" s="164"/>
      <c r="D166" s="327" t="str">
        <f>'WP1 Light Inventory'!D158</f>
        <v>Light Emitting Diode</v>
      </c>
      <c r="E166" s="165" t="str">
        <f>'WP1 Light Inventory'!E158</f>
        <v>LED 090.01-120</v>
      </c>
      <c r="F166" s="364">
        <f>'WP1 Light Inventory'!J158</f>
        <v>150</v>
      </c>
      <c r="G166" s="366">
        <f>'WP12 Condensed Sch. Level Costs'!O157</f>
        <v>36.75</v>
      </c>
      <c r="H166" s="339">
        <f t="shared" si="84"/>
        <v>4.4534999999999998E-2</v>
      </c>
      <c r="I166" s="295">
        <f t="shared" si="92"/>
        <v>2951.9999999999995</v>
      </c>
      <c r="J166" s="727">
        <f t="shared" si="93"/>
        <v>1.64</v>
      </c>
      <c r="L166" s="339">
        <f t="shared" si="94"/>
        <v>3.0908999999999999E-2</v>
      </c>
      <c r="M166" s="295">
        <f t="shared" si="95"/>
        <v>2051.9999999999995</v>
      </c>
      <c r="N166" s="727">
        <f t="shared" si="96"/>
        <v>1.1399999999999999</v>
      </c>
      <c r="P166" s="176"/>
      <c r="Q166" s="295"/>
      <c r="T166" s="613" t="s">
        <v>1136</v>
      </c>
    </row>
    <row r="167" spans="1:20" x14ac:dyDescent="0.2">
      <c r="A167" s="613">
        <f t="shared" si="78"/>
        <v>160</v>
      </c>
      <c r="B167" s="164" t="str">
        <f>'WP1 Light Inventory'!A159</f>
        <v>55E &amp; 56E</v>
      </c>
      <c r="C167" s="164"/>
      <c r="D167" s="327" t="str">
        <f>'WP1 Light Inventory'!D159</f>
        <v>Light Emitting Diode</v>
      </c>
      <c r="E167" s="165" t="str">
        <f>'WP1 Light Inventory'!E159</f>
        <v>LED 120.01-150</v>
      </c>
      <c r="F167" s="364">
        <f>'WP1 Light Inventory'!J159</f>
        <v>0</v>
      </c>
      <c r="G167" s="366">
        <f>'WP12 Condensed Sch. Level Costs'!O158</f>
        <v>47.25</v>
      </c>
      <c r="H167" s="339">
        <f t="shared" si="84"/>
        <v>4.4534999999999998E-2</v>
      </c>
      <c r="I167" s="295">
        <f t="shared" si="92"/>
        <v>0</v>
      </c>
      <c r="J167" s="727">
        <f t="shared" si="93"/>
        <v>2.1</v>
      </c>
      <c r="L167" s="339">
        <f t="shared" si="94"/>
        <v>3.0908999999999999E-2</v>
      </c>
      <c r="M167" s="295">
        <f t="shared" si="95"/>
        <v>0</v>
      </c>
      <c r="N167" s="727">
        <f t="shared" si="96"/>
        <v>1.46</v>
      </c>
      <c r="P167" s="176"/>
      <c r="Q167" s="295"/>
      <c r="T167" s="613" t="s">
        <v>1136</v>
      </c>
    </row>
    <row r="168" spans="1:20" x14ac:dyDescent="0.2">
      <c r="A168" s="613">
        <f t="shared" si="78"/>
        <v>161</v>
      </c>
      <c r="B168" s="164" t="str">
        <f>'WP1 Light Inventory'!A160</f>
        <v>55E &amp; 56E</v>
      </c>
      <c r="C168" s="164"/>
      <c r="D168" s="327" t="str">
        <f>'WP1 Light Inventory'!D160</f>
        <v>Light Emitting Diode</v>
      </c>
      <c r="E168" s="165" t="str">
        <f>'WP1 Light Inventory'!E160</f>
        <v>LED 150.01-180</v>
      </c>
      <c r="F168" s="364">
        <f>'WP1 Light Inventory'!J160</f>
        <v>0</v>
      </c>
      <c r="G168" s="366">
        <f>'WP12 Condensed Sch. Level Costs'!O159</f>
        <v>57.75</v>
      </c>
      <c r="H168" s="339">
        <f t="shared" si="84"/>
        <v>4.4534999999999998E-2</v>
      </c>
      <c r="I168" s="295">
        <f t="shared" si="92"/>
        <v>0</v>
      </c>
      <c r="J168" s="727">
        <f t="shared" si="93"/>
        <v>2.57</v>
      </c>
      <c r="L168" s="339">
        <f t="shared" si="94"/>
        <v>3.0908999999999999E-2</v>
      </c>
      <c r="M168" s="295">
        <f t="shared" si="95"/>
        <v>0</v>
      </c>
      <c r="N168" s="727">
        <f t="shared" si="96"/>
        <v>1.78</v>
      </c>
      <c r="P168" s="176"/>
      <c r="Q168" s="295"/>
      <c r="T168" s="613" t="s">
        <v>1136</v>
      </c>
    </row>
    <row r="169" spans="1:20" x14ac:dyDescent="0.2">
      <c r="A169" s="613">
        <f t="shared" si="78"/>
        <v>162</v>
      </c>
      <c r="B169" s="164" t="str">
        <f>'WP1 Light Inventory'!A161</f>
        <v>55E &amp; 56E</v>
      </c>
      <c r="C169" s="164"/>
      <c r="D169" s="327" t="str">
        <f>'WP1 Light Inventory'!D161</f>
        <v>Light Emitting Diode</v>
      </c>
      <c r="E169" s="165" t="str">
        <f>'WP1 Light Inventory'!E161</f>
        <v>LED 180.01-210</v>
      </c>
      <c r="F169" s="364">
        <f>'WP1 Light Inventory'!J161</f>
        <v>0</v>
      </c>
      <c r="G169" s="366">
        <f>'WP12 Condensed Sch. Level Costs'!O160</f>
        <v>68.25</v>
      </c>
      <c r="H169" s="339">
        <f t="shared" si="84"/>
        <v>4.4534999999999998E-2</v>
      </c>
      <c r="I169" s="295">
        <f t="shared" si="92"/>
        <v>0</v>
      </c>
      <c r="J169" s="727">
        <f t="shared" si="93"/>
        <v>3.04</v>
      </c>
      <c r="L169" s="339">
        <f t="shared" si="94"/>
        <v>3.0908999999999999E-2</v>
      </c>
      <c r="M169" s="295">
        <f t="shared" si="95"/>
        <v>0</v>
      </c>
      <c r="N169" s="727">
        <f t="shared" si="96"/>
        <v>2.11</v>
      </c>
      <c r="P169" s="176"/>
      <c r="Q169" s="295"/>
      <c r="T169" s="613" t="s">
        <v>1136</v>
      </c>
    </row>
    <row r="170" spans="1:20" x14ac:dyDescent="0.2">
      <c r="A170" s="613">
        <f t="shared" si="78"/>
        <v>163</v>
      </c>
      <c r="B170" s="164" t="str">
        <f>'WP1 Light Inventory'!A162</f>
        <v>55E &amp; 56E</v>
      </c>
      <c r="C170" s="164"/>
      <c r="D170" s="327" t="str">
        <f>'WP1 Light Inventory'!D162</f>
        <v>Light Emitting Diode</v>
      </c>
      <c r="E170" s="165" t="str">
        <f>'WP1 Light Inventory'!E162</f>
        <v>LED 210.01-240</v>
      </c>
      <c r="F170" s="364">
        <f>'WP1 Light Inventory'!J162</f>
        <v>0</v>
      </c>
      <c r="G170" s="366">
        <f>'WP12 Condensed Sch. Level Costs'!O161</f>
        <v>78.75</v>
      </c>
      <c r="H170" s="339">
        <f t="shared" si="84"/>
        <v>4.4534999999999998E-2</v>
      </c>
      <c r="I170" s="295">
        <f t="shared" si="92"/>
        <v>0</v>
      </c>
      <c r="J170" s="727">
        <f t="shared" si="93"/>
        <v>3.51</v>
      </c>
      <c r="L170" s="339">
        <f t="shared" si="94"/>
        <v>3.0908999999999999E-2</v>
      </c>
      <c r="M170" s="295">
        <f t="shared" si="95"/>
        <v>0</v>
      </c>
      <c r="N170" s="727">
        <f t="shared" si="96"/>
        <v>2.4300000000000002</v>
      </c>
      <c r="P170" s="176"/>
      <c r="Q170" s="295"/>
      <c r="T170" s="613" t="s">
        <v>1136</v>
      </c>
    </row>
    <row r="171" spans="1:20" x14ac:dyDescent="0.2">
      <c r="A171" s="613">
        <f t="shared" si="78"/>
        <v>164</v>
      </c>
      <c r="B171" s="164" t="str">
        <f>'WP1 Light Inventory'!A163</f>
        <v>55E &amp; 56E</v>
      </c>
      <c r="C171" s="164"/>
      <c r="D171" s="327" t="str">
        <f>'WP1 Light Inventory'!D163</f>
        <v>Light Emitting Diode</v>
      </c>
      <c r="E171" s="165" t="str">
        <f>'WP1 Light Inventory'!E163</f>
        <v>LED 240.01-270</v>
      </c>
      <c r="F171" s="364">
        <f>'WP1 Light Inventory'!J163</f>
        <v>0</v>
      </c>
      <c r="G171" s="366">
        <f>'WP12 Condensed Sch. Level Costs'!O162</f>
        <v>89.25</v>
      </c>
      <c r="H171" s="339">
        <f t="shared" si="84"/>
        <v>4.4534999999999998E-2</v>
      </c>
      <c r="I171" s="295">
        <f t="shared" si="92"/>
        <v>0</v>
      </c>
      <c r="J171" s="727">
        <f t="shared" si="93"/>
        <v>3.97</v>
      </c>
      <c r="L171" s="339">
        <f t="shared" si="94"/>
        <v>3.0908999999999999E-2</v>
      </c>
      <c r="M171" s="295">
        <f t="shared" si="95"/>
        <v>0</v>
      </c>
      <c r="N171" s="727">
        <f t="shared" si="96"/>
        <v>2.76</v>
      </c>
      <c r="P171" s="176"/>
      <c r="Q171" s="295"/>
      <c r="T171" s="613" t="s">
        <v>1136</v>
      </c>
    </row>
    <row r="172" spans="1:20" x14ac:dyDescent="0.2">
      <c r="A172" s="613">
        <f t="shared" si="78"/>
        <v>165</v>
      </c>
      <c r="B172" s="164" t="str">
        <f>'WP1 Light Inventory'!A164</f>
        <v>55E &amp; 56E</v>
      </c>
      <c r="C172" s="164"/>
      <c r="D172" s="327" t="str">
        <f>'WP1 Light Inventory'!D164</f>
        <v>Light Emitting Diode</v>
      </c>
      <c r="E172" s="165" t="str">
        <f>'WP1 Light Inventory'!E164</f>
        <v>LED 270.01-300</v>
      </c>
      <c r="F172" s="364">
        <f>'WP1 Light Inventory'!J164</f>
        <v>0</v>
      </c>
      <c r="G172" s="366">
        <f>'WP12 Condensed Sch. Level Costs'!O163</f>
        <v>99.75</v>
      </c>
      <c r="H172" s="339">
        <f t="shared" si="84"/>
        <v>4.4534999999999998E-2</v>
      </c>
      <c r="I172" s="295">
        <f t="shared" si="92"/>
        <v>0</v>
      </c>
      <c r="J172" s="727">
        <f t="shared" si="93"/>
        <v>4.4400000000000004</v>
      </c>
      <c r="L172" s="339">
        <f t="shared" si="94"/>
        <v>3.0908999999999999E-2</v>
      </c>
      <c r="M172" s="295">
        <f t="shared" si="95"/>
        <v>0</v>
      </c>
      <c r="N172" s="727">
        <f t="shared" si="96"/>
        <v>3.08</v>
      </c>
      <c r="P172" s="176"/>
      <c r="Q172" s="295"/>
      <c r="T172" s="613" t="s">
        <v>1136</v>
      </c>
    </row>
    <row r="173" spans="1:20" x14ac:dyDescent="0.2">
      <c r="A173" s="613">
        <f t="shared" si="78"/>
        <v>166</v>
      </c>
      <c r="B173" s="164"/>
      <c r="C173" s="164"/>
      <c r="D173" s="327"/>
      <c r="E173" s="165"/>
      <c r="F173" s="364"/>
      <c r="G173" s="399"/>
      <c r="H173" s="342"/>
      <c r="I173" s="295"/>
      <c r="J173" s="727"/>
      <c r="L173" s="342"/>
      <c r="M173" s="295"/>
      <c r="N173" s="727"/>
      <c r="P173" s="342"/>
      <c r="Q173" s="295"/>
    </row>
    <row r="174" spans="1:20" x14ac:dyDescent="0.2">
      <c r="A174" s="613">
        <f t="shared" si="78"/>
        <v>167</v>
      </c>
      <c r="B174" s="164" t="s">
        <v>140</v>
      </c>
      <c r="C174" s="164"/>
      <c r="D174" s="327"/>
      <c r="E174" s="165"/>
      <c r="F174" s="364"/>
      <c r="G174" s="399"/>
      <c r="H174" s="342"/>
      <c r="I174" s="295"/>
      <c r="J174" s="727"/>
      <c r="L174" s="342"/>
      <c r="M174" s="295"/>
      <c r="N174" s="727"/>
      <c r="P174" s="342"/>
      <c r="Q174" s="295"/>
    </row>
    <row r="175" spans="1:20" x14ac:dyDescent="0.2">
      <c r="A175" s="613">
        <f t="shared" si="78"/>
        <v>168</v>
      </c>
      <c r="B175" s="164" t="str">
        <f>'WP1 Light Inventory'!A166</f>
        <v>58E &amp; 59E</v>
      </c>
      <c r="C175" s="164" t="str">
        <f>'WP1 Light Inventory'!C166</f>
        <v>Directional</v>
      </c>
      <c r="D175" s="327" t="str">
        <f>'WP1 Light Inventory'!D166</f>
        <v>Sodium Vapor</v>
      </c>
      <c r="E175" s="165" t="str">
        <f>'WP1 Light Inventory'!E166</f>
        <v>DSV 070</v>
      </c>
      <c r="F175" s="364">
        <f>'WP1 Light Inventory'!J166</f>
        <v>53</v>
      </c>
      <c r="G175" s="366">
        <f>'WP12 Condensed Sch. Level Costs'!O165</f>
        <v>24.5</v>
      </c>
      <c r="H175" s="339">
        <f t="shared" ref="H175:H180" si="97">$Y$8</f>
        <v>4.4534999999999998E-2</v>
      </c>
      <c r="I175" s="295">
        <f t="shared" ref="I175:I180" si="98">+F175*J175*12</f>
        <v>693.24</v>
      </c>
      <c r="J175" s="727">
        <f t="shared" ref="J175:J180" si="99">ROUND(+H175*G175,2)</f>
        <v>1.0900000000000001</v>
      </c>
      <c r="L175" s="339">
        <f t="shared" ref="L175:L180" si="100">$Y$9</f>
        <v>3.0908999999999999E-2</v>
      </c>
      <c r="M175" s="295">
        <f t="shared" ref="M175:M180" si="101">+F175*N175*12</f>
        <v>483.36</v>
      </c>
      <c r="N175" s="727">
        <f t="shared" ref="N175:N180" si="102">ROUND(+L175*G175,2)</f>
        <v>0.76</v>
      </c>
      <c r="P175" s="176"/>
      <c r="Q175" s="295"/>
      <c r="T175" s="613" t="s">
        <v>1137</v>
      </c>
    </row>
    <row r="176" spans="1:20" x14ac:dyDescent="0.2">
      <c r="A176" s="613">
        <f t="shared" si="78"/>
        <v>169</v>
      </c>
      <c r="B176" s="164" t="str">
        <f>'WP1 Light Inventory'!A167</f>
        <v>58E &amp; 59E</v>
      </c>
      <c r="C176" s="164" t="str">
        <f>'WP1 Light Inventory'!C167</f>
        <v>Directional</v>
      </c>
      <c r="D176" s="327" t="str">
        <f>'WP1 Light Inventory'!D167</f>
        <v>Sodium Vapor</v>
      </c>
      <c r="E176" s="165" t="str">
        <f>'WP1 Light Inventory'!E167</f>
        <v>DSV 100</v>
      </c>
      <c r="F176" s="364">
        <f>'WP1 Light Inventory'!J167</f>
        <v>10</v>
      </c>
      <c r="G176" s="366">
        <f>'WP12 Condensed Sch. Level Costs'!O166</f>
        <v>35</v>
      </c>
      <c r="H176" s="339">
        <f t="shared" si="97"/>
        <v>4.4534999999999998E-2</v>
      </c>
      <c r="I176" s="295">
        <f t="shared" si="98"/>
        <v>187.20000000000002</v>
      </c>
      <c r="J176" s="727">
        <f t="shared" si="99"/>
        <v>1.56</v>
      </c>
      <c r="L176" s="339">
        <f t="shared" si="100"/>
        <v>3.0908999999999999E-2</v>
      </c>
      <c r="M176" s="295">
        <f t="shared" si="101"/>
        <v>129.60000000000002</v>
      </c>
      <c r="N176" s="727">
        <f t="shared" si="102"/>
        <v>1.08</v>
      </c>
      <c r="P176" s="176"/>
      <c r="Q176" s="295"/>
      <c r="T176" s="613" t="s">
        <v>1137</v>
      </c>
    </row>
    <row r="177" spans="1:20" x14ac:dyDescent="0.2">
      <c r="A177" s="613">
        <f t="shared" si="78"/>
        <v>170</v>
      </c>
      <c r="B177" s="164" t="str">
        <f>'WP1 Light Inventory'!A168</f>
        <v>58E &amp; 59E</v>
      </c>
      <c r="C177" s="164" t="str">
        <f>'WP1 Light Inventory'!C168</f>
        <v>Directional</v>
      </c>
      <c r="D177" s="327" t="str">
        <f>'WP1 Light Inventory'!D168</f>
        <v>Sodium Vapor</v>
      </c>
      <c r="E177" s="165" t="str">
        <f>'WP1 Light Inventory'!E168</f>
        <v>DSV 150</v>
      </c>
      <c r="F177" s="364">
        <f>'WP1 Light Inventory'!J168</f>
        <v>145</v>
      </c>
      <c r="G177" s="366">
        <f>'WP12 Condensed Sch. Level Costs'!O167</f>
        <v>52.5</v>
      </c>
      <c r="H177" s="339">
        <f t="shared" si="97"/>
        <v>4.4534999999999998E-2</v>
      </c>
      <c r="I177" s="295">
        <f t="shared" si="98"/>
        <v>4071.5999999999995</v>
      </c>
      <c r="J177" s="727">
        <f t="shared" si="99"/>
        <v>2.34</v>
      </c>
      <c r="L177" s="339">
        <f t="shared" si="100"/>
        <v>3.0908999999999999E-2</v>
      </c>
      <c r="M177" s="295">
        <f t="shared" si="101"/>
        <v>2818.8</v>
      </c>
      <c r="N177" s="727">
        <f t="shared" si="102"/>
        <v>1.62</v>
      </c>
      <c r="P177" s="176"/>
      <c r="Q177" s="295"/>
      <c r="T177" s="613" t="s">
        <v>1137</v>
      </c>
    </row>
    <row r="178" spans="1:20" x14ac:dyDescent="0.2">
      <c r="A178" s="613">
        <f t="shared" si="78"/>
        <v>171</v>
      </c>
      <c r="B178" s="164" t="str">
        <f>'WP1 Light Inventory'!A169</f>
        <v>58E &amp; 59E</v>
      </c>
      <c r="C178" s="164" t="str">
        <f>'WP1 Light Inventory'!C169</f>
        <v>Directional</v>
      </c>
      <c r="D178" s="327" t="str">
        <f>'WP1 Light Inventory'!D169</f>
        <v>Sodium Vapor</v>
      </c>
      <c r="E178" s="165" t="str">
        <f>'WP1 Light Inventory'!E169</f>
        <v>DSV 200</v>
      </c>
      <c r="F178" s="364">
        <f>'WP1 Light Inventory'!J169</f>
        <v>266</v>
      </c>
      <c r="G178" s="366">
        <f>'WP12 Condensed Sch. Level Costs'!O168</f>
        <v>70</v>
      </c>
      <c r="H178" s="339">
        <f t="shared" si="97"/>
        <v>4.4534999999999998E-2</v>
      </c>
      <c r="I178" s="295">
        <f t="shared" si="98"/>
        <v>9959.0400000000009</v>
      </c>
      <c r="J178" s="727">
        <f t="shared" si="99"/>
        <v>3.12</v>
      </c>
      <c r="L178" s="339">
        <f t="shared" si="100"/>
        <v>3.0908999999999999E-2</v>
      </c>
      <c r="M178" s="295">
        <f t="shared" si="101"/>
        <v>6894.7200000000012</v>
      </c>
      <c r="N178" s="727">
        <f t="shared" si="102"/>
        <v>2.16</v>
      </c>
      <c r="P178" s="176"/>
      <c r="Q178" s="295"/>
      <c r="T178" s="613" t="s">
        <v>1137</v>
      </c>
    </row>
    <row r="179" spans="1:20" x14ac:dyDescent="0.2">
      <c r="A179" s="613">
        <f t="shared" si="78"/>
        <v>172</v>
      </c>
      <c r="B179" s="164" t="str">
        <f>'WP1 Light Inventory'!A170</f>
        <v>58E &amp; 59E</v>
      </c>
      <c r="C179" s="164" t="str">
        <f>'WP1 Light Inventory'!C170</f>
        <v>Directional</v>
      </c>
      <c r="D179" s="327" t="str">
        <f>'WP1 Light Inventory'!D170</f>
        <v>Sodium Vapor</v>
      </c>
      <c r="E179" s="165" t="str">
        <f>'WP1 Light Inventory'!E170</f>
        <v>DSV 250</v>
      </c>
      <c r="F179" s="364">
        <f>'WP1 Light Inventory'!J170</f>
        <v>39</v>
      </c>
      <c r="G179" s="366">
        <f>'WP12 Condensed Sch. Level Costs'!O169</f>
        <v>87.5</v>
      </c>
      <c r="H179" s="339">
        <f t="shared" si="97"/>
        <v>4.4534999999999998E-2</v>
      </c>
      <c r="I179" s="295">
        <f t="shared" si="98"/>
        <v>1825.1999999999998</v>
      </c>
      <c r="J179" s="727">
        <f t="shared" si="99"/>
        <v>3.9</v>
      </c>
      <c r="L179" s="339">
        <f t="shared" si="100"/>
        <v>3.0908999999999999E-2</v>
      </c>
      <c r="M179" s="295">
        <f t="shared" si="101"/>
        <v>1263.6000000000001</v>
      </c>
      <c r="N179" s="727">
        <f t="shared" si="102"/>
        <v>2.7</v>
      </c>
      <c r="P179" s="176"/>
      <c r="Q179" s="295"/>
      <c r="T179" s="613" t="s">
        <v>1137</v>
      </c>
    </row>
    <row r="180" spans="1:20" x14ac:dyDescent="0.2">
      <c r="A180" s="613">
        <f t="shared" si="78"/>
        <v>173</v>
      </c>
      <c r="B180" s="164" t="str">
        <f>'WP1 Light Inventory'!A171</f>
        <v>58E &amp; 59E</v>
      </c>
      <c r="C180" s="164" t="str">
        <f>'WP1 Light Inventory'!C171</f>
        <v>Directional</v>
      </c>
      <c r="D180" s="327" t="str">
        <f>'WP1 Light Inventory'!D171</f>
        <v>Sodium Vapor</v>
      </c>
      <c r="E180" s="165" t="str">
        <f>'WP1 Light Inventory'!E171</f>
        <v>DSV 400</v>
      </c>
      <c r="F180" s="364">
        <f>'WP1 Light Inventory'!J171</f>
        <v>354</v>
      </c>
      <c r="G180" s="366">
        <f>'WP12 Condensed Sch. Level Costs'!O170</f>
        <v>140</v>
      </c>
      <c r="H180" s="339">
        <f t="shared" si="97"/>
        <v>4.4534999999999998E-2</v>
      </c>
      <c r="I180" s="295">
        <f t="shared" si="98"/>
        <v>26465.040000000001</v>
      </c>
      <c r="J180" s="727">
        <f t="shared" si="99"/>
        <v>6.23</v>
      </c>
      <c r="L180" s="339">
        <f t="shared" si="100"/>
        <v>3.0908999999999999E-2</v>
      </c>
      <c r="M180" s="295">
        <f t="shared" si="101"/>
        <v>18393.84</v>
      </c>
      <c r="N180" s="727">
        <f t="shared" si="102"/>
        <v>4.33</v>
      </c>
      <c r="P180" s="176"/>
      <c r="Q180" s="295"/>
      <c r="T180" s="613" t="s">
        <v>1137</v>
      </c>
    </row>
    <row r="181" spans="1:20" x14ac:dyDescent="0.2">
      <c r="A181" s="613">
        <f t="shared" si="78"/>
        <v>174</v>
      </c>
      <c r="B181" s="164"/>
      <c r="C181" s="164"/>
      <c r="D181" s="327"/>
      <c r="E181" s="165"/>
      <c r="F181" s="364"/>
      <c r="G181" s="399"/>
      <c r="H181" s="342"/>
      <c r="I181" s="295"/>
      <c r="J181" s="727"/>
      <c r="L181" s="342"/>
      <c r="M181" s="295"/>
      <c r="N181" s="727"/>
      <c r="P181" s="342"/>
      <c r="Q181" s="295"/>
    </row>
    <row r="182" spans="1:20" x14ac:dyDescent="0.2">
      <c r="A182" s="613">
        <f t="shared" si="78"/>
        <v>175</v>
      </c>
      <c r="B182" s="164" t="str">
        <f>'WP1 Light Inventory'!A173</f>
        <v>58E &amp; 59E</v>
      </c>
      <c r="C182" s="164" t="str">
        <f>'WP1 Light Inventory'!C173</f>
        <v>Horizontal</v>
      </c>
      <c r="D182" s="327" t="str">
        <f>'WP1 Light Inventory'!D173</f>
        <v>Sodium Vapor</v>
      </c>
      <c r="E182" s="165" t="str">
        <f>'WP1 Light Inventory'!E173</f>
        <v>HSV 100</v>
      </c>
      <c r="F182" s="364">
        <f>'WP1 Light Inventory'!J173</f>
        <v>1</v>
      </c>
      <c r="G182" s="366">
        <f>'WP12 Condensed Sch. Level Costs'!O172</f>
        <v>35</v>
      </c>
      <c r="H182" s="339">
        <f t="shared" ref="H182:H186" si="103">$Y$8</f>
        <v>4.4534999999999998E-2</v>
      </c>
      <c r="I182" s="295">
        <f t="shared" ref="I182:I186" si="104">+F182*J182*12</f>
        <v>18.72</v>
      </c>
      <c r="J182" s="727">
        <f t="shared" ref="J182:J186" si="105">ROUND(+H182*G182,2)</f>
        <v>1.56</v>
      </c>
      <c r="L182" s="339">
        <f t="shared" ref="L182:L186" si="106">$Y$9</f>
        <v>3.0908999999999999E-2</v>
      </c>
      <c r="M182" s="295">
        <f t="shared" ref="M182:M186" si="107">+F182*N182*12</f>
        <v>12.96</v>
      </c>
      <c r="N182" s="727">
        <f t="shared" ref="N182:N186" si="108">ROUND(+L182*G182,2)</f>
        <v>1.08</v>
      </c>
      <c r="P182" s="176"/>
      <c r="Q182" s="295"/>
      <c r="T182" s="613" t="s">
        <v>1138</v>
      </c>
    </row>
    <row r="183" spans="1:20" x14ac:dyDescent="0.2">
      <c r="A183" s="613">
        <f t="shared" si="78"/>
        <v>176</v>
      </c>
      <c r="B183" s="164" t="str">
        <f>'WP1 Light Inventory'!A174</f>
        <v>58E &amp; 59E</v>
      </c>
      <c r="C183" s="164" t="str">
        <f>'WP1 Light Inventory'!C174</f>
        <v>Horizontal</v>
      </c>
      <c r="D183" s="327" t="str">
        <f>'WP1 Light Inventory'!D174</f>
        <v>Sodium Vapor</v>
      </c>
      <c r="E183" s="165" t="str">
        <f>'WP1 Light Inventory'!E174</f>
        <v>HSV 150</v>
      </c>
      <c r="F183" s="364">
        <f>'WP1 Light Inventory'!J174</f>
        <v>16</v>
      </c>
      <c r="G183" s="366">
        <f>'WP12 Condensed Sch. Level Costs'!O173</f>
        <v>52.5</v>
      </c>
      <c r="H183" s="339">
        <f t="shared" si="103"/>
        <v>4.4534999999999998E-2</v>
      </c>
      <c r="I183" s="295">
        <f t="shared" si="104"/>
        <v>449.28</v>
      </c>
      <c r="J183" s="727">
        <f t="shared" si="105"/>
        <v>2.34</v>
      </c>
      <c r="L183" s="339">
        <f t="shared" si="106"/>
        <v>3.0908999999999999E-2</v>
      </c>
      <c r="M183" s="295">
        <f t="shared" si="107"/>
        <v>311.04000000000002</v>
      </c>
      <c r="N183" s="727">
        <f t="shared" si="108"/>
        <v>1.62</v>
      </c>
      <c r="P183" s="176"/>
      <c r="Q183" s="295"/>
      <c r="T183" s="613" t="s">
        <v>1138</v>
      </c>
    </row>
    <row r="184" spans="1:20" x14ac:dyDescent="0.2">
      <c r="A184" s="613">
        <f t="shared" si="78"/>
        <v>177</v>
      </c>
      <c r="B184" s="164" t="str">
        <f>'WP1 Light Inventory'!A175</f>
        <v>58E &amp; 59E</v>
      </c>
      <c r="C184" s="164" t="str">
        <f>'WP1 Light Inventory'!C175</f>
        <v>Horizontal</v>
      </c>
      <c r="D184" s="327" t="str">
        <f>'WP1 Light Inventory'!D175</f>
        <v>Sodium Vapor</v>
      </c>
      <c r="E184" s="165" t="str">
        <f>'WP1 Light Inventory'!E175</f>
        <v>HSV 200</v>
      </c>
      <c r="F184" s="364">
        <f>'WP1 Light Inventory'!J175</f>
        <v>9</v>
      </c>
      <c r="G184" s="366">
        <f>'WP12 Condensed Sch. Level Costs'!O174</f>
        <v>70</v>
      </c>
      <c r="H184" s="339">
        <f t="shared" si="103"/>
        <v>4.4534999999999998E-2</v>
      </c>
      <c r="I184" s="295">
        <f t="shared" si="104"/>
        <v>336.96000000000004</v>
      </c>
      <c r="J184" s="727">
        <f t="shared" si="105"/>
        <v>3.12</v>
      </c>
      <c r="L184" s="339">
        <f t="shared" si="106"/>
        <v>3.0908999999999999E-2</v>
      </c>
      <c r="M184" s="295">
        <f t="shared" si="107"/>
        <v>233.28000000000003</v>
      </c>
      <c r="N184" s="727">
        <f t="shared" si="108"/>
        <v>2.16</v>
      </c>
      <c r="P184" s="176"/>
      <c r="Q184" s="295"/>
      <c r="T184" s="613" t="s">
        <v>1138</v>
      </c>
    </row>
    <row r="185" spans="1:20" x14ac:dyDescent="0.2">
      <c r="A185" s="613">
        <f t="shared" si="78"/>
        <v>178</v>
      </c>
      <c r="B185" s="164" t="str">
        <f>'WP1 Light Inventory'!A176</f>
        <v>58E &amp; 59E</v>
      </c>
      <c r="C185" s="164" t="str">
        <f>'WP1 Light Inventory'!C176</f>
        <v>Horizontal</v>
      </c>
      <c r="D185" s="327" t="str">
        <f>'WP1 Light Inventory'!D176</f>
        <v>Sodium Vapor</v>
      </c>
      <c r="E185" s="165" t="str">
        <f>'WP1 Light Inventory'!E176</f>
        <v>HSV 250</v>
      </c>
      <c r="F185" s="364">
        <f>'WP1 Light Inventory'!J176</f>
        <v>34</v>
      </c>
      <c r="G185" s="366">
        <f>'WP12 Condensed Sch. Level Costs'!O175</f>
        <v>87.5</v>
      </c>
      <c r="H185" s="339">
        <f t="shared" si="103"/>
        <v>4.4534999999999998E-2</v>
      </c>
      <c r="I185" s="295">
        <f t="shared" si="104"/>
        <v>1591.1999999999998</v>
      </c>
      <c r="J185" s="727">
        <f t="shared" si="105"/>
        <v>3.9</v>
      </c>
      <c r="L185" s="339">
        <f t="shared" si="106"/>
        <v>3.0908999999999999E-2</v>
      </c>
      <c r="M185" s="295">
        <f t="shared" si="107"/>
        <v>1101.6000000000001</v>
      </c>
      <c r="N185" s="727">
        <f t="shared" si="108"/>
        <v>2.7</v>
      </c>
      <c r="P185" s="176"/>
      <c r="Q185" s="295"/>
      <c r="T185" s="613" t="s">
        <v>1138</v>
      </c>
    </row>
    <row r="186" spans="1:20" x14ac:dyDescent="0.2">
      <c r="A186" s="613">
        <f t="shared" si="78"/>
        <v>179</v>
      </c>
      <c r="B186" s="164" t="str">
        <f>'WP1 Light Inventory'!A177</f>
        <v>58E &amp; 59E</v>
      </c>
      <c r="C186" s="164" t="str">
        <f>'WP1 Light Inventory'!C177</f>
        <v>Horizontal</v>
      </c>
      <c r="D186" s="327" t="str">
        <f>'WP1 Light Inventory'!D177</f>
        <v>Sodium Vapor</v>
      </c>
      <c r="E186" s="165" t="str">
        <f>'WP1 Light Inventory'!E177</f>
        <v>HSV 400</v>
      </c>
      <c r="F186" s="364">
        <f>'WP1 Light Inventory'!J177</f>
        <v>48</v>
      </c>
      <c r="G186" s="366">
        <f>'WP12 Condensed Sch. Level Costs'!O176</f>
        <v>140</v>
      </c>
      <c r="H186" s="339">
        <f t="shared" si="103"/>
        <v>4.4534999999999998E-2</v>
      </c>
      <c r="I186" s="295">
        <f t="shared" si="104"/>
        <v>3588.4800000000005</v>
      </c>
      <c r="J186" s="727">
        <f t="shared" si="105"/>
        <v>6.23</v>
      </c>
      <c r="L186" s="339">
        <f t="shared" si="106"/>
        <v>3.0908999999999999E-2</v>
      </c>
      <c r="M186" s="295">
        <f t="shared" si="107"/>
        <v>2494.08</v>
      </c>
      <c r="N186" s="727">
        <f t="shared" si="108"/>
        <v>4.33</v>
      </c>
      <c r="P186" s="176"/>
      <c r="Q186" s="295"/>
      <c r="T186" s="613" t="s">
        <v>1138</v>
      </c>
    </row>
    <row r="187" spans="1:20" x14ac:dyDescent="0.2">
      <c r="A187" s="613">
        <f t="shared" si="78"/>
        <v>180</v>
      </c>
      <c r="B187" s="164"/>
      <c r="C187" s="164"/>
      <c r="D187" s="327"/>
      <c r="E187" s="165"/>
      <c r="F187" s="364"/>
      <c r="G187" s="399"/>
      <c r="H187" s="342"/>
      <c r="I187" s="295"/>
      <c r="J187" s="727"/>
      <c r="L187" s="342"/>
      <c r="M187" s="295"/>
      <c r="N187" s="727"/>
      <c r="P187" s="342"/>
      <c r="Q187" s="295"/>
    </row>
    <row r="188" spans="1:20" x14ac:dyDescent="0.2">
      <c r="A188" s="613">
        <f t="shared" si="78"/>
        <v>181</v>
      </c>
      <c r="B188" s="164" t="str">
        <f>'WP1 Light Inventory'!A179</f>
        <v>58E &amp; 59E</v>
      </c>
      <c r="C188" s="164" t="str">
        <f>'WP1 Light Inventory'!C179</f>
        <v>Directional</v>
      </c>
      <c r="D188" s="327" t="str">
        <f>'WP1 Light Inventory'!D179</f>
        <v>Metal Halide</v>
      </c>
      <c r="E188" s="165" t="str">
        <f>'WP1 Light Inventory'!E179</f>
        <v>DMH 175</v>
      </c>
      <c r="F188" s="364">
        <f>'WP1 Light Inventory'!J179</f>
        <v>3</v>
      </c>
      <c r="G188" s="366">
        <f>'WP12 Condensed Sch. Level Costs'!O178</f>
        <v>61.25</v>
      </c>
      <c r="H188" s="339">
        <f t="shared" ref="H188:H191" si="109">$Y$8</f>
        <v>4.4534999999999998E-2</v>
      </c>
      <c r="I188" s="295">
        <f t="shared" ref="I188:I191" si="110">+F188*J188*12</f>
        <v>98.28</v>
      </c>
      <c r="J188" s="727">
        <f t="shared" ref="J188:J191" si="111">ROUND(+H188*G188,2)</f>
        <v>2.73</v>
      </c>
      <c r="L188" s="339">
        <f t="shared" ref="L188:L191" si="112">$Y$9</f>
        <v>3.0908999999999999E-2</v>
      </c>
      <c r="M188" s="295">
        <f t="shared" ref="M188:M191" si="113">+F188*N188*12</f>
        <v>68.039999999999992</v>
      </c>
      <c r="N188" s="727">
        <f t="shared" ref="N188:N191" si="114">ROUND(+L188*G188,2)</f>
        <v>1.89</v>
      </c>
      <c r="P188" s="176"/>
      <c r="Q188" s="295"/>
      <c r="T188" s="613" t="s">
        <v>1137</v>
      </c>
    </row>
    <row r="189" spans="1:20" x14ac:dyDescent="0.2">
      <c r="A189" s="613">
        <f t="shared" si="78"/>
        <v>182</v>
      </c>
      <c r="B189" s="164" t="str">
        <f>'WP1 Light Inventory'!A180</f>
        <v>58E &amp; 59E</v>
      </c>
      <c r="C189" s="164" t="str">
        <f>'WP1 Light Inventory'!C180</f>
        <v>Directional</v>
      </c>
      <c r="D189" s="327" t="str">
        <f>'WP1 Light Inventory'!D180</f>
        <v>Metal Halide</v>
      </c>
      <c r="E189" s="165" t="str">
        <f>'WP1 Light Inventory'!E180</f>
        <v>DMH 250</v>
      </c>
      <c r="F189" s="364">
        <f>'WP1 Light Inventory'!J180</f>
        <v>17</v>
      </c>
      <c r="G189" s="366">
        <f>'WP12 Condensed Sch. Level Costs'!O179</f>
        <v>87.5</v>
      </c>
      <c r="H189" s="339">
        <f t="shared" si="109"/>
        <v>4.4534999999999998E-2</v>
      </c>
      <c r="I189" s="295">
        <f t="shared" si="110"/>
        <v>795.59999999999991</v>
      </c>
      <c r="J189" s="727">
        <f t="shared" si="111"/>
        <v>3.9</v>
      </c>
      <c r="L189" s="339">
        <f t="shared" si="112"/>
        <v>3.0908999999999999E-2</v>
      </c>
      <c r="M189" s="295">
        <f t="shared" si="113"/>
        <v>550.80000000000007</v>
      </c>
      <c r="N189" s="727">
        <f t="shared" si="114"/>
        <v>2.7</v>
      </c>
      <c r="P189" s="176"/>
      <c r="Q189" s="295"/>
      <c r="T189" s="613" t="s">
        <v>1137</v>
      </c>
    </row>
    <row r="190" spans="1:20" x14ac:dyDescent="0.2">
      <c r="A190" s="613">
        <f t="shared" si="78"/>
        <v>183</v>
      </c>
      <c r="B190" s="164" t="str">
        <f>'WP1 Light Inventory'!A181</f>
        <v>58E &amp; 59E</v>
      </c>
      <c r="C190" s="164" t="str">
        <f>'WP1 Light Inventory'!C181</f>
        <v>Directional</v>
      </c>
      <c r="D190" s="327" t="str">
        <f>'WP1 Light Inventory'!D181</f>
        <v>Metal Halide</v>
      </c>
      <c r="E190" s="165" t="str">
        <f>'WP1 Light Inventory'!E181</f>
        <v>DMH 400</v>
      </c>
      <c r="F190" s="364">
        <f>'WP1 Light Inventory'!J181</f>
        <v>88</v>
      </c>
      <c r="G190" s="366">
        <f>'WP12 Condensed Sch. Level Costs'!O180</f>
        <v>140</v>
      </c>
      <c r="H190" s="339">
        <f t="shared" si="109"/>
        <v>4.4534999999999998E-2</v>
      </c>
      <c r="I190" s="295">
        <f t="shared" si="110"/>
        <v>6578.88</v>
      </c>
      <c r="J190" s="727">
        <f t="shared" si="111"/>
        <v>6.23</v>
      </c>
      <c r="L190" s="339">
        <f t="shared" si="112"/>
        <v>3.0908999999999999E-2</v>
      </c>
      <c r="M190" s="295">
        <f t="shared" si="113"/>
        <v>4572.4800000000005</v>
      </c>
      <c r="N190" s="727">
        <f t="shared" si="114"/>
        <v>4.33</v>
      </c>
      <c r="P190" s="176"/>
      <c r="Q190" s="295"/>
      <c r="T190" s="613" t="s">
        <v>1137</v>
      </c>
    </row>
    <row r="191" spans="1:20" x14ac:dyDescent="0.2">
      <c r="A191" s="613">
        <f t="shared" si="78"/>
        <v>184</v>
      </c>
      <c r="B191" s="164" t="str">
        <f>'WP1 Light Inventory'!A182</f>
        <v>58E &amp; 59E</v>
      </c>
      <c r="C191" s="164" t="str">
        <f>'WP1 Light Inventory'!C182</f>
        <v>Directional</v>
      </c>
      <c r="D191" s="327" t="str">
        <f>'WP1 Light Inventory'!D182</f>
        <v>Metal Halide</v>
      </c>
      <c r="E191" s="165" t="str">
        <f>'WP1 Light Inventory'!E182</f>
        <v>DMH 1000</v>
      </c>
      <c r="F191" s="364">
        <f>'WP1 Light Inventory'!J182</f>
        <v>128</v>
      </c>
      <c r="G191" s="366">
        <f>'WP12 Condensed Sch. Level Costs'!O181</f>
        <v>350</v>
      </c>
      <c r="H191" s="339">
        <f t="shared" si="109"/>
        <v>4.4534999999999998E-2</v>
      </c>
      <c r="I191" s="295">
        <f t="shared" si="110"/>
        <v>23946.239999999998</v>
      </c>
      <c r="J191" s="727">
        <f t="shared" si="111"/>
        <v>15.59</v>
      </c>
      <c r="L191" s="339">
        <f t="shared" si="112"/>
        <v>3.0908999999999999E-2</v>
      </c>
      <c r="M191" s="295">
        <f t="shared" si="113"/>
        <v>16619.52</v>
      </c>
      <c r="N191" s="727">
        <f t="shared" si="114"/>
        <v>10.82</v>
      </c>
      <c r="P191" s="176"/>
      <c r="Q191" s="295"/>
      <c r="T191" s="613" t="s">
        <v>1137</v>
      </c>
    </row>
    <row r="192" spans="1:20" x14ac:dyDescent="0.2">
      <c r="A192" s="613">
        <f t="shared" si="78"/>
        <v>185</v>
      </c>
      <c r="B192" s="164"/>
      <c r="C192" s="164"/>
      <c r="D192" s="327"/>
      <c r="E192" s="165"/>
      <c r="F192" s="364"/>
      <c r="G192" s="399"/>
      <c r="H192" s="339"/>
      <c r="I192" s="295"/>
      <c r="J192" s="727"/>
      <c r="L192" s="339"/>
      <c r="M192" s="295"/>
      <c r="N192" s="727"/>
      <c r="P192" s="339"/>
      <c r="Q192" s="295"/>
    </row>
    <row r="193" spans="1:20" x14ac:dyDescent="0.2">
      <c r="A193" s="613">
        <f t="shared" si="78"/>
        <v>186</v>
      </c>
      <c r="B193" s="164" t="str">
        <f>'WP1 Light Inventory'!A184</f>
        <v>58E &amp; 59E</v>
      </c>
      <c r="C193" s="164" t="str">
        <f>'WP1 Light Inventory'!C184</f>
        <v>Horizontal</v>
      </c>
      <c r="D193" s="327" t="str">
        <f>'WP1 Light Inventory'!D184</f>
        <v>Metal Halide</v>
      </c>
      <c r="E193" s="165" t="str">
        <f>'WP1 Light Inventory'!E184</f>
        <v>HMH 250</v>
      </c>
      <c r="F193" s="364">
        <f>'WP1 Light Inventory'!J184</f>
        <v>10</v>
      </c>
      <c r="G193" s="366">
        <f>'WP12 Condensed Sch. Level Costs'!O183</f>
        <v>87.5</v>
      </c>
      <c r="H193" s="339">
        <f t="shared" ref="H193:H194" si="115">$Y$8</f>
        <v>4.4534999999999998E-2</v>
      </c>
      <c r="I193" s="295">
        <f t="shared" ref="I193:I194" si="116">+F193*J193*12</f>
        <v>468</v>
      </c>
      <c r="J193" s="727">
        <f t="shared" ref="J193:J194" si="117">ROUND(+H193*G193,2)</f>
        <v>3.9</v>
      </c>
      <c r="L193" s="339">
        <f t="shared" ref="L193:L194" si="118">$Y$9</f>
        <v>3.0908999999999999E-2</v>
      </c>
      <c r="M193" s="295">
        <f t="shared" ref="M193:M194" si="119">+F193*N193*12</f>
        <v>324</v>
      </c>
      <c r="N193" s="727">
        <f t="shared" ref="N193:N194" si="120">ROUND(+L193*G193,2)</f>
        <v>2.7</v>
      </c>
      <c r="P193" s="176"/>
      <c r="Q193" s="295"/>
      <c r="T193" s="613" t="s">
        <v>1138</v>
      </c>
    </row>
    <row r="194" spans="1:20" x14ac:dyDescent="0.2">
      <c r="A194" s="613">
        <f t="shared" si="78"/>
        <v>187</v>
      </c>
      <c r="B194" s="164" t="str">
        <f>'WP1 Light Inventory'!A185</f>
        <v>58E &amp; 59E</v>
      </c>
      <c r="C194" s="164" t="str">
        <f>'WP1 Light Inventory'!C185</f>
        <v>Horizontal</v>
      </c>
      <c r="D194" s="327" t="str">
        <f>'WP1 Light Inventory'!D185</f>
        <v>Metal Halide</v>
      </c>
      <c r="E194" s="165" t="str">
        <f>'WP1 Light Inventory'!E185</f>
        <v>HMH 400</v>
      </c>
      <c r="F194" s="364">
        <f>'WP1 Light Inventory'!J185</f>
        <v>40</v>
      </c>
      <c r="G194" s="366">
        <f>'WP12 Condensed Sch. Level Costs'!O184</f>
        <v>140</v>
      </c>
      <c r="H194" s="339">
        <f t="shared" si="115"/>
        <v>4.4534999999999998E-2</v>
      </c>
      <c r="I194" s="295">
        <f t="shared" si="116"/>
        <v>2990.4</v>
      </c>
      <c r="J194" s="727">
        <f t="shared" si="117"/>
        <v>6.23</v>
      </c>
      <c r="L194" s="339">
        <f t="shared" si="118"/>
        <v>3.0908999999999999E-2</v>
      </c>
      <c r="M194" s="295">
        <f t="shared" si="119"/>
        <v>2078.3999999999996</v>
      </c>
      <c r="N194" s="727">
        <f t="shared" si="120"/>
        <v>4.33</v>
      </c>
      <c r="P194" s="176"/>
      <c r="Q194" s="295"/>
      <c r="T194" s="613" t="s">
        <v>1138</v>
      </c>
    </row>
    <row r="195" spans="1:20" x14ac:dyDescent="0.2">
      <c r="A195" s="613">
        <f t="shared" si="78"/>
        <v>188</v>
      </c>
      <c r="B195" s="164"/>
      <c r="C195" s="164"/>
      <c r="D195" s="327"/>
      <c r="E195" s="165"/>
      <c r="F195" s="364"/>
      <c r="G195" s="399"/>
      <c r="H195" s="342"/>
      <c r="I195" s="295"/>
      <c r="J195" s="727"/>
      <c r="L195" s="342"/>
      <c r="M195" s="295"/>
      <c r="N195" s="727"/>
      <c r="P195" s="342"/>
      <c r="Q195" s="295"/>
    </row>
    <row r="196" spans="1:20" ht="13.5" customHeight="1" x14ac:dyDescent="0.2">
      <c r="A196" s="613">
        <f>A194+1</f>
        <v>188</v>
      </c>
      <c r="B196" s="164" t="str">
        <f>'WP1 Light Inventory'!A187</f>
        <v>58E &amp; 59E</v>
      </c>
      <c r="C196" s="164"/>
      <c r="D196" s="327" t="str">
        <f>'WP1 Light Inventory'!D187</f>
        <v>Light Emitting Diode</v>
      </c>
      <c r="E196" s="165" t="str">
        <f>'WP1 Light Inventory'!E187</f>
        <v>LED 0-030</v>
      </c>
      <c r="F196" s="364">
        <f>'WP1 Light Inventory'!J187</f>
        <v>0</v>
      </c>
      <c r="G196" s="366">
        <f>'WP12 Condensed Sch. Level Costs'!O186</f>
        <v>5.25</v>
      </c>
      <c r="H196" s="339">
        <f t="shared" ref="H196:H211" si="121">$Y$8</f>
        <v>4.4534999999999998E-2</v>
      </c>
      <c r="I196" s="295">
        <f t="shared" ref="I196:I211" si="122">+F196*J196*12</f>
        <v>0</v>
      </c>
      <c r="J196" s="727">
        <f t="shared" ref="J196:J211" si="123">ROUND(+H196*G196,2)</f>
        <v>0.23</v>
      </c>
      <c r="L196" s="339">
        <f t="shared" ref="L196:L211" si="124">$Y$9</f>
        <v>3.0908999999999999E-2</v>
      </c>
      <c r="M196" s="295">
        <f t="shared" ref="M196:M211" si="125">+F196*N196*12</f>
        <v>0</v>
      </c>
      <c r="N196" s="727">
        <f t="shared" ref="N196:N211" si="126">ROUND(+L196*G196,2)</f>
        <v>0.16</v>
      </c>
      <c r="P196" s="176"/>
      <c r="Q196" s="295"/>
      <c r="T196" s="613" t="s">
        <v>1139</v>
      </c>
    </row>
    <row r="197" spans="1:20" x14ac:dyDescent="0.2">
      <c r="A197" s="613">
        <f>A195+1</f>
        <v>189</v>
      </c>
      <c r="B197" s="164" t="str">
        <f>'WP1 Light Inventory'!A188</f>
        <v>58E &amp; 59E</v>
      </c>
      <c r="C197" s="164"/>
      <c r="D197" s="327" t="str">
        <f>'WP1 Light Inventory'!D188</f>
        <v>Light Emitting Diode</v>
      </c>
      <c r="E197" s="165" t="str">
        <f>'WP1 Light Inventory'!E188</f>
        <v>LED 030.01-060</v>
      </c>
      <c r="F197" s="364">
        <f>'WP1 Light Inventory'!J188</f>
        <v>3</v>
      </c>
      <c r="G197" s="366">
        <f>'WP12 Condensed Sch. Level Costs'!O187</f>
        <v>15.75</v>
      </c>
      <c r="H197" s="339">
        <f t="shared" si="121"/>
        <v>4.4534999999999998E-2</v>
      </c>
      <c r="I197" s="295">
        <f t="shared" si="122"/>
        <v>25.199999999999996</v>
      </c>
      <c r="J197" s="727">
        <f t="shared" si="123"/>
        <v>0.7</v>
      </c>
      <c r="L197" s="339">
        <f t="shared" si="124"/>
        <v>3.0908999999999999E-2</v>
      </c>
      <c r="M197" s="295">
        <f t="shared" si="125"/>
        <v>17.64</v>
      </c>
      <c r="N197" s="727">
        <f t="shared" si="126"/>
        <v>0.49</v>
      </c>
      <c r="P197" s="176"/>
      <c r="Q197" s="295"/>
      <c r="T197" s="613" t="s">
        <v>1139</v>
      </c>
    </row>
    <row r="198" spans="1:20" x14ac:dyDescent="0.2">
      <c r="A198" s="613">
        <f t="shared" ref="A198:A214" si="127">A197+1</f>
        <v>190</v>
      </c>
      <c r="B198" s="164" t="str">
        <f>'WP1 Light Inventory'!A189</f>
        <v>58E &amp; 59E</v>
      </c>
      <c r="C198" s="164"/>
      <c r="D198" s="327" t="str">
        <f>'WP1 Light Inventory'!D189</f>
        <v>Light Emitting Diode</v>
      </c>
      <c r="E198" s="165" t="str">
        <f>'WP1 Light Inventory'!E189</f>
        <v>LED 060.01-090</v>
      </c>
      <c r="F198" s="364">
        <f>'WP1 Light Inventory'!J189</f>
        <v>50</v>
      </c>
      <c r="G198" s="366">
        <f>'WP12 Condensed Sch. Level Costs'!O188</f>
        <v>26.25</v>
      </c>
      <c r="H198" s="339">
        <f t="shared" si="121"/>
        <v>4.4534999999999998E-2</v>
      </c>
      <c r="I198" s="295">
        <f t="shared" si="122"/>
        <v>702</v>
      </c>
      <c r="J198" s="727">
        <f t="shared" si="123"/>
        <v>1.17</v>
      </c>
      <c r="L198" s="339">
        <f t="shared" si="124"/>
        <v>3.0908999999999999E-2</v>
      </c>
      <c r="M198" s="295">
        <f t="shared" si="125"/>
        <v>486</v>
      </c>
      <c r="N198" s="727">
        <f t="shared" si="126"/>
        <v>0.81</v>
      </c>
      <c r="P198" s="176"/>
      <c r="Q198" s="295"/>
      <c r="T198" s="613" t="s">
        <v>1139</v>
      </c>
    </row>
    <row r="199" spans="1:20" x14ac:dyDescent="0.2">
      <c r="A199" s="613">
        <f t="shared" si="127"/>
        <v>191</v>
      </c>
      <c r="B199" s="164" t="str">
        <f>'WP1 Light Inventory'!A190</f>
        <v>58E &amp; 59E</v>
      </c>
      <c r="C199" s="164"/>
      <c r="D199" s="327" t="str">
        <f>'WP1 Light Inventory'!D190</f>
        <v>Light Emitting Diode</v>
      </c>
      <c r="E199" s="165" t="str">
        <f>'WP1 Light Inventory'!E190</f>
        <v>LED 090.01-120</v>
      </c>
      <c r="F199" s="364">
        <f>'WP1 Light Inventory'!J190</f>
        <v>15</v>
      </c>
      <c r="G199" s="366">
        <f>'WP12 Condensed Sch. Level Costs'!O189</f>
        <v>36.75</v>
      </c>
      <c r="H199" s="339">
        <f t="shared" si="121"/>
        <v>4.4534999999999998E-2</v>
      </c>
      <c r="I199" s="295">
        <f t="shared" si="122"/>
        <v>295.2</v>
      </c>
      <c r="J199" s="727">
        <f t="shared" si="123"/>
        <v>1.64</v>
      </c>
      <c r="L199" s="339">
        <f t="shared" si="124"/>
        <v>3.0908999999999999E-2</v>
      </c>
      <c r="M199" s="295">
        <f t="shared" si="125"/>
        <v>205.2</v>
      </c>
      <c r="N199" s="727">
        <f t="shared" si="126"/>
        <v>1.1399999999999999</v>
      </c>
      <c r="P199" s="176"/>
      <c r="Q199" s="295"/>
      <c r="T199" s="613" t="s">
        <v>1139</v>
      </c>
    </row>
    <row r="200" spans="1:20" x14ac:dyDescent="0.2">
      <c r="A200" s="613">
        <f t="shared" si="127"/>
        <v>192</v>
      </c>
      <c r="B200" s="164" t="str">
        <f>'WP1 Light Inventory'!A191</f>
        <v>58E &amp; 59E</v>
      </c>
      <c r="C200" s="164"/>
      <c r="D200" s="327" t="str">
        <f>'WP1 Light Inventory'!D191</f>
        <v>Light Emitting Diode</v>
      </c>
      <c r="E200" s="165" t="str">
        <f>'WP1 Light Inventory'!E191</f>
        <v>LED 120.01-150</v>
      </c>
      <c r="F200" s="364">
        <f>'WP1 Light Inventory'!J191</f>
        <v>94</v>
      </c>
      <c r="G200" s="366">
        <f>'WP12 Condensed Sch. Level Costs'!O190</f>
        <v>47.25</v>
      </c>
      <c r="H200" s="339">
        <f t="shared" si="121"/>
        <v>4.4534999999999998E-2</v>
      </c>
      <c r="I200" s="295">
        <f t="shared" si="122"/>
        <v>2368.8000000000002</v>
      </c>
      <c r="J200" s="727">
        <f t="shared" si="123"/>
        <v>2.1</v>
      </c>
      <c r="L200" s="339">
        <f t="shared" si="124"/>
        <v>3.0908999999999999E-2</v>
      </c>
      <c r="M200" s="295">
        <f t="shared" si="125"/>
        <v>1646.88</v>
      </c>
      <c r="N200" s="727">
        <f t="shared" si="126"/>
        <v>1.46</v>
      </c>
      <c r="P200" s="176"/>
      <c r="Q200" s="295"/>
      <c r="T200" s="613" t="s">
        <v>1139</v>
      </c>
    </row>
    <row r="201" spans="1:20" x14ac:dyDescent="0.2">
      <c r="A201" s="613">
        <f t="shared" si="127"/>
        <v>193</v>
      </c>
      <c r="B201" s="164" t="str">
        <f>'WP1 Light Inventory'!A192</f>
        <v>58E &amp; 59E</v>
      </c>
      <c r="C201" s="164"/>
      <c r="D201" s="327" t="str">
        <f>'WP1 Light Inventory'!D192</f>
        <v>Light Emitting Diode</v>
      </c>
      <c r="E201" s="165" t="str">
        <f>'WP1 Light Inventory'!E192</f>
        <v>LED 150.01-180</v>
      </c>
      <c r="F201" s="364">
        <f>'WP1 Light Inventory'!J192</f>
        <v>11</v>
      </c>
      <c r="G201" s="366">
        <f>'WP12 Condensed Sch. Level Costs'!O191</f>
        <v>57.75</v>
      </c>
      <c r="H201" s="339">
        <f t="shared" si="121"/>
        <v>4.4534999999999998E-2</v>
      </c>
      <c r="I201" s="295">
        <f t="shared" si="122"/>
        <v>339.24</v>
      </c>
      <c r="J201" s="727">
        <f t="shared" si="123"/>
        <v>2.57</v>
      </c>
      <c r="L201" s="339">
        <f t="shared" si="124"/>
        <v>3.0908999999999999E-2</v>
      </c>
      <c r="M201" s="295">
        <f t="shared" si="125"/>
        <v>234.96000000000004</v>
      </c>
      <c r="N201" s="727">
        <f t="shared" si="126"/>
        <v>1.78</v>
      </c>
      <c r="P201" s="176"/>
      <c r="Q201" s="295"/>
      <c r="T201" s="613" t="s">
        <v>1139</v>
      </c>
    </row>
    <row r="202" spans="1:20" x14ac:dyDescent="0.2">
      <c r="A202" s="613">
        <f t="shared" si="127"/>
        <v>194</v>
      </c>
      <c r="B202" s="164" t="str">
        <f>'WP1 Light Inventory'!A193</f>
        <v>58E &amp; 59E</v>
      </c>
      <c r="C202" s="164"/>
      <c r="D202" s="327" t="str">
        <f>'WP1 Light Inventory'!D193</f>
        <v>Light Emitting Diode</v>
      </c>
      <c r="E202" s="165" t="str">
        <f>'WP1 Light Inventory'!E193</f>
        <v>LED 180.01-210</v>
      </c>
      <c r="F202" s="364">
        <f>'WP1 Light Inventory'!J193</f>
        <v>0</v>
      </c>
      <c r="G202" s="366">
        <f>'WP12 Condensed Sch. Level Costs'!O192</f>
        <v>68.25</v>
      </c>
      <c r="H202" s="339">
        <f t="shared" si="121"/>
        <v>4.4534999999999998E-2</v>
      </c>
      <c r="I202" s="295">
        <f t="shared" si="122"/>
        <v>0</v>
      </c>
      <c r="J202" s="727">
        <f t="shared" si="123"/>
        <v>3.04</v>
      </c>
      <c r="L202" s="339">
        <f t="shared" si="124"/>
        <v>3.0908999999999999E-2</v>
      </c>
      <c r="M202" s="295">
        <f t="shared" si="125"/>
        <v>0</v>
      </c>
      <c r="N202" s="727">
        <f t="shared" si="126"/>
        <v>2.11</v>
      </c>
      <c r="P202" s="176"/>
      <c r="Q202" s="295"/>
      <c r="T202" s="613" t="s">
        <v>1139</v>
      </c>
    </row>
    <row r="203" spans="1:20" x14ac:dyDescent="0.2">
      <c r="A203" s="613">
        <f t="shared" si="127"/>
        <v>195</v>
      </c>
      <c r="B203" s="164" t="str">
        <f>'WP1 Light Inventory'!A194</f>
        <v>58E &amp; 59E</v>
      </c>
      <c r="C203" s="164"/>
      <c r="D203" s="327" t="str">
        <f>'WP1 Light Inventory'!D194</f>
        <v>Light Emitting Diode</v>
      </c>
      <c r="E203" s="165" t="str">
        <f>'WP1 Light Inventory'!E194</f>
        <v>LED 210.01-240</v>
      </c>
      <c r="F203" s="364">
        <f>'WP1 Light Inventory'!J194</f>
        <v>10</v>
      </c>
      <c r="G203" s="366">
        <f>'WP12 Condensed Sch. Level Costs'!O193</f>
        <v>78.75</v>
      </c>
      <c r="H203" s="339">
        <f t="shared" si="121"/>
        <v>4.4534999999999998E-2</v>
      </c>
      <c r="I203" s="295">
        <f t="shared" si="122"/>
        <v>421.19999999999993</v>
      </c>
      <c r="J203" s="727">
        <f t="shared" si="123"/>
        <v>3.51</v>
      </c>
      <c r="L203" s="339">
        <f t="shared" si="124"/>
        <v>3.0908999999999999E-2</v>
      </c>
      <c r="M203" s="295">
        <f t="shared" si="125"/>
        <v>291.60000000000002</v>
      </c>
      <c r="N203" s="727">
        <f t="shared" si="126"/>
        <v>2.4300000000000002</v>
      </c>
      <c r="P203" s="176"/>
      <c r="Q203" s="295"/>
      <c r="T203" s="613" t="s">
        <v>1139</v>
      </c>
    </row>
    <row r="204" spans="1:20" x14ac:dyDescent="0.2">
      <c r="A204" s="613">
        <f t="shared" si="127"/>
        <v>196</v>
      </c>
      <c r="B204" s="164" t="str">
        <f>'WP1 Light Inventory'!A195</f>
        <v>58E &amp; 59E</v>
      </c>
      <c r="C204" s="164"/>
      <c r="D204" s="327" t="str">
        <f>'WP1 Light Inventory'!D195</f>
        <v>Light Emitting Diode</v>
      </c>
      <c r="E204" s="165" t="str">
        <f>'WP1 Light Inventory'!E195</f>
        <v>LED 240.01-270</v>
      </c>
      <c r="F204" s="364">
        <f>'WP1 Light Inventory'!J195</f>
        <v>22</v>
      </c>
      <c r="G204" s="366">
        <f>'WP12 Condensed Sch. Level Costs'!O194</f>
        <v>89.25</v>
      </c>
      <c r="H204" s="339">
        <f t="shared" si="121"/>
        <v>4.4534999999999998E-2</v>
      </c>
      <c r="I204" s="295">
        <f t="shared" si="122"/>
        <v>1048.08</v>
      </c>
      <c r="J204" s="727">
        <f t="shared" si="123"/>
        <v>3.97</v>
      </c>
      <c r="L204" s="339">
        <f t="shared" si="124"/>
        <v>3.0908999999999999E-2</v>
      </c>
      <c r="M204" s="295">
        <f t="shared" si="125"/>
        <v>728.64</v>
      </c>
      <c r="N204" s="727">
        <f t="shared" si="126"/>
        <v>2.76</v>
      </c>
      <c r="P204" s="176"/>
      <c r="Q204" s="295"/>
      <c r="T204" s="613" t="s">
        <v>1139</v>
      </c>
    </row>
    <row r="205" spans="1:20" x14ac:dyDescent="0.2">
      <c r="A205" s="613">
        <f t="shared" si="127"/>
        <v>197</v>
      </c>
      <c r="B205" s="164" t="str">
        <f>'WP1 Light Inventory'!A196</f>
        <v>58E &amp; 59E</v>
      </c>
      <c r="C205" s="164"/>
      <c r="D205" s="327" t="str">
        <f>'WP1 Light Inventory'!D196</f>
        <v>Light Emitting Diode</v>
      </c>
      <c r="E205" s="165" t="str">
        <f>'WP1 Light Inventory'!E196</f>
        <v>LED 270.01-300</v>
      </c>
      <c r="F205" s="364">
        <f>'WP1 Light Inventory'!J196</f>
        <v>0</v>
      </c>
      <c r="G205" s="366">
        <f>'WP12 Condensed Sch. Level Costs'!O195</f>
        <v>99.75</v>
      </c>
      <c r="H205" s="339">
        <f t="shared" si="121"/>
        <v>4.4534999999999998E-2</v>
      </c>
      <c r="I205" s="295">
        <f t="shared" si="122"/>
        <v>0</v>
      </c>
      <c r="J205" s="727">
        <f t="shared" si="123"/>
        <v>4.4400000000000004</v>
      </c>
      <c r="L205" s="339">
        <f t="shared" si="124"/>
        <v>3.0908999999999999E-2</v>
      </c>
      <c r="M205" s="295">
        <f t="shared" si="125"/>
        <v>0</v>
      </c>
      <c r="N205" s="727">
        <f t="shared" si="126"/>
        <v>3.08</v>
      </c>
      <c r="P205" s="176"/>
      <c r="Q205" s="295"/>
      <c r="T205" s="613" t="s">
        <v>1139</v>
      </c>
    </row>
    <row r="206" spans="1:20" x14ac:dyDescent="0.2">
      <c r="A206" s="613">
        <f t="shared" si="127"/>
        <v>198</v>
      </c>
      <c r="B206" s="164" t="str">
        <f>'WP1 Light Inventory'!A197</f>
        <v>58E &amp; 59E</v>
      </c>
      <c r="C206" s="164"/>
      <c r="D206" s="327" t="str">
        <f>'WP1 Light Inventory'!D197</f>
        <v>Light Emitting Diode</v>
      </c>
      <c r="E206" s="165" t="str">
        <f>'WP1 Light Inventory'!E197</f>
        <v>LED 300.01-400</v>
      </c>
      <c r="F206" s="364">
        <f>'WP1 Light Inventory'!J197</f>
        <v>0</v>
      </c>
      <c r="G206" s="366">
        <f>'WP12 Condensed Sch. Level Costs'!O196</f>
        <v>122.5</v>
      </c>
      <c r="H206" s="339">
        <f t="shared" si="121"/>
        <v>4.4534999999999998E-2</v>
      </c>
      <c r="I206" s="295">
        <f t="shared" si="122"/>
        <v>0</v>
      </c>
      <c r="J206" s="727">
        <f t="shared" si="123"/>
        <v>5.46</v>
      </c>
      <c r="L206" s="339">
        <f t="shared" si="124"/>
        <v>3.0908999999999999E-2</v>
      </c>
      <c r="M206" s="295">
        <f t="shared" si="125"/>
        <v>0</v>
      </c>
      <c r="N206" s="727">
        <f t="shared" si="126"/>
        <v>3.79</v>
      </c>
      <c r="P206" s="176"/>
      <c r="Q206" s="295"/>
      <c r="T206" s="613" t="s">
        <v>1139</v>
      </c>
    </row>
    <row r="207" spans="1:20" x14ac:dyDescent="0.2">
      <c r="A207" s="613">
        <f t="shared" si="127"/>
        <v>199</v>
      </c>
      <c r="B207" s="164" t="str">
        <f>'WP1 Light Inventory'!A198</f>
        <v>58E &amp; 59E</v>
      </c>
      <c r="C207" s="164"/>
      <c r="D207" s="327" t="str">
        <f>'WP1 Light Inventory'!D198</f>
        <v>Light Emitting Diode</v>
      </c>
      <c r="E207" s="165" t="str">
        <f>'WP1 Light Inventory'!E198</f>
        <v>LED 400.01-500</v>
      </c>
      <c r="F207" s="364">
        <f>'WP1 Light Inventory'!J198</f>
        <v>0</v>
      </c>
      <c r="G207" s="366">
        <f>'WP12 Condensed Sch. Level Costs'!O197</f>
        <v>157.5</v>
      </c>
      <c r="H207" s="339">
        <f t="shared" si="121"/>
        <v>4.4534999999999998E-2</v>
      </c>
      <c r="I207" s="295">
        <f t="shared" si="122"/>
        <v>0</v>
      </c>
      <c r="J207" s="727">
        <f t="shared" si="123"/>
        <v>7.01</v>
      </c>
      <c r="L207" s="339">
        <f t="shared" si="124"/>
        <v>3.0908999999999999E-2</v>
      </c>
      <c r="M207" s="295">
        <f t="shared" si="125"/>
        <v>0</v>
      </c>
      <c r="N207" s="727">
        <f t="shared" si="126"/>
        <v>4.87</v>
      </c>
      <c r="P207" s="176"/>
      <c r="Q207" s="295"/>
      <c r="T207" s="613" t="s">
        <v>1139</v>
      </c>
    </row>
    <row r="208" spans="1:20" x14ac:dyDescent="0.2">
      <c r="A208" s="613">
        <f t="shared" si="127"/>
        <v>200</v>
      </c>
      <c r="B208" s="164" t="str">
        <f>'WP1 Light Inventory'!A199</f>
        <v>58E &amp; 59E</v>
      </c>
      <c r="C208" s="164"/>
      <c r="D208" s="327" t="str">
        <f>'WP1 Light Inventory'!D199</f>
        <v>Light Emitting Diode</v>
      </c>
      <c r="E208" s="165" t="str">
        <f>'WP1 Light Inventory'!E199</f>
        <v>LED 500.01-600</v>
      </c>
      <c r="F208" s="364">
        <f>'WP1 Light Inventory'!J199</f>
        <v>0</v>
      </c>
      <c r="G208" s="366">
        <f>'WP12 Condensed Sch. Level Costs'!O198</f>
        <v>192.5</v>
      </c>
      <c r="H208" s="339">
        <f t="shared" si="121"/>
        <v>4.4534999999999998E-2</v>
      </c>
      <c r="I208" s="295">
        <f t="shared" si="122"/>
        <v>0</v>
      </c>
      <c r="J208" s="727">
        <f t="shared" si="123"/>
        <v>8.57</v>
      </c>
      <c r="L208" s="339">
        <f t="shared" si="124"/>
        <v>3.0908999999999999E-2</v>
      </c>
      <c r="M208" s="295">
        <f t="shared" si="125"/>
        <v>0</v>
      </c>
      <c r="N208" s="727">
        <f t="shared" si="126"/>
        <v>5.95</v>
      </c>
      <c r="P208" s="176"/>
      <c r="Q208" s="295"/>
      <c r="T208" s="613" t="s">
        <v>1139</v>
      </c>
    </row>
    <row r="209" spans="1:20" x14ac:dyDescent="0.2">
      <c r="A209" s="613">
        <f t="shared" si="127"/>
        <v>201</v>
      </c>
      <c r="B209" s="164" t="str">
        <f>'WP1 Light Inventory'!A200</f>
        <v>58E &amp; 59E</v>
      </c>
      <c r="C209" s="164"/>
      <c r="D209" s="327" t="str">
        <f>'WP1 Light Inventory'!D200</f>
        <v>Light Emitting Diode</v>
      </c>
      <c r="E209" s="165" t="str">
        <f>'WP1 Light Inventory'!E200</f>
        <v>LED 600.01-700</v>
      </c>
      <c r="F209" s="364">
        <f>'WP1 Light Inventory'!J200</f>
        <v>0</v>
      </c>
      <c r="G209" s="366">
        <f>'WP12 Condensed Sch. Level Costs'!O199</f>
        <v>227.5</v>
      </c>
      <c r="H209" s="339">
        <f t="shared" si="121"/>
        <v>4.4534999999999998E-2</v>
      </c>
      <c r="I209" s="295">
        <f t="shared" si="122"/>
        <v>0</v>
      </c>
      <c r="J209" s="727">
        <f t="shared" si="123"/>
        <v>10.130000000000001</v>
      </c>
      <c r="L209" s="339">
        <f t="shared" si="124"/>
        <v>3.0908999999999999E-2</v>
      </c>
      <c r="M209" s="295">
        <f t="shared" si="125"/>
        <v>0</v>
      </c>
      <c r="N209" s="727">
        <f t="shared" si="126"/>
        <v>7.03</v>
      </c>
      <c r="P209" s="176"/>
      <c r="Q209" s="295"/>
      <c r="T209" s="613" t="s">
        <v>1139</v>
      </c>
    </row>
    <row r="210" spans="1:20" x14ac:dyDescent="0.2">
      <c r="A210" s="613">
        <f t="shared" si="127"/>
        <v>202</v>
      </c>
      <c r="B210" s="164" t="str">
        <f>'WP1 Light Inventory'!A201</f>
        <v>58E &amp; 59E</v>
      </c>
      <c r="C210" s="164"/>
      <c r="D210" s="327" t="str">
        <f>'WP1 Light Inventory'!D201</f>
        <v>Light Emitting Diode</v>
      </c>
      <c r="E210" s="165" t="str">
        <f>'WP1 Light Inventory'!E201</f>
        <v>LED 700.01-800</v>
      </c>
      <c r="F210" s="364">
        <f>'WP1 Light Inventory'!J201</f>
        <v>0</v>
      </c>
      <c r="G210" s="366">
        <f>'WP12 Condensed Sch. Level Costs'!O200</f>
        <v>262.5</v>
      </c>
      <c r="H210" s="339">
        <f t="shared" si="121"/>
        <v>4.4534999999999998E-2</v>
      </c>
      <c r="I210" s="295">
        <f t="shared" si="122"/>
        <v>0</v>
      </c>
      <c r="J210" s="727">
        <f t="shared" si="123"/>
        <v>11.69</v>
      </c>
      <c r="L210" s="339">
        <f t="shared" si="124"/>
        <v>3.0908999999999999E-2</v>
      </c>
      <c r="M210" s="295">
        <f t="shared" si="125"/>
        <v>0</v>
      </c>
      <c r="N210" s="727">
        <f t="shared" si="126"/>
        <v>8.11</v>
      </c>
      <c r="P210" s="176"/>
      <c r="Q210" s="295"/>
      <c r="T210" s="613" t="s">
        <v>1139</v>
      </c>
    </row>
    <row r="211" spans="1:20" x14ac:dyDescent="0.2">
      <c r="A211" s="613">
        <f t="shared" si="127"/>
        <v>203</v>
      </c>
      <c r="B211" s="164" t="str">
        <f>'WP1 Light Inventory'!A202</f>
        <v>58E &amp; 59E</v>
      </c>
      <c r="C211" s="164"/>
      <c r="D211" s="327" t="str">
        <f>'WP1 Light Inventory'!D202</f>
        <v>Light Emitting Diode</v>
      </c>
      <c r="E211" s="165" t="str">
        <f>'WP1 Light Inventory'!E202</f>
        <v>LED 800.01-900</v>
      </c>
      <c r="F211" s="364">
        <f>'WP1 Light Inventory'!J202</f>
        <v>0</v>
      </c>
      <c r="G211" s="366">
        <f>'WP12 Condensed Sch. Level Costs'!O201</f>
        <v>297.5</v>
      </c>
      <c r="H211" s="339">
        <f t="shared" si="121"/>
        <v>4.4534999999999998E-2</v>
      </c>
      <c r="I211" s="295">
        <f t="shared" si="122"/>
        <v>0</v>
      </c>
      <c r="J211" s="727">
        <f t="shared" si="123"/>
        <v>13.25</v>
      </c>
      <c r="L211" s="339">
        <f t="shared" si="124"/>
        <v>3.0908999999999999E-2</v>
      </c>
      <c r="M211" s="295">
        <f t="shared" si="125"/>
        <v>0</v>
      </c>
      <c r="N211" s="727">
        <f t="shared" si="126"/>
        <v>9.1999999999999993</v>
      </c>
      <c r="P211" s="176"/>
      <c r="Q211" s="295"/>
      <c r="T211" s="613" t="s">
        <v>1139</v>
      </c>
    </row>
    <row r="212" spans="1:20" x14ac:dyDescent="0.2">
      <c r="A212" s="613">
        <f t="shared" si="127"/>
        <v>204</v>
      </c>
      <c r="B212" s="164"/>
      <c r="C212" s="164"/>
      <c r="D212" s="327"/>
      <c r="E212" s="165"/>
      <c r="F212" s="364"/>
      <c r="G212" s="399"/>
      <c r="H212" s="342"/>
      <c r="I212" s="295"/>
      <c r="J212" s="727"/>
      <c r="L212" s="342"/>
      <c r="M212" s="295"/>
      <c r="N212" s="727"/>
      <c r="P212" s="342"/>
      <c r="Q212" s="295"/>
    </row>
    <row r="213" spans="1:20" x14ac:dyDescent="0.2">
      <c r="A213" s="613">
        <f t="shared" si="127"/>
        <v>205</v>
      </c>
      <c r="B213" s="164" t="s">
        <v>247</v>
      </c>
      <c r="C213" s="164"/>
      <c r="D213" s="327"/>
      <c r="E213" s="165"/>
      <c r="F213" s="364"/>
      <c r="G213" s="399"/>
      <c r="H213" s="342"/>
      <c r="I213" s="295"/>
      <c r="J213" s="727"/>
      <c r="L213" s="342"/>
      <c r="M213" s="295"/>
      <c r="N213" s="727"/>
      <c r="P213" s="342"/>
      <c r="Q213" s="295"/>
    </row>
    <row r="214" spans="1:20" x14ac:dyDescent="0.2">
      <c r="A214" s="613">
        <f t="shared" si="127"/>
        <v>206</v>
      </c>
      <c r="B214" s="164" t="str">
        <f>'WP1 Light Inventory'!A204</f>
        <v>57E</v>
      </c>
      <c r="C214" s="164"/>
      <c r="D214" s="327" t="str">
        <f>'WP1 Light Inventory'!D204</f>
        <v>Per W charge</v>
      </c>
      <c r="E214" s="596"/>
      <c r="F214" s="224">
        <f>G222</f>
        <v>5370526</v>
      </c>
      <c r="G214" s="364">
        <f>+F214/G223</f>
        <v>11226169</v>
      </c>
      <c r="H214" s="339">
        <f>$Y$8</f>
        <v>4.4534999999999998E-2</v>
      </c>
      <c r="I214" s="295">
        <f>+H214*F214</f>
        <v>239176.37540999998</v>
      </c>
      <c r="J214" s="728">
        <f>ROUND(+I214/G214,5)</f>
        <v>2.1309999999999999E-2</v>
      </c>
      <c r="K214" s="166"/>
      <c r="L214" s="339">
        <f t="shared" ref="L214" si="128">$Y$9</f>
        <v>3.0908999999999999E-2</v>
      </c>
      <c r="M214" s="295">
        <f>+L214*F214</f>
        <v>165997.58813399999</v>
      </c>
      <c r="N214" s="728">
        <f>ROUND(+M214/G214,5)</f>
        <v>1.4789999999999999E-2</v>
      </c>
      <c r="O214" s="166"/>
      <c r="P214" s="176"/>
      <c r="Q214" s="295"/>
      <c r="R214" s="166"/>
      <c r="S214" s="166"/>
      <c r="T214" s="613" t="s">
        <v>1137</v>
      </c>
    </row>
    <row r="215" spans="1:20" x14ac:dyDescent="0.2">
      <c r="B215" s="164"/>
      <c r="C215" s="164"/>
      <c r="D215" s="327"/>
      <c r="E215" s="165"/>
      <c r="F215" s="596" t="s">
        <v>664</v>
      </c>
      <c r="G215" s="399" t="s">
        <v>663</v>
      </c>
      <c r="H215" s="342"/>
      <c r="I215" s="295"/>
      <c r="L215" s="342"/>
      <c r="M215" s="295"/>
      <c r="P215" s="342"/>
      <c r="Q215" s="295"/>
    </row>
    <row r="216" spans="1:20" x14ac:dyDescent="0.2">
      <c r="B216" s="164"/>
      <c r="C216" s="164"/>
      <c r="D216" s="327"/>
      <c r="E216" s="165"/>
      <c r="F216" s="342"/>
      <c r="G216" s="399"/>
      <c r="H216" s="342"/>
      <c r="L216" s="342"/>
      <c r="P216" s="342"/>
    </row>
    <row r="217" spans="1:20" ht="10.8" thickBot="1" x14ac:dyDescent="0.25">
      <c r="B217" s="164"/>
      <c r="C217" s="164"/>
      <c r="D217" s="327"/>
      <c r="E217" s="165"/>
      <c r="F217" s="173"/>
      <c r="G217" s="173" t="s">
        <v>19</v>
      </c>
      <c r="H217" s="342"/>
      <c r="I217" s="147">
        <f>SUM(I12:I215)</f>
        <v>2776332.1754100011</v>
      </c>
      <c r="L217" s="342"/>
      <c r="M217" s="147">
        <f>SUM(M12:M215)</f>
        <v>1926054.988134</v>
      </c>
      <c r="P217" s="342"/>
      <c r="Q217" s="174"/>
    </row>
    <row r="218" spans="1:20" ht="11.4" thickTop="1" thickBot="1" x14ac:dyDescent="0.25">
      <c r="B218" s="164"/>
      <c r="C218" s="164"/>
      <c r="D218" s="327"/>
      <c r="E218" s="165"/>
      <c r="F218" s="173"/>
      <c r="G218" s="173"/>
      <c r="H218" s="342"/>
      <c r="I218" s="365"/>
      <c r="L218" s="223"/>
      <c r="M218" s="365"/>
      <c r="P218" s="223"/>
      <c r="Q218" s="365"/>
    </row>
    <row r="219" spans="1:20" x14ac:dyDescent="0.2">
      <c r="B219" s="164"/>
      <c r="C219" s="164"/>
      <c r="D219" s="352"/>
      <c r="E219" s="353"/>
      <c r="F219" s="354"/>
      <c r="G219" s="355"/>
      <c r="H219" s="342"/>
      <c r="I219" s="401"/>
      <c r="L219" s="223"/>
      <c r="M219" s="401"/>
      <c r="P219" s="223"/>
      <c r="Q219" s="401"/>
    </row>
    <row r="220" spans="1:20" x14ac:dyDescent="0.2">
      <c r="B220" s="164"/>
      <c r="C220" s="164"/>
      <c r="D220" s="356" t="s">
        <v>694</v>
      </c>
      <c r="E220" s="165"/>
      <c r="F220" s="596"/>
      <c r="G220" s="357"/>
      <c r="H220" s="342"/>
      <c r="L220" s="342"/>
      <c r="P220" s="342"/>
    </row>
    <row r="221" spans="1:20" x14ac:dyDescent="0.2">
      <c r="B221" s="164"/>
      <c r="C221" s="164"/>
      <c r="D221" s="358" t="s">
        <v>693</v>
      </c>
      <c r="E221" s="165"/>
      <c r="F221" s="596"/>
      <c r="G221" s="357">
        <v>11226169</v>
      </c>
      <c r="H221" s="342"/>
      <c r="L221" s="342"/>
      <c r="P221" s="342"/>
    </row>
    <row r="222" spans="1:20" x14ac:dyDescent="0.2">
      <c r="B222" s="164"/>
      <c r="C222" s="164"/>
      <c r="D222" s="358" t="s">
        <v>708</v>
      </c>
      <c r="E222" s="165"/>
      <c r="F222" s="596"/>
      <c r="G222" s="357">
        <v>5370526</v>
      </c>
      <c r="H222" s="342"/>
      <c r="L222" s="342"/>
      <c r="P222" s="342"/>
    </row>
    <row r="223" spans="1:20" ht="10.8" thickBot="1" x14ac:dyDescent="0.25">
      <c r="B223" s="164"/>
      <c r="C223" s="164"/>
      <c r="D223" s="359" t="s">
        <v>662</v>
      </c>
      <c r="E223" s="360"/>
      <c r="F223" s="361"/>
      <c r="G223" s="362">
        <f>+G222/G221</f>
        <v>0.47839347510268193</v>
      </c>
      <c r="H223" s="342"/>
      <c r="L223" s="342"/>
      <c r="P223" s="342"/>
    </row>
    <row r="224" spans="1:20" x14ac:dyDescent="0.2">
      <c r="B224" s="245"/>
      <c r="C224" s="245"/>
    </row>
    <row r="226" spans="2:3" x14ac:dyDescent="0.2">
      <c r="B226" s="245"/>
      <c r="C226" s="245"/>
    </row>
    <row r="227" spans="2:3" x14ac:dyDescent="0.2">
      <c r="B227" s="245"/>
      <c r="C227" s="245"/>
    </row>
    <row r="228" spans="2:3" ht="13.8" x14ac:dyDescent="0.3">
      <c r="B228" s="641" t="s">
        <v>1165</v>
      </c>
    </row>
  </sheetData>
  <mergeCells count="8">
    <mergeCell ref="W6:Y6"/>
    <mergeCell ref="H6:J6"/>
    <mergeCell ref="L6:N6"/>
    <mergeCell ref="P6:R6"/>
    <mergeCell ref="A1:U1"/>
    <mergeCell ref="A2:U2"/>
    <mergeCell ref="A3:U3"/>
    <mergeCell ref="A4:U4"/>
  </mergeCells>
  <pageMargins left="0.7" right="0.7" top="0.75" bottom="0.75" header="0.3" footer="0.3"/>
  <pageSetup scale="46"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228"/>
  <sheetViews>
    <sheetView topLeftCell="E1" zoomScaleNormal="100" workbookViewId="0">
      <pane ySplit="7" topLeftCell="A8" activePane="bottomLeft" state="frozen"/>
      <selection activeCell="D32" sqref="D32"/>
      <selection pane="bottomLeft" activeCell="N214" sqref="N7:N214"/>
    </sheetView>
  </sheetViews>
  <sheetFormatPr defaultColWidth="9.109375" defaultRowHeight="10.199999999999999" x14ac:dyDescent="0.2"/>
  <cols>
    <col min="1" max="1" width="7.33203125" style="613" bestFit="1" customWidth="1"/>
    <col min="2" max="2" width="10.6640625" style="244" bestFit="1" customWidth="1"/>
    <col min="3" max="3" width="16.44140625" style="244" bestFit="1" customWidth="1"/>
    <col min="4" max="4" width="38.88671875" style="244" bestFit="1" customWidth="1"/>
    <col min="5" max="5" width="12.109375" style="244" bestFit="1" customWidth="1"/>
    <col min="6" max="6" width="10.33203125" style="244" customWidth="1"/>
    <col min="7" max="7" width="10.5546875" style="364" bestFit="1" customWidth="1"/>
    <col min="8" max="8" width="8.88671875" style="244" bestFit="1" customWidth="1"/>
    <col min="9" max="9" width="12" style="364" bestFit="1" customWidth="1"/>
    <col min="10" max="10" width="12.6640625" style="163" bestFit="1" customWidth="1"/>
    <col min="11" max="11" width="0.5546875" style="163" customWidth="1"/>
    <col min="12" max="12" width="8.88671875" style="244" bestFit="1" customWidth="1"/>
    <col min="13" max="13" width="12" style="364" bestFit="1" customWidth="1"/>
    <col min="14" max="14" width="12.6640625" style="163" bestFit="1" customWidth="1"/>
    <col min="15" max="15" width="0.5546875" style="163" customWidth="1"/>
    <col min="16" max="16" width="9.44140625" style="244" bestFit="1" customWidth="1"/>
    <col min="17" max="17" width="12" style="364" bestFit="1" customWidth="1"/>
    <col min="18" max="18" width="12.6640625" style="163" bestFit="1" customWidth="1"/>
    <col min="19" max="19" width="0.5546875" style="163" customWidth="1"/>
    <col min="20" max="20" width="13.88671875" style="317" bestFit="1" customWidth="1"/>
    <col min="21" max="21" width="0.5546875" style="244" customWidth="1"/>
    <col min="22" max="22" width="9.33203125" style="244" bestFit="1" customWidth="1"/>
    <col min="23" max="23" width="10.44140625" style="244" bestFit="1" customWidth="1"/>
    <col min="24" max="24" width="12.6640625" style="244" bestFit="1" customWidth="1"/>
    <col min="25" max="25" width="10" style="244" bestFit="1" customWidth="1"/>
    <col min="26" max="26" width="1.44140625" style="244" customWidth="1"/>
    <col min="27" max="27" width="10.44140625" style="244" customWidth="1"/>
    <col min="28" max="28" width="10.33203125" style="244" bestFit="1" customWidth="1"/>
    <col min="29" max="29" width="1" style="244" customWidth="1"/>
    <col min="30" max="30" width="10.5546875" style="244" customWidth="1"/>
    <col min="31" max="31" width="10.33203125" style="244" bestFit="1" customWidth="1"/>
    <col min="32" max="32" width="1.109375" style="244" customWidth="1"/>
    <col min="33" max="33" width="10" style="244" customWidth="1"/>
    <col min="34" max="34" width="10.33203125" style="244" bestFit="1" customWidth="1"/>
    <col min="35" max="16384" width="9.109375" style="244"/>
  </cols>
  <sheetData>
    <row r="1" spans="1:34" ht="14.4" x14ac:dyDescent="0.3">
      <c r="A1" s="729" t="str">
        <f>'BDJ-6 Base Revenue (Summary)'!A1:I1</f>
        <v>Puget Sound Energy</v>
      </c>
      <c r="B1" s="729"/>
      <c r="C1" s="729"/>
      <c r="D1" s="729"/>
      <c r="E1" s="729"/>
      <c r="F1" s="729"/>
      <c r="G1" s="729"/>
      <c r="H1" s="729"/>
      <c r="I1" s="729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</row>
    <row r="2" spans="1:34" ht="15" customHeight="1" x14ac:dyDescent="0.2">
      <c r="A2" s="729" t="s">
        <v>707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</row>
    <row r="3" spans="1:34" ht="15" customHeight="1" x14ac:dyDescent="0.3">
      <c r="A3" s="729" t="str">
        <f>'BDJ-6 Base Revenue (Summary)'!A3:I3</f>
        <v>Current Base Rate vs Proposed</v>
      </c>
      <c r="B3" s="729"/>
      <c r="C3" s="729"/>
      <c r="D3" s="729"/>
      <c r="E3" s="729"/>
      <c r="F3" s="729"/>
      <c r="G3" s="729"/>
      <c r="H3" s="729"/>
      <c r="I3" s="729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34" ht="15" customHeight="1" x14ac:dyDescent="0.2">
      <c r="A4" s="729" t="str">
        <f>'BDJ-6 Base Revenue (Summary)'!A5:I5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</row>
    <row r="5" spans="1:34" ht="15" thickBot="1" x14ac:dyDescent="0.35">
      <c r="A5" s="609"/>
      <c r="B5" s="609"/>
      <c r="C5" s="609"/>
      <c r="D5" s="609"/>
      <c r="E5" s="609"/>
      <c r="F5" s="609"/>
      <c r="G5" s="609"/>
      <c r="H5" s="609"/>
      <c r="I5" s="609"/>
      <c r="J5" s="612"/>
      <c r="K5" s="612"/>
      <c r="L5" s="609"/>
      <c r="M5" s="609"/>
      <c r="N5" s="612"/>
      <c r="O5" s="612"/>
      <c r="P5" s="609"/>
      <c r="Q5" s="609"/>
      <c r="R5" s="612"/>
      <c r="S5" s="612"/>
      <c r="T5" s="612"/>
      <c r="U5" s="612"/>
    </row>
    <row r="6" spans="1:34" ht="15" thickBot="1" x14ac:dyDescent="0.35">
      <c r="H6" s="732" t="s">
        <v>704</v>
      </c>
      <c r="I6" s="733"/>
      <c r="J6" s="769"/>
      <c r="L6" s="732" t="s">
        <v>705</v>
      </c>
      <c r="M6" s="733"/>
      <c r="N6" s="769"/>
      <c r="P6" s="732" t="s">
        <v>706</v>
      </c>
      <c r="Q6" s="733"/>
      <c r="R6" s="769"/>
      <c r="W6" s="732" t="s">
        <v>711</v>
      </c>
      <c r="X6" s="733"/>
      <c r="Y6" s="769"/>
    </row>
    <row r="7" spans="1:34" s="300" customFormat="1" ht="59.25" customHeight="1" x14ac:dyDescent="0.2">
      <c r="A7" s="617" t="s">
        <v>1</v>
      </c>
      <c r="B7" s="617" t="s">
        <v>53</v>
      </c>
      <c r="C7" s="617"/>
      <c r="D7" s="617" t="s">
        <v>67</v>
      </c>
      <c r="E7" s="617" t="s">
        <v>160</v>
      </c>
      <c r="F7" s="172" t="s">
        <v>691</v>
      </c>
      <c r="G7" s="171" t="s">
        <v>968</v>
      </c>
      <c r="H7" s="617" t="s">
        <v>712</v>
      </c>
      <c r="I7" s="614" t="s">
        <v>713</v>
      </c>
      <c r="J7" s="725" t="s">
        <v>967</v>
      </c>
      <c r="K7" s="81"/>
      <c r="L7" s="617" t="s">
        <v>712</v>
      </c>
      <c r="M7" s="614" t="s">
        <v>713</v>
      </c>
      <c r="N7" s="725" t="s">
        <v>716</v>
      </c>
      <c r="O7" s="81"/>
      <c r="P7" s="617" t="s">
        <v>712</v>
      </c>
      <c r="Q7" s="614" t="s">
        <v>713</v>
      </c>
      <c r="R7" s="81" t="s">
        <v>716</v>
      </c>
      <c r="S7" s="40"/>
      <c r="T7" s="614" t="s">
        <v>665</v>
      </c>
      <c r="V7" s="244"/>
      <c r="W7" s="171" t="s">
        <v>710</v>
      </c>
      <c r="X7" s="171" t="s">
        <v>701</v>
      </c>
      <c r="Y7" s="171" t="s">
        <v>714</v>
      </c>
      <c r="AA7" s="715" t="s">
        <v>1202</v>
      </c>
      <c r="AB7" s="716" t="s">
        <v>1200</v>
      </c>
      <c r="AD7" s="715" t="s">
        <v>1202</v>
      </c>
      <c r="AE7" s="716" t="s">
        <v>1200</v>
      </c>
      <c r="AG7" s="715" t="s">
        <v>1202</v>
      </c>
      <c r="AH7" s="716" t="s">
        <v>1200</v>
      </c>
    </row>
    <row r="8" spans="1:34" x14ac:dyDescent="0.2">
      <c r="A8" s="613">
        <v>1</v>
      </c>
      <c r="B8" s="596"/>
      <c r="C8" s="175"/>
      <c r="D8" s="363"/>
      <c r="E8" s="170"/>
      <c r="F8" s="364"/>
      <c r="G8" s="397"/>
      <c r="H8" s="169"/>
      <c r="I8" s="596"/>
      <c r="J8" s="726"/>
      <c r="K8" s="168"/>
      <c r="L8" s="169"/>
      <c r="M8" s="596"/>
      <c r="N8" s="726"/>
      <c r="O8" s="168"/>
      <c r="P8" s="169"/>
      <c r="Q8" s="596"/>
      <c r="R8" s="168"/>
      <c r="S8" s="168"/>
      <c r="V8" s="175" t="s">
        <v>697</v>
      </c>
      <c r="W8" s="688">
        <f>'Rate Spread Lighting'!$Y$27*1000</f>
        <v>522013.91904322838</v>
      </c>
      <c r="X8" s="689">
        <f>'[1]Exhibit No.__(BDJ-MYRP)'!$I$143</f>
        <v>62703000</v>
      </c>
      <c r="Y8" s="167">
        <f>ROUND(W8/X8,6)</f>
        <v>8.3250000000000008E-3</v>
      </c>
      <c r="AA8" s="717">
        <v>1108634</v>
      </c>
      <c r="AB8" s="718">
        <f>W8-AA8</f>
        <v>-586620.08095677162</v>
      </c>
      <c r="AD8" s="720">
        <v>62703000</v>
      </c>
      <c r="AE8" s="718">
        <f>X8-AD8</f>
        <v>0</v>
      </c>
      <c r="AG8" s="721">
        <v>1.7680999999999999E-2</v>
      </c>
      <c r="AH8" s="722">
        <f>Y8-AG8</f>
        <v>-9.355999999999998E-3</v>
      </c>
    </row>
    <row r="9" spans="1:34" x14ac:dyDescent="0.2">
      <c r="A9" s="613">
        <f t="shared" ref="A9:A72" si="0">A8+1</f>
        <v>2</v>
      </c>
      <c r="B9" s="596"/>
      <c r="C9" s="175"/>
      <c r="D9" s="363"/>
      <c r="E9" s="170"/>
      <c r="F9" s="364"/>
      <c r="G9" s="397"/>
      <c r="H9" s="169"/>
      <c r="I9" s="596"/>
      <c r="J9" s="726"/>
      <c r="K9" s="168"/>
      <c r="L9" s="169"/>
      <c r="M9" s="596"/>
      <c r="N9" s="726"/>
      <c r="O9" s="168"/>
      <c r="P9" s="169"/>
      <c r="Q9" s="596"/>
      <c r="R9" s="168"/>
      <c r="S9" s="168"/>
      <c r="V9" s="175" t="s">
        <v>698</v>
      </c>
      <c r="W9" s="688">
        <f>'Rate Spread Lighting'!$Z$27*1000</f>
        <v>1803147.2809036081</v>
      </c>
      <c r="X9" s="689">
        <f>'[1]Exhibit No.__(BDJ-MYRP)'!$O$143</f>
        <v>61382000</v>
      </c>
      <c r="Y9" s="167">
        <f>ROUND(W9/X9,6)</f>
        <v>2.9375999999999999E-2</v>
      </c>
      <c r="AA9" s="717">
        <v>2389767</v>
      </c>
      <c r="AB9" s="718">
        <f>W9-AA9</f>
        <v>-586619.71909639193</v>
      </c>
      <c r="AD9" s="720">
        <v>61382000</v>
      </c>
      <c r="AE9" s="718">
        <f>X9-AD9</f>
        <v>0</v>
      </c>
      <c r="AG9" s="721">
        <v>3.8933000000000002E-2</v>
      </c>
      <c r="AH9" s="722">
        <f>Y9-AG9</f>
        <v>-9.557000000000003E-3</v>
      </c>
    </row>
    <row r="10" spans="1:34" ht="10.8" thickBot="1" x14ac:dyDescent="0.25">
      <c r="A10" s="613">
        <f t="shared" si="0"/>
        <v>3</v>
      </c>
      <c r="B10" s="596"/>
      <c r="C10" s="175"/>
      <c r="D10" s="363"/>
      <c r="E10" s="170"/>
      <c r="F10" s="364"/>
      <c r="G10" s="397"/>
      <c r="H10" s="169"/>
      <c r="I10" s="596"/>
      <c r="J10" s="726"/>
      <c r="K10" s="168"/>
      <c r="L10" s="169"/>
      <c r="M10" s="596"/>
      <c r="N10" s="726"/>
      <c r="O10" s="168"/>
      <c r="P10" s="169"/>
      <c r="Q10" s="596"/>
      <c r="R10" s="168"/>
      <c r="S10" s="168"/>
      <c r="V10" s="175" t="s">
        <v>699</v>
      </c>
      <c r="W10" s="363"/>
      <c r="X10" s="364"/>
      <c r="Y10" s="167"/>
      <c r="AA10" s="719"/>
      <c r="AB10" s="707"/>
      <c r="AD10" s="719"/>
      <c r="AE10" s="707"/>
      <c r="AG10" s="719"/>
      <c r="AH10" s="707"/>
    </row>
    <row r="11" spans="1:34" x14ac:dyDescent="0.2">
      <c r="A11" s="613">
        <f t="shared" si="0"/>
        <v>4</v>
      </c>
      <c r="B11" s="164" t="s">
        <v>134</v>
      </c>
      <c r="C11" s="164"/>
      <c r="F11" s="364"/>
      <c r="G11" s="399"/>
      <c r="H11" s="596"/>
      <c r="I11" s="244"/>
      <c r="J11" s="727"/>
      <c r="L11" s="596"/>
      <c r="M11" s="244"/>
      <c r="N11" s="727"/>
      <c r="P11" s="596"/>
      <c r="Q11" s="244"/>
    </row>
    <row r="12" spans="1:34" x14ac:dyDescent="0.2">
      <c r="A12" s="613">
        <f t="shared" si="0"/>
        <v>5</v>
      </c>
      <c r="B12" s="164">
        <f>'WP1 Light Inventory'!A9</f>
        <v>3</v>
      </c>
      <c r="C12" s="164"/>
      <c r="D12" s="327" t="str">
        <f>'WP1 Light Inventory'!D9</f>
        <v>Compact Fluorescent</v>
      </c>
      <c r="E12" s="165" t="str">
        <f>'WP1 Light Inventory'!E9</f>
        <v>CF 22</v>
      </c>
      <c r="F12" s="364">
        <f>'WP1 Light Inventory'!J9</f>
        <v>59</v>
      </c>
      <c r="G12" s="366">
        <f>'WP12 Condensed Sch. Level Costs'!O8</f>
        <v>7.7</v>
      </c>
      <c r="H12" s="339">
        <f>$Y$8</f>
        <v>8.3250000000000008E-3</v>
      </c>
      <c r="I12" s="295">
        <f>+F12*J12*12</f>
        <v>42.480000000000004</v>
      </c>
      <c r="J12" s="727">
        <f>ROUND(+H12*G12,2)</f>
        <v>0.06</v>
      </c>
      <c r="L12" s="339">
        <f>$Y$9</f>
        <v>2.9375999999999999E-2</v>
      </c>
      <c r="M12" s="295">
        <f>+F12*N12*12</f>
        <v>162.84</v>
      </c>
      <c r="N12" s="727">
        <f>ROUND(+L12*G12,2)</f>
        <v>0.23</v>
      </c>
      <c r="P12" s="176"/>
      <c r="Q12" s="295"/>
      <c r="T12" s="613" t="s">
        <v>1124</v>
      </c>
    </row>
    <row r="13" spans="1:34" x14ac:dyDescent="0.2">
      <c r="A13" s="613">
        <f t="shared" si="0"/>
        <v>6</v>
      </c>
      <c r="B13" s="164"/>
      <c r="C13" s="164"/>
      <c r="D13" s="327"/>
      <c r="E13" s="165"/>
      <c r="F13" s="364"/>
      <c r="G13" s="399"/>
      <c r="H13" s="342"/>
      <c r="I13" s="295"/>
      <c r="J13" s="727"/>
      <c r="L13" s="342"/>
      <c r="M13" s="295"/>
      <c r="N13" s="727"/>
      <c r="P13" s="342"/>
      <c r="Q13" s="295"/>
    </row>
    <row r="14" spans="1:34" x14ac:dyDescent="0.2">
      <c r="A14" s="613">
        <f t="shared" si="0"/>
        <v>7</v>
      </c>
      <c r="B14" s="164" t="str">
        <f>'WP1 Light Inventory'!A11</f>
        <v>50E-A</v>
      </c>
      <c r="C14" s="164"/>
      <c r="D14" s="327" t="str">
        <f>'WP1 Light Inventory'!D11</f>
        <v>Mercury Vapor</v>
      </c>
      <c r="E14" s="165" t="str">
        <f>'WP1 Light Inventory'!E11</f>
        <v>MV 100</v>
      </c>
      <c r="F14" s="364">
        <f>'WP1 Light Inventory'!J11</f>
        <v>2</v>
      </c>
      <c r="G14" s="366">
        <f>'WP12 Condensed Sch. Level Costs'!O10</f>
        <v>35</v>
      </c>
      <c r="H14" s="339">
        <f t="shared" ref="H14:H16" si="1">$Y$8</f>
        <v>8.3250000000000008E-3</v>
      </c>
      <c r="I14" s="295">
        <f t="shared" ref="I14:I16" si="2">+F14*J14*12</f>
        <v>6.9599999999999991</v>
      </c>
      <c r="J14" s="727">
        <f t="shared" ref="J14:J16" si="3">ROUND(+H14*G14,2)</f>
        <v>0.28999999999999998</v>
      </c>
      <c r="L14" s="339">
        <f t="shared" ref="L14:L16" si="4">$Y$9</f>
        <v>2.9375999999999999E-2</v>
      </c>
      <c r="M14" s="295">
        <f t="shared" ref="M14:M16" si="5">+F14*N14*12</f>
        <v>24.72</v>
      </c>
      <c r="N14" s="727">
        <f t="shared" ref="N14:N16" si="6">ROUND(+L14*G14,2)</f>
        <v>1.03</v>
      </c>
      <c r="P14" s="176"/>
      <c r="Q14" s="295"/>
      <c r="T14" s="613" t="s">
        <v>1124</v>
      </c>
    </row>
    <row r="15" spans="1:34" x14ac:dyDescent="0.2">
      <c r="A15" s="613">
        <f t="shared" si="0"/>
        <v>8</v>
      </c>
      <c r="B15" s="164" t="str">
        <f>'WP1 Light Inventory'!A12</f>
        <v>50E-A</v>
      </c>
      <c r="C15" s="164"/>
      <c r="D15" s="327" t="str">
        <f>'WP1 Light Inventory'!D12</f>
        <v>Mercury Vapor</v>
      </c>
      <c r="E15" s="165" t="str">
        <f>'WP1 Light Inventory'!E12</f>
        <v>MV 175</v>
      </c>
      <c r="F15" s="364">
        <f>'WP1 Light Inventory'!J12</f>
        <v>19</v>
      </c>
      <c r="G15" s="366">
        <f>'WP12 Condensed Sch. Level Costs'!O11</f>
        <v>61.25</v>
      </c>
      <c r="H15" s="339">
        <f t="shared" si="1"/>
        <v>8.3250000000000008E-3</v>
      </c>
      <c r="I15" s="295">
        <f t="shared" si="2"/>
        <v>116.28</v>
      </c>
      <c r="J15" s="727">
        <f t="shared" si="3"/>
        <v>0.51</v>
      </c>
      <c r="L15" s="339">
        <f t="shared" si="4"/>
        <v>2.9375999999999999E-2</v>
      </c>
      <c r="M15" s="295">
        <f t="shared" si="5"/>
        <v>410.40000000000003</v>
      </c>
      <c r="N15" s="727">
        <f t="shared" si="6"/>
        <v>1.8</v>
      </c>
      <c r="P15" s="176"/>
      <c r="Q15" s="295"/>
      <c r="T15" s="613" t="s">
        <v>1124</v>
      </c>
    </row>
    <row r="16" spans="1:34" x14ac:dyDescent="0.2">
      <c r="A16" s="613">
        <f t="shared" si="0"/>
        <v>9</v>
      </c>
      <c r="B16" s="164" t="str">
        <f>'WP1 Light Inventory'!A13</f>
        <v>50E-A</v>
      </c>
      <c r="C16" s="164"/>
      <c r="D16" s="327" t="str">
        <f>'WP1 Light Inventory'!D13</f>
        <v>Mercury Vapor</v>
      </c>
      <c r="E16" s="165" t="str">
        <f>'WP1 Light Inventory'!E13</f>
        <v>MV 400</v>
      </c>
      <c r="F16" s="364">
        <f>'WP1 Light Inventory'!J13</f>
        <v>20</v>
      </c>
      <c r="G16" s="366">
        <f>'WP12 Condensed Sch. Level Costs'!O12</f>
        <v>140</v>
      </c>
      <c r="H16" s="339">
        <f t="shared" si="1"/>
        <v>8.3250000000000008E-3</v>
      </c>
      <c r="I16" s="295">
        <f t="shared" si="2"/>
        <v>280.79999999999995</v>
      </c>
      <c r="J16" s="727">
        <f t="shared" si="3"/>
        <v>1.17</v>
      </c>
      <c r="L16" s="339">
        <f t="shared" si="4"/>
        <v>2.9375999999999999E-2</v>
      </c>
      <c r="M16" s="295">
        <f t="shared" si="5"/>
        <v>986.40000000000009</v>
      </c>
      <c r="N16" s="727">
        <f t="shared" si="6"/>
        <v>4.1100000000000003</v>
      </c>
      <c r="P16" s="176"/>
      <c r="Q16" s="295"/>
      <c r="T16" s="613" t="s">
        <v>1124</v>
      </c>
    </row>
    <row r="17" spans="1:20" x14ac:dyDescent="0.2">
      <c r="A17" s="613">
        <f t="shared" si="0"/>
        <v>10</v>
      </c>
      <c r="B17" s="164"/>
      <c r="C17" s="164"/>
      <c r="D17" s="327"/>
      <c r="E17" s="165"/>
      <c r="F17" s="364"/>
      <c r="G17" s="399"/>
      <c r="H17" s="342"/>
      <c r="I17" s="295"/>
      <c r="J17" s="727"/>
      <c r="L17" s="342"/>
      <c r="M17" s="295"/>
      <c r="N17" s="727"/>
      <c r="P17" s="342"/>
      <c r="Q17" s="295"/>
    </row>
    <row r="18" spans="1:20" x14ac:dyDescent="0.2">
      <c r="A18" s="613">
        <f t="shared" si="0"/>
        <v>11</v>
      </c>
      <c r="B18" s="164" t="str">
        <f>'WP1 Light Inventory'!A15</f>
        <v>50E-B</v>
      </c>
      <c r="C18" s="164" t="str">
        <f>'WP1 Light Inventory'!C15</f>
        <v>Energy Only</v>
      </c>
      <c r="D18" s="327" t="str">
        <f>'WP1 Light Inventory'!D15</f>
        <v>Mercury Vapor</v>
      </c>
      <c r="E18" s="165" t="str">
        <f>'WP1 Light Inventory'!E15</f>
        <v>MV 100</v>
      </c>
      <c r="F18" s="364">
        <f>'WP1 Light Inventory'!J15</f>
        <v>0</v>
      </c>
      <c r="G18" s="366">
        <f>'WP12 Condensed Sch. Level Costs'!O14</f>
        <v>35</v>
      </c>
      <c r="H18" s="339">
        <f t="shared" ref="H18:H21" si="7">$Y$8</f>
        <v>8.3250000000000008E-3</v>
      </c>
      <c r="I18" s="295">
        <f t="shared" ref="I18:I21" si="8">+F18*J18*12</f>
        <v>0</v>
      </c>
      <c r="J18" s="727">
        <f t="shared" ref="J18:J21" si="9">ROUND(+H18*G18,2)</f>
        <v>0.28999999999999998</v>
      </c>
      <c r="L18" s="339">
        <f t="shared" ref="L18:L21" si="10">$Y$9</f>
        <v>2.9375999999999999E-2</v>
      </c>
      <c r="M18" s="295">
        <f t="shared" ref="M18:M21" si="11">+F18*N18*12</f>
        <v>0</v>
      </c>
      <c r="N18" s="727">
        <f t="shared" ref="N18:N21" si="12">ROUND(+L18*G18,2)</f>
        <v>1.03</v>
      </c>
      <c r="P18" s="176"/>
      <c r="Q18" s="295"/>
      <c r="T18" s="613" t="s">
        <v>1124</v>
      </c>
    </row>
    <row r="19" spans="1:20" x14ac:dyDescent="0.2">
      <c r="A19" s="613">
        <f t="shared" si="0"/>
        <v>12</v>
      </c>
      <c r="B19" s="164" t="str">
        <f>'WP1 Light Inventory'!A16</f>
        <v>50E-B</v>
      </c>
      <c r="C19" s="164" t="str">
        <f>'WP1 Light Inventory'!C16</f>
        <v>Energy Only</v>
      </c>
      <c r="D19" s="327" t="str">
        <f>'WP1 Light Inventory'!D16</f>
        <v>Mercury Vapor</v>
      </c>
      <c r="E19" s="165" t="str">
        <f>'WP1 Light Inventory'!E16</f>
        <v>MV 175</v>
      </c>
      <c r="F19" s="364">
        <f>'WP1 Light Inventory'!J16</f>
        <v>1</v>
      </c>
      <c r="G19" s="366">
        <f>'WP12 Condensed Sch. Level Costs'!O15</f>
        <v>61.25</v>
      </c>
      <c r="H19" s="339">
        <f t="shared" si="7"/>
        <v>8.3250000000000008E-3</v>
      </c>
      <c r="I19" s="295">
        <f t="shared" si="8"/>
        <v>6.12</v>
      </c>
      <c r="J19" s="727">
        <f t="shared" si="9"/>
        <v>0.51</v>
      </c>
      <c r="L19" s="339">
        <f t="shared" si="10"/>
        <v>2.9375999999999999E-2</v>
      </c>
      <c r="M19" s="295">
        <f t="shared" si="11"/>
        <v>21.6</v>
      </c>
      <c r="N19" s="727">
        <f t="shared" si="12"/>
        <v>1.8</v>
      </c>
      <c r="P19" s="176"/>
      <c r="Q19" s="295"/>
      <c r="T19" s="613" t="s">
        <v>1124</v>
      </c>
    </row>
    <row r="20" spans="1:20" x14ac:dyDescent="0.2">
      <c r="A20" s="613">
        <f t="shared" si="0"/>
        <v>13</v>
      </c>
      <c r="B20" s="164" t="str">
        <f>'WP1 Light Inventory'!A17</f>
        <v>50E-B</v>
      </c>
      <c r="C20" s="164" t="str">
        <f>'WP1 Light Inventory'!C17</f>
        <v>Energy Only</v>
      </c>
      <c r="D20" s="327" t="str">
        <f>'WP1 Light Inventory'!D17</f>
        <v>Mercury Vapor</v>
      </c>
      <c r="E20" s="165" t="str">
        <f>'WP1 Light Inventory'!E17</f>
        <v>MV 400</v>
      </c>
      <c r="F20" s="364">
        <f>'WP1 Light Inventory'!J17</f>
        <v>0</v>
      </c>
      <c r="G20" s="366">
        <f>'WP12 Condensed Sch. Level Costs'!O16</f>
        <v>140</v>
      </c>
      <c r="H20" s="339">
        <f t="shared" si="7"/>
        <v>8.3250000000000008E-3</v>
      </c>
      <c r="I20" s="295">
        <f t="shared" si="8"/>
        <v>0</v>
      </c>
      <c r="J20" s="727">
        <f t="shared" si="9"/>
        <v>1.17</v>
      </c>
      <c r="L20" s="339">
        <f t="shared" si="10"/>
        <v>2.9375999999999999E-2</v>
      </c>
      <c r="M20" s="295">
        <f t="shared" si="11"/>
        <v>0</v>
      </c>
      <c r="N20" s="727">
        <f t="shared" si="12"/>
        <v>4.1100000000000003</v>
      </c>
      <c r="P20" s="176"/>
      <c r="Q20" s="295"/>
      <c r="T20" s="613" t="s">
        <v>1124</v>
      </c>
    </row>
    <row r="21" spans="1:20" x14ac:dyDescent="0.2">
      <c r="A21" s="613">
        <f t="shared" si="0"/>
        <v>14</v>
      </c>
      <c r="B21" s="164" t="str">
        <f>'WP1 Light Inventory'!A18</f>
        <v>50E-B</v>
      </c>
      <c r="C21" s="164" t="str">
        <f>'WP1 Light Inventory'!C18</f>
        <v>Energy Only</v>
      </c>
      <c r="D21" s="327" t="str">
        <f>'WP1 Light Inventory'!D18</f>
        <v>Mercury Vapor</v>
      </c>
      <c r="E21" s="165" t="str">
        <f>'WP1 Light Inventory'!E18</f>
        <v>MV 700</v>
      </c>
      <c r="F21" s="364">
        <f>'WP1 Light Inventory'!J18</f>
        <v>0</v>
      </c>
      <c r="G21" s="366">
        <f>'WP12 Condensed Sch. Level Costs'!O17</f>
        <v>245</v>
      </c>
      <c r="H21" s="339">
        <f t="shared" si="7"/>
        <v>8.3250000000000008E-3</v>
      </c>
      <c r="I21" s="295">
        <f t="shared" si="8"/>
        <v>0</v>
      </c>
      <c r="J21" s="727">
        <f t="shared" si="9"/>
        <v>2.04</v>
      </c>
      <c r="L21" s="339">
        <f t="shared" si="10"/>
        <v>2.9375999999999999E-2</v>
      </c>
      <c r="M21" s="295">
        <f t="shared" si="11"/>
        <v>0</v>
      </c>
      <c r="N21" s="727">
        <f t="shared" si="12"/>
        <v>7.2</v>
      </c>
      <c r="P21" s="176"/>
      <c r="Q21" s="295"/>
      <c r="T21" s="613" t="s">
        <v>1124</v>
      </c>
    </row>
    <row r="22" spans="1:20" x14ac:dyDescent="0.2">
      <c r="A22" s="613">
        <f t="shared" si="0"/>
        <v>15</v>
      </c>
      <c r="B22" s="164"/>
      <c r="C22" s="164"/>
      <c r="D22" s="327"/>
      <c r="E22" s="165"/>
      <c r="F22" s="364"/>
      <c r="G22" s="399"/>
      <c r="H22" s="342"/>
      <c r="I22" s="295"/>
      <c r="J22" s="727"/>
      <c r="L22" s="342"/>
      <c r="M22" s="295"/>
      <c r="N22" s="727"/>
      <c r="P22" s="342"/>
      <c r="Q22" s="295"/>
    </row>
    <row r="23" spans="1:20" x14ac:dyDescent="0.2">
      <c r="A23" s="613">
        <f t="shared" si="0"/>
        <v>16</v>
      </c>
      <c r="B23" s="164" t="s">
        <v>135</v>
      </c>
      <c r="C23" s="164"/>
      <c r="D23" s="327"/>
      <c r="E23" s="165"/>
      <c r="F23" s="364"/>
      <c r="G23" s="399"/>
      <c r="H23" s="342"/>
      <c r="I23" s="295"/>
      <c r="J23" s="727"/>
      <c r="L23" s="342"/>
      <c r="M23" s="295"/>
      <c r="N23" s="727"/>
      <c r="P23" s="342"/>
      <c r="Q23" s="295"/>
    </row>
    <row r="24" spans="1:20" ht="11.25" customHeight="1" x14ac:dyDescent="0.2">
      <c r="A24" s="613">
        <f t="shared" si="0"/>
        <v>17</v>
      </c>
      <c r="B24" s="164" t="str">
        <f>'WP1 Light Inventory'!A20</f>
        <v>51E</v>
      </c>
      <c r="C24" s="164"/>
      <c r="D24" s="327" t="str">
        <f>'WP1 Light Inventory'!D20</f>
        <v>Light Emitting Diode</v>
      </c>
      <c r="E24" s="165" t="str">
        <f>'WP1 Light Inventory'!E20</f>
        <v>LED 0-030</v>
      </c>
      <c r="F24" s="364">
        <f>'WP1 Light Inventory'!J20</f>
        <v>0</v>
      </c>
      <c r="G24" s="366">
        <f>'WP12 Condensed Sch. Level Costs'!O19</f>
        <v>5.25</v>
      </c>
      <c r="H24" s="339">
        <f t="shared" ref="H24:H33" si="13">$Y$8</f>
        <v>8.3250000000000008E-3</v>
      </c>
      <c r="I24" s="295">
        <f t="shared" ref="I24:I33" si="14">+F24*J24*12</f>
        <v>0</v>
      </c>
      <c r="J24" s="727">
        <f t="shared" ref="J24:J33" si="15">ROUND(+H24*G24,2)</f>
        <v>0.04</v>
      </c>
      <c r="L24" s="339">
        <f t="shared" ref="L24:L33" si="16">$Y$9</f>
        <v>2.9375999999999999E-2</v>
      </c>
      <c r="M24" s="295">
        <f t="shared" ref="M24:M33" si="17">+F24*N24*12</f>
        <v>0</v>
      </c>
      <c r="N24" s="727">
        <f t="shared" ref="N24:N33" si="18">ROUND(+L24*G24,2)</f>
        <v>0.15</v>
      </c>
      <c r="P24" s="176"/>
      <c r="Q24" s="295"/>
      <c r="T24" s="613" t="s">
        <v>1125</v>
      </c>
    </row>
    <row r="25" spans="1:20" x14ac:dyDescent="0.2">
      <c r="A25" s="613">
        <f t="shared" si="0"/>
        <v>18</v>
      </c>
      <c r="B25" s="164" t="str">
        <f>'WP1 Light Inventory'!A21</f>
        <v>51E</v>
      </c>
      <c r="C25" s="164"/>
      <c r="D25" s="327" t="str">
        <f>'WP1 Light Inventory'!D21</f>
        <v>Light Emitting Diode</v>
      </c>
      <c r="E25" s="165" t="str">
        <f>'WP1 Light Inventory'!E21</f>
        <v>LED 030.01-060</v>
      </c>
      <c r="F25" s="364">
        <f>'WP1 Light Inventory'!J21</f>
        <v>4351</v>
      </c>
      <c r="G25" s="366">
        <f>'WP12 Condensed Sch. Level Costs'!O20</f>
        <v>15.75</v>
      </c>
      <c r="H25" s="339">
        <f t="shared" si="13"/>
        <v>8.3250000000000008E-3</v>
      </c>
      <c r="I25" s="295">
        <f t="shared" si="14"/>
        <v>6787.5599999999995</v>
      </c>
      <c r="J25" s="727">
        <f t="shared" si="15"/>
        <v>0.13</v>
      </c>
      <c r="L25" s="339">
        <f t="shared" si="16"/>
        <v>2.9375999999999999E-2</v>
      </c>
      <c r="M25" s="295">
        <f t="shared" si="17"/>
        <v>24017.52</v>
      </c>
      <c r="N25" s="727">
        <f t="shared" si="18"/>
        <v>0.46</v>
      </c>
      <c r="P25" s="176"/>
      <c r="Q25" s="295"/>
      <c r="T25" s="613" t="s">
        <v>1125</v>
      </c>
    </row>
    <row r="26" spans="1:20" x14ac:dyDescent="0.2">
      <c r="A26" s="613">
        <f t="shared" si="0"/>
        <v>19</v>
      </c>
      <c r="B26" s="164" t="str">
        <f>'WP1 Light Inventory'!A22</f>
        <v>51E</v>
      </c>
      <c r="C26" s="164"/>
      <c r="D26" s="327" t="str">
        <f>'WP1 Light Inventory'!D22</f>
        <v>Light Emitting Diode</v>
      </c>
      <c r="E26" s="165" t="str">
        <f>'WP1 Light Inventory'!E22</f>
        <v>LED 060.01-090</v>
      </c>
      <c r="F26" s="364">
        <f>'WP1 Light Inventory'!J22</f>
        <v>2380</v>
      </c>
      <c r="G26" s="366">
        <f>'WP12 Condensed Sch. Level Costs'!O21</f>
        <v>26.25</v>
      </c>
      <c r="H26" s="339">
        <f t="shared" si="13"/>
        <v>8.3250000000000008E-3</v>
      </c>
      <c r="I26" s="295">
        <f t="shared" si="14"/>
        <v>6283.2000000000007</v>
      </c>
      <c r="J26" s="727">
        <f t="shared" si="15"/>
        <v>0.22</v>
      </c>
      <c r="L26" s="339">
        <f t="shared" si="16"/>
        <v>2.9375999999999999E-2</v>
      </c>
      <c r="M26" s="295">
        <f t="shared" si="17"/>
        <v>21991.200000000001</v>
      </c>
      <c r="N26" s="727">
        <f t="shared" si="18"/>
        <v>0.77</v>
      </c>
      <c r="P26" s="176"/>
      <c r="Q26" s="295"/>
      <c r="T26" s="613" t="s">
        <v>1125</v>
      </c>
    </row>
    <row r="27" spans="1:20" x14ac:dyDescent="0.2">
      <c r="A27" s="613">
        <f t="shared" si="0"/>
        <v>20</v>
      </c>
      <c r="B27" s="164" t="str">
        <f>'WP1 Light Inventory'!A23</f>
        <v>51E</v>
      </c>
      <c r="C27" s="164"/>
      <c r="D27" s="327" t="str">
        <f>'WP1 Light Inventory'!D23</f>
        <v>Light Emitting Diode</v>
      </c>
      <c r="E27" s="165" t="str">
        <f>'WP1 Light Inventory'!E23</f>
        <v>LED 090.01-120</v>
      </c>
      <c r="F27" s="364">
        <f>'WP1 Light Inventory'!J23</f>
        <v>1030</v>
      </c>
      <c r="G27" s="366">
        <f>'WP12 Condensed Sch. Level Costs'!O22</f>
        <v>36.75</v>
      </c>
      <c r="H27" s="339">
        <f t="shared" si="13"/>
        <v>8.3250000000000008E-3</v>
      </c>
      <c r="I27" s="295">
        <f t="shared" si="14"/>
        <v>3831.6000000000004</v>
      </c>
      <c r="J27" s="727">
        <f t="shared" si="15"/>
        <v>0.31</v>
      </c>
      <c r="L27" s="339">
        <f t="shared" si="16"/>
        <v>2.9375999999999999E-2</v>
      </c>
      <c r="M27" s="295">
        <f t="shared" si="17"/>
        <v>13348.800000000001</v>
      </c>
      <c r="N27" s="727">
        <f t="shared" si="18"/>
        <v>1.08</v>
      </c>
      <c r="P27" s="176"/>
      <c r="Q27" s="295"/>
      <c r="T27" s="613" t="s">
        <v>1125</v>
      </c>
    </row>
    <row r="28" spans="1:20" x14ac:dyDescent="0.2">
      <c r="A28" s="613">
        <f t="shared" si="0"/>
        <v>21</v>
      </c>
      <c r="B28" s="164" t="str">
        <f>'WP1 Light Inventory'!A24</f>
        <v>51E</v>
      </c>
      <c r="C28" s="164"/>
      <c r="D28" s="327" t="str">
        <f>'WP1 Light Inventory'!D24</f>
        <v>Light Emitting Diode</v>
      </c>
      <c r="E28" s="165" t="str">
        <f>'WP1 Light Inventory'!E24</f>
        <v>LED 120.01-150</v>
      </c>
      <c r="F28" s="364">
        <f>'WP1 Light Inventory'!J24</f>
        <v>485</v>
      </c>
      <c r="G28" s="366">
        <f>'WP12 Condensed Sch. Level Costs'!O23</f>
        <v>47.25</v>
      </c>
      <c r="H28" s="339">
        <f t="shared" si="13"/>
        <v>8.3250000000000008E-3</v>
      </c>
      <c r="I28" s="295">
        <f t="shared" si="14"/>
        <v>2269.8000000000002</v>
      </c>
      <c r="J28" s="727">
        <f t="shared" si="15"/>
        <v>0.39</v>
      </c>
      <c r="L28" s="339">
        <f t="shared" si="16"/>
        <v>2.9375999999999999E-2</v>
      </c>
      <c r="M28" s="295">
        <f t="shared" si="17"/>
        <v>8089.7999999999993</v>
      </c>
      <c r="N28" s="727">
        <f t="shared" si="18"/>
        <v>1.39</v>
      </c>
      <c r="P28" s="176"/>
      <c r="Q28" s="295"/>
      <c r="T28" s="613" t="s">
        <v>1125</v>
      </c>
    </row>
    <row r="29" spans="1:20" x14ac:dyDescent="0.2">
      <c r="A29" s="613">
        <f t="shared" si="0"/>
        <v>22</v>
      </c>
      <c r="B29" s="164" t="str">
        <f>'WP1 Light Inventory'!A25</f>
        <v>51E</v>
      </c>
      <c r="C29" s="164"/>
      <c r="D29" s="327" t="str">
        <f>'WP1 Light Inventory'!D25</f>
        <v>Light Emitting Diode</v>
      </c>
      <c r="E29" s="165" t="str">
        <f>'WP1 Light Inventory'!E25</f>
        <v>LED 150.01-180</v>
      </c>
      <c r="F29" s="364">
        <f>'WP1 Light Inventory'!J25</f>
        <v>69</v>
      </c>
      <c r="G29" s="366">
        <f>'WP12 Condensed Sch. Level Costs'!O24</f>
        <v>57.75</v>
      </c>
      <c r="H29" s="339">
        <f t="shared" si="13"/>
        <v>8.3250000000000008E-3</v>
      </c>
      <c r="I29" s="295">
        <f t="shared" si="14"/>
        <v>397.43999999999994</v>
      </c>
      <c r="J29" s="727">
        <f t="shared" si="15"/>
        <v>0.48</v>
      </c>
      <c r="L29" s="339">
        <f t="shared" si="16"/>
        <v>2.9375999999999999E-2</v>
      </c>
      <c r="M29" s="295">
        <f t="shared" si="17"/>
        <v>1407.6</v>
      </c>
      <c r="N29" s="727">
        <f t="shared" si="18"/>
        <v>1.7</v>
      </c>
      <c r="P29" s="176"/>
      <c r="Q29" s="295"/>
      <c r="T29" s="613" t="s">
        <v>1125</v>
      </c>
    </row>
    <row r="30" spans="1:20" x14ac:dyDescent="0.2">
      <c r="A30" s="613">
        <f t="shared" si="0"/>
        <v>23</v>
      </c>
      <c r="B30" s="164" t="str">
        <f>'WP1 Light Inventory'!A26</f>
        <v>51E</v>
      </c>
      <c r="C30" s="164"/>
      <c r="D30" s="327" t="str">
        <f>'WP1 Light Inventory'!D26</f>
        <v>Light Emitting Diode</v>
      </c>
      <c r="E30" s="165" t="str">
        <f>'WP1 Light Inventory'!E26</f>
        <v>LED 180.01-210</v>
      </c>
      <c r="F30" s="364">
        <f>'WP1 Light Inventory'!J26</f>
        <v>201</v>
      </c>
      <c r="G30" s="366">
        <f>'WP12 Condensed Sch. Level Costs'!O25</f>
        <v>68.25</v>
      </c>
      <c r="H30" s="339">
        <f t="shared" si="13"/>
        <v>8.3250000000000008E-3</v>
      </c>
      <c r="I30" s="295">
        <f t="shared" si="14"/>
        <v>1374.84</v>
      </c>
      <c r="J30" s="727">
        <f t="shared" si="15"/>
        <v>0.56999999999999995</v>
      </c>
      <c r="L30" s="339">
        <f t="shared" si="16"/>
        <v>2.9375999999999999E-2</v>
      </c>
      <c r="M30" s="295">
        <f t="shared" si="17"/>
        <v>4824</v>
      </c>
      <c r="N30" s="727">
        <f t="shared" si="18"/>
        <v>2</v>
      </c>
      <c r="P30" s="176"/>
      <c r="Q30" s="295"/>
      <c r="T30" s="613" t="s">
        <v>1125</v>
      </c>
    </row>
    <row r="31" spans="1:20" x14ac:dyDescent="0.2">
      <c r="A31" s="613">
        <f t="shared" si="0"/>
        <v>24</v>
      </c>
      <c r="B31" s="164" t="str">
        <f>'WP1 Light Inventory'!A27</f>
        <v>51E</v>
      </c>
      <c r="C31" s="164"/>
      <c r="D31" s="327" t="str">
        <f>'WP1 Light Inventory'!D27</f>
        <v>Light Emitting Diode</v>
      </c>
      <c r="E31" s="165" t="str">
        <f>'WP1 Light Inventory'!E27</f>
        <v>LED 210.01-240</v>
      </c>
      <c r="F31" s="364">
        <f>'WP1 Light Inventory'!J27</f>
        <v>59</v>
      </c>
      <c r="G31" s="366">
        <f>'WP12 Condensed Sch. Level Costs'!O26</f>
        <v>78.75</v>
      </c>
      <c r="H31" s="339">
        <f t="shared" si="13"/>
        <v>8.3250000000000008E-3</v>
      </c>
      <c r="I31" s="295">
        <f t="shared" si="14"/>
        <v>467.28000000000009</v>
      </c>
      <c r="J31" s="727">
        <f t="shared" si="15"/>
        <v>0.66</v>
      </c>
      <c r="L31" s="339">
        <f t="shared" si="16"/>
        <v>2.9375999999999999E-2</v>
      </c>
      <c r="M31" s="295">
        <f t="shared" si="17"/>
        <v>1635.48</v>
      </c>
      <c r="N31" s="727">
        <f t="shared" si="18"/>
        <v>2.31</v>
      </c>
      <c r="P31" s="176"/>
      <c r="Q31" s="295"/>
      <c r="T31" s="613" t="s">
        <v>1125</v>
      </c>
    </row>
    <row r="32" spans="1:20" x14ac:dyDescent="0.2">
      <c r="A32" s="613">
        <f t="shared" si="0"/>
        <v>25</v>
      </c>
      <c r="B32" s="164" t="str">
        <f>'WP1 Light Inventory'!A28</f>
        <v>51E</v>
      </c>
      <c r="C32" s="164"/>
      <c r="D32" s="327" t="str">
        <f>'WP1 Light Inventory'!D28</f>
        <v>Light Emitting Diode</v>
      </c>
      <c r="E32" s="165" t="str">
        <f>'WP1 Light Inventory'!E28</f>
        <v>LED 240.01-270</v>
      </c>
      <c r="F32" s="364">
        <f>'WP1 Light Inventory'!J28</f>
        <v>8</v>
      </c>
      <c r="G32" s="366">
        <f>'WP12 Condensed Sch. Level Costs'!O27</f>
        <v>89.25</v>
      </c>
      <c r="H32" s="339">
        <f t="shared" si="13"/>
        <v>8.3250000000000008E-3</v>
      </c>
      <c r="I32" s="295">
        <f t="shared" si="14"/>
        <v>71.039999999999992</v>
      </c>
      <c r="J32" s="727">
        <f t="shared" si="15"/>
        <v>0.74</v>
      </c>
      <c r="L32" s="339">
        <f t="shared" si="16"/>
        <v>2.9375999999999999E-2</v>
      </c>
      <c r="M32" s="295">
        <f t="shared" si="17"/>
        <v>251.52</v>
      </c>
      <c r="N32" s="727">
        <f t="shared" si="18"/>
        <v>2.62</v>
      </c>
      <c r="P32" s="176"/>
      <c r="Q32" s="295"/>
      <c r="T32" s="613" t="s">
        <v>1125</v>
      </c>
    </row>
    <row r="33" spans="1:20" x14ac:dyDescent="0.2">
      <c r="A33" s="613">
        <f t="shared" si="0"/>
        <v>26</v>
      </c>
      <c r="B33" s="164" t="str">
        <f>'WP1 Light Inventory'!A29</f>
        <v>51E</v>
      </c>
      <c r="C33" s="164"/>
      <c r="D33" s="327" t="str">
        <f>'WP1 Light Inventory'!D29</f>
        <v>Light Emitting Diode</v>
      </c>
      <c r="E33" s="165" t="str">
        <f>'WP1 Light Inventory'!E29</f>
        <v>LED 270.01-300</v>
      </c>
      <c r="F33" s="364">
        <f>'WP1 Light Inventory'!J29</f>
        <v>79</v>
      </c>
      <c r="G33" s="366">
        <f>'WP12 Condensed Sch. Level Costs'!O28</f>
        <v>99.75</v>
      </c>
      <c r="H33" s="339">
        <f t="shared" si="13"/>
        <v>8.3250000000000008E-3</v>
      </c>
      <c r="I33" s="295">
        <f t="shared" si="14"/>
        <v>786.83999999999992</v>
      </c>
      <c r="J33" s="727">
        <f t="shared" si="15"/>
        <v>0.83</v>
      </c>
      <c r="L33" s="339">
        <f t="shared" si="16"/>
        <v>2.9375999999999999E-2</v>
      </c>
      <c r="M33" s="295">
        <f t="shared" si="17"/>
        <v>2777.64</v>
      </c>
      <c r="N33" s="727">
        <f t="shared" si="18"/>
        <v>2.93</v>
      </c>
      <c r="P33" s="176"/>
      <c r="Q33" s="295"/>
      <c r="T33" s="613" t="s">
        <v>1125</v>
      </c>
    </row>
    <row r="34" spans="1:20" x14ac:dyDescent="0.2">
      <c r="A34" s="613">
        <f t="shared" si="0"/>
        <v>27</v>
      </c>
      <c r="B34" s="164"/>
      <c r="C34" s="164"/>
      <c r="D34" s="327"/>
      <c r="E34" s="165"/>
      <c r="F34" s="364"/>
      <c r="G34" s="399"/>
      <c r="H34" s="342"/>
      <c r="I34" s="295"/>
      <c r="J34" s="727"/>
      <c r="L34" s="342"/>
      <c r="M34" s="295"/>
      <c r="N34" s="727"/>
      <c r="P34" s="342"/>
      <c r="Q34" s="295"/>
    </row>
    <row r="35" spans="1:20" x14ac:dyDescent="0.2">
      <c r="A35" s="613">
        <f t="shared" si="0"/>
        <v>28</v>
      </c>
      <c r="B35" s="164" t="str">
        <f>'WP1 Light Inventory'!A31</f>
        <v>51E</v>
      </c>
      <c r="C35" s="327" t="str">
        <f>'WP1 Light Inventory'!C31</f>
        <v>SMART LIGHT</v>
      </c>
      <c r="D35" s="327" t="str">
        <f>'WP1 Light Inventory'!D31</f>
        <v>Light Emitting Diode</v>
      </c>
      <c r="E35" s="165" t="str">
        <f>'WP1 Light Inventory'!E31</f>
        <v>LED 0-030</v>
      </c>
      <c r="F35" s="364">
        <f>'WP1 Light Inventory'!J31</f>
        <v>0</v>
      </c>
      <c r="G35" s="366">
        <f>'WP12 Condensed Sch. Level Costs'!O30</f>
        <v>5.25</v>
      </c>
      <c r="H35" s="339">
        <f t="shared" ref="H35:H44" si="19">$Y$8</f>
        <v>8.3250000000000008E-3</v>
      </c>
      <c r="I35" s="295"/>
      <c r="J35" s="727"/>
      <c r="L35" s="339">
        <f t="shared" ref="L35:L44" si="20">$Y$9</f>
        <v>2.9375999999999999E-2</v>
      </c>
      <c r="M35" s="295"/>
      <c r="N35" s="727"/>
      <c r="P35" s="176"/>
      <c r="Q35" s="295"/>
      <c r="T35" s="613" t="s">
        <v>1125</v>
      </c>
    </row>
    <row r="36" spans="1:20" ht="10.5" customHeight="1" x14ac:dyDescent="0.2">
      <c r="A36" s="613">
        <f t="shared" si="0"/>
        <v>29</v>
      </c>
      <c r="B36" s="164" t="str">
        <f>'WP1 Light Inventory'!A32</f>
        <v>51E</v>
      </c>
      <c r="C36" s="327" t="str">
        <f>'WP1 Light Inventory'!C32</f>
        <v>SMART LIGHT</v>
      </c>
      <c r="D36" s="327" t="str">
        <f>'WP1 Light Inventory'!D32</f>
        <v>Light Emitting Diode</v>
      </c>
      <c r="E36" s="165" t="str">
        <f>'WP1 Light Inventory'!E32</f>
        <v>LED 030.01-060</v>
      </c>
      <c r="F36" s="364">
        <f>'WP1 Light Inventory'!J32</f>
        <v>0</v>
      </c>
      <c r="G36" s="366">
        <f>'WP12 Condensed Sch. Level Costs'!O31</f>
        <v>15.75</v>
      </c>
      <c r="H36" s="339">
        <f t="shared" si="19"/>
        <v>8.3250000000000008E-3</v>
      </c>
      <c r="I36" s="295"/>
      <c r="J36" s="727"/>
      <c r="L36" s="339">
        <f t="shared" si="20"/>
        <v>2.9375999999999999E-2</v>
      </c>
      <c r="M36" s="295"/>
      <c r="N36" s="727"/>
      <c r="P36" s="176"/>
      <c r="Q36" s="295"/>
      <c r="T36" s="613" t="s">
        <v>1125</v>
      </c>
    </row>
    <row r="37" spans="1:20" ht="10.5" customHeight="1" x14ac:dyDescent="0.2">
      <c r="A37" s="613">
        <f t="shared" si="0"/>
        <v>30</v>
      </c>
      <c r="B37" s="164" t="str">
        <f>'WP1 Light Inventory'!A33</f>
        <v>51E</v>
      </c>
      <c r="C37" s="327" t="str">
        <f>'WP1 Light Inventory'!C33</f>
        <v>SMART LIGHT</v>
      </c>
      <c r="D37" s="327" t="str">
        <f>'WP1 Light Inventory'!D33</f>
        <v>Light Emitting Diode</v>
      </c>
      <c r="E37" s="165" t="str">
        <f>'WP1 Light Inventory'!E33</f>
        <v>LED 060.01-090</v>
      </c>
      <c r="F37" s="364">
        <f>'WP1 Light Inventory'!J33</f>
        <v>0</v>
      </c>
      <c r="G37" s="366">
        <f>'WP12 Condensed Sch. Level Costs'!O32</f>
        <v>26.25</v>
      </c>
      <c r="H37" s="339">
        <f t="shared" si="19"/>
        <v>8.3250000000000008E-3</v>
      </c>
      <c r="I37" s="295"/>
      <c r="J37" s="727"/>
      <c r="L37" s="339">
        <f t="shared" si="20"/>
        <v>2.9375999999999999E-2</v>
      </c>
      <c r="M37" s="295"/>
      <c r="N37" s="727"/>
      <c r="P37" s="176"/>
      <c r="Q37" s="295"/>
      <c r="T37" s="613" t="s">
        <v>1125</v>
      </c>
    </row>
    <row r="38" spans="1:20" ht="10.5" customHeight="1" x14ac:dyDescent="0.2">
      <c r="A38" s="613">
        <f t="shared" si="0"/>
        <v>31</v>
      </c>
      <c r="B38" s="164" t="str">
        <f>'WP1 Light Inventory'!A34</f>
        <v>51E</v>
      </c>
      <c r="C38" s="327" t="str">
        <f>'WP1 Light Inventory'!C34</f>
        <v>SMART LIGHT</v>
      </c>
      <c r="D38" s="327" t="str">
        <f>'WP1 Light Inventory'!D34</f>
        <v>Light Emitting Diode</v>
      </c>
      <c r="E38" s="165" t="str">
        <f>'WP1 Light Inventory'!E34</f>
        <v>LED 090.01-120</v>
      </c>
      <c r="F38" s="364">
        <f>'WP1 Light Inventory'!J34</f>
        <v>0</v>
      </c>
      <c r="G38" s="366">
        <f>'WP12 Condensed Sch. Level Costs'!O33</f>
        <v>36.75</v>
      </c>
      <c r="H38" s="339">
        <f t="shared" si="19"/>
        <v>8.3250000000000008E-3</v>
      </c>
      <c r="I38" s="295"/>
      <c r="J38" s="727"/>
      <c r="L38" s="339">
        <f t="shared" si="20"/>
        <v>2.9375999999999999E-2</v>
      </c>
      <c r="M38" s="295"/>
      <c r="N38" s="727"/>
      <c r="P38" s="176"/>
      <c r="Q38" s="295"/>
      <c r="T38" s="613" t="s">
        <v>1125</v>
      </c>
    </row>
    <row r="39" spans="1:20" ht="10.5" customHeight="1" x14ac:dyDescent="0.2">
      <c r="A39" s="613">
        <f t="shared" si="0"/>
        <v>32</v>
      </c>
      <c r="B39" s="164" t="str">
        <f>'WP1 Light Inventory'!A35</f>
        <v>51E</v>
      </c>
      <c r="C39" s="327" t="str">
        <f>'WP1 Light Inventory'!C35</f>
        <v>SMART LIGHT</v>
      </c>
      <c r="D39" s="327" t="str">
        <f>'WP1 Light Inventory'!D35</f>
        <v>Light Emitting Diode</v>
      </c>
      <c r="E39" s="165" t="str">
        <f>'WP1 Light Inventory'!E35</f>
        <v>LED 120.01-150</v>
      </c>
      <c r="F39" s="364">
        <f>'WP1 Light Inventory'!J35</f>
        <v>0</v>
      </c>
      <c r="G39" s="366">
        <f>'WP12 Condensed Sch. Level Costs'!O34</f>
        <v>47.25</v>
      </c>
      <c r="H39" s="339">
        <f t="shared" si="19"/>
        <v>8.3250000000000008E-3</v>
      </c>
      <c r="I39" s="295"/>
      <c r="J39" s="727"/>
      <c r="L39" s="339">
        <f t="shared" si="20"/>
        <v>2.9375999999999999E-2</v>
      </c>
      <c r="M39" s="295"/>
      <c r="N39" s="727"/>
      <c r="P39" s="176"/>
      <c r="Q39" s="295"/>
      <c r="T39" s="613" t="s">
        <v>1125</v>
      </c>
    </row>
    <row r="40" spans="1:20" ht="10.5" customHeight="1" x14ac:dyDescent="0.2">
      <c r="A40" s="613">
        <f t="shared" si="0"/>
        <v>33</v>
      </c>
      <c r="B40" s="164" t="str">
        <f>'WP1 Light Inventory'!A36</f>
        <v>51E</v>
      </c>
      <c r="C40" s="327" t="str">
        <f>'WP1 Light Inventory'!C36</f>
        <v>SMART LIGHT</v>
      </c>
      <c r="D40" s="327" t="str">
        <f>'WP1 Light Inventory'!D36</f>
        <v>Light Emitting Diode</v>
      </c>
      <c r="E40" s="165" t="str">
        <f>'WP1 Light Inventory'!E36</f>
        <v>LED 150.01-180</v>
      </c>
      <c r="F40" s="364">
        <f>'WP1 Light Inventory'!J36</f>
        <v>0</v>
      </c>
      <c r="G40" s="366">
        <f>'WP12 Condensed Sch. Level Costs'!O35</f>
        <v>57.75</v>
      </c>
      <c r="H40" s="339">
        <f t="shared" si="19"/>
        <v>8.3250000000000008E-3</v>
      </c>
      <c r="I40" s="295"/>
      <c r="J40" s="727"/>
      <c r="L40" s="339">
        <f t="shared" si="20"/>
        <v>2.9375999999999999E-2</v>
      </c>
      <c r="M40" s="295"/>
      <c r="N40" s="727"/>
      <c r="P40" s="176"/>
      <c r="Q40" s="295"/>
      <c r="T40" s="613" t="s">
        <v>1125</v>
      </c>
    </row>
    <row r="41" spans="1:20" ht="10.5" customHeight="1" x14ac:dyDescent="0.2">
      <c r="A41" s="613">
        <f t="shared" si="0"/>
        <v>34</v>
      </c>
      <c r="B41" s="164" t="str">
        <f>'WP1 Light Inventory'!A37</f>
        <v>51E</v>
      </c>
      <c r="C41" s="327" t="str">
        <f>'WP1 Light Inventory'!C37</f>
        <v>SMART LIGHT</v>
      </c>
      <c r="D41" s="327" t="str">
        <f>'WP1 Light Inventory'!D37</f>
        <v>Light Emitting Diode</v>
      </c>
      <c r="E41" s="165" t="str">
        <f>'WP1 Light Inventory'!E37</f>
        <v>LED 180.01-210</v>
      </c>
      <c r="F41" s="364">
        <f>'WP1 Light Inventory'!J37</f>
        <v>0</v>
      </c>
      <c r="G41" s="366">
        <f>'WP12 Condensed Sch. Level Costs'!O36</f>
        <v>68.25</v>
      </c>
      <c r="H41" s="339">
        <f t="shared" si="19"/>
        <v>8.3250000000000008E-3</v>
      </c>
      <c r="I41" s="295"/>
      <c r="J41" s="727"/>
      <c r="L41" s="339">
        <f t="shared" si="20"/>
        <v>2.9375999999999999E-2</v>
      </c>
      <c r="M41" s="295"/>
      <c r="N41" s="727"/>
      <c r="P41" s="176"/>
      <c r="Q41" s="295"/>
      <c r="T41" s="613" t="s">
        <v>1125</v>
      </c>
    </row>
    <row r="42" spans="1:20" ht="10.5" customHeight="1" x14ac:dyDescent="0.2">
      <c r="A42" s="613">
        <f t="shared" si="0"/>
        <v>35</v>
      </c>
      <c r="B42" s="164" t="str">
        <f>'WP1 Light Inventory'!A38</f>
        <v>51E</v>
      </c>
      <c r="C42" s="327" t="str">
        <f>'WP1 Light Inventory'!C38</f>
        <v>SMART LIGHT</v>
      </c>
      <c r="D42" s="327" t="str">
        <f>'WP1 Light Inventory'!D38</f>
        <v>Light Emitting Diode</v>
      </c>
      <c r="E42" s="165" t="str">
        <f>'WP1 Light Inventory'!E38</f>
        <v>LED 210.01-240</v>
      </c>
      <c r="F42" s="364">
        <f>'WP1 Light Inventory'!J38</f>
        <v>0</v>
      </c>
      <c r="G42" s="366">
        <f>'WP12 Condensed Sch. Level Costs'!O37</f>
        <v>78.75</v>
      </c>
      <c r="H42" s="339">
        <f t="shared" si="19"/>
        <v>8.3250000000000008E-3</v>
      </c>
      <c r="I42" s="295"/>
      <c r="J42" s="727"/>
      <c r="L42" s="339">
        <f t="shared" si="20"/>
        <v>2.9375999999999999E-2</v>
      </c>
      <c r="M42" s="295"/>
      <c r="N42" s="727"/>
      <c r="P42" s="176"/>
      <c r="Q42" s="295"/>
      <c r="T42" s="613" t="s">
        <v>1125</v>
      </c>
    </row>
    <row r="43" spans="1:20" ht="10.5" customHeight="1" x14ac:dyDescent="0.2">
      <c r="A43" s="613">
        <f t="shared" si="0"/>
        <v>36</v>
      </c>
      <c r="B43" s="164" t="str">
        <f>'WP1 Light Inventory'!A39</f>
        <v>51E</v>
      </c>
      <c r="C43" s="327" t="str">
        <f>'WP1 Light Inventory'!C39</f>
        <v>SMART LIGHT</v>
      </c>
      <c r="D43" s="327" t="str">
        <f>'WP1 Light Inventory'!D39</f>
        <v>Light Emitting Diode</v>
      </c>
      <c r="E43" s="165" t="str">
        <f>'WP1 Light Inventory'!E39</f>
        <v>LED 240.01-270</v>
      </c>
      <c r="F43" s="364">
        <f>'WP1 Light Inventory'!J39</f>
        <v>0</v>
      </c>
      <c r="G43" s="366">
        <f>'WP12 Condensed Sch. Level Costs'!O38</f>
        <v>89.25</v>
      </c>
      <c r="H43" s="339">
        <f t="shared" si="19"/>
        <v>8.3250000000000008E-3</v>
      </c>
      <c r="I43" s="295"/>
      <c r="J43" s="727"/>
      <c r="L43" s="339">
        <f t="shared" si="20"/>
        <v>2.9375999999999999E-2</v>
      </c>
      <c r="M43" s="295"/>
      <c r="N43" s="727"/>
      <c r="P43" s="176"/>
      <c r="Q43" s="295"/>
      <c r="T43" s="613" t="s">
        <v>1125</v>
      </c>
    </row>
    <row r="44" spans="1:20" ht="10.5" customHeight="1" x14ac:dyDescent="0.2">
      <c r="A44" s="613">
        <f t="shared" si="0"/>
        <v>37</v>
      </c>
      <c r="B44" s="164" t="str">
        <f>'WP1 Light Inventory'!A40</f>
        <v>51E</v>
      </c>
      <c r="C44" s="327" t="str">
        <f>'WP1 Light Inventory'!C40</f>
        <v>SMART LIGHT</v>
      </c>
      <c r="D44" s="327" t="str">
        <f>'WP1 Light Inventory'!D40</f>
        <v>Light Emitting Diode</v>
      </c>
      <c r="E44" s="165" t="str">
        <f>'WP1 Light Inventory'!E40</f>
        <v>LED 270.01-300</v>
      </c>
      <c r="F44" s="364">
        <f>'WP1 Light Inventory'!J40</f>
        <v>0</v>
      </c>
      <c r="G44" s="366">
        <f>'WP12 Condensed Sch. Level Costs'!O39</f>
        <v>99.75</v>
      </c>
      <c r="H44" s="339">
        <f t="shared" si="19"/>
        <v>8.3250000000000008E-3</v>
      </c>
      <c r="I44" s="295"/>
      <c r="J44" s="727"/>
      <c r="L44" s="339">
        <f t="shared" si="20"/>
        <v>2.9375999999999999E-2</v>
      </c>
      <c r="M44" s="295"/>
      <c r="N44" s="727"/>
      <c r="P44" s="176"/>
      <c r="Q44" s="295"/>
      <c r="T44" s="613" t="s">
        <v>1125</v>
      </c>
    </row>
    <row r="45" spans="1:20" x14ac:dyDescent="0.2">
      <c r="A45" s="613">
        <f t="shared" si="0"/>
        <v>38</v>
      </c>
      <c r="B45" s="164"/>
      <c r="C45" s="327"/>
      <c r="D45" s="327"/>
      <c r="E45" s="165"/>
      <c r="F45" s="364"/>
      <c r="G45" s="366"/>
      <c r="H45" s="339"/>
      <c r="I45" s="295"/>
      <c r="J45" s="727"/>
      <c r="L45" s="339"/>
      <c r="M45" s="295"/>
      <c r="N45" s="727"/>
      <c r="P45" s="176"/>
      <c r="Q45" s="295"/>
      <c r="T45" s="613"/>
    </row>
    <row r="46" spans="1:20" x14ac:dyDescent="0.2">
      <c r="A46" s="613">
        <f t="shared" si="0"/>
        <v>39</v>
      </c>
      <c r="B46" s="164" t="s">
        <v>136</v>
      </c>
      <c r="C46" s="164"/>
      <c r="D46" s="327"/>
      <c r="E46" s="165"/>
      <c r="F46" s="364"/>
      <c r="G46" s="399"/>
      <c r="H46" s="342"/>
      <c r="I46" s="295"/>
      <c r="J46" s="727"/>
      <c r="L46" s="342"/>
      <c r="M46" s="295"/>
      <c r="N46" s="727"/>
      <c r="P46" s="342"/>
      <c r="Q46" s="295"/>
    </row>
    <row r="47" spans="1:20" x14ac:dyDescent="0.2">
      <c r="A47" s="613">
        <f t="shared" si="0"/>
        <v>40</v>
      </c>
      <c r="B47" s="164" t="str">
        <f>'WP1 Light Inventory'!A42</f>
        <v xml:space="preserve">52E </v>
      </c>
      <c r="C47" s="164"/>
      <c r="D47" s="327" t="str">
        <f>'WP1 Light Inventory'!D42</f>
        <v>Sodium Vapor</v>
      </c>
      <c r="E47" s="165" t="str">
        <f>'WP1 Light Inventory'!E42</f>
        <v>SV 50</v>
      </c>
      <c r="F47" s="364">
        <f>'WP1 Light Inventory'!J42</f>
        <v>0</v>
      </c>
      <c r="G47" s="366">
        <f>'WP12 Condensed Sch. Level Costs'!O41</f>
        <v>17.5</v>
      </c>
      <c r="H47" s="339">
        <f t="shared" ref="H47:H54" si="21">$Y$8</f>
        <v>8.3250000000000008E-3</v>
      </c>
      <c r="I47" s="295">
        <f t="shared" ref="I47:I54" si="22">+F47*J47*12</f>
        <v>0</v>
      </c>
      <c r="J47" s="727">
        <f t="shared" ref="J47:J54" si="23">ROUND(+H47*G47,2)</f>
        <v>0.15</v>
      </c>
      <c r="L47" s="339">
        <f t="shared" ref="L47:L54" si="24">$Y$9</f>
        <v>2.9375999999999999E-2</v>
      </c>
      <c r="M47" s="295">
        <f t="shared" ref="M47:M54" si="25">+F47*N47*12</f>
        <v>0</v>
      </c>
      <c r="N47" s="727">
        <f t="shared" ref="N47:N54" si="26">ROUND(+L47*G47,2)</f>
        <v>0.51</v>
      </c>
      <c r="P47" s="176"/>
      <c r="Q47" s="295"/>
      <c r="T47" s="613" t="s">
        <v>1125</v>
      </c>
    </row>
    <row r="48" spans="1:20" x14ac:dyDescent="0.2">
      <c r="A48" s="613">
        <f t="shared" si="0"/>
        <v>41</v>
      </c>
      <c r="B48" s="164" t="str">
        <f>'WP1 Light Inventory'!A43</f>
        <v xml:space="preserve">52E </v>
      </c>
      <c r="C48" s="164"/>
      <c r="D48" s="327" t="str">
        <f>'WP1 Light Inventory'!D43</f>
        <v>Sodium Vapor</v>
      </c>
      <c r="E48" s="165" t="str">
        <f>'WP1 Light Inventory'!E43</f>
        <v>SV 070</v>
      </c>
      <c r="F48" s="364">
        <f>'WP1 Light Inventory'!J43</f>
        <v>670</v>
      </c>
      <c r="G48" s="366">
        <f>'WP12 Condensed Sch. Level Costs'!O42</f>
        <v>24.5</v>
      </c>
      <c r="H48" s="339">
        <f t="shared" si="21"/>
        <v>8.3250000000000008E-3</v>
      </c>
      <c r="I48" s="295">
        <f t="shared" si="22"/>
        <v>1608</v>
      </c>
      <c r="J48" s="727">
        <f t="shared" si="23"/>
        <v>0.2</v>
      </c>
      <c r="L48" s="339">
        <f t="shared" si="24"/>
        <v>2.9375999999999999E-2</v>
      </c>
      <c r="M48" s="295">
        <f t="shared" si="25"/>
        <v>5788.7999999999993</v>
      </c>
      <c r="N48" s="727">
        <f t="shared" si="26"/>
        <v>0.72</v>
      </c>
      <c r="P48" s="176"/>
      <c r="Q48" s="295"/>
      <c r="T48" s="613" t="s">
        <v>1125</v>
      </c>
    </row>
    <row r="49" spans="1:20" x14ac:dyDescent="0.2">
      <c r="A49" s="613">
        <f t="shared" si="0"/>
        <v>42</v>
      </c>
      <c r="B49" s="164" t="str">
        <f>'WP1 Light Inventory'!A44</f>
        <v xml:space="preserve">52E </v>
      </c>
      <c r="C49" s="164"/>
      <c r="D49" s="327" t="str">
        <f>'WP1 Light Inventory'!D44</f>
        <v>Sodium Vapor</v>
      </c>
      <c r="E49" s="165" t="str">
        <f>'WP1 Light Inventory'!E44</f>
        <v>SV 100</v>
      </c>
      <c r="F49" s="364">
        <f>'WP1 Light Inventory'!J44</f>
        <v>9604</v>
      </c>
      <c r="G49" s="366">
        <f>'WP12 Condensed Sch. Level Costs'!O43</f>
        <v>35</v>
      </c>
      <c r="H49" s="339">
        <f t="shared" si="21"/>
        <v>8.3250000000000008E-3</v>
      </c>
      <c r="I49" s="295">
        <f t="shared" si="22"/>
        <v>33421.919999999998</v>
      </c>
      <c r="J49" s="727">
        <f t="shared" si="23"/>
        <v>0.28999999999999998</v>
      </c>
      <c r="L49" s="339">
        <f t="shared" si="24"/>
        <v>2.9375999999999999E-2</v>
      </c>
      <c r="M49" s="295">
        <f t="shared" si="25"/>
        <v>118705.44</v>
      </c>
      <c r="N49" s="727">
        <f t="shared" si="26"/>
        <v>1.03</v>
      </c>
      <c r="P49" s="176"/>
      <c r="Q49" s="295"/>
      <c r="T49" s="613" t="s">
        <v>1125</v>
      </c>
    </row>
    <row r="50" spans="1:20" x14ac:dyDescent="0.2">
      <c r="A50" s="613">
        <f t="shared" si="0"/>
        <v>43</v>
      </c>
      <c r="B50" s="164" t="str">
        <f>'WP1 Light Inventory'!A45</f>
        <v xml:space="preserve">52E </v>
      </c>
      <c r="C50" s="164"/>
      <c r="D50" s="327" t="str">
        <f>'WP1 Light Inventory'!D45</f>
        <v>Sodium Vapor</v>
      </c>
      <c r="E50" s="165" t="str">
        <f>'WP1 Light Inventory'!E45</f>
        <v>SV 150</v>
      </c>
      <c r="F50" s="364">
        <f>'WP1 Light Inventory'!J45</f>
        <v>4470</v>
      </c>
      <c r="G50" s="366">
        <f>'WP12 Condensed Sch. Level Costs'!O44</f>
        <v>52.5</v>
      </c>
      <c r="H50" s="339">
        <f t="shared" si="21"/>
        <v>8.3250000000000008E-3</v>
      </c>
      <c r="I50" s="295">
        <f t="shared" si="22"/>
        <v>23601.599999999999</v>
      </c>
      <c r="J50" s="727">
        <f t="shared" si="23"/>
        <v>0.44</v>
      </c>
      <c r="L50" s="339">
        <f t="shared" si="24"/>
        <v>2.9375999999999999E-2</v>
      </c>
      <c r="M50" s="295">
        <f t="shared" si="25"/>
        <v>82605.600000000006</v>
      </c>
      <c r="N50" s="727">
        <f t="shared" si="26"/>
        <v>1.54</v>
      </c>
      <c r="P50" s="176"/>
      <c r="Q50" s="295"/>
      <c r="T50" s="613" t="s">
        <v>1125</v>
      </c>
    </row>
    <row r="51" spans="1:20" x14ac:dyDescent="0.2">
      <c r="A51" s="613">
        <f t="shared" si="0"/>
        <v>44</v>
      </c>
      <c r="B51" s="164" t="str">
        <f>'WP1 Light Inventory'!A46</f>
        <v xml:space="preserve">52E </v>
      </c>
      <c r="C51" s="164"/>
      <c r="D51" s="327" t="str">
        <f>'WP1 Light Inventory'!D46</f>
        <v>Sodium Vapor</v>
      </c>
      <c r="E51" s="165" t="str">
        <f>'WP1 Light Inventory'!E46</f>
        <v>SV 200</v>
      </c>
      <c r="F51" s="364">
        <f>'WP1 Light Inventory'!J46</f>
        <v>948</v>
      </c>
      <c r="G51" s="366">
        <f>'WP12 Condensed Sch. Level Costs'!O45</f>
        <v>70</v>
      </c>
      <c r="H51" s="339">
        <f t="shared" si="21"/>
        <v>8.3250000000000008E-3</v>
      </c>
      <c r="I51" s="295">
        <f t="shared" si="22"/>
        <v>6598.079999999999</v>
      </c>
      <c r="J51" s="727">
        <f t="shared" si="23"/>
        <v>0.57999999999999996</v>
      </c>
      <c r="L51" s="339">
        <f t="shared" si="24"/>
        <v>2.9375999999999999E-2</v>
      </c>
      <c r="M51" s="295">
        <f t="shared" si="25"/>
        <v>23434.560000000001</v>
      </c>
      <c r="N51" s="727">
        <f t="shared" si="26"/>
        <v>2.06</v>
      </c>
      <c r="P51" s="176"/>
      <c r="Q51" s="295"/>
      <c r="T51" s="613" t="s">
        <v>1125</v>
      </c>
    </row>
    <row r="52" spans="1:20" x14ac:dyDescent="0.2">
      <c r="A52" s="613">
        <f t="shared" si="0"/>
        <v>45</v>
      </c>
      <c r="B52" s="164" t="str">
        <f>'WP1 Light Inventory'!A47</f>
        <v xml:space="preserve">52E </v>
      </c>
      <c r="C52" s="164"/>
      <c r="D52" s="327" t="str">
        <f>'WP1 Light Inventory'!D47</f>
        <v>Sodium Vapor</v>
      </c>
      <c r="E52" s="165" t="str">
        <f>'WP1 Light Inventory'!E47</f>
        <v>SV 250</v>
      </c>
      <c r="F52" s="364">
        <f>'WP1 Light Inventory'!J47</f>
        <v>1399</v>
      </c>
      <c r="G52" s="366">
        <f>'WP12 Condensed Sch. Level Costs'!O46</f>
        <v>87.5</v>
      </c>
      <c r="H52" s="339">
        <f t="shared" si="21"/>
        <v>8.3250000000000008E-3</v>
      </c>
      <c r="I52" s="295">
        <f t="shared" si="22"/>
        <v>12255.24</v>
      </c>
      <c r="J52" s="727">
        <f t="shared" si="23"/>
        <v>0.73</v>
      </c>
      <c r="L52" s="339">
        <f t="shared" si="24"/>
        <v>2.9375999999999999E-2</v>
      </c>
      <c r="M52" s="295">
        <f t="shared" si="25"/>
        <v>43145.159999999996</v>
      </c>
      <c r="N52" s="727">
        <f t="shared" si="26"/>
        <v>2.57</v>
      </c>
      <c r="P52" s="176"/>
      <c r="Q52" s="295"/>
      <c r="T52" s="613" t="s">
        <v>1125</v>
      </c>
    </row>
    <row r="53" spans="1:20" x14ac:dyDescent="0.2">
      <c r="A53" s="613">
        <f t="shared" si="0"/>
        <v>46</v>
      </c>
      <c r="B53" s="164" t="str">
        <f>'WP1 Light Inventory'!A48</f>
        <v xml:space="preserve">52E </v>
      </c>
      <c r="C53" s="164"/>
      <c r="D53" s="327" t="str">
        <f>'WP1 Light Inventory'!D48</f>
        <v>Sodium Vapor</v>
      </c>
      <c r="E53" s="165" t="str">
        <f>'WP1 Light Inventory'!E48</f>
        <v>SV 310</v>
      </c>
      <c r="F53" s="364">
        <f>'WP1 Light Inventory'!J48</f>
        <v>141</v>
      </c>
      <c r="G53" s="366">
        <f>'WP12 Condensed Sch. Level Costs'!O47</f>
        <v>108.5</v>
      </c>
      <c r="H53" s="339">
        <f t="shared" si="21"/>
        <v>8.3250000000000008E-3</v>
      </c>
      <c r="I53" s="295">
        <f t="shared" si="22"/>
        <v>1522.8000000000002</v>
      </c>
      <c r="J53" s="727">
        <f t="shared" si="23"/>
        <v>0.9</v>
      </c>
      <c r="L53" s="339">
        <f t="shared" si="24"/>
        <v>2.9375999999999999E-2</v>
      </c>
      <c r="M53" s="295">
        <f t="shared" si="25"/>
        <v>5397.4800000000005</v>
      </c>
      <c r="N53" s="727">
        <f t="shared" si="26"/>
        <v>3.19</v>
      </c>
      <c r="P53" s="176"/>
      <c r="Q53" s="295"/>
      <c r="T53" s="613" t="s">
        <v>1125</v>
      </c>
    </row>
    <row r="54" spans="1:20" x14ac:dyDescent="0.2">
      <c r="A54" s="613">
        <f t="shared" si="0"/>
        <v>47</v>
      </c>
      <c r="B54" s="164" t="str">
        <f>'WP1 Light Inventory'!A49</f>
        <v xml:space="preserve">52E </v>
      </c>
      <c r="C54" s="164"/>
      <c r="D54" s="327" t="str">
        <f>'WP1 Light Inventory'!D49</f>
        <v>Sodium Vapor</v>
      </c>
      <c r="E54" s="165" t="str">
        <f>'WP1 Light Inventory'!E49</f>
        <v>SV 400</v>
      </c>
      <c r="F54" s="364">
        <f>'WP1 Light Inventory'!J49</f>
        <v>589</v>
      </c>
      <c r="G54" s="366">
        <f>'WP12 Condensed Sch. Level Costs'!O48</f>
        <v>140</v>
      </c>
      <c r="H54" s="339">
        <f t="shared" si="21"/>
        <v>8.3250000000000008E-3</v>
      </c>
      <c r="I54" s="295">
        <f t="shared" si="22"/>
        <v>8269.56</v>
      </c>
      <c r="J54" s="727">
        <f t="shared" si="23"/>
        <v>1.17</v>
      </c>
      <c r="L54" s="339">
        <f t="shared" si="24"/>
        <v>2.9375999999999999E-2</v>
      </c>
      <c r="M54" s="295">
        <f t="shared" si="25"/>
        <v>29049.48</v>
      </c>
      <c r="N54" s="727">
        <f t="shared" si="26"/>
        <v>4.1100000000000003</v>
      </c>
      <c r="P54" s="176"/>
      <c r="Q54" s="295"/>
      <c r="T54" s="613" t="s">
        <v>1125</v>
      </c>
    </row>
    <row r="55" spans="1:20" x14ac:dyDescent="0.2">
      <c r="A55" s="613">
        <f t="shared" si="0"/>
        <v>48</v>
      </c>
      <c r="B55" s="164"/>
      <c r="C55" s="164"/>
      <c r="D55" s="327"/>
      <c r="E55" s="165"/>
      <c r="F55" s="364"/>
      <c r="G55" s="399"/>
      <c r="H55" s="342"/>
      <c r="I55" s="295"/>
      <c r="J55" s="727"/>
      <c r="L55" s="342"/>
      <c r="M55" s="295"/>
      <c r="N55" s="727"/>
      <c r="P55" s="342"/>
      <c r="Q55" s="295"/>
    </row>
    <row r="56" spans="1:20" x14ac:dyDescent="0.2">
      <c r="A56" s="613">
        <f t="shared" si="0"/>
        <v>49</v>
      </c>
      <c r="B56" s="164" t="str">
        <f>'WP1 Light Inventory'!A51</f>
        <v xml:space="preserve">52E </v>
      </c>
      <c r="C56" s="164"/>
      <c r="D56" s="327" t="str">
        <f>'WP1 Light Inventory'!D51</f>
        <v>Metal Halide</v>
      </c>
      <c r="E56" s="165" t="str">
        <f>'WP1 Light Inventory'!E51</f>
        <v>MH 070</v>
      </c>
      <c r="F56" s="364">
        <f>'WP1 Light Inventory'!J51</f>
        <v>70</v>
      </c>
      <c r="G56" s="366">
        <f>'WP12 Condensed Sch. Level Costs'!O50</f>
        <v>24.5</v>
      </c>
      <c r="H56" s="339">
        <f t="shared" ref="H56:H62" si="27">$Y$8</f>
        <v>8.3250000000000008E-3</v>
      </c>
      <c r="I56" s="295">
        <f t="shared" ref="I56:I62" si="28">+F56*J56*12</f>
        <v>168</v>
      </c>
      <c r="J56" s="727">
        <f t="shared" ref="J56:J62" si="29">ROUND(+H56*G56,2)</f>
        <v>0.2</v>
      </c>
      <c r="L56" s="339">
        <f t="shared" ref="L56:L62" si="30">$Y$9</f>
        <v>2.9375999999999999E-2</v>
      </c>
      <c r="M56" s="295">
        <f t="shared" ref="M56:M62" si="31">+F56*N56*12</f>
        <v>604.79999999999995</v>
      </c>
      <c r="N56" s="727">
        <f t="shared" ref="N56:N62" si="32">ROUND(+L56*G56,2)</f>
        <v>0.72</v>
      </c>
      <c r="P56" s="176"/>
      <c r="Q56" s="295"/>
      <c r="T56" s="613" t="s">
        <v>1126</v>
      </c>
    </row>
    <row r="57" spans="1:20" x14ac:dyDescent="0.2">
      <c r="A57" s="613">
        <f t="shared" si="0"/>
        <v>50</v>
      </c>
      <c r="B57" s="164" t="str">
        <f>'WP1 Light Inventory'!A52</f>
        <v xml:space="preserve">52E </v>
      </c>
      <c r="C57" s="164"/>
      <c r="D57" s="327" t="str">
        <f>'WP1 Light Inventory'!D52</f>
        <v>Metal Halide</v>
      </c>
      <c r="E57" s="165" t="str">
        <f>'WP1 Light Inventory'!E52</f>
        <v>MH 100</v>
      </c>
      <c r="F57" s="364">
        <f>'WP1 Light Inventory'!J52</f>
        <v>4</v>
      </c>
      <c r="G57" s="366">
        <f>'WP12 Condensed Sch. Level Costs'!O51</f>
        <v>35</v>
      </c>
      <c r="H57" s="339">
        <f t="shared" si="27"/>
        <v>8.3250000000000008E-3</v>
      </c>
      <c r="I57" s="295">
        <f t="shared" si="28"/>
        <v>13.919999999999998</v>
      </c>
      <c r="J57" s="727">
        <f t="shared" si="29"/>
        <v>0.28999999999999998</v>
      </c>
      <c r="L57" s="339">
        <f t="shared" si="30"/>
        <v>2.9375999999999999E-2</v>
      </c>
      <c r="M57" s="295">
        <f t="shared" si="31"/>
        <v>49.44</v>
      </c>
      <c r="N57" s="727">
        <f t="shared" si="32"/>
        <v>1.03</v>
      </c>
      <c r="P57" s="176"/>
      <c r="Q57" s="295"/>
      <c r="T57" s="613" t="s">
        <v>1126</v>
      </c>
    </row>
    <row r="58" spans="1:20" x14ac:dyDescent="0.2">
      <c r="A58" s="613">
        <f t="shared" si="0"/>
        <v>51</v>
      </c>
      <c r="B58" s="164" t="str">
        <f>'WP1 Light Inventory'!A53</f>
        <v xml:space="preserve">52E </v>
      </c>
      <c r="C58" s="164"/>
      <c r="D58" s="327" t="str">
        <f>'WP1 Light Inventory'!D53</f>
        <v>Metal Halide</v>
      </c>
      <c r="E58" s="165" t="str">
        <f>'WP1 Light Inventory'!E53</f>
        <v>MH 150</v>
      </c>
      <c r="F58" s="364">
        <f>'WP1 Light Inventory'!J53</f>
        <v>201</v>
      </c>
      <c r="G58" s="366">
        <f>'WP12 Condensed Sch. Level Costs'!O52</f>
        <v>52.5</v>
      </c>
      <c r="H58" s="339">
        <f t="shared" si="27"/>
        <v>8.3250000000000008E-3</v>
      </c>
      <c r="I58" s="295">
        <f t="shared" si="28"/>
        <v>1061.28</v>
      </c>
      <c r="J58" s="727">
        <f t="shared" si="29"/>
        <v>0.44</v>
      </c>
      <c r="L58" s="339">
        <f t="shared" si="30"/>
        <v>2.9375999999999999E-2</v>
      </c>
      <c r="M58" s="295">
        <f t="shared" si="31"/>
        <v>3714.4800000000005</v>
      </c>
      <c r="N58" s="727">
        <f t="shared" si="32"/>
        <v>1.54</v>
      </c>
      <c r="P58" s="176"/>
      <c r="Q58" s="295"/>
      <c r="T58" s="613" t="s">
        <v>1126</v>
      </c>
    </row>
    <row r="59" spans="1:20" x14ac:dyDescent="0.2">
      <c r="A59" s="613">
        <f t="shared" si="0"/>
        <v>52</v>
      </c>
      <c r="B59" s="164" t="str">
        <f>'WP1 Light Inventory'!A54</f>
        <v xml:space="preserve">52E </v>
      </c>
      <c r="C59" s="164"/>
      <c r="D59" s="327" t="str">
        <f>'WP1 Light Inventory'!D54</f>
        <v>Metal Halide</v>
      </c>
      <c r="E59" s="165" t="str">
        <f>'WP1 Light Inventory'!E54</f>
        <v>MH 175</v>
      </c>
      <c r="F59" s="364">
        <f>'WP1 Light Inventory'!J54</f>
        <v>212</v>
      </c>
      <c r="G59" s="366">
        <f>'WP12 Condensed Sch. Level Costs'!O53</f>
        <v>61.25</v>
      </c>
      <c r="H59" s="339">
        <f t="shared" si="27"/>
        <v>8.3250000000000008E-3</v>
      </c>
      <c r="I59" s="295">
        <f t="shared" si="28"/>
        <v>1297.44</v>
      </c>
      <c r="J59" s="727">
        <f t="shared" si="29"/>
        <v>0.51</v>
      </c>
      <c r="L59" s="339">
        <f t="shared" si="30"/>
        <v>2.9375999999999999E-2</v>
      </c>
      <c r="M59" s="295">
        <f t="shared" si="31"/>
        <v>4579.2000000000007</v>
      </c>
      <c r="N59" s="727">
        <f t="shared" si="32"/>
        <v>1.8</v>
      </c>
      <c r="P59" s="176"/>
      <c r="Q59" s="295"/>
      <c r="T59" s="613" t="s">
        <v>1126</v>
      </c>
    </row>
    <row r="60" spans="1:20" x14ac:dyDescent="0.2">
      <c r="A60" s="613">
        <f t="shared" si="0"/>
        <v>53</v>
      </c>
      <c r="B60" s="164" t="str">
        <f>'WP1 Light Inventory'!A55</f>
        <v xml:space="preserve">52E </v>
      </c>
      <c r="C60" s="164"/>
      <c r="D60" s="327" t="str">
        <f>'WP1 Light Inventory'!D55</f>
        <v>Metal Halide</v>
      </c>
      <c r="E60" s="165" t="str">
        <f>'WP1 Light Inventory'!E55</f>
        <v>MH 250</v>
      </c>
      <c r="F60" s="364">
        <f>'WP1 Light Inventory'!J55</f>
        <v>36</v>
      </c>
      <c r="G60" s="366">
        <f>'WP12 Condensed Sch. Level Costs'!O54</f>
        <v>87.5</v>
      </c>
      <c r="H60" s="339">
        <f t="shared" si="27"/>
        <v>8.3250000000000008E-3</v>
      </c>
      <c r="I60" s="295">
        <f t="shared" si="28"/>
        <v>315.36</v>
      </c>
      <c r="J60" s="727">
        <f t="shared" si="29"/>
        <v>0.73</v>
      </c>
      <c r="L60" s="339">
        <f t="shared" si="30"/>
        <v>2.9375999999999999E-2</v>
      </c>
      <c r="M60" s="295">
        <f t="shared" si="31"/>
        <v>1110.24</v>
      </c>
      <c r="N60" s="727">
        <f t="shared" si="32"/>
        <v>2.57</v>
      </c>
      <c r="P60" s="176"/>
      <c r="Q60" s="295"/>
      <c r="T60" s="613" t="s">
        <v>1126</v>
      </c>
    </row>
    <row r="61" spans="1:20" x14ac:dyDescent="0.2">
      <c r="A61" s="613">
        <f t="shared" si="0"/>
        <v>54</v>
      </c>
      <c r="B61" s="164" t="str">
        <f>'WP1 Light Inventory'!A56</f>
        <v xml:space="preserve">52E </v>
      </c>
      <c r="C61" s="164"/>
      <c r="D61" s="327" t="str">
        <f>'WP1 Light Inventory'!D56</f>
        <v>Metal Halide</v>
      </c>
      <c r="E61" s="165" t="str">
        <f>'WP1 Light Inventory'!E56</f>
        <v>MH 400</v>
      </c>
      <c r="F61" s="364">
        <f>'WP1 Light Inventory'!J56</f>
        <v>57</v>
      </c>
      <c r="G61" s="366">
        <f>'WP12 Condensed Sch. Level Costs'!O55</f>
        <v>140</v>
      </c>
      <c r="H61" s="339">
        <f t="shared" si="27"/>
        <v>8.3250000000000008E-3</v>
      </c>
      <c r="I61" s="295">
        <f t="shared" si="28"/>
        <v>800.28</v>
      </c>
      <c r="J61" s="727">
        <f t="shared" si="29"/>
        <v>1.17</v>
      </c>
      <c r="L61" s="339">
        <f t="shared" si="30"/>
        <v>2.9375999999999999E-2</v>
      </c>
      <c r="M61" s="295">
        <f t="shared" si="31"/>
        <v>2811.2400000000002</v>
      </c>
      <c r="N61" s="727">
        <f t="shared" si="32"/>
        <v>4.1100000000000003</v>
      </c>
      <c r="P61" s="176"/>
      <c r="Q61" s="295"/>
      <c r="T61" s="613" t="s">
        <v>1126</v>
      </c>
    </row>
    <row r="62" spans="1:20" x14ac:dyDescent="0.2">
      <c r="A62" s="613">
        <f t="shared" si="0"/>
        <v>55</v>
      </c>
      <c r="B62" s="164" t="str">
        <f>'WP1 Light Inventory'!A57</f>
        <v xml:space="preserve">52E </v>
      </c>
      <c r="C62" s="164"/>
      <c r="D62" s="327" t="str">
        <f>'WP1 Light Inventory'!D57</f>
        <v>Metal Halide</v>
      </c>
      <c r="E62" s="165" t="str">
        <f>'WP1 Light Inventory'!E57</f>
        <v>MH 1000</v>
      </c>
      <c r="F62" s="364">
        <f>'WP1 Light Inventory'!J57</f>
        <v>18</v>
      </c>
      <c r="G62" s="366">
        <f>'WP12 Condensed Sch. Level Costs'!O56</f>
        <v>350</v>
      </c>
      <c r="H62" s="339">
        <f t="shared" si="27"/>
        <v>8.3250000000000008E-3</v>
      </c>
      <c r="I62" s="295">
        <f t="shared" si="28"/>
        <v>628.56000000000006</v>
      </c>
      <c r="J62" s="727">
        <f t="shared" si="29"/>
        <v>2.91</v>
      </c>
      <c r="L62" s="339">
        <f t="shared" si="30"/>
        <v>2.9375999999999999E-2</v>
      </c>
      <c r="M62" s="295">
        <f t="shared" si="31"/>
        <v>2220.48</v>
      </c>
      <c r="N62" s="727">
        <f t="shared" si="32"/>
        <v>10.28</v>
      </c>
      <c r="P62" s="176"/>
      <c r="Q62" s="295"/>
      <c r="T62" s="613" t="s">
        <v>1126</v>
      </c>
    </row>
    <row r="63" spans="1:20" x14ac:dyDescent="0.2">
      <c r="A63" s="613">
        <f t="shared" si="0"/>
        <v>56</v>
      </c>
      <c r="B63" s="164"/>
      <c r="C63" s="164"/>
      <c r="D63" s="327"/>
      <c r="E63" s="165"/>
      <c r="F63" s="364"/>
      <c r="G63" s="399"/>
      <c r="H63" s="342"/>
      <c r="I63" s="295"/>
      <c r="J63" s="727"/>
      <c r="L63" s="342"/>
      <c r="M63" s="295"/>
      <c r="N63" s="727"/>
      <c r="P63" s="342"/>
      <c r="Q63" s="295"/>
    </row>
    <row r="64" spans="1:20" x14ac:dyDescent="0.2">
      <c r="A64" s="613">
        <f t="shared" si="0"/>
        <v>57</v>
      </c>
      <c r="B64" s="164" t="s">
        <v>137</v>
      </c>
      <c r="C64" s="164"/>
      <c r="D64" s="327"/>
      <c r="E64" s="165"/>
      <c r="F64" s="364"/>
      <c r="G64" s="399"/>
      <c r="H64" s="342"/>
      <c r="I64" s="295"/>
      <c r="J64" s="727"/>
      <c r="L64" s="342"/>
      <c r="M64" s="295"/>
      <c r="N64" s="727"/>
      <c r="P64" s="342"/>
      <c r="Q64" s="295"/>
    </row>
    <row r="65" spans="1:20" x14ac:dyDescent="0.2">
      <c r="A65" s="613">
        <f t="shared" si="0"/>
        <v>58</v>
      </c>
      <c r="B65" s="164" t="str">
        <f>'WP1 Light Inventory'!A59</f>
        <v>53E</v>
      </c>
      <c r="C65" s="164" t="str">
        <f>'WP1 Light Inventory'!C59</f>
        <v xml:space="preserve">Company Owned </v>
      </c>
      <c r="D65" s="327" t="str">
        <f>'WP1 Light Inventory'!D59</f>
        <v>Sodium Vapor</v>
      </c>
      <c r="E65" s="165" t="str">
        <f>'WP1 Light Inventory'!E59</f>
        <v>SV 050</v>
      </c>
      <c r="F65" s="364">
        <f>'WP1 Light Inventory'!J59</f>
        <v>0</v>
      </c>
      <c r="G65" s="366">
        <f>'WP12 Condensed Sch. Level Costs'!O58</f>
        <v>17.5</v>
      </c>
      <c r="H65" s="339">
        <f t="shared" ref="H65:H73" si="33">$Y$8</f>
        <v>8.3250000000000008E-3</v>
      </c>
      <c r="I65" s="295">
        <f t="shared" ref="I65:I73" si="34">+F65*J65*12</f>
        <v>0</v>
      </c>
      <c r="J65" s="727">
        <f t="shared" ref="J65:J73" si="35">ROUND(+H65*G65,2)</f>
        <v>0.15</v>
      </c>
      <c r="L65" s="339">
        <f t="shared" ref="L65:L73" si="36">$Y$9</f>
        <v>2.9375999999999999E-2</v>
      </c>
      <c r="M65" s="295">
        <f t="shared" ref="M65:M73" si="37">+F65*N65*12</f>
        <v>0</v>
      </c>
      <c r="N65" s="727">
        <f t="shared" ref="N65:N73" si="38">ROUND(+L65*G65,2)</f>
        <v>0.51</v>
      </c>
      <c r="P65" s="176"/>
      <c r="Q65" s="295"/>
      <c r="T65" s="613" t="s">
        <v>1126</v>
      </c>
    </row>
    <row r="66" spans="1:20" x14ac:dyDescent="0.2">
      <c r="A66" s="613">
        <f t="shared" si="0"/>
        <v>59</v>
      </c>
      <c r="B66" s="164" t="str">
        <f>'WP1 Light Inventory'!A60</f>
        <v>53E</v>
      </c>
      <c r="C66" s="164" t="str">
        <f>'WP1 Light Inventory'!C60</f>
        <v xml:space="preserve">Company Owned </v>
      </c>
      <c r="D66" s="327" t="str">
        <f>'WP1 Light Inventory'!D60</f>
        <v>Sodium Vapor</v>
      </c>
      <c r="E66" s="165" t="str">
        <f>'WP1 Light Inventory'!E60</f>
        <v>SV 070</v>
      </c>
      <c r="F66" s="364">
        <f>'WP1 Light Inventory'!J60</f>
        <v>3836</v>
      </c>
      <c r="G66" s="366">
        <f>'WP12 Condensed Sch. Level Costs'!O59</f>
        <v>24.5</v>
      </c>
      <c r="H66" s="339">
        <f t="shared" si="33"/>
        <v>8.3250000000000008E-3</v>
      </c>
      <c r="I66" s="295">
        <f t="shared" si="34"/>
        <v>9206.4000000000015</v>
      </c>
      <c r="J66" s="727">
        <f t="shared" si="35"/>
        <v>0.2</v>
      </c>
      <c r="L66" s="339">
        <f t="shared" si="36"/>
        <v>2.9375999999999999E-2</v>
      </c>
      <c r="M66" s="295">
        <f t="shared" si="37"/>
        <v>33143.040000000001</v>
      </c>
      <c r="N66" s="727">
        <f t="shared" si="38"/>
        <v>0.72</v>
      </c>
      <c r="P66" s="176"/>
      <c r="Q66" s="295"/>
      <c r="T66" s="613" t="s">
        <v>1126</v>
      </c>
    </row>
    <row r="67" spans="1:20" x14ac:dyDescent="0.2">
      <c r="A67" s="613">
        <f t="shared" si="0"/>
        <v>60</v>
      </c>
      <c r="B67" s="164" t="str">
        <f>'WP1 Light Inventory'!A61</f>
        <v>53E</v>
      </c>
      <c r="C67" s="164" t="str">
        <f>'WP1 Light Inventory'!C61</f>
        <v xml:space="preserve">Company Owned </v>
      </c>
      <c r="D67" s="327" t="str">
        <f>'WP1 Light Inventory'!D61</f>
        <v>Sodium Vapor</v>
      </c>
      <c r="E67" s="165" t="str">
        <f>'WP1 Light Inventory'!E61</f>
        <v>SV 100</v>
      </c>
      <c r="F67" s="364">
        <f>'WP1 Light Inventory'!J61</f>
        <v>28412</v>
      </c>
      <c r="G67" s="366">
        <f>'WP12 Condensed Sch. Level Costs'!O60</f>
        <v>35</v>
      </c>
      <c r="H67" s="339">
        <f t="shared" si="33"/>
        <v>8.3250000000000008E-3</v>
      </c>
      <c r="I67" s="295">
        <f t="shared" si="34"/>
        <v>98873.76</v>
      </c>
      <c r="J67" s="727">
        <f t="shared" si="35"/>
        <v>0.28999999999999998</v>
      </c>
      <c r="L67" s="339">
        <f t="shared" si="36"/>
        <v>2.9375999999999999E-2</v>
      </c>
      <c r="M67" s="295">
        <f t="shared" si="37"/>
        <v>351172.32</v>
      </c>
      <c r="N67" s="727">
        <f t="shared" si="38"/>
        <v>1.03</v>
      </c>
      <c r="P67" s="176"/>
      <c r="Q67" s="295"/>
      <c r="T67" s="613" t="s">
        <v>1126</v>
      </c>
    </row>
    <row r="68" spans="1:20" x14ac:dyDescent="0.2">
      <c r="A68" s="613">
        <f t="shared" si="0"/>
        <v>61</v>
      </c>
      <c r="B68" s="164" t="str">
        <f>'WP1 Light Inventory'!A62</f>
        <v>53E</v>
      </c>
      <c r="C68" s="164" t="str">
        <f>'WP1 Light Inventory'!C62</f>
        <v xml:space="preserve">Company Owned </v>
      </c>
      <c r="D68" s="327" t="str">
        <f>'WP1 Light Inventory'!D62</f>
        <v>Sodium Vapor</v>
      </c>
      <c r="E68" s="165" t="str">
        <f>'WP1 Light Inventory'!E62</f>
        <v>SV 150</v>
      </c>
      <c r="F68" s="364">
        <f>'WP1 Light Inventory'!J62</f>
        <v>3485</v>
      </c>
      <c r="G68" s="366">
        <f>'WP12 Condensed Sch. Level Costs'!O61</f>
        <v>52.5</v>
      </c>
      <c r="H68" s="339">
        <f t="shared" si="33"/>
        <v>8.3250000000000008E-3</v>
      </c>
      <c r="I68" s="295">
        <f t="shared" si="34"/>
        <v>18400.800000000003</v>
      </c>
      <c r="J68" s="727">
        <f t="shared" si="35"/>
        <v>0.44</v>
      </c>
      <c r="L68" s="339">
        <f t="shared" si="36"/>
        <v>2.9375999999999999E-2</v>
      </c>
      <c r="M68" s="295">
        <f t="shared" si="37"/>
        <v>64402.8</v>
      </c>
      <c r="N68" s="727">
        <f t="shared" si="38"/>
        <v>1.54</v>
      </c>
      <c r="P68" s="176"/>
      <c r="Q68" s="295"/>
      <c r="T68" s="613" t="s">
        <v>1126</v>
      </c>
    </row>
    <row r="69" spans="1:20" x14ac:dyDescent="0.2">
      <c r="A69" s="613">
        <f t="shared" si="0"/>
        <v>62</v>
      </c>
      <c r="B69" s="164" t="str">
        <f>'WP1 Light Inventory'!A63</f>
        <v>53E</v>
      </c>
      <c r="C69" s="164" t="str">
        <f>'WP1 Light Inventory'!C63</f>
        <v xml:space="preserve">Company Owned </v>
      </c>
      <c r="D69" s="327" t="str">
        <f>'WP1 Light Inventory'!D63</f>
        <v>Sodium Vapor</v>
      </c>
      <c r="E69" s="165" t="str">
        <f>'WP1 Light Inventory'!E63</f>
        <v>SV 200</v>
      </c>
      <c r="F69" s="364">
        <f>'WP1 Light Inventory'!J63</f>
        <v>4408</v>
      </c>
      <c r="G69" s="366">
        <f>'WP12 Condensed Sch. Level Costs'!O62</f>
        <v>70</v>
      </c>
      <c r="H69" s="339">
        <f t="shared" si="33"/>
        <v>8.3250000000000008E-3</v>
      </c>
      <c r="I69" s="295">
        <f t="shared" si="34"/>
        <v>30679.68</v>
      </c>
      <c r="J69" s="727">
        <f t="shared" si="35"/>
        <v>0.57999999999999996</v>
      </c>
      <c r="L69" s="339">
        <f t="shared" si="36"/>
        <v>2.9375999999999999E-2</v>
      </c>
      <c r="M69" s="295">
        <f t="shared" si="37"/>
        <v>108965.75999999999</v>
      </c>
      <c r="N69" s="727">
        <f t="shared" si="38"/>
        <v>2.06</v>
      </c>
      <c r="P69" s="176"/>
      <c r="Q69" s="295"/>
      <c r="T69" s="613" t="s">
        <v>1126</v>
      </c>
    </row>
    <row r="70" spans="1:20" x14ac:dyDescent="0.2">
      <c r="A70" s="613">
        <f t="shared" si="0"/>
        <v>63</v>
      </c>
      <c r="B70" s="164" t="str">
        <f>'WP1 Light Inventory'!A64</f>
        <v>53E</v>
      </c>
      <c r="C70" s="164" t="str">
        <f>'WP1 Light Inventory'!C64</f>
        <v xml:space="preserve">Company Owned </v>
      </c>
      <c r="D70" s="327" t="str">
        <f>'WP1 Light Inventory'!D64</f>
        <v>Sodium Vapor</v>
      </c>
      <c r="E70" s="165" t="str">
        <f>'WP1 Light Inventory'!E64</f>
        <v>SV 250</v>
      </c>
      <c r="F70" s="364">
        <f>'WP1 Light Inventory'!J64</f>
        <v>1615</v>
      </c>
      <c r="G70" s="366">
        <f>'WP12 Condensed Sch. Level Costs'!O63</f>
        <v>87.5</v>
      </c>
      <c r="H70" s="339">
        <f t="shared" si="33"/>
        <v>8.3250000000000008E-3</v>
      </c>
      <c r="I70" s="295">
        <f t="shared" si="34"/>
        <v>14147.400000000001</v>
      </c>
      <c r="J70" s="727">
        <f t="shared" si="35"/>
        <v>0.73</v>
      </c>
      <c r="L70" s="339">
        <f t="shared" si="36"/>
        <v>2.9375999999999999E-2</v>
      </c>
      <c r="M70" s="295">
        <f t="shared" si="37"/>
        <v>49806.600000000006</v>
      </c>
      <c r="N70" s="727">
        <f t="shared" si="38"/>
        <v>2.57</v>
      </c>
      <c r="P70" s="176"/>
      <c r="Q70" s="295"/>
      <c r="T70" s="613" t="s">
        <v>1126</v>
      </c>
    </row>
    <row r="71" spans="1:20" x14ac:dyDescent="0.2">
      <c r="A71" s="613">
        <f t="shared" si="0"/>
        <v>64</v>
      </c>
      <c r="B71" s="164" t="str">
        <f>'WP1 Light Inventory'!A65</f>
        <v>53E</v>
      </c>
      <c r="C71" s="164" t="str">
        <f>'WP1 Light Inventory'!C65</f>
        <v xml:space="preserve">Company Owned </v>
      </c>
      <c r="D71" s="327" t="str">
        <f>'WP1 Light Inventory'!D65</f>
        <v>Sodium Vapor</v>
      </c>
      <c r="E71" s="165" t="str">
        <f>'WP1 Light Inventory'!E65</f>
        <v>SV 310</v>
      </c>
      <c r="F71" s="364">
        <f>'WP1 Light Inventory'!J65</f>
        <v>15</v>
      </c>
      <c r="G71" s="366">
        <f>'WP12 Condensed Sch. Level Costs'!O64</f>
        <v>108.5</v>
      </c>
      <c r="H71" s="339">
        <f t="shared" si="33"/>
        <v>8.3250000000000008E-3</v>
      </c>
      <c r="I71" s="295">
        <f t="shared" si="34"/>
        <v>162</v>
      </c>
      <c r="J71" s="727">
        <f t="shared" si="35"/>
        <v>0.9</v>
      </c>
      <c r="L71" s="339">
        <f t="shared" si="36"/>
        <v>2.9375999999999999E-2</v>
      </c>
      <c r="M71" s="295">
        <f t="shared" si="37"/>
        <v>574.20000000000005</v>
      </c>
      <c r="N71" s="727">
        <f t="shared" si="38"/>
        <v>3.19</v>
      </c>
      <c r="P71" s="176"/>
      <c r="Q71" s="295"/>
      <c r="T71" s="613" t="s">
        <v>1126</v>
      </c>
    </row>
    <row r="72" spans="1:20" x14ac:dyDescent="0.2">
      <c r="A72" s="613">
        <f t="shared" si="0"/>
        <v>65</v>
      </c>
      <c r="B72" s="164" t="str">
        <f>'WP1 Light Inventory'!A66</f>
        <v>53E</v>
      </c>
      <c r="C72" s="164" t="str">
        <f>'WP1 Light Inventory'!C66</f>
        <v xml:space="preserve">Company Owned </v>
      </c>
      <c r="D72" s="327" t="str">
        <f>'WP1 Light Inventory'!D66</f>
        <v>Sodium Vapor</v>
      </c>
      <c r="E72" s="165" t="str">
        <f>'WP1 Light Inventory'!E66</f>
        <v>SV 400</v>
      </c>
      <c r="F72" s="364">
        <f>'WP1 Light Inventory'!J66</f>
        <v>884</v>
      </c>
      <c r="G72" s="366">
        <f>'WP12 Condensed Sch. Level Costs'!O65</f>
        <v>140</v>
      </c>
      <c r="H72" s="339">
        <f t="shared" si="33"/>
        <v>8.3250000000000008E-3</v>
      </c>
      <c r="I72" s="295">
        <f t="shared" si="34"/>
        <v>12411.36</v>
      </c>
      <c r="J72" s="727">
        <f t="shared" si="35"/>
        <v>1.17</v>
      </c>
      <c r="L72" s="339">
        <f t="shared" si="36"/>
        <v>2.9375999999999999E-2</v>
      </c>
      <c r="M72" s="295">
        <f t="shared" si="37"/>
        <v>43598.880000000005</v>
      </c>
      <c r="N72" s="727">
        <f t="shared" si="38"/>
        <v>4.1100000000000003</v>
      </c>
      <c r="P72" s="176"/>
      <c r="Q72" s="295"/>
      <c r="T72" s="613" t="s">
        <v>1126</v>
      </c>
    </row>
    <row r="73" spans="1:20" x14ac:dyDescent="0.2">
      <c r="A73" s="613">
        <f t="shared" ref="A73:A136" si="39">A72+1</f>
        <v>66</v>
      </c>
      <c r="B73" s="164" t="str">
        <f>'WP1 Light Inventory'!A67</f>
        <v>53E</v>
      </c>
      <c r="C73" s="164" t="str">
        <f>'WP1 Light Inventory'!C67</f>
        <v xml:space="preserve">Company Owned </v>
      </c>
      <c r="D73" s="327" t="str">
        <f>'WP1 Light Inventory'!D67</f>
        <v>Sodium Vapor</v>
      </c>
      <c r="E73" s="165" t="str">
        <f>'WP1 Light Inventory'!E67</f>
        <v>SV 1000</v>
      </c>
      <c r="F73" s="364">
        <f>'WP1 Light Inventory'!J67</f>
        <v>0</v>
      </c>
      <c r="G73" s="366">
        <f>'WP12 Condensed Sch. Level Costs'!O66</f>
        <v>350</v>
      </c>
      <c r="H73" s="339">
        <f t="shared" si="33"/>
        <v>8.3250000000000008E-3</v>
      </c>
      <c r="I73" s="295">
        <f t="shared" si="34"/>
        <v>0</v>
      </c>
      <c r="J73" s="727">
        <f t="shared" si="35"/>
        <v>2.91</v>
      </c>
      <c r="L73" s="339">
        <f t="shared" si="36"/>
        <v>2.9375999999999999E-2</v>
      </c>
      <c r="M73" s="295">
        <f t="shared" si="37"/>
        <v>0</v>
      </c>
      <c r="N73" s="727">
        <f t="shared" si="38"/>
        <v>10.28</v>
      </c>
      <c r="P73" s="176"/>
      <c r="Q73" s="295"/>
      <c r="T73" s="613" t="s">
        <v>1126</v>
      </c>
    </row>
    <row r="74" spans="1:20" x14ac:dyDescent="0.2">
      <c r="A74" s="613">
        <f t="shared" si="39"/>
        <v>67</v>
      </c>
      <c r="B74" s="164"/>
      <c r="C74" s="164"/>
      <c r="D74" s="327"/>
      <c r="E74" s="165"/>
      <c r="F74" s="364"/>
      <c r="G74" s="399"/>
      <c r="H74" s="342"/>
      <c r="I74" s="295"/>
      <c r="J74" s="727"/>
      <c r="L74" s="342"/>
      <c r="M74" s="295"/>
      <c r="N74" s="727"/>
      <c r="P74" s="342"/>
      <c r="Q74" s="295"/>
    </row>
    <row r="75" spans="1:20" x14ac:dyDescent="0.2">
      <c r="A75" s="613">
        <f t="shared" si="39"/>
        <v>68</v>
      </c>
      <c r="B75" s="164" t="str">
        <f>'WP1 Light Inventory'!A69</f>
        <v>53E</v>
      </c>
      <c r="C75" s="164" t="str">
        <f>'WP1 Light Inventory'!C69</f>
        <v xml:space="preserve">Company Owned </v>
      </c>
      <c r="D75" s="327" t="str">
        <f>'WP1 Light Inventory'!D69</f>
        <v>Metal Halide</v>
      </c>
      <c r="E75" s="165" t="str">
        <f>'WP1 Light Inventory'!E69</f>
        <v>MH 070</v>
      </c>
      <c r="F75" s="364">
        <f>'WP1 Light Inventory'!J69</f>
        <v>0</v>
      </c>
      <c r="G75" s="366">
        <f>'WP12 Condensed Sch. Level Costs'!O68</f>
        <v>24.5</v>
      </c>
      <c r="H75" s="339">
        <f t="shared" ref="H75:H79" si="40">$Y$8</f>
        <v>8.3250000000000008E-3</v>
      </c>
      <c r="I75" s="295">
        <f t="shared" ref="I75:I79" si="41">+F75*J75*12</f>
        <v>0</v>
      </c>
      <c r="J75" s="727">
        <f t="shared" ref="J75:J79" si="42">ROUND(+H75*G75,2)</f>
        <v>0.2</v>
      </c>
      <c r="L75" s="339">
        <f t="shared" ref="L75:L79" si="43">$Y$9</f>
        <v>2.9375999999999999E-2</v>
      </c>
      <c r="M75" s="295">
        <f t="shared" ref="M75:M79" si="44">+F75*N75*12</f>
        <v>0</v>
      </c>
      <c r="N75" s="727">
        <f t="shared" ref="N75:N79" si="45">ROUND(+L75*G75,2)</f>
        <v>0.72</v>
      </c>
      <c r="P75" s="176"/>
      <c r="Q75" s="295"/>
      <c r="T75" s="613" t="s">
        <v>1127</v>
      </c>
    </row>
    <row r="76" spans="1:20" x14ac:dyDescent="0.2">
      <c r="A76" s="613">
        <f t="shared" si="39"/>
        <v>69</v>
      </c>
      <c r="B76" s="164" t="str">
        <f>'WP1 Light Inventory'!A70</f>
        <v>53E</v>
      </c>
      <c r="C76" s="164" t="str">
        <f>'WP1 Light Inventory'!C70</f>
        <v xml:space="preserve">Company Owned </v>
      </c>
      <c r="D76" s="327" t="str">
        <f>'WP1 Light Inventory'!D70</f>
        <v>Metal Halide</v>
      </c>
      <c r="E76" s="165" t="str">
        <f>'WP1 Light Inventory'!E70</f>
        <v>MH 100</v>
      </c>
      <c r="F76" s="364">
        <f>'WP1 Light Inventory'!J70</f>
        <v>0</v>
      </c>
      <c r="G76" s="366">
        <f>'WP12 Condensed Sch. Level Costs'!O69</f>
        <v>35</v>
      </c>
      <c r="H76" s="339">
        <f t="shared" si="40"/>
        <v>8.3250000000000008E-3</v>
      </c>
      <c r="I76" s="295">
        <f t="shared" si="41"/>
        <v>0</v>
      </c>
      <c r="J76" s="727">
        <f t="shared" si="42"/>
        <v>0.28999999999999998</v>
      </c>
      <c r="L76" s="339">
        <f t="shared" si="43"/>
        <v>2.9375999999999999E-2</v>
      </c>
      <c r="M76" s="295">
        <f t="shared" si="44"/>
        <v>0</v>
      </c>
      <c r="N76" s="727">
        <f t="shared" si="45"/>
        <v>1.03</v>
      </c>
      <c r="P76" s="176"/>
      <c r="Q76" s="295"/>
      <c r="T76" s="613" t="s">
        <v>1127</v>
      </c>
    </row>
    <row r="77" spans="1:20" x14ac:dyDescent="0.2">
      <c r="A77" s="613">
        <f t="shared" si="39"/>
        <v>70</v>
      </c>
      <c r="B77" s="164" t="str">
        <f>'WP1 Light Inventory'!A71</f>
        <v>53E</v>
      </c>
      <c r="C77" s="164" t="str">
        <f>'WP1 Light Inventory'!C71</f>
        <v xml:space="preserve">Company Owned </v>
      </c>
      <c r="D77" s="327" t="str">
        <f>'WP1 Light Inventory'!D71</f>
        <v>Metal Halide</v>
      </c>
      <c r="E77" s="165" t="str">
        <f>'WP1 Light Inventory'!E71</f>
        <v>MH 150</v>
      </c>
      <c r="F77" s="364">
        <f>'WP1 Light Inventory'!J71</f>
        <v>0</v>
      </c>
      <c r="G77" s="366">
        <f>'WP12 Condensed Sch. Level Costs'!O70</f>
        <v>52.5</v>
      </c>
      <c r="H77" s="339">
        <f t="shared" si="40"/>
        <v>8.3250000000000008E-3</v>
      </c>
      <c r="I77" s="295">
        <f t="shared" si="41"/>
        <v>0</v>
      </c>
      <c r="J77" s="727">
        <f t="shared" si="42"/>
        <v>0.44</v>
      </c>
      <c r="L77" s="339">
        <f t="shared" si="43"/>
        <v>2.9375999999999999E-2</v>
      </c>
      <c r="M77" s="295">
        <f t="shared" si="44"/>
        <v>0</v>
      </c>
      <c r="N77" s="727">
        <f t="shared" si="45"/>
        <v>1.54</v>
      </c>
      <c r="P77" s="176"/>
      <c r="Q77" s="295"/>
      <c r="T77" s="613" t="s">
        <v>1127</v>
      </c>
    </row>
    <row r="78" spans="1:20" x14ac:dyDescent="0.2">
      <c r="A78" s="613">
        <f t="shared" si="39"/>
        <v>71</v>
      </c>
      <c r="B78" s="164" t="str">
        <f>'WP1 Light Inventory'!A72</f>
        <v>53E</v>
      </c>
      <c r="C78" s="164" t="str">
        <f>'WP1 Light Inventory'!C72</f>
        <v xml:space="preserve">Company Owned </v>
      </c>
      <c r="D78" s="327" t="str">
        <f>'WP1 Light Inventory'!D72</f>
        <v>Metal Halide</v>
      </c>
      <c r="E78" s="165" t="str">
        <f>'WP1 Light Inventory'!E72</f>
        <v>MH 250</v>
      </c>
      <c r="F78" s="364">
        <f>'WP1 Light Inventory'!J72</f>
        <v>0</v>
      </c>
      <c r="G78" s="366">
        <f>'WP12 Condensed Sch. Level Costs'!O71</f>
        <v>87.5</v>
      </c>
      <c r="H78" s="339">
        <f t="shared" si="40"/>
        <v>8.3250000000000008E-3</v>
      </c>
      <c r="I78" s="295">
        <f t="shared" si="41"/>
        <v>0</v>
      </c>
      <c r="J78" s="727">
        <f t="shared" si="42"/>
        <v>0.73</v>
      </c>
      <c r="L78" s="339">
        <f t="shared" si="43"/>
        <v>2.9375999999999999E-2</v>
      </c>
      <c r="M78" s="295">
        <f t="shared" si="44"/>
        <v>0</v>
      </c>
      <c r="N78" s="727">
        <f t="shared" si="45"/>
        <v>2.57</v>
      </c>
      <c r="P78" s="176"/>
      <c r="Q78" s="295"/>
      <c r="T78" s="613" t="s">
        <v>1127</v>
      </c>
    </row>
    <row r="79" spans="1:20" x14ac:dyDescent="0.2">
      <c r="A79" s="613">
        <f t="shared" si="39"/>
        <v>72</v>
      </c>
      <c r="B79" s="164" t="str">
        <f>'WP1 Light Inventory'!A73</f>
        <v>53E</v>
      </c>
      <c r="C79" s="164" t="str">
        <f>'WP1 Light Inventory'!C73</f>
        <v xml:space="preserve">Company Owned </v>
      </c>
      <c r="D79" s="327" t="str">
        <f>'WP1 Light Inventory'!D73</f>
        <v>Metal Halide</v>
      </c>
      <c r="E79" s="165" t="str">
        <f>'WP1 Light Inventory'!E73</f>
        <v>MH 400</v>
      </c>
      <c r="F79" s="364">
        <f>'WP1 Light Inventory'!J73</f>
        <v>0</v>
      </c>
      <c r="G79" s="366">
        <f>'WP12 Condensed Sch. Level Costs'!O72</f>
        <v>140</v>
      </c>
      <c r="H79" s="339">
        <f t="shared" si="40"/>
        <v>8.3250000000000008E-3</v>
      </c>
      <c r="I79" s="295">
        <f t="shared" si="41"/>
        <v>0</v>
      </c>
      <c r="J79" s="727">
        <f t="shared" si="42"/>
        <v>1.17</v>
      </c>
      <c r="L79" s="339">
        <f t="shared" si="43"/>
        <v>2.9375999999999999E-2</v>
      </c>
      <c r="M79" s="295">
        <f t="shared" si="44"/>
        <v>0</v>
      </c>
      <c r="N79" s="727">
        <f t="shared" si="45"/>
        <v>4.1100000000000003</v>
      </c>
      <c r="P79" s="176"/>
      <c r="Q79" s="295"/>
      <c r="T79" s="613" t="s">
        <v>1127</v>
      </c>
    </row>
    <row r="80" spans="1:20" x14ac:dyDescent="0.2">
      <c r="A80" s="613">
        <f t="shared" si="39"/>
        <v>73</v>
      </c>
      <c r="B80" s="164"/>
      <c r="C80" s="164"/>
      <c r="D80" s="327"/>
      <c r="E80" s="165"/>
      <c r="F80" s="364"/>
      <c r="G80" s="399"/>
      <c r="H80" s="342"/>
      <c r="I80" s="295"/>
      <c r="J80" s="727"/>
      <c r="L80" s="342"/>
      <c r="M80" s="295"/>
      <c r="N80" s="727"/>
      <c r="P80" s="342"/>
      <c r="Q80" s="295"/>
    </row>
    <row r="81" spans="1:20" ht="11.25" customHeight="1" x14ac:dyDescent="0.2">
      <c r="A81" s="613">
        <f t="shared" si="39"/>
        <v>74</v>
      </c>
      <c r="B81" s="164" t="str">
        <f>'WP1 Light Inventory'!A75</f>
        <v>53E</v>
      </c>
      <c r="C81" s="164" t="str">
        <f>'WP1 Light Inventory'!C75</f>
        <v xml:space="preserve">Company Owned </v>
      </c>
      <c r="D81" s="327" t="str">
        <f>'WP1 Light Inventory'!D75</f>
        <v>Light Emitting Diode</v>
      </c>
      <c r="E81" s="165" t="str">
        <f>'WP1 Light Inventory'!E75</f>
        <v>LED 0-030</v>
      </c>
      <c r="F81" s="364">
        <f>'WP1 Light Inventory'!J75</f>
        <v>0</v>
      </c>
      <c r="G81" s="366">
        <f>'WP12 Condensed Sch. Level Costs'!O74</f>
        <v>5.25</v>
      </c>
      <c r="H81" s="339">
        <f t="shared" ref="H81:H90" si="46">$Y$8</f>
        <v>8.3250000000000008E-3</v>
      </c>
      <c r="I81" s="295">
        <f t="shared" ref="I81:I90" si="47">+F81*J81*12</f>
        <v>0</v>
      </c>
      <c r="J81" s="727">
        <f t="shared" ref="J81:J90" si="48">ROUND(+H81*G81,2)</f>
        <v>0.04</v>
      </c>
      <c r="L81" s="339">
        <f t="shared" ref="L81:L90" si="49">$Y$9</f>
        <v>2.9375999999999999E-2</v>
      </c>
      <c r="M81" s="295">
        <f t="shared" ref="M81:M90" si="50">+F81*N81*12</f>
        <v>0</v>
      </c>
      <c r="N81" s="727">
        <f t="shared" ref="N81:N90" si="51">ROUND(+L81*G81,2)</f>
        <v>0.15</v>
      </c>
      <c r="P81" s="176"/>
      <c r="Q81" s="295"/>
      <c r="S81" s="239"/>
      <c r="T81" s="613" t="s">
        <v>1128</v>
      </c>
    </row>
    <row r="82" spans="1:20" x14ac:dyDescent="0.2">
      <c r="A82" s="613">
        <f t="shared" si="39"/>
        <v>75</v>
      </c>
      <c r="B82" s="164" t="str">
        <f>'WP1 Light Inventory'!A76</f>
        <v>53E</v>
      </c>
      <c r="C82" s="164" t="str">
        <f>'WP1 Light Inventory'!C76</f>
        <v xml:space="preserve">Company Owned </v>
      </c>
      <c r="D82" s="327" t="str">
        <f>'WP1 Light Inventory'!D76</f>
        <v>Light Emitting Diode</v>
      </c>
      <c r="E82" s="165" t="str">
        <f>'WP1 Light Inventory'!E76</f>
        <v>LED 030.01-060</v>
      </c>
      <c r="F82" s="364">
        <f>'WP1 Light Inventory'!J76</f>
        <v>21897</v>
      </c>
      <c r="G82" s="366">
        <f>'WP12 Condensed Sch. Level Costs'!O75</f>
        <v>15.75</v>
      </c>
      <c r="H82" s="339">
        <f t="shared" si="46"/>
        <v>8.3250000000000008E-3</v>
      </c>
      <c r="I82" s="295">
        <f t="shared" si="47"/>
        <v>34159.32</v>
      </c>
      <c r="J82" s="727">
        <f t="shared" si="48"/>
        <v>0.13</v>
      </c>
      <c r="L82" s="339">
        <f t="shared" si="49"/>
        <v>2.9375999999999999E-2</v>
      </c>
      <c r="M82" s="295">
        <f t="shared" si="50"/>
        <v>120871.44</v>
      </c>
      <c r="N82" s="727">
        <f t="shared" si="51"/>
        <v>0.46</v>
      </c>
      <c r="P82" s="176"/>
      <c r="Q82" s="295"/>
      <c r="T82" s="613" t="s">
        <v>1128</v>
      </c>
    </row>
    <row r="83" spans="1:20" x14ac:dyDescent="0.2">
      <c r="A83" s="613">
        <f t="shared" si="39"/>
        <v>76</v>
      </c>
      <c r="B83" s="164" t="str">
        <f>'WP1 Light Inventory'!A77</f>
        <v>53E</v>
      </c>
      <c r="C83" s="164" t="str">
        <f>'WP1 Light Inventory'!C77</f>
        <v xml:space="preserve">Company Owned </v>
      </c>
      <c r="D83" s="327" t="str">
        <f>'WP1 Light Inventory'!D77</f>
        <v>Light Emitting Diode</v>
      </c>
      <c r="E83" s="165" t="str">
        <f>'WP1 Light Inventory'!E77</f>
        <v>LED 060.01-090</v>
      </c>
      <c r="F83" s="364">
        <f>'WP1 Light Inventory'!J77</f>
        <v>430</v>
      </c>
      <c r="G83" s="366">
        <f>'WP12 Condensed Sch. Level Costs'!O76</f>
        <v>26.25</v>
      </c>
      <c r="H83" s="339">
        <f t="shared" si="46"/>
        <v>8.3250000000000008E-3</v>
      </c>
      <c r="I83" s="295">
        <f t="shared" si="47"/>
        <v>1135.1999999999998</v>
      </c>
      <c r="J83" s="727">
        <f t="shared" si="48"/>
        <v>0.22</v>
      </c>
      <c r="L83" s="339">
        <f t="shared" si="49"/>
        <v>2.9375999999999999E-2</v>
      </c>
      <c r="M83" s="295">
        <f t="shared" si="50"/>
        <v>3973.2000000000003</v>
      </c>
      <c r="N83" s="727">
        <f t="shared" si="51"/>
        <v>0.77</v>
      </c>
      <c r="P83" s="176"/>
      <c r="Q83" s="295"/>
      <c r="T83" s="613" t="s">
        <v>1128</v>
      </c>
    </row>
    <row r="84" spans="1:20" x14ac:dyDescent="0.2">
      <c r="A84" s="613">
        <f t="shared" si="39"/>
        <v>77</v>
      </c>
      <c r="B84" s="164" t="str">
        <f>'WP1 Light Inventory'!A78</f>
        <v>53E</v>
      </c>
      <c r="C84" s="164" t="str">
        <f>'WP1 Light Inventory'!C78</f>
        <v xml:space="preserve">Company Owned </v>
      </c>
      <c r="D84" s="327" t="str">
        <f>'WP1 Light Inventory'!D78</f>
        <v>Light Emitting Diode</v>
      </c>
      <c r="E84" s="165" t="str">
        <f>'WP1 Light Inventory'!E78</f>
        <v>LED 090.01-120</v>
      </c>
      <c r="F84" s="364">
        <f>'WP1 Light Inventory'!J78</f>
        <v>2478</v>
      </c>
      <c r="G84" s="366">
        <f>'WP12 Condensed Sch. Level Costs'!O77</f>
        <v>36.75</v>
      </c>
      <c r="H84" s="339">
        <f t="shared" si="46"/>
        <v>8.3250000000000008E-3</v>
      </c>
      <c r="I84" s="295">
        <f t="shared" si="47"/>
        <v>9218.16</v>
      </c>
      <c r="J84" s="727">
        <f t="shared" si="48"/>
        <v>0.31</v>
      </c>
      <c r="L84" s="339">
        <f t="shared" si="49"/>
        <v>2.9375999999999999E-2</v>
      </c>
      <c r="M84" s="295">
        <f t="shared" si="50"/>
        <v>32114.880000000005</v>
      </c>
      <c r="N84" s="727">
        <f t="shared" si="51"/>
        <v>1.08</v>
      </c>
      <c r="P84" s="176"/>
      <c r="Q84" s="295"/>
      <c r="T84" s="613" t="s">
        <v>1128</v>
      </c>
    </row>
    <row r="85" spans="1:20" x14ac:dyDescent="0.2">
      <c r="A85" s="613">
        <f t="shared" si="39"/>
        <v>78</v>
      </c>
      <c r="B85" s="164" t="str">
        <f>'WP1 Light Inventory'!A79</f>
        <v>53E</v>
      </c>
      <c r="C85" s="164" t="str">
        <f>'WP1 Light Inventory'!C79</f>
        <v xml:space="preserve">Company Owned </v>
      </c>
      <c r="D85" s="327" t="str">
        <f>'WP1 Light Inventory'!D79</f>
        <v>Light Emitting Diode</v>
      </c>
      <c r="E85" s="165" t="str">
        <f>'WP1 Light Inventory'!E79</f>
        <v>LED 120.01-150</v>
      </c>
      <c r="F85" s="364">
        <f>'WP1 Light Inventory'!J79</f>
        <v>1833</v>
      </c>
      <c r="G85" s="366">
        <f>'WP12 Condensed Sch. Level Costs'!O78</f>
        <v>47.25</v>
      </c>
      <c r="H85" s="339">
        <f t="shared" si="46"/>
        <v>8.3250000000000008E-3</v>
      </c>
      <c r="I85" s="295">
        <f t="shared" si="47"/>
        <v>8578.44</v>
      </c>
      <c r="J85" s="727">
        <f t="shared" si="48"/>
        <v>0.39</v>
      </c>
      <c r="L85" s="339">
        <f t="shared" si="49"/>
        <v>2.9375999999999999E-2</v>
      </c>
      <c r="M85" s="295">
        <f t="shared" si="50"/>
        <v>30574.44</v>
      </c>
      <c r="N85" s="727">
        <f t="shared" si="51"/>
        <v>1.39</v>
      </c>
      <c r="P85" s="176"/>
      <c r="Q85" s="295"/>
      <c r="T85" s="613" t="s">
        <v>1128</v>
      </c>
    </row>
    <row r="86" spans="1:20" x14ac:dyDescent="0.2">
      <c r="A86" s="613">
        <f t="shared" si="39"/>
        <v>79</v>
      </c>
      <c r="B86" s="164" t="str">
        <f>'WP1 Light Inventory'!A80</f>
        <v>53E</v>
      </c>
      <c r="C86" s="164" t="str">
        <f>'WP1 Light Inventory'!C80</f>
        <v xml:space="preserve">Company Owned </v>
      </c>
      <c r="D86" s="327" t="str">
        <f>'WP1 Light Inventory'!D80</f>
        <v>Light Emitting Diode</v>
      </c>
      <c r="E86" s="165" t="str">
        <f>'WP1 Light Inventory'!E80</f>
        <v>LED 150.01-180</v>
      </c>
      <c r="F86" s="364">
        <f>'WP1 Light Inventory'!J80</f>
        <v>105</v>
      </c>
      <c r="G86" s="366">
        <f>'WP12 Condensed Sch. Level Costs'!O79</f>
        <v>57.75</v>
      </c>
      <c r="H86" s="339">
        <f t="shared" si="46"/>
        <v>8.3250000000000008E-3</v>
      </c>
      <c r="I86" s="295">
        <f t="shared" si="47"/>
        <v>604.79999999999995</v>
      </c>
      <c r="J86" s="727">
        <f t="shared" si="48"/>
        <v>0.48</v>
      </c>
      <c r="L86" s="339">
        <f t="shared" si="49"/>
        <v>2.9375999999999999E-2</v>
      </c>
      <c r="M86" s="295">
        <f t="shared" si="50"/>
        <v>2142</v>
      </c>
      <c r="N86" s="727">
        <f t="shared" si="51"/>
        <v>1.7</v>
      </c>
      <c r="P86" s="176"/>
      <c r="Q86" s="295"/>
      <c r="T86" s="613" t="s">
        <v>1128</v>
      </c>
    </row>
    <row r="87" spans="1:20" x14ac:dyDescent="0.2">
      <c r="A87" s="613">
        <f t="shared" si="39"/>
        <v>80</v>
      </c>
      <c r="B87" s="164" t="str">
        <f>'WP1 Light Inventory'!A81</f>
        <v>53E</v>
      </c>
      <c r="C87" s="164" t="str">
        <f>'WP1 Light Inventory'!C81</f>
        <v xml:space="preserve">Company Owned </v>
      </c>
      <c r="D87" s="327" t="str">
        <f>'WP1 Light Inventory'!D81</f>
        <v>Light Emitting Diode</v>
      </c>
      <c r="E87" s="165" t="str">
        <f>'WP1 Light Inventory'!E81</f>
        <v>LED 180.01-210</v>
      </c>
      <c r="F87" s="364">
        <f>'WP1 Light Inventory'!J81</f>
        <v>427</v>
      </c>
      <c r="G87" s="366">
        <f>'WP12 Condensed Sch. Level Costs'!O80</f>
        <v>68.25</v>
      </c>
      <c r="H87" s="339">
        <f t="shared" si="46"/>
        <v>8.3250000000000008E-3</v>
      </c>
      <c r="I87" s="295">
        <f t="shared" si="47"/>
        <v>2920.68</v>
      </c>
      <c r="J87" s="727">
        <f t="shared" si="48"/>
        <v>0.56999999999999995</v>
      </c>
      <c r="L87" s="339">
        <f t="shared" si="49"/>
        <v>2.9375999999999999E-2</v>
      </c>
      <c r="M87" s="295">
        <f t="shared" si="50"/>
        <v>10248</v>
      </c>
      <c r="N87" s="727">
        <f t="shared" si="51"/>
        <v>2</v>
      </c>
      <c r="P87" s="176"/>
      <c r="Q87" s="295"/>
      <c r="T87" s="613" t="s">
        <v>1128</v>
      </c>
    </row>
    <row r="88" spans="1:20" x14ac:dyDescent="0.2">
      <c r="A88" s="613">
        <f t="shared" si="39"/>
        <v>81</v>
      </c>
      <c r="B88" s="164" t="str">
        <f>'WP1 Light Inventory'!A82</f>
        <v>53E</v>
      </c>
      <c r="C88" s="164" t="str">
        <f>'WP1 Light Inventory'!C82</f>
        <v xml:space="preserve">Company Owned </v>
      </c>
      <c r="D88" s="327" t="str">
        <f>'WP1 Light Inventory'!D82</f>
        <v>Light Emitting Diode</v>
      </c>
      <c r="E88" s="165" t="str">
        <f>'WP1 Light Inventory'!E82</f>
        <v>LED 210.01-240</v>
      </c>
      <c r="F88" s="364">
        <f>'WP1 Light Inventory'!J82</f>
        <v>36</v>
      </c>
      <c r="G88" s="366">
        <f>'WP12 Condensed Sch. Level Costs'!O81</f>
        <v>78.75</v>
      </c>
      <c r="H88" s="339">
        <f t="shared" si="46"/>
        <v>8.3250000000000008E-3</v>
      </c>
      <c r="I88" s="295">
        <f t="shared" si="47"/>
        <v>285.12</v>
      </c>
      <c r="J88" s="727">
        <f t="shared" si="48"/>
        <v>0.66</v>
      </c>
      <c r="L88" s="339">
        <f t="shared" si="49"/>
        <v>2.9375999999999999E-2</v>
      </c>
      <c r="M88" s="295">
        <f t="shared" si="50"/>
        <v>997.92</v>
      </c>
      <c r="N88" s="727">
        <f t="shared" si="51"/>
        <v>2.31</v>
      </c>
      <c r="P88" s="176"/>
      <c r="Q88" s="295"/>
      <c r="T88" s="613" t="s">
        <v>1128</v>
      </c>
    </row>
    <row r="89" spans="1:20" x14ac:dyDescent="0.2">
      <c r="A89" s="613">
        <f t="shared" si="39"/>
        <v>82</v>
      </c>
      <c r="B89" s="164" t="str">
        <f>'WP1 Light Inventory'!A83</f>
        <v>53E</v>
      </c>
      <c r="C89" s="164" t="str">
        <f>'WP1 Light Inventory'!C83</f>
        <v xml:space="preserve">Company Owned </v>
      </c>
      <c r="D89" s="327" t="str">
        <f>'WP1 Light Inventory'!D83</f>
        <v>Light Emitting Diode</v>
      </c>
      <c r="E89" s="165" t="str">
        <f>'WP1 Light Inventory'!E83</f>
        <v>LED 240.01-270</v>
      </c>
      <c r="F89" s="364">
        <f>'WP1 Light Inventory'!J83</f>
        <v>24</v>
      </c>
      <c r="G89" s="366">
        <f>'WP12 Condensed Sch. Level Costs'!O82</f>
        <v>89.25</v>
      </c>
      <c r="H89" s="339">
        <f t="shared" si="46"/>
        <v>8.3250000000000008E-3</v>
      </c>
      <c r="I89" s="295">
        <f t="shared" si="47"/>
        <v>213.11999999999998</v>
      </c>
      <c r="J89" s="727">
        <f t="shared" si="48"/>
        <v>0.74</v>
      </c>
      <c r="L89" s="339">
        <f t="shared" si="49"/>
        <v>2.9375999999999999E-2</v>
      </c>
      <c r="M89" s="295">
        <f t="shared" si="50"/>
        <v>754.56000000000006</v>
      </c>
      <c r="N89" s="727">
        <f t="shared" si="51"/>
        <v>2.62</v>
      </c>
      <c r="P89" s="176"/>
      <c r="Q89" s="295"/>
      <c r="T89" s="613" t="s">
        <v>1128</v>
      </c>
    </row>
    <row r="90" spans="1:20" x14ac:dyDescent="0.2">
      <c r="A90" s="613">
        <f t="shared" si="39"/>
        <v>83</v>
      </c>
      <c r="B90" s="164" t="str">
        <f>'WP1 Light Inventory'!A84</f>
        <v>53E</v>
      </c>
      <c r="C90" s="164" t="str">
        <f>'WP1 Light Inventory'!C84</f>
        <v xml:space="preserve">Company Owned </v>
      </c>
      <c r="D90" s="327" t="str">
        <f>'WP1 Light Inventory'!D84</f>
        <v>Light Emitting Diode</v>
      </c>
      <c r="E90" s="165" t="str">
        <f>'WP1 Light Inventory'!E84</f>
        <v>LED 270.01-300</v>
      </c>
      <c r="F90" s="364">
        <f>'WP1 Light Inventory'!J84</f>
        <v>157</v>
      </c>
      <c r="G90" s="366">
        <f>'WP12 Condensed Sch. Level Costs'!O83</f>
        <v>99.75</v>
      </c>
      <c r="H90" s="339">
        <f t="shared" si="46"/>
        <v>8.3250000000000008E-3</v>
      </c>
      <c r="I90" s="295">
        <f t="shared" si="47"/>
        <v>1563.72</v>
      </c>
      <c r="J90" s="727">
        <f t="shared" si="48"/>
        <v>0.83</v>
      </c>
      <c r="L90" s="339">
        <f t="shared" si="49"/>
        <v>2.9375999999999999E-2</v>
      </c>
      <c r="M90" s="295">
        <f t="shared" si="50"/>
        <v>5520.1200000000008</v>
      </c>
      <c r="N90" s="727">
        <f t="shared" si="51"/>
        <v>2.93</v>
      </c>
      <c r="P90" s="176"/>
      <c r="Q90" s="295"/>
      <c r="T90" s="613" t="s">
        <v>1128</v>
      </c>
    </row>
    <row r="91" spans="1:20" x14ac:dyDescent="0.2">
      <c r="A91" s="613">
        <f>A90+1</f>
        <v>84</v>
      </c>
      <c r="B91" s="164"/>
      <c r="C91" s="164"/>
      <c r="D91" s="327"/>
      <c r="E91" s="165"/>
      <c r="F91" s="364"/>
      <c r="G91" s="399"/>
      <c r="H91" s="342"/>
      <c r="I91" s="295"/>
      <c r="J91" s="727"/>
      <c r="L91" s="342"/>
      <c r="M91" s="295"/>
      <c r="N91" s="727"/>
      <c r="P91" s="342"/>
      <c r="Q91" s="295"/>
    </row>
    <row r="92" spans="1:20" ht="11.25" customHeight="1" x14ac:dyDescent="0.2">
      <c r="A92" s="613">
        <f t="shared" ref="A92:A101" si="52">A91+1</f>
        <v>85</v>
      </c>
      <c r="B92" s="164" t="str">
        <f>'WP1 Light Inventory'!A86</f>
        <v>53E</v>
      </c>
      <c r="C92" s="164" t="str">
        <f>'WP1 Light Inventory'!C86</f>
        <v>SMART LIGHT</v>
      </c>
      <c r="D92" s="327" t="str">
        <f>'WP1 Light Inventory'!D86</f>
        <v>Light Emitting Diode</v>
      </c>
      <c r="E92" s="165" t="str">
        <f>'WP1 Light Inventory'!E86</f>
        <v>LED 0-030</v>
      </c>
      <c r="F92" s="364">
        <f>'WP1 Light Inventory'!J86</f>
        <v>0</v>
      </c>
      <c r="G92" s="366">
        <f>'WP12 Condensed Sch. Level Costs'!O85</f>
        <v>5.25</v>
      </c>
      <c r="H92" s="339">
        <f t="shared" ref="H92:H101" si="53">$Y$8</f>
        <v>8.3250000000000008E-3</v>
      </c>
      <c r="I92" s="295"/>
      <c r="J92" s="727"/>
      <c r="L92" s="339">
        <f t="shared" ref="L92:L101" si="54">$Y$9</f>
        <v>2.9375999999999999E-2</v>
      </c>
      <c r="M92" s="295"/>
      <c r="N92" s="727"/>
      <c r="P92" s="176"/>
      <c r="Q92" s="295"/>
      <c r="T92" s="613" t="s">
        <v>1125</v>
      </c>
    </row>
    <row r="93" spans="1:20" ht="11.25" customHeight="1" x14ac:dyDescent="0.2">
      <c r="A93" s="613">
        <f t="shared" si="52"/>
        <v>86</v>
      </c>
      <c r="B93" s="164" t="str">
        <f>'WP1 Light Inventory'!A87</f>
        <v>53E</v>
      </c>
      <c r="C93" s="164" t="str">
        <f>'WP1 Light Inventory'!C87</f>
        <v>SMART LIGHT</v>
      </c>
      <c r="D93" s="327" t="str">
        <f>'WP1 Light Inventory'!D87</f>
        <v>Light Emitting Diode</v>
      </c>
      <c r="E93" s="165" t="str">
        <f>'WP1 Light Inventory'!E87</f>
        <v>LED 030.01-060</v>
      </c>
      <c r="F93" s="364">
        <f>'WP1 Light Inventory'!J87</f>
        <v>0</v>
      </c>
      <c r="G93" s="366">
        <f>'WP12 Condensed Sch. Level Costs'!O86</f>
        <v>15.75</v>
      </c>
      <c r="H93" s="339">
        <f t="shared" si="53"/>
        <v>8.3250000000000008E-3</v>
      </c>
      <c r="I93" s="295"/>
      <c r="J93" s="727"/>
      <c r="L93" s="339">
        <f t="shared" si="54"/>
        <v>2.9375999999999999E-2</v>
      </c>
      <c r="M93" s="295"/>
      <c r="N93" s="727"/>
      <c r="P93" s="176"/>
      <c r="Q93" s="295"/>
      <c r="T93" s="613" t="s">
        <v>1125</v>
      </c>
    </row>
    <row r="94" spans="1:20" ht="11.25" customHeight="1" x14ac:dyDescent="0.2">
      <c r="A94" s="613">
        <f t="shared" si="52"/>
        <v>87</v>
      </c>
      <c r="B94" s="164" t="str">
        <f>'WP1 Light Inventory'!A88</f>
        <v>53E</v>
      </c>
      <c r="C94" s="164" t="str">
        <f>'WP1 Light Inventory'!C88</f>
        <v>SMART LIGHT</v>
      </c>
      <c r="D94" s="327" t="str">
        <f>'WP1 Light Inventory'!D88</f>
        <v>Light Emitting Diode</v>
      </c>
      <c r="E94" s="165" t="str">
        <f>'WP1 Light Inventory'!E88</f>
        <v>LED 060.01-090</v>
      </c>
      <c r="F94" s="364">
        <f>'WP1 Light Inventory'!J88</f>
        <v>0</v>
      </c>
      <c r="G94" s="366">
        <f>'WP12 Condensed Sch. Level Costs'!O87</f>
        <v>26.25</v>
      </c>
      <c r="H94" s="339">
        <f t="shared" si="53"/>
        <v>8.3250000000000008E-3</v>
      </c>
      <c r="I94" s="295"/>
      <c r="J94" s="727"/>
      <c r="L94" s="339">
        <f t="shared" si="54"/>
        <v>2.9375999999999999E-2</v>
      </c>
      <c r="M94" s="295"/>
      <c r="N94" s="727"/>
      <c r="P94" s="176"/>
      <c r="Q94" s="295"/>
      <c r="T94" s="613" t="s">
        <v>1125</v>
      </c>
    </row>
    <row r="95" spans="1:20" ht="11.25" customHeight="1" x14ac:dyDescent="0.2">
      <c r="A95" s="613">
        <f t="shared" si="52"/>
        <v>88</v>
      </c>
      <c r="B95" s="164" t="str">
        <f>'WP1 Light Inventory'!A89</f>
        <v>53E</v>
      </c>
      <c r="C95" s="164" t="str">
        <f>'WP1 Light Inventory'!C89</f>
        <v>SMART LIGHT</v>
      </c>
      <c r="D95" s="327" t="str">
        <f>'WP1 Light Inventory'!D89</f>
        <v>Light Emitting Diode</v>
      </c>
      <c r="E95" s="165" t="str">
        <f>'WP1 Light Inventory'!E89</f>
        <v>LED 090.01-120</v>
      </c>
      <c r="F95" s="364">
        <f>'WP1 Light Inventory'!J89</f>
        <v>0</v>
      </c>
      <c r="G95" s="366">
        <f>'WP12 Condensed Sch. Level Costs'!O88</f>
        <v>36.75</v>
      </c>
      <c r="H95" s="339">
        <f t="shared" si="53"/>
        <v>8.3250000000000008E-3</v>
      </c>
      <c r="I95" s="295"/>
      <c r="J95" s="727"/>
      <c r="L95" s="339">
        <f t="shared" si="54"/>
        <v>2.9375999999999999E-2</v>
      </c>
      <c r="M95" s="295"/>
      <c r="N95" s="727"/>
      <c r="P95" s="176"/>
      <c r="Q95" s="295"/>
      <c r="T95" s="613" t="s">
        <v>1125</v>
      </c>
    </row>
    <row r="96" spans="1:20" ht="11.25" customHeight="1" x14ac:dyDescent="0.2">
      <c r="A96" s="613">
        <f t="shared" si="52"/>
        <v>89</v>
      </c>
      <c r="B96" s="164" t="str">
        <f>'WP1 Light Inventory'!A90</f>
        <v>53E</v>
      </c>
      <c r="C96" s="164" t="str">
        <f>'WP1 Light Inventory'!C90</f>
        <v>SMART LIGHT</v>
      </c>
      <c r="D96" s="327" t="str">
        <f>'WP1 Light Inventory'!D90</f>
        <v>Light Emitting Diode</v>
      </c>
      <c r="E96" s="165" t="str">
        <f>'WP1 Light Inventory'!E90</f>
        <v>LED 120.01-150</v>
      </c>
      <c r="F96" s="364">
        <f>'WP1 Light Inventory'!J90</f>
        <v>0</v>
      </c>
      <c r="G96" s="366">
        <f>'WP12 Condensed Sch. Level Costs'!O89</f>
        <v>47.25</v>
      </c>
      <c r="H96" s="339">
        <f t="shared" si="53"/>
        <v>8.3250000000000008E-3</v>
      </c>
      <c r="I96" s="295"/>
      <c r="J96" s="727"/>
      <c r="L96" s="339">
        <f t="shared" si="54"/>
        <v>2.9375999999999999E-2</v>
      </c>
      <c r="M96" s="295"/>
      <c r="N96" s="727"/>
      <c r="P96" s="176"/>
      <c r="Q96" s="295"/>
      <c r="T96" s="613" t="s">
        <v>1125</v>
      </c>
    </row>
    <row r="97" spans="1:20" ht="11.25" customHeight="1" x14ac:dyDescent="0.2">
      <c r="A97" s="613">
        <f t="shared" si="52"/>
        <v>90</v>
      </c>
      <c r="B97" s="164" t="str">
        <f>'WP1 Light Inventory'!A91</f>
        <v>53E</v>
      </c>
      <c r="C97" s="164" t="str">
        <f>'WP1 Light Inventory'!C91</f>
        <v>SMART LIGHT</v>
      </c>
      <c r="D97" s="327" t="str">
        <f>'WP1 Light Inventory'!D91</f>
        <v>Light Emitting Diode</v>
      </c>
      <c r="E97" s="165" t="str">
        <f>'WP1 Light Inventory'!E91</f>
        <v>LED 150.01-180</v>
      </c>
      <c r="F97" s="364">
        <f>'WP1 Light Inventory'!J91</f>
        <v>0</v>
      </c>
      <c r="G97" s="366">
        <f>'WP12 Condensed Sch. Level Costs'!O90</f>
        <v>57.75</v>
      </c>
      <c r="H97" s="339">
        <f t="shared" si="53"/>
        <v>8.3250000000000008E-3</v>
      </c>
      <c r="I97" s="295"/>
      <c r="J97" s="727"/>
      <c r="L97" s="339">
        <f t="shared" si="54"/>
        <v>2.9375999999999999E-2</v>
      </c>
      <c r="M97" s="295"/>
      <c r="N97" s="727"/>
      <c r="P97" s="176"/>
      <c r="Q97" s="295"/>
      <c r="T97" s="613" t="s">
        <v>1125</v>
      </c>
    </row>
    <row r="98" spans="1:20" ht="11.25" customHeight="1" x14ac:dyDescent="0.2">
      <c r="A98" s="613">
        <f t="shared" si="52"/>
        <v>91</v>
      </c>
      <c r="B98" s="164" t="str">
        <f>'WP1 Light Inventory'!A92</f>
        <v>53E</v>
      </c>
      <c r="C98" s="164" t="str">
        <f>'WP1 Light Inventory'!C92</f>
        <v>SMART LIGHT</v>
      </c>
      <c r="D98" s="327" t="str">
        <f>'WP1 Light Inventory'!D92</f>
        <v>Light Emitting Diode</v>
      </c>
      <c r="E98" s="165" t="str">
        <f>'WP1 Light Inventory'!E92</f>
        <v>LED 180.01-210</v>
      </c>
      <c r="F98" s="364">
        <f>'WP1 Light Inventory'!J92</f>
        <v>0</v>
      </c>
      <c r="G98" s="366">
        <f>'WP12 Condensed Sch. Level Costs'!O91</f>
        <v>68.25</v>
      </c>
      <c r="H98" s="339">
        <f t="shared" si="53"/>
        <v>8.3250000000000008E-3</v>
      </c>
      <c r="I98" s="295"/>
      <c r="J98" s="727"/>
      <c r="L98" s="339">
        <f t="shared" si="54"/>
        <v>2.9375999999999999E-2</v>
      </c>
      <c r="M98" s="295"/>
      <c r="N98" s="727"/>
      <c r="P98" s="176"/>
      <c r="Q98" s="295"/>
      <c r="T98" s="613" t="s">
        <v>1125</v>
      </c>
    </row>
    <row r="99" spans="1:20" ht="11.25" customHeight="1" x14ac:dyDescent="0.2">
      <c r="A99" s="613">
        <f t="shared" si="52"/>
        <v>92</v>
      </c>
      <c r="B99" s="164" t="str">
        <f>'WP1 Light Inventory'!A93</f>
        <v>53E</v>
      </c>
      <c r="C99" s="164" t="str">
        <f>'WP1 Light Inventory'!C93</f>
        <v>SMART LIGHT</v>
      </c>
      <c r="D99" s="327" t="str">
        <f>'WP1 Light Inventory'!D93</f>
        <v>Light Emitting Diode</v>
      </c>
      <c r="E99" s="165" t="str">
        <f>'WP1 Light Inventory'!E93</f>
        <v>LED 210.01-240</v>
      </c>
      <c r="F99" s="364">
        <f>'WP1 Light Inventory'!J93</f>
        <v>0</v>
      </c>
      <c r="G99" s="366">
        <f>'WP12 Condensed Sch. Level Costs'!O92</f>
        <v>78.75</v>
      </c>
      <c r="H99" s="339">
        <f t="shared" si="53"/>
        <v>8.3250000000000008E-3</v>
      </c>
      <c r="I99" s="295"/>
      <c r="J99" s="727"/>
      <c r="L99" s="339">
        <f t="shared" si="54"/>
        <v>2.9375999999999999E-2</v>
      </c>
      <c r="M99" s="295"/>
      <c r="N99" s="727"/>
      <c r="P99" s="176"/>
      <c r="Q99" s="295"/>
      <c r="T99" s="613" t="s">
        <v>1125</v>
      </c>
    </row>
    <row r="100" spans="1:20" ht="11.25" customHeight="1" x14ac:dyDescent="0.2">
      <c r="A100" s="613">
        <f t="shared" si="52"/>
        <v>93</v>
      </c>
      <c r="B100" s="164" t="str">
        <f>'WP1 Light Inventory'!A94</f>
        <v>53E</v>
      </c>
      <c r="C100" s="164" t="str">
        <f>'WP1 Light Inventory'!C94</f>
        <v>SMART LIGHT</v>
      </c>
      <c r="D100" s="327" t="str">
        <f>'WP1 Light Inventory'!D94</f>
        <v>Light Emitting Diode</v>
      </c>
      <c r="E100" s="165" t="str">
        <f>'WP1 Light Inventory'!E94</f>
        <v>LED 240.01-270</v>
      </c>
      <c r="F100" s="364">
        <f>'WP1 Light Inventory'!J94</f>
        <v>0</v>
      </c>
      <c r="G100" s="366">
        <f>'WP12 Condensed Sch. Level Costs'!O93</f>
        <v>89.25</v>
      </c>
      <c r="H100" s="339">
        <f t="shared" si="53"/>
        <v>8.3250000000000008E-3</v>
      </c>
      <c r="I100" s="295"/>
      <c r="J100" s="727"/>
      <c r="L100" s="339">
        <f t="shared" si="54"/>
        <v>2.9375999999999999E-2</v>
      </c>
      <c r="M100" s="295"/>
      <c r="N100" s="727"/>
      <c r="P100" s="176"/>
      <c r="Q100" s="295"/>
      <c r="T100" s="613" t="s">
        <v>1125</v>
      </c>
    </row>
    <row r="101" spans="1:20" ht="11.25" customHeight="1" x14ac:dyDescent="0.2">
      <c r="A101" s="613">
        <f t="shared" si="52"/>
        <v>94</v>
      </c>
      <c r="B101" s="164" t="str">
        <f>'WP1 Light Inventory'!A95</f>
        <v>53E</v>
      </c>
      <c r="C101" s="164" t="str">
        <f>'WP1 Light Inventory'!C95</f>
        <v>SMART LIGHT</v>
      </c>
      <c r="D101" s="327" t="str">
        <f>'WP1 Light Inventory'!D95</f>
        <v>Light Emitting Diode</v>
      </c>
      <c r="E101" s="165" t="str">
        <f>'WP1 Light Inventory'!E95</f>
        <v>LED 270.01-300</v>
      </c>
      <c r="F101" s="364">
        <f>'WP1 Light Inventory'!J95</f>
        <v>0</v>
      </c>
      <c r="G101" s="366">
        <f>'WP12 Condensed Sch. Level Costs'!O94</f>
        <v>99.75</v>
      </c>
      <c r="H101" s="339">
        <f t="shared" si="53"/>
        <v>8.3250000000000008E-3</v>
      </c>
      <c r="I101" s="295"/>
      <c r="J101" s="727"/>
      <c r="L101" s="339">
        <f t="shared" si="54"/>
        <v>2.9375999999999999E-2</v>
      </c>
      <c r="M101" s="295"/>
      <c r="N101" s="727"/>
      <c r="P101" s="176"/>
      <c r="Q101" s="295"/>
      <c r="T101" s="613" t="s">
        <v>1125</v>
      </c>
    </row>
    <row r="102" spans="1:20" x14ac:dyDescent="0.2">
      <c r="B102" s="164"/>
      <c r="C102" s="164"/>
      <c r="D102" s="327"/>
      <c r="E102" s="165"/>
      <c r="F102" s="364"/>
      <c r="G102" s="399"/>
      <c r="H102" s="342"/>
      <c r="I102" s="295"/>
      <c r="J102" s="727"/>
      <c r="L102" s="342"/>
      <c r="M102" s="295"/>
      <c r="N102" s="727"/>
      <c r="P102" s="342"/>
      <c r="Q102" s="295"/>
    </row>
    <row r="103" spans="1:20" x14ac:dyDescent="0.2">
      <c r="A103" s="613">
        <f>A91+1</f>
        <v>85</v>
      </c>
      <c r="B103" s="164" t="str">
        <f>'WP1 Light Inventory'!A97</f>
        <v>53E</v>
      </c>
      <c r="C103" s="164" t="str">
        <f>'WP1 Light Inventory'!C97</f>
        <v>Customer Owned</v>
      </c>
      <c r="D103" s="327" t="str">
        <f>'WP1 Light Inventory'!D97</f>
        <v>Sodium Vapor</v>
      </c>
      <c r="E103" s="165" t="str">
        <f>'WP1 Light Inventory'!E97</f>
        <v>SV 050</v>
      </c>
      <c r="F103" s="364">
        <f>'WP1 Light Inventory'!J97</f>
        <v>0</v>
      </c>
      <c r="G103" s="366">
        <f>'WP12 Condensed Sch. Level Costs'!O96</f>
        <v>17.5</v>
      </c>
      <c r="H103" s="339">
        <f t="shared" ref="H103:H111" si="55">$Y$8</f>
        <v>8.3250000000000008E-3</v>
      </c>
      <c r="I103" s="295">
        <f t="shared" ref="I103:I111" si="56">+F103*J103*12</f>
        <v>0</v>
      </c>
      <c r="J103" s="727">
        <f t="shared" ref="J103:J111" si="57">ROUND(+H103*G103,2)</f>
        <v>0.15</v>
      </c>
      <c r="L103" s="339">
        <f t="shared" ref="L103:L111" si="58">$Y$9</f>
        <v>2.9375999999999999E-2</v>
      </c>
      <c r="M103" s="295">
        <f t="shared" ref="M103:M111" si="59">+F103*N103*12</f>
        <v>0</v>
      </c>
      <c r="N103" s="727">
        <f t="shared" ref="N103:N111" si="60">ROUND(+L103*G103,2)</f>
        <v>0.51</v>
      </c>
      <c r="P103" s="176"/>
      <c r="Q103" s="295"/>
      <c r="T103" s="613" t="s">
        <v>1127</v>
      </c>
    </row>
    <row r="104" spans="1:20" x14ac:dyDescent="0.2">
      <c r="A104" s="613">
        <f t="shared" si="39"/>
        <v>86</v>
      </c>
      <c r="B104" s="164" t="str">
        <f>'WP1 Light Inventory'!A98</f>
        <v>53E</v>
      </c>
      <c r="C104" s="164" t="str">
        <f>'WP1 Light Inventory'!C98</f>
        <v>Customer Owned</v>
      </c>
      <c r="D104" s="327" t="str">
        <f>'WP1 Light Inventory'!D98</f>
        <v>Sodium Vapor</v>
      </c>
      <c r="E104" s="165" t="str">
        <f>'WP1 Light Inventory'!E98</f>
        <v>SV 070</v>
      </c>
      <c r="F104" s="364">
        <f>'WP1 Light Inventory'!J98</f>
        <v>52</v>
      </c>
      <c r="G104" s="366">
        <f>'WP12 Condensed Sch. Level Costs'!O97</f>
        <v>24.5</v>
      </c>
      <c r="H104" s="339">
        <f t="shared" si="55"/>
        <v>8.3250000000000008E-3</v>
      </c>
      <c r="I104" s="295">
        <f t="shared" si="56"/>
        <v>124.80000000000001</v>
      </c>
      <c r="J104" s="727">
        <f t="shared" si="57"/>
        <v>0.2</v>
      </c>
      <c r="L104" s="339">
        <f t="shared" si="58"/>
        <v>2.9375999999999999E-2</v>
      </c>
      <c r="M104" s="295">
        <f t="shared" si="59"/>
        <v>449.28</v>
      </c>
      <c r="N104" s="727">
        <f t="shared" si="60"/>
        <v>0.72</v>
      </c>
      <c r="P104" s="176"/>
      <c r="Q104" s="295"/>
      <c r="T104" s="613" t="s">
        <v>1127</v>
      </c>
    </row>
    <row r="105" spans="1:20" x14ac:dyDescent="0.2">
      <c r="A105" s="613">
        <f t="shared" si="39"/>
        <v>87</v>
      </c>
      <c r="B105" s="164" t="str">
        <f>'WP1 Light Inventory'!A99</f>
        <v>53E</v>
      </c>
      <c r="C105" s="164" t="str">
        <f>'WP1 Light Inventory'!C99</f>
        <v>Customer Owned</v>
      </c>
      <c r="D105" s="327" t="str">
        <f>'WP1 Light Inventory'!D99</f>
        <v>Sodium Vapor</v>
      </c>
      <c r="E105" s="165" t="str">
        <f>'WP1 Light Inventory'!E99</f>
        <v>SV 100</v>
      </c>
      <c r="F105" s="364">
        <f>'WP1 Light Inventory'!J99</f>
        <v>204</v>
      </c>
      <c r="G105" s="366">
        <f>'WP12 Condensed Sch. Level Costs'!O98</f>
        <v>35</v>
      </c>
      <c r="H105" s="339">
        <f t="shared" si="55"/>
        <v>8.3250000000000008E-3</v>
      </c>
      <c r="I105" s="295">
        <f t="shared" si="56"/>
        <v>709.92</v>
      </c>
      <c r="J105" s="727">
        <f t="shared" si="57"/>
        <v>0.28999999999999998</v>
      </c>
      <c r="L105" s="339">
        <f t="shared" si="58"/>
        <v>2.9375999999999999E-2</v>
      </c>
      <c r="M105" s="295">
        <f t="shared" si="59"/>
        <v>2521.44</v>
      </c>
      <c r="N105" s="727">
        <f t="shared" si="60"/>
        <v>1.03</v>
      </c>
      <c r="P105" s="176"/>
      <c r="Q105" s="295"/>
      <c r="T105" s="613" t="s">
        <v>1127</v>
      </c>
    </row>
    <row r="106" spans="1:20" x14ac:dyDescent="0.2">
      <c r="A106" s="613">
        <f t="shared" si="39"/>
        <v>88</v>
      </c>
      <c r="B106" s="164" t="str">
        <f>'WP1 Light Inventory'!A100</f>
        <v>53E</v>
      </c>
      <c r="C106" s="164" t="str">
        <f>'WP1 Light Inventory'!C100</f>
        <v>Customer Owned</v>
      </c>
      <c r="D106" s="327" t="str">
        <f>'WP1 Light Inventory'!D100</f>
        <v>Sodium Vapor</v>
      </c>
      <c r="E106" s="165" t="str">
        <f>'WP1 Light Inventory'!E100</f>
        <v>SV 150</v>
      </c>
      <c r="F106" s="364">
        <f>'WP1 Light Inventory'!J100</f>
        <v>96</v>
      </c>
      <c r="G106" s="366">
        <f>'WP12 Condensed Sch. Level Costs'!O99</f>
        <v>52.5</v>
      </c>
      <c r="H106" s="339">
        <f t="shared" si="55"/>
        <v>8.3250000000000008E-3</v>
      </c>
      <c r="I106" s="295">
        <f t="shared" si="56"/>
        <v>506.88</v>
      </c>
      <c r="J106" s="727">
        <f t="shared" si="57"/>
        <v>0.44</v>
      </c>
      <c r="L106" s="339">
        <f t="shared" si="58"/>
        <v>2.9375999999999999E-2</v>
      </c>
      <c r="M106" s="295">
        <f t="shared" si="59"/>
        <v>1774.08</v>
      </c>
      <c r="N106" s="727">
        <f t="shared" si="60"/>
        <v>1.54</v>
      </c>
      <c r="P106" s="176"/>
      <c r="Q106" s="295"/>
      <c r="T106" s="613" t="s">
        <v>1127</v>
      </c>
    </row>
    <row r="107" spans="1:20" x14ac:dyDescent="0.2">
      <c r="A107" s="613">
        <f t="shared" si="39"/>
        <v>89</v>
      </c>
      <c r="B107" s="164" t="str">
        <f>'WP1 Light Inventory'!A101</f>
        <v>53E</v>
      </c>
      <c r="C107" s="164" t="str">
        <f>'WP1 Light Inventory'!C101</f>
        <v>Customer Owned</v>
      </c>
      <c r="D107" s="327" t="str">
        <f>'WP1 Light Inventory'!D101</f>
        <v>Sodium Vapor</v>
      </c>
      <c r="E107" s="165" t="str">
        <f>'WP1 Light Inventory'!E101</f>
        <v>SV 200</v>
      </c>
      <c r="F107" s="364">
        <f>'WP1 Light Inventory'!J101</f>
        <v>372</v>
      </c>
      <c r="G107" s="366">
        <f>'WP12 Condensed Sch. Level Costs'!O100</f>
        <v>70</v>
      </c>
      <c r="H107" s="339">
        <f t="shared" si="55"/>
        <v>8.3250000000000008E-3</v>
      </c>
      <c r="I107" s="295">
        <f t="shared" si="56"/>
        <v>2589.12</v>
      </c>
      <c r="J107" s="727">
        <f t="shared" si="57"/>
        <v>0.57999999999999996</v>
      </c>
      <c r="L107" s="339">
        <f t="shared" si="58"/>
        <v>2.9375999999999999E-2</v>
      </c>
      <c r="M107" s="295">
        <f t="shared" si="59"/>
        <v>9195.84</v>
      </c>
      <c r="N107" s="727">
        <f t="shared" si="60"/>
        <v>2.06</v>
      </c>
      <c r="P107" s="176"/>
      <c r="Q107" s="295"/>
      <c r="T107" s="613" t="s">
        <v>1127</v>
      </c>
    </row>
    <row r="108" spans="1:20" x14ac:dyDescent="0.2">
      <c r="A108" s="613">
        <f t="shared" si="39"/>
        <v>90</v>
      </c>
      <c r="B108" s="164" t="str">
        <f>'WP1 Light Inventory'!A102</f>
        <v>53E</v>
      </c>
      <c r="C108" s="164" t="str">
        <f>'WP1 Light Inventory'!C102</f>
        <v>Customer Owned</v>
      </c>
      <c r="D108" s="327" t="str">
        <f>'WP1 Light Inventory'!D102</f>
        <v>Sodium Vapor</v>
      </c>
      <c r="E108" s="165" t="str">
        <f>'WP1 Light Inventory'!E102</f>
        <v>SV 250</v>
      </c>
      <c r="F108" s="364">
        <f>'WP1 Light Inventory'!J102</f>
        <v>246</v>
      </c>
      <c r="G108" s="366">
        <f>'WP12 Condensed Sch. Level Costs'!O101</f>
        <v>87.5</v>
      </c>
      <c r="H108" s="339">
        <f t="shared" si="55"/>
        <v>8.3250000000000008E-3</v>
      </c>
      <c r="I108" s="295">
        <f t="shared" si="56"/>
        <v>2154.96</v>
      </c>
      <c r="J108" s="727">
        <f t="shared" si="57"/>
        <v>0.73</v>
      </c>
      <c r="L108" s="339">
        <f t="shared" si="58"/>
        <v>2.9375999999999999E-2</v>
      </c>
      <c r="M108" s="295">
        <f t="shared" si="59"/>
        <v>7586.6399999999994</v>
      </c>
      <c r="N108" s="727">
        <f t="shared" si="60"/>
        <v>2.57</v>
      </c>
      <c r="P108" s="176"/>
      <c r="Q108" s="295"/>
      <c r="T108" s="613" t="s">
        <v>1127</v>
      </c>
    </row>
    <row r="109" spans="1:20" x14ac:dyDescent="0.2">
      <c r="A109" s="613">
        <f t="shared" si="39"/>
        <v>91</v>
      </c>
      <c r="B109" s="164" t="str">
        <f>'WP1 Light Inventory'!A103</f>
        <v>53E</v>
      </c>
      <c r="C109" s="164" t="str">
        <f>'WP1 Light Inventory'!C103</f>
        <v>Customer Owned</v>
      </c>
      <c r="D109" s="327" t="str">
        <f>'WP1 Light Inventory'!D103</f>
        <v>Sodium Vapor</v>
      </c>
      <c r="E109" s="165" t="str">
        <f>'WP1 Light Inventory'!E103</f>
        <v>SV 310</v>
      </c>
      <c r="F109" s="364">
        <f>'WP1 Light Inventory'!J103</f>
        <v>7</v>
      </c>
      <c r="G109" s="366">
        <f>'WP12 Condensed Sch. Level Costs'!O102</f>
        <v>108.5</v>
      </c>
      <c r="H109" s="339">
        <f t="shared" si="55"/>
        <v>8.3250000000000008E-3</v>
      </c>
      <c r="I109" s="295">
        <f t="shared" si="56"/>
        <v>75.599999999999994</v>
      </c>
      <c r="J109" s="727">
        <f t="shared" si="57"/>
        <v>0.9</v>
      </c>
      <c r="L109" s="339">
        <f t="shared" si="58"/>
        <v>2.9375999999999999E-2</v>
      </c>
      <c r="M109" s="295">
        <f t="shared" si="59"/>
        <v>267.95999999999998</v>
      </c>
      <c r="N109" s="727">
        <f t="shared" si="60"/>
        <v>3.19</v>
      </c>
      <c r="P109" s="176"/>
      <c r="Q109" s="295"/>
      <c r="T109" s="613" t="s">
        <v>1127</v>
      </c>
    </row>
    <row r="110" spans="1:20" x14ac:dyDescent="0.2">
      <c r="A110" s="613">
        <f t="shared" si="39"/>
        <v>92</v>
      </c>
      <c r="B110" s="164" t="str">
        <f>'WP1 Light Inventory'!A104</f>
        <v>53E</v>
      </c>
      <c r="C110" s="164" t="str">
        <f>'WP1 Light Inventory'!C104</f>
        <v>Customer Owned</v>
      </c>
      <c r="D110" s="327" t="str">
        <f>'WP1 Light Inventory'!D104</f>
        <v>Sodium Vapor</v>
      </c>
      <c r="E110" s="165" t="str">
        <f>'WP1 Light Inventory'!E104</f>
        <v>SV 400</v>
      </c>
      <c r="F110" s="364">
        <f>'WP1 Light Inventory'!J104</f>
        <v>398</v>
      </c>
      <c r="G110" s="366">
        <f>'WP12 Condensed Sch. Level Costs'!O103</f>
        <v>140</v>
      </c>
      <c r="H110" s="339">
        <f t="shared" si="55"/>
        <v>8.3250000000000008E-3</v>
      </c>
      <c r="I110" s="295">
        <f t="shared" si="56"/>
        <v>5587.92</v>
      </c>
      <c r="J110" s="727">
        <f t="shared" si="57"/>
        <v>1.17</v>
      </c>
      <c r="L110" s="339">
        <f t="shared" si="58"/>
        <v>2.9375999999999999E-2</v>
      </c>
      <c r="M110" s="295">
        <f t="shared" si="59"/>
        <v>19629.36</v>
      </c>
      <c r="N110" s="727">
        <f t="shared" si="60"/>
        <v>4.1100000000000003</v>
      </c>
      <c r="P110" s="176"/>
      <c r="Q110" s="295"/>
      <c r="T110" s="613" t="s">
        <v>1127</v>
      </c>
    </row>
    <row r="111" spans="1:20" x14ac:dyDescent="0.2">
      <c r="A111" s="613">
        <f t="shared" si="39"/>
        <v>93</v>
      </c>
      <c r="B111" s="164" t="str">
        <f>'WP1 Light Inventory'!A105</f>
        <v>53E</v>
      </c>
      <c r="C111" s="164" t="str">
        <f>'WP1 Light Inventory'!C105</f>
        <v>Customer Owned</v>
      </c>
      <c r="D111" s="327" t="str">
        <f>'WP1 Light Inventory'!D105</f>
        <v>Sodium Vapor</v>
      </c>
      <c r="E111" s="165" t="str">
        <f>'WP1 Light Inventory'!E105</f>
        <v>SV 1000</v>
      </c>
      <c r="F111" s="364">
        <f>'WP1 Light Inventory'!J105</f>
        <v>0</v>
      </c>
      <c r="G111" s="366">
        <f>'WP12 Condensed Sch. Level Costs'!O104</f>
        <v>350</v>
      </c>
      <c r="H111" s="339">
        <f t="shared" si="55"/>
        <v>8.3250000000000008E-3</v>
      </c>
      <c r="I111" s="295">
        <f t="shared" si="56"/>
        <v>0</v>
      </c>
      <c r="J111" s="727">
        <f t="shared" si="57"/>
        <v>2.91</v>
      </c>
      <c r="L111" s="339">
        <f t="shared" si="58"/>
        <v>2.9375999999999999E-2</v>
      </c>
      <c r="M111" s="295">
        <f t="shared" si="59"/>
        <v>0</v>
      </c>
      <c r="N111" s="727">
        <f t="shared" si="60"/>
        <v>10.28</v>
      </c>
      <c r="P111" s="176"/>
      <c r="Q111" s="295"/>
      <c r="T111" s="613" t="s">
        <v>1127</v>
      </c>
    </row>
    <row r="112" spans="1:20" x14ac:dyDescent="0.2">
      <c r="A112" s="613">
        <f t="shared" si="39"/>
        <v>94</v>
      </c>
      <c r="B112" s="164"/>
      <c r="C112" s="164"/>
      <c r="D112" s="327"/>
      <c r="E112" s="165"/>
      <c r="F112" s="364"/>
      <c r="G112" s="399"/>
      <c r="H112" s="342"/>
      <c r="I112" s="295"/>
      <c r="J112" s="727"/>
      <c r="L112" s="342"/>
      <c r="M112" s="295"/>
      <c r="N112" s="727"/>
      <c r="P112" s="342"/>
      <c r="Q112" s="295"/>
    </row>
    <row r="113" spans="1:20" x14ac:dyDescent="0.2">
      <c r="A113" s="613">
        <f t="shared" si="39"/>
        <v>95</v>
      </c>
      <c r="B113" s="164" t="str">
        <f>'WP1 Light Inventory'!A107</f>
        <v>53E</v>
      </c>
      <c r="C113" s="164" t="str">
        <f>'WP1 Light Inventory'!C107</f>
        <v>Customer Owned</v>
      </c>
      <c r="D113" s="327" t="str">
        <f>'WP1 Light Inventory'!D107</f>
        <v>Metal Halide</v>
      </c>
      <c r="E113" s="165" t="str">
        <f>'WP1 Light Inventory'!E107</f>
        <v>MH 70</v>
      </c>
      <c r="F113" s="364">
        <f>'WP1 Light Inventory'!J107</f>
        <v>0</v>
      </c>
      <c r="G113" s="366">
        <f>'WP12 Condensed Sch. Level Costs'!O106</f>
        <v>24.5</v>
      </c>
      <c r="H113" s="339">
        <f t="shared" ref="H113:H118" si="61">$Y$8</f>
        <v>8.3250000000000008E-3</v>
      </c>
      <c r="I113" s="295">
        <f t="shared" ref="I113:I118" si="62">+F113*J113*12</f>
        <v>0</v>
      </c>
      <c r="J113" s="727">
        <f t="shared" ref="J113:J118" si="63">ROUND(+H113*G113,2)</f>
        <v>0.2</v>
      </c>
      <c r="L113" s="339">
        <f t="shared" ref="L113:L118" si="64">$Y$9</f>
        <v>2.9375999999999999E-2</v>
      </c>
      <c r="M113" s="295">
        <f t="shared" ref="M113:M118" si="65">+F113*N113*12</f>
        <v>0</v>
      </c>
      <c r="N113" s="727">
        <f t="shared" ref="N113:N118" si="66">ROUND(+L113*G113,2)</f>
        <v>0.72</v>
      </c>
      <c r="P113" s="176"/>
      <c r="Q113" s="295"/>
      <c r="T113" s="613" t="s">
        <v>1127</v>
      </c>
    </row>
    <row r="114" spans="1:20" x14ac:dyDescent="0.2">
      <c r="A114" s="613">
        <f t="shared" si="39"/>
        <v>96</v>
      </c>
      <c r="B114" s="164" t="str">
        <f>'WP1 Light Inventory'!A108</f>
        <v>53E</v>
      </c>
      <c r="C114" s="164" t="str">
        <f>'WP1 Light Inventory'!C108</f>
        <v>Customer Owned</v>
      </c>
      <c r="D114" s="327" t="str">
        <f>'WP1 Light Inventory'!D108</f>
        <v>Metal Halide</v>
      </c>
      <c r="E114" s="165" t="str">
        <f>'WP1 Light Inventory'!E108</f>
        <v>MH 100</v>
      </c>
      <c r="F114" s="364">
        <f>'WP1 Light Inventory'!J108</f>
        <v>0</v>
      </c>
      <c r="G114" s="366">
        <f>'WP12 Condensed Sch. Level Costs'!O107</f>
        <v>35</v>
      </c>
      <c r="H114" s="339">
        <f t="shared" si="61"/>
        <v>8.3250000000000008E-3</v>
      </c>
      <c r="I114" s="295">
        <f t="shared" si="62"/>
        <v>0</v>
      </c>
      <c r="J114" s="727">
        <f t="shared" si="63"/>
        <v>0.28999999999999998</v>
      </c>
      <c r="L114" s="339">
        <f t="shared" si="64"/>
        <v>2.9375999999999999E-2</v>
      </c>
      <c r="M114" s="295">
        <f t="shared" si="65"/>
        <v>0</v>
      </c>
      <c r="N114" s="727">
        <f t="shared" si="66"/>
        <v>1.03</v>
      </c>
      <c r="P114" s="176"/>
      <c r="Q114" s="295"/>
      <c r="T114" s="613" t="s">
        <v>1127</v>
      </c>
    </row>
    <row r="115" spans="1:20" x14ac:dyDescent="0.2">
      <c r="A115" s="613">
        <f t="shared" si="39"/>
        <v>97</v>
      </c>
      <c r="B115" s="164" t="str">
        <f>'WP1 Light Inventory'!A109</f>
        <v>53E</v>
      </c>
      <c r="C115" s="164" t="str">
        <f>'WP1 Light Inventory'!C109</f>
        <v>Customer Owned</v>
      </c>
      <c r="D115" s="327" t="str">
        <f>'WP1 Light Inventory'!D109</f>
        <v>Metal Halide</v>
      </c>
      <c r="E115" s="165" t="str">
        <f>'WP1 Light Inventory'!E109</f>
        <v>MH 150</v>
      </c>
      <c r="F115" s="364">
        <f>'WP1 Light Inventory'!J109</f>
        <v>0</v>
      </c>
      <c r="G115" s="366">
        <f>'WP12 Condensed Sch. Level Costs'!O108</f>
        <v>52.5</v>
      </c>
      <c r="H115" s="339">
        <f t="shared" si="61"/>
        <v>8.3250000000000008E-3</v>
      </c>
      <c r="I115" s="295">
        <f t="shared" si="62"/>
        <v>0</v>
      </c>
      <c r="J115" s="727">
        <f t="shared" si="63"/>
        <v>0.44</v>
      </c>
      <c r="L115" s="339">
        <f t="shared" si="64"/>
        <v>2.9375999999999999E-2</v>
      </c>
      <c r="M115" s="295">
        <f t="shared" si="65"/>
        <v>0</v>
      </c>
      <c r="N115" s="727">
        <f t="shared" si="66"/>
        <v>1.54</v>
      </c>
      <c r="P115" s="176"/>
      <c r="Q115" s="295"/>
      <c r="T115" s="613" t="s">
        <v>1127</v>
      </c>
    </row>
    <row r="116" spans="1:20" x14ac:dyDescent="0.2">
      <c r="A116" s="613">
        <f t="shared" si="39"/>
        <v>98</v>
      </c>
      <c r="B116" s="164" t="str">
        <f>'WP1 Light Inventory'!A110</f>
        <v>53E</v>
      </c>
      <c r="C116" s="164" t="str">
        <f>'WP1 Light Inventory'!C110</f>
        <v>Customer Owned</v>
      </c>
      <c r="D116" s="327" t="str">
        <f>'WP1 Light Inventory'!D110</f>
        <v>Metal Halide</v>
      </c>
      <c r="E116" s="165" t="str">
        <f>'WP1 Light Inventory'!E110</f>
        <v>MH 175</v>
      </c>
      <c r="F116" s="364">
        <f>'WP1 Light Inventory'!J110</f>
        <v>4</v>
      </c>
      <c r="G116" s="366">
        <f>'WP12 Condensed Sch. Level Costs'!O109</f>
        <v>61.25</v>
      </c>
      <c r="H116" s="339">
        <f t="shared" si="61"/>
        <v>8.3250000000000008E-3</v>
      </c>
      <c r="I116" s="295">
        <f t="shared" si="62"/>
        <v>24.48</v>
      </c>
      <c r="J116" s="727">
        <f t="shared" si="63"/>
        <v>0.51</v>
      </c>
      <c r="L116" s="339">
        <f t="shared" si="64"/>
        <v>2.9375999999999999E-2</v>
      </c>
      <c r="M116" s="295">
        <f t="shared" si="65"/>
        <v>86.4</v>
      </c>
      <c r="N116" s="727">
        <f t="shared" si="66"/>
        <v>1.8</v>
      </c>
      <c r="P116" s="176"/>
      <c r="Q116" s="295"/>
      <c r="T116" s="613" t="s">
        <v>1127</v>
      </c>
    </row>
    <row r="117" spans="1:20" x14ac:dyDescent="0.2">
      <c r="A117" s="613">
        <f t="shared" si="39"/>
        <v>99</v>
      </c>
      <c r="B117" s="164" t="str">
        <f>'WP1 Light Inventory'!A111</f>
        <v>53E</v>
      </c>
      <c r="C117" s="164" t="str">
        <f>'WP1 Light Inventory'!C111</f>
        <v>Customer Owned</v>
      </c>
      <c r="D117" s="327" t="str">
        <f>'WP1 Light Inventory'!D111</f>
        <v>Metal Halide</v>
      </c>
      <c r="E117" s="165" t="str">
        <f>'WP1 Light Inventory'!E111</f>
        <v>MH 250</v>
      </c>
      <c r="F117" s="364">
        <f>'WP1 Light Inventory'!J111</f>
        <v>0</v>
      </c>
      <c r="G117" s="366">
        <f>'WP12 Condensed Sch. Level Costs'!O110</f>
        <v>87.5</v>
      </c>
      <c r="H117" s="339">
        <f t="shared" si="61"/>
        <v>8.3250000000000008E-3</v>
      </c>
      <c r="I117" s="295">
        <f t="shared" si="62"/>
        <v>0</v>
      </c>
      <c r="J117" s="727">
        <f t="shared" si="63"/>
        <v>0.73</v>
      </c>
      <c r="L117" s="339">
        <f t="shared" si="64"/>
        <v>2.9375999999999999E-2</v>
      </c>
      <c r="M117" s="295">
        <f t="shared" si="65"/>
        <v>0</v>
      </c>
      <c r="N117" s="727">
        <f t="shared" si="66"/>
        <v>2.57</v>
      </c>
      <c r="P117" s="176"/>
      <c r="Q117" s="295"/>
      <c r="T117" s="613" t="s">
        <v>1127</v>
      </c>
    </row>
    <row r="118" spans="1:20" x14ac:dyDescent="0.2">
      <c r="A118" s="613">
        <f t="shared" si="39"/>
        <v>100</v>
      </c>
      <c r="B118" s="164" t="str">
        <f>'WP1 Light Inventory'!A112</f>
        <v>53E</v>
      </c>
      <c r="C118" s="164" t="str">
        <f>'WP1 Light Inventory'!C112</f>
        <v>Customer Owned</v>
      </c>
      <c r="D118" s="327" t="str">
        <f>'WP1 Light Inventory'!D112</f>
        <v>Metal Halide</v>
      </c>
      <c r="E118" s="165" t="str">
        <f>'WP1 Light Inventory'!E112</f>
        <v>MH 400</v>
      </c>
      <c r="F118" s="364">
        <f>'WP1 Light Inventory'!J112</f>
        <v>0</v>
      </c>
      <c r="G118" s="366">
        <f>'WP12 Condensed Sch. Level Costs'!O111</f>
        <v>140</v>
      </c>
      <c r="H118" s="339">
        <f t="shared" si="61"/>
        <v>8.3250000000000008E-3</v>
      </c>
      <c r="I118" s="295">
        <f t="shared" si="62"/>
        <v>0</v>
      </c>
      <c r="J118" s="727">
        <f t="shared" si="63"/>
        <v>1.17</v>
      </c>
      <c r="L118" s="339">
        <f t="shared" si="64"/>
        <v>2.9375999999999999E-2</v>
      </c>
      <c r="M118" s="295">
        <f t="shared" si="65"/>
        <v>0</v>
      </c>
      <c r="N118" s="727">
        <f t="shared" si="66"/>
        <v>4.1100000000000003</v>
      </c>
      <c r="P118" s="176"/>
      <c r="Q118" s="295"/>
      <c r="T118" s="613" t="s">
        <v>1127</v>
      </c>
    </row>
    <row r="119" spans="1:20" x14ac:dyDescent="0.2">
      <c r="A119" s="613">
        <f t="shared" si="39"/>
        <v>101</v>
      </c>
      <c r="B119" s="164"/>
      <c r="C119" s="164"/>
      <c r="D119" s="327"/>
      <c r="E119" s="165"/>
      <c r="F119" s="364"/>
      <c r="G119" s="399"/>
      <c r="H119" s="342"/>
      <c r="I119" s="295"/>
      <c r="J119" s="727"/>
      <c r="L119" s="342"/>
      <c r="M119" s="295"/>
      <c r="N119" s="727"/>
      <c r="P119" s="342"/>
      <c r="Q119" s="295"/>
    </row>
    <row r="120" spans="1:20" ht="12.75" customHeight="1" x14ac:dyDescent="0.2">
      <c r="A120" s="613">
        <f t="shared" si="39"/>
        <v>102</v>
      </c>
      <c r="B120" s="164" t="str">
        <f>'WP1 Light Inventory'!A114</f>
        <v>53E</v>
      </c>
      <c r="C120" s="164" t="str">
        <f>'WP1 Light Inventory'!C114</f>
        <v>Customer Owned</v>
      </c>
      <c r="D120" s="327" t="str">
        <f>'WP1 Light Inventory'!D114</f>
        <v>Light Emitting Diode</v>
      </c>
      <c r="E120" s="165" t="str">
        <f>'WP1 Light Inventory'!E114</f>
        <v>LED 0-030</v>
      </c>
      <c r="F120" s="364">
        <f>'WP1 Light Inventory'!J114</f>
        <v>0</v>
      </c>
      <c r="G120" s="366">
        <f>'WP12 Condensed Sch. Level Costs'!O113</f>
        <v>5.25</v>
      </c>
      <c r="H120" s="339">
        <f t="shared" ref="H120:H129" si="67">$Y$8</f>
        <v>8.3250000000000008E-3</v>
      </c>
      <c r="I120" s="295">
        <f t="shared" ref="I120:I129" si="68">+F120*J120*12</f>
        <v>0</v>
      </c>
      <c r="J120" s="727">
        <f t="shared" ref="J120:J129" si="69">ROUND(+H120*G120,2)</f>
        <v>0.04</v>
      </c>
      <c r="L120" s="339">
        <f t="shared" ref="L120:L129" si="70">$Y$9</f>
        <v>2.9375999999999999E-2</v>
      </c>
      <c r="M120" s="295">
        <f t="shared" ref="M120:M129" si="71">+F120*N120*12</f>
        <v>0</v>
      </c>
      <c r="N120" s="727">
        <f t="shared" ref="N120:N129" si="72">ROUND(+L120*G120,2)</f>
        <v>0.15</v>
      </c>
      <c r="P120" s="176"/>
      <c r="Q120" s="295"/>
      <c r="T120" s="613" t="s">
        <v>1125</v>
      </c>
    </row>
    <row r="121" spans="1:20" x14ac:dyDescent="0.2">
      <c r="A121" s="613">
        <f t="shared" si="39"/>
        <v>103</v>
      </c>
      <c r="B121" s="164" t="str">
        <f>'WP1 Light Inventory'!A115</f>
        <v>53E</v>
      </c>
      <c r="C121" s="164" t="str">
        <f>'WP1 Light Inventory'!C115</f>
        <v>Customer Owned</v>
      </c>
      <c r="D121" s="327" t="str">
        <f>'WP1 Light Inventory'!D115</f>
        <v>Light Emitting Diode</v>
      </c>
      <c r="E121" s="165" t="str">
        <f>'WP1 Light Inventory'!E115</f>
        <v>LED 030.01-060</v>
      </c>
      <c r="F121" s="364">
        <f>'WP1 Light Inventory'!J115</f>
        <v>656</v>
      </c>
      <c r="G121" s="366">
        <f>'WP12 Condensed Sch. Level Costs'!O114</f>
        <v>15.75</v>
      </c>
      <c r="H121" s="339">
        <f t="shared" si="67"/>
        <v>8.3250000000000008E-3</v>
      </c>
      <c r="I121" s="295">
        <f t="shared" si="68"/>
        <v>1023.36</v>
      </c>
      <c r="J121" s="727">
        <f t="shared" si="69"/>
        <v>0.13</v>
      </c>
      <c r="L121" s="339">
        <f t="shared" si="70"/>
        <v>2.9375999999999999E-2</v>
      </c>
      <c r="M121" s="295">
        <f t="shared" si="71"/>
        <v>3621.12</v>
      </c>
      <c r="N121" s="727">
        <f t="shared" si="72"/>
        <v>0.46</v>
      </c>
      <c r="P121" s="176"/>
      <c r="Q121" s="295"/>
      <c r="T121" s="613" t="s">
        <v>1125</v>
      </c>
    </row>
    <row r="122" spans="1:20" x14ac:dyDescent="0.2">
      <c r="A122" s="613">
        <f t="shared" si="39"/>
        <v>104</v>
      </c>
      <c r="B122" s="164" t="str">
        <f>'WP1 Light Inventory'!A116</f>
        <v>53E</v>
      </c>
      <c r="C122" s="164" t="str">
        <f>'WP1 Light Inventory'!C116</f>
        <v>Customer Owned</v>
      </c>
      <c r="D122" s="327" t="str">
        <f>'WP1 Light Inventory'!D116</f>
        <v>Light Emitting Diode</v>
      </c>
      <c r="E122" s="165" t="str">
        <f>'WP1 Light Inventory'!E116</f>
        <v>LED 060.01-090</v>
      </c>
      <c r="F122" s="364">
        <f>'WP1 Light Inventory'!J116</f>
        <v>634</v>
      </c>
      <c r="G122" s="366">
        <f>'WP12 Condensed Sch. Level Costs'!O115</f>
        <v>26.25</v>
      </c>
      <c r="H122" s="339">
        <f t="shared" si="67"/>
        <v>8.3250000000000008E-3</v>
      </c>
      <c r="I122" s="295">
        <f t="shared" si="68"/>
        <v>1673.7599999999998</v>
      </c>
      <c r="J122" s="727">
        <f t="shared" si="69"/>
        <v>0.22</v>
      </c>
      <c r="L122" s="339">
        <f t="shared" si="70"/>
        <v>2.9375999999999999E-2</v>
      </c>
      <c r="M122" s="295">
        <f t="shared" si="71"/>
        <v>5858.16</v>
      </c>
      <c r="N122" s="727">
        <f t="shared" si="72"/>
        <v>0.77</v>
      </c>
      <c r="P122" s="176"/>
      <c r="Q122" s="295"/>
      <c r="T122" s="613" t="s">
        <v>1125</v>
      </c>
    </row>
    <row r="123" spans="1:20" x14ac:dyDescent="0.2">
      <c r="A123" s="613">
        <f t="shared" si="39"/>
        <v>105</v>
      </c>
      <c r="B123" s="164" t="str">
        <f>'WP1 Light Inventory'!A117</f>
        <v>53E</v>
      </c>
      <c r="C123" s="164" t="str">
        <f>'WP1 Light Inventory'!C117</f>
        <v>Customer Owned</v>
      </c>
      <c r="D123" s="327" t="str">
        <f>'WP1 Light Inventory'!D117</f>
        <v>Light Emitting Diode</v>
      </c>
      <c r="E123" s="165" t="str">
        <f>'WP1 Light Inventory'!E117</f>
        <v>LED 090.01-120</v>
      </c>
      <c r="F123" s="364">
        <f>'WP1 Light Inventory'!J117</f>
        <v>869</v>
      </c>
      <c r="G123" s="366">
        <f>'WP12 Condensed Sch. Level Costs'!O116</f>
        <v>36.75</v>
      </c>
      <c r="H123" s="339">
        <f t="shared" si="67"/>
        <v>8.3250000000000008E-3</v>
      </c>
      <c r="I123" s="295">
        <f t="shared" si="68"/>
        <v>3232.68</v>
      </c>
      <c r="J123" s="727">
        <f t="shared" si="69"/>
        <v>0.31</v>
      </c>
      <c r="L123" s="339">
        <f t="shared" si="70"/>
        <v>2.9375999999999999E-2</v>
      </c>
      <c r="M123" s="295">
        <f t="shared" si="71"/>
        <v>11262.240000000002</v>
      </c>
      <c r="N123" s="727">
        <f t="shared" si="72"/>
        <v>1.08</v>
      </c>
      <c r="P123" s="176"/>
      <c r="Q123" s="295"/>
      <c r="T123" s="613" t="s">
        <v>1125</v>
      </c>
    </row>
    <row r="124" spans="1:20" x14ac:dyDescent="0.2">
      <c r="A124" s="613">
        <f t="shared" si="39"/>
        <v>106</v>
      </c>
      <c r="B124" s="164" t="str">
        <f>'WP1 Light Inventory'!A118</f>
        <v>53E</v>
      </c>
      <c r="C124" s="164" t="str">
        <f>'WP1 Light Inventory'!C118</f>
        <v>Customer Owned</v>
      </c>
      <c r="D124" s="327" t="str">
        <f>'WP1 Light Inventory'!D118</f>
        <v>Light Emitting Diode</v>
      </c>
      <c r="E124" s="165" t="str">
        <f>'WP1 Light Inventory'!E118</f>
        <v>LED 120.01-150</v>
      </c>
      <c r="F124" s="364">
        <f>'WP1 Light Inventory'!J118</f>
        <v>101</v>
      </c>
      <c r="G124" s="366">
        <f>'WP12 Condensed Sch. Level Costs'!O117</f>
        <v>47.25</v>
      </c>
      <c r="H124" s="339">
        <f t="shared" si="67"/>
        <v>8.3250000000000008E-3</v>
      </c>
      <c r="I124" s="295">
        <f t="shared" si="68"/>
        <v>472.68</v>
      </c>
      <c r="J124" s="727">
        <f t="shared" si="69"/>
        <v>0.39</v>
      </c>
      <c r="L124" s="339">
        <f t="shared" si="70"/>
        <v>2.9375999999999999E-2</v>
      </c>
      <c r="M124" s="295">
        <f t="shared" si="71"/>
        <v>1684.6799999999998</v>
      </c>
      <c r="N124" s="727">
        <f t="shared" si="72"/>
        <v>1.39</v>
      </c>
      <c r="P124" s="176"/>
      <c r="Q124" s="295"/>
      <c r="T124" s="613" t="s">
        <v>1125</v>
      </c>
    </row>
    <row r="125" spans="1:20" x14ac:dyDescent="0.2">
      <c r="A125" s="613">
        <f t="shared" si="39"/>
        <v>107</v>
      </c>
      <c r="B125" s="164" t="str">
        <f>'WP1 Light Inventory'!A119</f>
        <v>53E</v>
      </c>
      <c r="C125" s="164" t="str">
        <f>'WP1 Light Inventory'!C119</f>
        <v>Customer Owned</v>
      </c>
      <c r="D125" s="327" t="str">
        <f>'WP1 Light Inventory'!D119</f>
        <v>Light Emitting Diode</v>
      </c>
      <c r="E125" s="165" t="str">
        <f>'WP1 Light Inventory'!E119</f>
        <v>LED 150.01-180</v>
      </c>
      <c r="F125" s="364">
        <f>'WP1 Light Inventory'!J119</f>
        <v>1330</v>
      </c>
      <c r="G125" s="366">
        <f>'WP12 Condensed Sch. Level Costs'!O118</f>
        <v>57.75</v>
      </c>
      <c r="H125" s="339">
        <f t="shared" si="67"/>
        <v>8.3250000000000008E-3</v>
      </c>
      <c r="I125" s="295">
        <f t="shared" si="68"/>
        <v>7660.7999999999993</v>
      </c>
      <c r="J125" s="727">
        <f t="shared" si="69"/>
        <v>0.48</v>
      </c>
      <c r="L125" s="339">
        <f t="shared" si="70"/>
        <v>2.9375999999999999E-2</v>
      </c>
      <c r="M125" s="295">
        <f t="shared" si="71"/>
        <v>27132</v>
      </c>
      <c r="N125" s="727">
        <f t="shared" si="72"/>
        <v>1.7</v>
      </c>
      <c r="P125" s="176"/>
      <c r="Q125" s="295"/>
      <c r="T125" s="613" t="s">
        <v>1125</v>
      </c>
    </row>
    <row r="126" spans="1:20" x14ac:dyDescent="0.2">
      <c r="A126" s="613">
        <f t="shared" si="39"/>
        <v>108</v>
      </c>
      <c r="B126" s="164" t="str">
        <f>'WP1 Light Inventory'!A120</f>
        <v>53E</v>
      </c>
      <c r="C126" s="164" t="str">
        <f>'WP1 Light Inventory'!C120</f>
        <v>Customer Owned</v>
      </c>
      <c r="D126" s="327" t="str">
        <f>'WP1 Light Inventory'!D120</f>
        <v>Light Emitting Diode</v>
      </c>
      <c r="E126" s="165" t="str">
        <f>'WP1 Light Inventory'!E120</f>
        <v>LED 180.01-210</v>
      </c>
      <c r="F126" s="364">
        <f>'WP1 Light Inventory'!J120</f>
        <v>106</v>
      </c>
      <c r="G126" s="366">
        <f>'WP12 Condensed Sch. Level Costs'!O119</f>
        <v>68.25</v>
      </c>
      <c r="H126" s="339">
        <f t="shared" si="67"/>
        <v>8.3250000000000008E-3</v>
      </c>
      <c r="I126" s="295">
        <f t="shared" si="68"/>
        <v>725.04</v>
      </c>
      <c r="J126" s="727">
        <f t="shared" si="69"/>
        <v>0.56999999999999995</v>
      </c>
      <c r="L126" s="339">
        <f t="shared" si="70"/>
        <v>2.9375999999999999E-2</v>
      </c>
      <c r="M126" s="295">
        <f t="shared" si="71"/>
        <v>2544</v>
      </c>
      <c r="N126" s="727">
        <f t="shared" si="72"/>
        <v>2</v>
      </c>
      <c r="P126" s="176"/>
      <c r="Q126" s="295"/>
      <c r="T126" s="613" t="s">
        <v>1125</v>
      </c>
    </row>
    <row r="127" spans="1:20" x14ac:dyDescent="0.2">
      <c r="A127" s="613">
        <f t="shared" si="39"/>
        <v>109</v>
      </c>
      <c r="B127" s="164" t="str">
        <f>'WP1 Light Inventory'!A121</f>
        <v>53E</v>
      </c>
      <c r="C127" s="164" t="str">
        <f>'WP1 Light Inventory'!C121</f>
        <v>Customer Owned</v>
      </c>
      <c r="D127" s="327" t="str">
        <f>'WP1 Light Inventory'!D121</f>
        <v>Light Emitting Diode</v>
      </c>
      <c r="E127" s="165" t="str">
        <f>'WP1 Light Inventory'!E121</f>
        <v>LED 210.01-240</v>
      </c>
      <c r="F127" s="364">
        <f>'WP1 Light Inventory'!J121</f>
        <v>0</v>
      </c>
      <c r="G127" s="366">
        <f>'WP12 Condensed Sch. Level Costs'!O120</f>
        <v>78.75</v>
      </c>
      <c r="H127" s="339">
        <f t="shared" si="67"/>
        <v>8.3250000000000008E-3</v>
      </c>
      <c r="I127" s="295">
        <f t="shared" si="68"/>
        <v>0</v>
      </c>
      <c r="J127" s="727">
        <f t="shared" si="69"/>
        <v>0.66</v>
      </c>
      <c r="L127" s="339">
        <f t="shared" si="70"/>
        <v>2.9375999999999999E-2</v>
      </c>
      <c r="M127" s="295">
        <f t="shared" si="71"/>
        <v>0</v>
      </c>
      <c r="N127" s="727">
        <f t="shared" si="72"/>
        <v>2.31</v>
      </c>
      <c r="P127" s="176"/>
      <c r="Q127" s="295"/>
      <c r="T127" s="613" t="s">
        <v>1125</v>
      </c>
    </row>
    <row r="128" spans="1:20" x14ac:dyDescent="0.2">
      <c r="A128" s="613">
        <f t="shared" si="39"/>
        <v>110</v>
      </c>
      <c r="B128" s="164" t="str">
        <f>'WP1 Light Inventory'!A122</f>
        <v>53E</v>
      </c>
      <c r="C128" s="164" t="str">
        <f>'WP1 Light Inventory'!C122</f>
        <v>Customer Owned</v>
      </c>
      <c r="D128" s="327" t="str">
        <f>'WP1 Light Inventory'!D122</f>
        <v>Light Emitting Diode</v>
      </c>
      <c r="E128" s="165" t="str">
        <f>'WP1 Light Inventory'!E122</f>
        <v>LED 240.01-270</v>
      </c>
      <c r="F128" s="364">
        <f>'WP1 Light Inventory'!J122</f>
        <v>2</v>
      </c>
      <c r="G128" s="366">
        <f>'WP12 Condensed Sch. Level Costs'!O121</f>
        <v>89.25</v>
      </c>
      <c r="H128" s="339">
        <f t="shared" si="67"/>
        <v>8.3250000000000008E-3</v>
      </c>
      <c r="I128" s="295">
        <f t="shared" si="68"/>
        <v>17.759999999999998</v>
      </c>
      <c r="J128" s="727">
        <f t="shared" si="69"/>
        <v>0.74</v>
      </c>
      <c r="L128" s="339">
        <f t="shared" si="70"/>
        <v>2.9375999999999999E-2</v>
      </c>
      <c r="M128" s="295">
        <f t="shared" si="71"/>
        <v>62.88</v>
      </c>
      <c r="N128" s="727">
        <f t="shared" si="72"/>
        <v>2.62</v>
      </c>
      <c r="P128" s="176"/>
      <c r="Q128" s="295"/>
      <c r="T128" s="613" t="s">
        <v>1125</v>
      </c>
    </row>
    <row r="129" spans="1:20" x14ac:dyDescent="0.2">
      <c r="A129" s="613">
        <f t="shared" si="39"/>
        <v>111</v>
      </c>
      <c r="B129" s="164" t="str">
        <f>'WP1 Light Inventory'!A123</f>
        <v>53E</v>
      </c>
      <c r="C129" s="164" t="str">
        <f>'WP1 Light Inventory'!C123</f>
        <v>Customer Owned</v>
      </c>
      <c r="D129" s="327" t="str">
        <f>'WP1 Light Inventory'!D123</f>
        <v>Light Emitting Diode</v>
      </c>
      <c r="E129" s="165" t="str">
        <f>'WP1 Light Inventory'!E123</f>
        <v>LED 270.01-300</v>
      </c>
      <c r="F129" s="364">
        <f>'WP1 Light Inventory'!J123</f>
        <v>0</v>
      </c>
      <c r="G129" s="366">
        <f>'WP12 Condensed Sch. Level Costs'!O122</f>
        <v>99.75</v>
      </c>
      <c r="H129" s="339">
        <f t="shared" si="67"/>
        <v>8.3250000000000008E-3</v>
      </c>
      <c r="I129" s="295">
        <f t="shared" si="68"/>
        <v>0</v>
      </c>
      <c r="J129" s="727">
        <f t="shared" si="69"/>
        <v>0.83</v>
      </c>
      <c r="L129" s="339">
        <f t="shared" si="70"/>
        <v>2.9375999999999999E-2</v>
      </c>
      <c r="M129" s="295">
        <f t="shared" si="71"/>
        <v>0</v>
      </c>
      <c r="N129" s="727">
        <f t="shared" si="72"/>
        <v>2.93</v>
      </c>
      <c r="P129" s="176"/>
      <c r="Q129" s="295"/>
      <c r="T129" s="613" t="s">
        <v>1125</v>
      </c>
    </row>
    <row r="130" spans="1:20" x14ac:dyDescent="0.2">
      <c r="A130" s="613">
        <f t="shared" si="39"/>
        <v>112</v>
      </c>
      <c r="B130" s="164"/>
      <c r="C130" s="164"/>
      <c r="D130" s="327"/>
      <c r="E130" s="165"/>
      <c r="F130" s="364"/>
      <c r="G130" s="399"/>
      <c r="H130" s="339"/>
      <c r="I130" s="295"/>
      <c r="J130" s="727"/>
      <c r="L130" s="339"/>
      <c r="M130" s="295"/>
      <c r="N130" s="727"/>
      <c r="P130" s="176"/>
      <c r="Q130" s="295"/>
    </row>
    <row r="131" spans="1:20" x14ac:dyDescent="0.2">
      <c r="A131" s="613">
        <f t="shared" si="39"/>
        <v>113</v>
      </c>
      <c r="B131" s="164" t="s">
        <v>138</v>
      </c>
      <c r="C131" s="164"/>
      <c r="D131" s="327"/>
      <c r="E131" s="165"/>
      <c r="F131" s="364"/>
      <c r="G131" s="399"/>
      <c r="H131" s="342"/>
      <c r="I131" s="295"/>
      <c r="J131" s="727"/>
      <c r="L131" s="342"/>
      <c r="M131" s="295"/>
      <c r="N131" s="727"/>
      <c r="P131" s="342"/>
      <c r="Q131" s="295"/>
    </row>
    <row r="132" spans="1:20" x14ac:dyDescent="0.2">
      <c r="A132" s="613">
        <f t="shared" si="39"/>
        <v>114</v>
      </c>
      <c r="B132" s="164" t="str">
        <f>'WP1 Light Inventory'!A125</f>
        <v>54E</v>
      </c>
      <c r="C132" s="164"/>
      <c r="D132" s="327" t="str">
        <f>'WP1 Light Inventory'!D125</f>
        <v>Sodium Vapor</v>
      </c>
      <c r="E132" s="165" t="str">
        <f>'WP1 Light Inventory'!E125</f>
        <v>SV 050</v>
      </c>
      <c r="F132" s="364">
        <f>'WP1 Light Inventory'!J125</f>
        <v>38</v>
      </c>
      <c r="G132" s="366">
        <f>'WP12 Condensed Sch. Level Costs'!O124</f>
        <v>17.5</v>
      </c>
      <c r="H132" s="339">
        <f t="shared" ref="H132:H140" si="73">$Y$8</f>
        <v>8.3250000000000008E-3</v>
      </c>
      <c r="I132" s="295">
        <f t="shared" ref="I132:I140" si="74">+F132*J132*12</f>
        <v>68.400000000000006</v>
      </c>
      <c r="J132" s="727">
        <f t="shared" ref="J132:J140" si="75">ROUND(+H132*G132,2)</f>
        <v>0.15</v>
      </c>
      <c r="L132" s="339">
        <f t="shared" ref="L132:L140" si="76">$Y$9</f>
        <v>2.9375999999999999E-2</v>
      </c>
      <c r="M132" s="295">
        <f t="shared" ref="M132:M140" si="77">+F132*N132*12</f>
        <v>232.56</v>
      </c>
      <c r="N132" s="727">
        <f t="shared" ref="N132:N140" si="78">ROUND(+L132*G132,2)</f>
        <v>0.51</v>
      </c>
      <c r="P132" s="176"/>
      <c r="Q132" s="295"/>
      <c r="T132" s="613" t="s">
        <v>1128</v>
      </c>
    </row>
    <row r="133" spans="1:20" x14ac:dyDescent="0.2">
      <c r="A133" s="613">
        <f t="shared" si="39"/>
        <v>115</v>
      </c>
      <c r="B133" s="164" t="str">
        <f>'WP1 Light Inventory'!A126</f>
        <v>54E</v>
      </c>
      <c r="C133" s="164"/>
      <c r="D133" s="327" t="str">
        <f>'WP1 Light Inventory'!D126</f>
        <v>Sodium Vapor</v>
      </c>
      <c r="E133" s="165" t="str">
        <f>'WP1 Light Inventory'!E126</f>
        <v>SV 070</v>
      </c>
      <c r="F133" s="364">
        <f>'WP1 Light Inventory'!J126</f>
        <v>676</v>
      </c>
      <c r="G133" s="366">
        <f>'WP12 Condensed Sch. Level Costs'!O125</f>
        <v>24.5</v>
      </c>
      <c r="H133" s="339">
        <f t="shared" si="73"/>
        <v>8.3250000000000008E-3</v>
      </c>
      <c r="I133" s="295">
        <f t="shared" si="74"/>
        <v>1622.4</v>
      </c>
      <c r="J133" s="727">
        <f t="shared" si="75"/>
        <v>0.2</v>
      </c>
      <c r="L133" s="339">
        <f t="shared" si="76"/>
        <v>2.9375999999999999E-2</v>
      </c>
      <c r="M133" s="295">
        <f t="shared" si="77"/>
        <v>5840.6399999999994</v>
      </c>
      <c r="N133" s="727">
        <f t="shared" si="78"/>
        <v>0.72</v>
      </c>
      <c r="P133" s="176"/>
      <c r="Q133" s="295"/>
      <c r="T133" s="613" t="s">
        <v>1128</v>
      </c>
    </row>
    <row r="134" spans="1:20" x14ac:dyDescent="0.2">
      <c r="A134" s="613">
        <f t="shared" si="39"/>
        <v>116</v>
      </c>
      <c r="B134" s="164" t="str">
        <f>'WP1 Light Inventory'!A127</f>
        <v>54E</v>
      </c>
      <c r="C134" s="164"/>
      <c r="D134" s="327" t="str">
        <f>'WP1 Light Inventory'!D127</f>
        <v>Sodium Vapor</v>
      </c>
      <c r="E134" s="165" t="str">
        <f>'WP1 Light Inventory'!E127</f>
        <v>SV 100</v>
      </c>
      <c r="F134" s="364">
        <f>'WP1 Light Inventory'!J127</f>
        <v>1524</v>
      </c>
      <c r="G134" s="366">
        <f>'WP12 Condensed Sch. Level Costs'!O126</f>
        <v>35</v>
      </c>
      <c r="H134" s="339">
        <f t="shared" si="73"/>
        <v>8.3250000000000008E-3</v>
      </c>
      <c r="I134" s="295">
        <f t="shared" si="74"/>
        <v>5303.5199999999995</v>
      </c>
      <c r="J134" s="727">
        <f t="shared" si="75"/>
        <v>0.28999999999999998</v>
      </c>
      <c r="L134" s="339">
        <f t="shared" si="76"/>
        <v>2.9375999999999999E-2</v>
      </c>
      <c r="M134" s="295">
        <f t="shared" si="77"/>
        <v>18836.64</v>
      </c>
      <c r="N134" s="727">
        <f t="shared" si="78"/>
        <v>1.03</v>
      </c>
      <c r="P134" s="176"/>
      <c r="Q134" s="295"/>
      <c r="T134" s="613" t="s">
        <v>1128</v>
      </c>
    </row>
    <row r="135" spans="1:20" x14ac:dyDescent="0.2">
      <c r="A135" s="613">
        <f t="shared" si="39"/>
        <v>117</v>
      </c>
      <c r="B135" s="164" t="str">
        <f>'WP1 Light Inventory'!A128</f>
        <v>54E</v>
      </c>
      <c r="C135" s="164"/>
      <c r="D135" s="327" t="str">
        <f>'WP1 Light Inventory'!D128</f>
        <v>Sodium Vapor</v>
      </c>
      <c r="E135" s="165" t="str">
        <f>'WP1 Light Inventory'!E128</f>
        <v>SV 150</v>
      </c>
      <c r="F135" s="364">
        <f>'WP1 Light Inventory'!J128</f>
        <v>456</v>
      </c>
      <c r="G135" s="366">
        <f>'WP12 Condensed Sch. Level Costs'!O127</f>
        <v>52.5</v>
      </c>
      <c r="H135" s="339">
        <f t="shared" si="73"/>
        <v>8.3250000000000008E-3</v>
      </c>
      <c r="I135" s="295">
        <f t="shared" si="74"/>
        <v>2407.6800000000003</v>
      </c>
      <c r="J135" s="727">
        <f t="shared" si="75"/>
        <v>0.44</v>
      </c>
      <c r="L135" s="339">
        <f t="shared" si="76"/>
        <v>2.9375999999999999E-2</v>
      </c>
      <c r="M135" s="295">
        <f t="shared" si="77"/>
        <v>8426.880000000001</v>
      </c>
      <c r="N135" s="727">
        <f t="shared" si="78"/>
        <v>1.54</v>
      </c>
      <c r="P135" s="176"/>
      <c r="Q135" s="295"/>
      <c r="T135" s="613" t="s">
        <v>1128</v>
      </c>
    </row>
    <row r="136" spans="1:20" x14ac:dyDescent="0.2">
      <c r="A136" s="613">
        <f t="shared" si="39"/>
        <v>118</v>
      </c>
      <c r="B136" s="164" t="str">
        <f>'WP1 Light Inventory'!A129</f>
        <v>54E</v>
      </c>
      <c r="C136" s="164"/>
      <c r="D136" s="327" t="str">
        <f>'WP1 Light Inventory'!D129</f>
        <v>Sodium Vapor</v>
      </c>
      <c r="E136" s="165" t="str">
        <f>'WP1 Light Inventory'!E129</f>
        <v>SV 200</v>
      </c>
      <c r="F136" s="364">
        <f>'WP1 Light Inventory'!J129</f>
        <v>548</v>
      </c>
      <c r="G136" s="366">
        <f>'WP12 Condensed Sch. Level Costs'!O128</f>
        <v>70</v>
      </c>
      <c r="H136" s="339">
        <f t="shared" si="73"/>
        <v>8.3250000000000008E-3</v>
      </c>
      <c r="I136" s="295">
        <f t="shared" si="74"/>
        <v>3814.08</v>
      </c>
      <c r="J136" s="727">
        <f t="shared" si="75"/>
        <v>0.57999999999999996</v>
      </c>
      <c r="L136" s="339">
        <f t="shared" si="76"/>
        <v>2.9375999999999999E-2</v>
      </c>
      <c r="M136" s="295">
        <f t="shared" si="77"/>
        <v>13546.560000000001</v>
      </c>
      <c r="N136" s="727">
        <f t="shared" si="78"/>
        <v>2.06</v>
      </c>
      <c r="P136" s="176"/>
      <c r="Q136" s="295"/>
      <c r="T136" s="613" t="s">
        <v>1128</v>
      </c>
    </row>
    <row r="137" spans="1:20" x14ac:dyDescent="0.2">
      <c r="A137" s="613">
        <f t="shared" ref="A137:A195" si="79">A136+1</f>
        <v>119</v>
      </c>
      <c r="B137" s="164" t="str">
        <f>'WP1 Light Inventory'!A130</f>
        <v>54E</v>
      </c>
      <c r="C137" s="164"/>
      <c r="D137" s="327" t="str">
        <f>'WP1 Light Inventory'!D130</f>
        <v>Sodium Vapor</v>
      </c>
      <c r="E137" s="165" t="str">
        <f>'WP1 Light Inventory'!E130</f>
        <v>SV 250</v>
      </c>
      <c r="F137" s="364">
        <f>'WP1 Light Inventory'!J130</f>
        <v>1362</v>
      </c>
      <c r="G137" s="366">
        <f>'WP12 Condensed Sch. Level Costs'!O129</f>
        <v>87.5</v>
      </c>
      <c r="H137" s="339">
        <f t="shared" si="73"/>
        <v>8.3250000000000008E-3</v>
      </c>
      <c r="I137" s="295">
        <f t="shared" si="74"/>
        <v>11931.119999999999</v>
      </c>
      <c r="J137" s="727">
        <f t="shared" si="75"/>
        <v>0.73</v>
      </c>
      <c r="L137" s="339">
        <f t="shared" si="76"/>
        <v>2.9375999999999999E-2</v>
      </c>
      <c r="M137" s="295">
        <f t="shared" si="77"/>
        <v>42004.079999999994</v>
      </c>
      <c r="N137" s="727">
        <f t="shared" si="78"/>
        <v>2.57</v>
      </c>
      <c r="P137" s="176"/>
      <c r="Q137" s="295"/>
      <c r="T137" s="613" t="s">
        <v>1128</v>
      </c>
    </row>
    <row r="138" spans="1:20" x14ac:dyDescent="0.2">
      <c r="A138" s="613">
        <f t="shared" si="79"/>
        <v>120</v>
      </c>
      <c r="B138" s="164" t="str">
        <f>'WP1 Light Inventory'!A131</f>
        <v>54E</v>
      </c>
      <c r="C138" s="164"/>
      <c r="D138" s="327" t="str">
        <f>'WP1 Light Inventory'!D131</f>
        <v>Sodium Vapor</v>
      </c>
      <c r="E138" s="165" t="str">
        <f>'WP1 Light Inventory'!E131</f>
        <v>SV 310</v>
      </c>
      <c r="F138" s="364">
        <f>'WP1 Light Inventory'!J131</f>
        <v>56</v>
      </c>
      <c r="G138" s="366">
        <f>'WP12 Condensed Sch. Level Costs'!O130</f>
        <v>108.5</v>
      </c>
      <c r="H138" s="339">
        <f t="shared" si="73"/>
        <v>8.3250000000000008E-3</v>
      </c>
      <c r="I138" s="295">
        <f t="shared" si="74"/>
        <v>604.79999999999995</v>
      </c>
      <c r="J138" s="727">
        <f t="shared" si="75"/>
        <v>0.9</v>
      </c>
      <c r="L138" s="339">
        <f t="shared" si="76"/>
        <v>2.9375999999999999E-2</v>
      </c>
      <c r="M138" s="295">
        <f t="shared" si="77"/>
        <v>2143.6799999999998</v>
      </c>
      <c r="N138" s="727">
        <f t="shared" si="78"/>
        <v>3.19</v>
      </c>
      <c r="P138" s="176"/>
      <c r="Q138" s="295"/>
      <c r="T138" s="613" t="s">
        <v>1128</v>
      </c>
    </row>
    <row r="139" spans="1:20" x14ac:dyDescent="0.2">
      <c r="A139" s="613">
        <f t="shared" si="79"/>
        <v>121</v>
      </c>
      <c r="B139" s="164" t="str">
        <f>'WP1 Light Inventory'!A132</f>
        <v>54E</v>
      </c>
      <c r="C139" s="164"/>
      <c r="D139" s="327" t="str">
        <f>'WP1 Light Inventory'!D132</f>
        <v>Sodium Vapor</v>
      </c>
      <c r="E139" s="165" t="str">
        <f>'WP1 Light Inventory'!E132</f>
        <v>SV 400</v>
      </c>
      <c r="F139" s="364">
        <f>'WP1 Light Inventory'!J132</f>
        <v>616</v>
      </c>
      <c r="G139" s="366">
        <f>'WP12 Condensed Sch. Level Costs'!O131</f>
        <v>140</v>
      </c>
      <c r="H139" s="339">
        <f t="shared" si="73"/>
        <v>8.3250000000000008E-3</v>
      </c>
      <c r="I139" s="295">
        <f t="shared" si="74"/>
        <v>8648.64</v>
      </c>
      <c r="J139" s="727">
        <f t="shared" si="75"/>
        <v>1.17</v>
      </c>
      <c r="L139" s="339">
        <f t="shared" si="76"/>
        <v>2.9375999999999999E-2</v>
      </c>
      <c r="M139" s="295">
        <f t="shared" si="77"/>
        <v>30381.120000000003</v>
      </c>
      <c r="N139" s="727">
        <f t="shared" si="78"/>
        <v>4.1100000000000003</v>
      </c>
      <c r="P139" s="176"/>
      <c r="Q139" s="295"/>
      <c r="T139" s="613" t="s">
        <v>1128</v>
      </c>
    </row>
    <row r="140" spans="1:20" x14ac:dyDescent="0.2">
      <c r="A140" s="613">
        <f t="shared" si="79"/>
        <v>122</v>
      </c>
      <c r="B140" s="164" t="str">
        <f>'WP1 Light Inventory'!A133</f>
        <v>54E</v>
      </c>
      <c r="C140" s="164"/>
      <c r="D140" s="327" t="str">
        <f>'WP1 Light Inventory'!D133</f>
        <v>Sodium Vapor</v>
      </c>
      <c r="E140" s="165" t="str">
        <f>'WP1 Light Inventory'!E133</f>
        <v>SV 1000</v>
      </c>
      <c r="F140" s="364">
        <f>'WP1 Light Inventory'!J133</f>
        <v>10</v>
      </c>
      <c r="G140" s="366">
        <f>'WP12 Condensed Sch. Level Costs'!O132</f>
        <v>350</v>
      </c>
      <c r="H140" s="339">
        <f t="shared" si="73"/>
        <v>8.3250000000000008E-3</v>
      </c>
      <c r="I140" s="295">
        <f t="shared" si="74"/>
        <v>349.20000000000005</v>
      </c>
      <c r="J140" s="727">
        <f t="shared" si="75"/>
        <v>2.91</v>
      </c>
      <c r="L140" s="339">
        <f t="shared" si="76"/>
        <v>2.9375999999999999E-2</v>
      </c>
      <c r="M140" s="295">
        <f t="shared" si="77"/>
        <v>1233.5999999999999</v>
      </c>
      <c r="N140" s="727">
        <f t="shared" si="78"/>
        <v>10.28</v>
      </c>
      <c r="P140" s="176"/>
      <c r="Q140" s="295"/>
      <c r="T140" s="613" t="s">
        <v>1128</v>
      </c>
    </row>
    <row r="141" spans="1:20" x14ac:dyDescent="0.2">
      <c r="A141" s="613">
        <f t="shared" si="79"/>
        <v>123</v>
      </c>
      <c r="B141" s="164"/>
      <c r="C141" s="164"/>
      <c r="D141" s="327"/>
      <c r="E141" s="165"/>
      <c r="F141" s="364"/>
      <c r="G141" s="399"/>
      <c r="H141" s="342"/>
      <c r="I141" s="295"/>
      <c r="J141" s="727"/>
      <c r="L141" s="342"/>
      <c r="M141" s="295"/>
      <c r="N141" s="727"/>
      <c r="P141" s="342"/>
      <c r="Q141" s="295"/>
    </row>
    <row r="142" spans="1:20" ht="12" customHeight="1" x14ac:dyDescent="0.2">
      <c r="A142" s="613">
        <f t="shared" si="79"/>
        <v>124</v>
      </c>
      <c r="B142" s="164" t="str">
        <f>'WP1 Light Inventory'!A135</f>
        <v>54E</v>
      </c>
      <c r="C142" s="164"/>
      <c r="D142" s="327" t="str">
        <f>'WP1 Light Inventory'!D135</f>
        <v>Light Emitting Diode</v>
      </c>
      <c r="E142" s="165" t="str">
        <f>'WP1 Light Inventory'!E135</f>
        <v>LED 0-030</v>
      </c>
      <c r="F142" s="364">
        <f>'WP1 Light Inventory'!J135</f>
        <v>0</v>
      </c>
      <c r="G142" s="366">
        <f>'WP12 Condensed Sch. Level Costs'!O134</f>
        <v>5.25</v>
      </c>
      <c r="H142" s="339">
        <f t="shared" ref="H142:H151" si="80">$Y$8</f>
        <v>8.3250000000000008E-3</v>
      </c>
      <c r="I142" s="295">
        <f t="shared" ref="I142:I151" si="81">+F142*J142*12</f>
        <v>0</v>
      </c>
      <c r="J142" s="727">
        <f t="shared" ref="J142:J151" si="82">ROUND(+H142*G142,2)</f>
        <v>0.04</v>
      </c>
      <c r="L142" s="339">
        <f t="shared" ref="L142:L151" si="83">$Y$9</f>
        <v>2.9375999999999999E-2</v>
      </c>
      <c r="M142" s="295">
        <f t="shared" ref="M142:M151" si="84">+F142*N142*12</f>
        <v>0</v>
      </c>
      <c r="N142" s="727">
        <f t="shared" ref="N142:N151" si="85">ROUND(+L142*G142,2)</f>
        <v>0.15</v>
      </c>
      <c r="P142" s="176"/>
      <c r="Q142" s="295"/>
      <c r="T142" s="613" t="s">
        <v>1125</v>
      </c>
    </row>
    <row r="143" spans="1:20" x14ac:dyDescent="0.2">
      <c r="A143" s="613">
        <f t="shared" si="79"/>
        <v>125</v>
      </c>
      <c r="B143" s="164" t="str">
        <f>'WP1 Light Inventory'!A136</f>
        <v>54E</v>
      </c>
      <c r="C143" s="164"/>
      <c r="D143" s="327" t="str">
        <f>'WP1 Light Inventory'!D136</f>
        <v>Light Emitting Diode</v>
      </c>
      <c r="E143" s="165" t="str">
        <f>'WP1 Light Inventory'!E136</f>
        <v>LED 030.01-060</v>
      </c>
      <c r="F143" s="364">
        <f>'WP1 Light Inventory'!J136</f>
        <v>1267</v>
      </c>
      <c r="G143" s="366">
        <f>'WP12 Condensed Sch. Level Costs'!O135</f>
        <v>15.75</v>
      </c>
      <c r="H143" s="339">
        <f t="shared" si="80"/>
        <v>8.3250000000000008E-3</v>
      </c>
      <c r="I143" s="295">
        <f t="shared" si="81"/>
        <v>1976.52</v>
      </c>
      <c r="J143" s="727">
        <f t="shared" si="82"/>
        <v>0.13</v>
      </c>
      <c r="L143" s="339">
        <f t="shared" si="83"/>
        <v>2.9375999999999999E-2</v>
      </c>
      <c r="M143" s="295">
        <f t="shared" si="84"/>
        <v>6993.84</v>
      </c>
      <c r="N143" s="727">
        <f t="shared" si="85"/>
        <v>0.46</v>
      </c>
      <c r="P143" s="176"/>
      <c r="Q143" s="295"/>
      <c r="T143" s="613" t="s">
        <v>1125</v>
      </c>
    </row>
    <row r="144" spans="1:20" x14ac:dyDescent="0.2">
      <c r="A144" s="613">
        <f t="shared" si="79"/>
        <v>126</v>
      </c>
      <c r="B144" s="164" t="str">
        <f>'WP1 Light Inventory'!A137</f>
        <v>54E</v>
      </c>
      <c r="C144" s="164"/>
      <c r="D144" s="327" t="str">
        <f>'WP1 Light Inventory'!D137</f>
        <v>Light Emitting Diode</v>
      </c>
      <c r="E144" s="165" t="str">
        <f>'WP1 Light Inventory'!E137</f>
        <v>LED 060.01-090</v>
      </c>
      <c r="F144" s="364">
        <f>'WP1 Light Inventory'!J137</f>
        <v>64</v>
      </c>
      <c r="G144" s="366">
        <f>'WP12 Condensed Sch. Level Costs'!O136</f>
        <v>26.25</v>
      </c>
      <c r="H144" s="339">
        <f t="shared" si="80"/>
        <v>8.3250000000000008E-3</v>
      </c>
      <c r="I144" s="295">
        <f t="shared" si="81"/>
        <v>168.96</v>
      </c>
      <c r="J144" s="727">
        <f t="shared" si="82"/>
        <v>0.22</v>
      </c>
      <c r="L144" s="339">
        <f t="shared" si="83"/>
        <v>2.9375999999999999E-2</v>
      </c>
      <c r="M144" s="295">
        <f t="shared" si="84"/>
        <v>591.36</v>
      </c>
      <c r="N144" s="727">
        <f t="shared" si="85"/>
        <v>0.77</v>
      </c>
      <c r="P144" s="176"/>
      <c r="Q144" s="295"/>
      <c r="T144" s="613" t="s">
        <v>1125</v>
      </c>
    </row>
    <row r="145" spans="1:20" x14ac:dyDescent="0.2">
      <c r="A145" s="613">
        <f t="shared" si="79"/>
        <v>127</v>
      </c>
      <c r="B145" s="164" t="str">
        <f>'WP1 Light Inventory'!A138</f>
        <v>54E</v>
      </c>
      <c r="C145" s="164"/>
      <c r="D145" s="327" t="str">
        <f>'WP1 Light Inventory'!D138</f>
        <v>Light Emitting Diode</v>
      </c>
      <c r="E145" s="165" t="str">
        <f>'WP1 Light Inventory'!E138</f>
        <v>LED 090.01-120</v>
      </c>
      <c r="F145" s="364">
        <f>'WP1 Light Inventory'!J138</f>
        <v>1330</v>
      </c>
      <c r="G145" s="366">
        <f>'WP12 Condensed Sch. Level Costs'!O137</f>
        <v>36.75</v>
      </c>
      <c r="H145" s="339">
        <f t="shared" si="80"/>
        <v>8.3250000000000008E-3</v>
      </c>
      <c r="I145" s="295">
        <f t="shared" si="81"/>
        <v>4947.6000000000004</v>
      </c>
      <c r="J145" s="727">
        <f t="shared" si="82"/>
        <v>0.31</v>
      </c>
      <c r="L145" s="339">
        <f t="shared" si="83"/>
        <v>2.9375999999999999E-2</v>
      </c>
      <c r="M145" s="295">
        <f t="shared" si="84"/>
        <v>17236.800000000003</v>
      </c>
      <c r="N145" s="727">
        <f t="shared" si="85"/>
        <v>1.08</v>
      </c>
      <c r="P145" s="176"/>
      <c r="Q145" s="295"/>
      <c r="T145" s="613" t="s">
        <v>1125</v>
      </c>
    </row>
    <row r="146" spans="1:20" x14ac:dyDescent="0.2">
      <c r="A146" s="613">
        <f t="shared" si="79"/>
        <v>128</v>
      </c>
      <c r="B146" s="164" t="str">
        <f>'WP1 Light Inventory'!A139</f>
        <v>54E</v>
      </c>
      <c r="C146" s="164"/>
      <c r="D146" s="327" t="str">
        <f>'WP1 Light Inventory'!D139</f>
        <v>Light Emitting Diode</v>
      </c>
      <c r="E146" s="165" t="str">
        <f>'WP1 Light Inventory'!E139</f>
        <v>LED 120.01-150</v>
      </c>
      <c r="F146" s="364">
        <f>'WP1 Light Inventory'!J139</f>
        <v>666</v>
      </c>
      <c r="G146" s="366">
        <f>'WP12 Condensed Sch. Level Costs'!O138</f>
        <v>47.25</v>
      </c>
      <c r="H146" s="339">
        <f t="shared" si="80"/>
        <v>8.3250000000000008E-3</v>
      </c>
      <c r="I146" s="295">
        <f t="shared" si="81"/>
        <v>3116.88</v>
      </c>
      <c r="J146" s="727">
        <f t="shared" si="82"/>
        <v>0.39</v>
      </c>
      <c r="L146" s="339">
        <f t="shared" si="83"/>
        <v>2.9375999999999999E-2</v>
      </c>
      <c r="M146" s="295">
        <f t="shared" si="84"/>
        <v>11108.88</v>
      </c>
      <c r="N146" s="727">
        <f t="shared" si="85"/>
        <v>1.39</v>
      </c>
      <c r="P146" s="176"/>
      <c r="Q146" s="295"/>
      <c r="T146" s="613" t="s">
        <v>1125</v>
      </c>
    </row>
    <row r="147" spans="1:20" x14ac:dyDescent="0.2">
      <c r="A147" s="613">
        <f t="shared" si="79"/>
        <v>129</v>
      </c>
      <c r="B147" s="164" t="str">
        <f>'WP1 Light Inventory'!A140</f>
        <v>54E</v>
      </c>
      <c r="C147" s="164"/>
      <c r="D147" s="327" t="str">
        <f>'WP1 Light Inventory'!D140</f>
        <v>Light Emitting Diode</v>
      </c>
      <c r="E147" s="165" t="str">
        <f>'WP1 Light Inventory'!E140</f>
        <v>LED 150.01-180</v>
      </c>
      <c r="F147" s="364">
        <f>'WP1 Light Inventory'!J140</f>
        <v>366</v>
      </c>
      <c r="G147" s="366">
        <f>'WP12 Condensed Sch. Level Costs'!O139</f>
        <v>57.75</v>
      </c>
      <c r="H147" s="339">
        <f t="shared" si="80"/>
        <v>8.3250000000000008E-3</v>
      </c>
      <c r="I147" s="295">
        <f t="shared" si="81"/>
        <v>2108.16</v>
      </c>
      <c r="J147" s="727">
        <f t="shared" si="82"/>
        <v>0.48</v>
      </c>
      <c r="L147" s="339">
        <f t="shared" si="83"/>
        <v>2.9375999999999999E-2</v>
      </c>
      <c r="M147" s="295">
        <f t="shared" si="84"/>
        <v>7466.4</v>
      </c>
      <c r="N147" s="727">
        <f t="shared" si="85"/>
        <v>1.7</v>
      </c>
      <c r="P147" s="176"/>
      <c r="Q147" s="295"/>
      <c r="T147" s="613" t="s">
        <v>1125</v>
      </c>
    </row>
    <row r="148" spans="1:20" x14ac:dyDescent="0.2">
      <c r="A148" s="613">
        <f t="shared" si="79"/>
        <v>130</v>
      </c>
      <c r="B148" s="164" t="str">
        <f>'WP1 Light Inventory'!A141</f>
        <v>54E</v>
      </c>
      <c r="C148" s="164"/>
      <c r="D148" s="327" t="str">
        <f>'WP1 Light Inventory'!D141</f>
        <v>Light Emitting Diode</v>
      </c>
      <c r="E148" s="165" t="str">
        <f>'WP1 Light Inventory'!E141</f>
        <v>LED 180.01-210</v>
      </c>
      <c r="F148" s="364">
        <f>'WP1 Light Inventory'!J141</f>
        <v>14</v>
      </c>
      <c r="G148" s="366">
        <f>'WP12 Condensed Sch. Level Costs'!O140</f>
        <v>68.25</v>
      </c>
      <c r="H148" s="339">
        <f t="shared" si="80"/>
        <v>8.3250000000000008E-3</v>
      </c>
      <c r="I148" s="295">
        <f t="shared" si="81"/>
        <v>95.759999999999991</v>
      </c>
      <c r="J148" s="727">
        <f t="shared" si="82"/>
        <v>0.56999999999999995</v>
      </c>
      <c r="L148" s="339">
        <f t="shared" si="83"/>
        <v>2.9375999999999999E-2</v>
      </c>
      <c r="M148" s="295">
        <f t="shared" si="84"/>
        <v>336</v>
      </c>
      <c r="N148" s="727">
        <f t="shared" si="85"/>
        <v>2</v>
      </c>
      <c r="P148" s="176"/>
      <c r="Q148" s="295"/>
      <c r="T148" s="613" t="s">
        <v>1125</v>
      </c>
    </row>
    <row r="149" spans="1:20" x14ac:dyDescent="0.2">
      <c r="A149" s="613">
        <f t="shared" si="79"/>
        <v>131</v>
      </c>
      <c r="B149" s="164" t="str">
        <f>'WP1 Light Inventory'!A142</f>
        <v>54E</v>
      </c>
      <c r="C149" s="164"/>
      <c r="D149" s="327" t="str">
        <f>'WP1 Light Inventory'!D142</f>
        <v>Light Emitting Diode</v>
      </c>
      <c r="E149" s="165" t="str">
        <f>'WP1 Light Inventory'!E142</f>
        <v>LED 210.01-240</v>
      </c>
      <c r="F149" s="364">
        <f>'WP1 Light Inventory'!J142</f>
        <v>38</v>
      </c>
      <c r="G149" s="366">
        <f>'WP12 Condensed Sch. Level Costs'!O141</f>
        <v>78.75</v>
      </c>
      <c r="H149" s="339">
        <f t="shared" si="80"/>
        <v>8.3250000000000008E-3</v>
      </c>
      <c r="I149" s="295">
        <f t="shared" si="81"/>
        <v>300.96000000000004</v>
      </c>
      <c r="J149" s="727">
        <f t="shared" si="82"/>
        <v>0.66</v>
      </c>
      <c r="L149" s="339">
        <f t="shared" si="83"/>
        <v>2.9375999999999999E-2</v>
      </c>
      <c r="M149" s="295">
        <f t="shared" si="84"/>
        <v>1053.3600000000001</v>
      </c>
      <c r="N149" s="727">
        <f t="shared" si="85"/>
        <v>2.31</v>
      </c>
      <c r="P149" s="176"/>
      <c r="Q149" s="295"/>
      <c r="T149" s="613" t="s">
        <v>1125</v>
      </c>
    </row>
    <row r="150" spans="1:20" x14ac:dyDescent="0.2">
      <c r="A150" s="613">
        <f t="shared" si="79"/>
        <v>132</v>
      </c>
      <c r="B150" s="164" t="str">
        <f>'WP1 Light Inventory'!A143</f>
        <v>54E</v>
      </c>
      <c r="C150" s="164"/>
      <c r="D150" s="327" t="str">
        <f>'WP1 Light Inventory'!D143</f>
        <v>Light Emitting Diode</v>
      </c>
      <c r="E150" s="165" t="str">
        <f>'WP1 Light Inventory'!E143</f>
        <v>LED 240.01-270</v>
      </c>
      <c r="F150" s="364">
        <f>'WP1 Light Inventory'!J143</f>
        <v>3</v>
      </c>
      <c r="G150" s="366">
        <f>'WP12 Condensed Sch. Level Costs'!O142</f>
        <v>89.25</v>
      </c>
      <c r="H150" s="339">
        <f t="shared" si="80"/>
        <v>8.3250000000000008E-3</v>
      </c>
      <c r="I150" s="295">
        <f t="shared" si="81"/>
        <v>26.639999999999997</v>
      </c>
      <c r="J150" s="727">
        <f t="shared" si="82"/>
        <v>0.74</v>
      </c>
      <c r="L150" s="339">
        <f t="shared" si="83"/>
        <v>2.9375999999999999E-2</v>
      </c>
      <c r="M150" s="295">
        <f t="shared" si="84"/>
        <v>94.320000000000007</v>
      </c>
      <c r="N150" s="727">
        <f t="shared" si="85"/>
        <v>2.62</v>
      </c>
      <c r="P150" s="176"/>
      <c r="Q150" s="295"/>
      <c r="T150" s="613" t="s">
        <v>1125</v>
      </c>
    </row>
    <row r="151" spans="1:20" x14ac:dyDescent="0.2">
      <c r="A151" s="613">
        <f t="shared" si="79"/>
        <v>133</v>
      </c>
      <c r="B151" s="164" t="str">
        <f>'WP1 Light Inventory'!A144</f>
        <v>54E</v>
      </c>
      <c r="C151" s="164"/>
      <c r="D151" s="327" t="str">
        <f>'WP1 Light Inventory'!D144</f>
        <v>Light Emitting Diode</v>
      </c>
      <c r="E151" s="165" t="str">
        <f>'WP1 Light Inventory'!E144</f>
        <v>LED 270.01-300</v>
      </c>
      <c r="F151" s="364">
        <f>'WP1 Light Inventory'!J144</f>
        <v>0</v>
      </c>
      <c r="G151" s="366">
        <f>'WP12 Condensed Sch. Level Costs'!O143</f>
        <v>99.75</v>
      </c>
      <c r="H151" s="339">
        <f t="shared" si="80"/>
        <v>8.3250000000000008E-3</v>
      </c>
      <c r="I151" s="295">
        <f t="shared" si="81"/>
        <v>0</v>
      </c>
      <c r="J151" s="727">
        <f t="shared" si="82"/>
        <v>0.83</v>
      </c>
      <c r="L151" s="339">
        <f t="shared" si="83"/>
        <v>2.9375999999999999E-2</v>
      </c>
      <c r="M151" s="295">
        <f t="shared" si="84"/>
        <v>0</v>
      </c>
      <c r="N151" s="727">
        <f t="shared" si="85"/>
        <v>2.93</v>
      </c>
      <c r="P151" s="176"/>
      <c r="Q151" s="295"/>
      <c r="T151" s="613" t="s">
        <v>1125</v>
      </c>
    </row>
    <row r="152" spans="1:20" x14ac:dyDescent="0.2">
      <c r="A152" s="613">
        <f t="shared" si="79"/>
        <v>134</v>
      </c>
      <c r="B152" s="164"/>
      <c r="C152" s="164"/>
      <c r="D152" s="327"/>
      <c r="E152" s="165"/>
      <c r="F152" s="364"/>
      <c r="G152" s="399"/>
      <c r="H152" s="342"/>
      <c r="I152" s="295"/>
      <c r="J152" s="727"/>
      <c r="L152" s="342"/>
      <c r="M152" s="295"/>
      <c r="N152" s="727"/>
      <c r="P152" s="342"/>
      <c r="Q152" s="295"/>
    </row>
    <row r="153" spans="1:20" x14ac:dyDescent="0.2">
      <c r="A153" s="613">
        <f t="shared" si="79"/>
        <v>135</v>
      </c>
      <c r="B153" s="164" t="s">
        <v>139</v>
      </c>
      <c r="C153" s="164"/>
      <c r="D153" s="327"/>
      <c r="E153" s="165"/>
      <c r="F153" s="364"/>
      <c r="G153" s="399"/>
      <c r="H153" s="342"/>
      <c r="I153" s="295"/>
      <c r="J153" s="727"/>
      <c r="L153" s="342"/>
      <c r="M153" s="295"/>
      <c r="N153" s="727"/>
      <c r="P153" s="342"/>
      <c r="Q153" s="295"/>
    </row>
    <row r="154" spans="1:20" x14ac:dyDescent="0.2">
      <c r="A154" s="613">
        <f t="shared" si="79"/>
        <v>136</v>
      </c>
      <c r="B154" s="164" t="str">
        <f>'WP1 Light Inventory'!A146</f>
        <v>55E &amp; 56E</v>
      </c>
      <c r="C154" s="164"/>
      <c r="D154" s="327" t="str">
        <f>'WP1 Light Inventory'!D146</f>
        <v>Sodium Vapor</v>
      </c>
      <c r="E154" s="165" t="str">
        <f>'WP1 Light Inventory'!E146</f>
        <v>SV 070</v>
      </c>
      <c r="F154" s="364">
        <f>'WP1 Light Inventory'!J146</f>
        <v>16</v>
      </c>
      <c r="G154" s="366">
        <f>'WP12 Condensed Sch. Level Costs'!O145</f>
        <v>24.5</v>
      </c>
      <c r="H154" s="339">
        <f t="shared" ref="H154:H159" si="86">$Y$8</f>
        <v>8.3250000000000008E-3</v>
      </c>
      <c r="I154" s="295">
        <f t="shared" ref="I154:I159" si="87">+F154*J154*12</f>
        <v>38.400000000000006</v>
      </c>
      <c r="J154" s="727">
        <f t="shared" ref="J154:J159" si="88">ROUND(+H154*G154,2)</f>
        <v>0.2</v>
      </c>
      <c r="L154" s="339">
        <f t="shared" ref="L154:L159" si="89">$Y$9</f>
        <v>2.9375999999999999E-2</v>
      </c>
      <c r="M154" s="295">
        <f t="shared" ref="M154:M159" si="90">+F154*N154*12</f>
        <v>138.24</v>
      </c>
      <c r="N154" s="727">
        <f t="shared" ref="N154:N159" si="91">ROUND(+L154*G154,2)</f>
        <v>0.72</v>
      </c>
      <c r="P154" s="176"/>
      <c r="Q154" s="295"/>
      <c r="T154" s="613" t="s">
        <v>1129</v>
      </c>
    </row>
    <row r="155" spans="1:20" x14ac:dyDescent="0.2">
      <c r="A155" s="613">
        <f t="shared" si="79"/>
        <v>137</v>
      </c>
      <c r="B155" s="164" t="str">
        <f>'WP1 Light Inventory'!A147</f>
        <v>55E &amp; 56E</v>
      </c>
      <c r="C155" s="164"/>
      <c r="D155" s="327" t="str">
        <f>'WP1 Light Inventory'!D147</f>
        <v>Sodium Vapor</v>
      </c>
      <c r="E155" s="165" t="str">
        <f>'WP1 Light Inventory'!E147</f>
        <v>SV 100</v>
      </c>
      <c r="F155" s="364">
        <f>'WP1 Light Inventory'!J147</f>
        <v>3646</v>
      </c>
      <c r="G155" s="366">
        <f>'WP12 Condensed Sch. Level Costs'!O146</f>
        <v>35</v>
      </c>
      <c r="H155" s="339">
        <f t="shared" si="86"/>
        <v>8.3250000000000008E-3</v>
      </c>
      <c r="I155" s="295">
        <f t="shared" si="87"/>
        <v>12688.079999999998</v>
      </c>
      <c r="J155" s="727">
        <f t="shared" si="88"/>
        <v>0.28999999999999998</v>
      </c>
      <c r="L155" s="339">
        <f t="shared" si="89"/>
        <v>2.9375999999999999E-2</v>
      </c>
      <c r="M155" s="295">
        <f t="shared" si="90"/>
        <v>45064.56</v>
      </c>
      <c r="N155" s="727">
        <f t="shared" si="91"/>
        <v>1.03</v>
      </c>
      <c r="P155" s="176"/>
      <c r="Q155" s="295"/>
      <c r="T155" s="613" t="s">
        <v>1129</v>
      </c>
    </row>
    <row r="156" spans="1:20" x14ac:dyDescent="0.2">
      <c r="A156" s="613">
        <f t="shared" si="79"/>
        <v>138</v>
      </c>
      <c r="B156" s="164" t="str">
        <f>'WP1 Light Inventory'!A148</f>
        <v>55E &amp; 56E</v>
      </c>
      <c r="C156" s="164"/>
      <c r="D156" s="327" t="str">
        <f>'WP1 Light Inventory'!D148</f>
        <v>Sodium Vapor</v>
      </c>
      <c r="E156" s="165" t="str">
        <f>'WP1 Light Inventory'!E148</f>
        <v>SV 150</v>
      </c>
      <c r="F156" s="364">
        <f>'WP1 Light Inventory'!J148</f>
        <v>488</v>
      </c>
      <c r="G156" s="366">
        <f>'WP12 Condensed Sch. Level Costs'!O147</f>
        <v>52.5</v>
      </c>
      <c r="H156" s="339">
        <f t="shared" si="86"/>
        <v>8.3250000000000008E-3</v>
      </c>
      <c r="I156" s="295">
        <f t="shared" si="87"/>
        <v>2576.64</v>
      </c>
      <c r="J156" s="727">
        <f t="shared" si="88"/>
        <v>0.44</v>
      </c>
      <c r="L156" s="339">
        <f t="shared" si="89"/>
        <v>2.9375999999999999E-2</v>
      </c>
      <c r="M156" s="295">
        <f t="shared" si="90"/>
        <v>9018.24</v>
      </c>
      <c r="N156" s="727">
        <f t="shared" si="91"/>
        <v>1.54</v>
      </c>
      <c r="P156" s="176"/>
      <c r="Q156" s="295"/>
      <c r="T156" s="613" t="s">
        <v>1129</v>
      </c>
    </row>
    <row r="157" spans="1:20" x14ac:dyDescent="0.2">
      <c r="A157" s="613">
        <f t="shared" si="79"/>
        <v>139</v>
      </c>
      <c r="B157" s="164" t="str">
        <f>'WP1 Light Inventory'!A149</f>
        <v>55E &amp; 56E</v>
      </c>
      <c r="C157" s="164"/>
      <c r="D157" s="327" t="str">
        <f>'WP1 Light Inventory'!D149</f>
        <v>Sodium Vapor</v>
      </c>
      <c r="E157" s="165" t="str">
        <f>'WP1 Light Inventory'!E149</f>
        <v>SV 200</v>
      </c>
      <c r="F157" s="364">
        <f>'WP1 Light Inventory'!J149</f>
        <v>1043</v>
      </c>
      <c r="G157" s="366">
        <f>'WP12 Condensed Sch. Level Costs'!O148</f>
        <v>70</v>
      </c>
      <c r="H157" s="339">
        <f t="shared" si="86"/>
        <v>8.3250000000000008E-3</v>
      </c>
      <c r="I157" s="295">
        <f t="shared" si="87"/>
        <v>7259.2799999999988</v>
      </c>
      <c r="J157" s="727">
        <f t="shared" si="88"/>
        <v>0.57999999999999996</v>
      </c>
      <c r="L157" s="339">
        <f t="shared" si="89"/>
        <v>2.9375999999999999E-2</v>
      </c>
      <c r="M157" s="295">
        <f t="shared" si="90"/>
        <v>25782.959999999999</v>
      </c>
      <c r="N157" s="727">
        <f t="shared" si="91"/>
        <v>2.06</v>
      </c>
      <c r="P157" s="176"/>
      <c r="Q157" s="295"/>
      <c r="T157" s="613" t="s">
        <v>1129</v>
      </c>
    </row>
    <row r="158" spans="1:20" x14ac:dyDescent="0.2">
      <c r="A158" s="613">
        <f t="shared" si="79"/>
        <v>140</v>
      </c>
      <c r="B158" s="164" t="str">
        <f>'WP1 Light Inventory'!A150</f>
        <v>55E &amp; 56E</v>
      </c>
      <c r="C158" s="164"/>
      <c r="D158" s="327" t="str">
        <f>'WP1 Light Inventory'!D150</f>
        <v>Sodium Vapor</v>
      </c>
      <c r="E158" s="165" t="str">
        <f>'WP1 Light Inventory'!E150</f>
        <v>SV 250</v>
      </c>
      <c r="F158" s="364">
        <f>'WP1 Light Inventory'!J150</f>
        <v>111</v>
      </c>
      <c r="G158" s="366">
        <f>'WP12 Condensed Sch. Level Costs'!O149</f>
        <v>87.5</v>
      </c>
      <c r="H158" s="339">
        <f t="shared" si="86"/>
        <v>8.3250000000000008E-3</v>
      </c>
      <c r="I158" s="295">
        <f t="shared" si="87"/>
        <v>972.36</v>
      </c>
      <c r="J158" s="727">
        <f t="shared" si="88"/>
        <v>0.73</v>
      </c>
      <c r="L158" s="339">
        <f t="shared" si="89"/>
        <v>2.9375999999999999E-2</v>
      </c>
      <c r="M158" s="295">
        <f t="shared" si="90"/>
        <v>3423.24</v>
      </c>
      <c r="N158" s="727">
        <f t="shared" si="91"/>
        <v>2.57</v>
      </c>
      <c r="P158" s="176"/>
      <c r="Q158" s="295"/>
      <c r="T158" s="613" t="s">
        <v>1129</v>
      </c>
    </row>
    <row r="159" spans="1:20" x14ac:dyDescent="0.2">
      <c r="A159" s="613">
        <f t="shared" si="79"/>
        <v>141</v>
      </c>
      <c r="B159" s="164" t="str">
        <f>'WP1 Light Inventory'!A151</f>
        <v>55E &amp; 56E</v>
      </c>
      <c r="C159" s="164"/>
      <c r="D159" s="327" t="str">
        <f>'WP1 Light Inventory'!D151</f>
        <v>Sodium Vapor</v>
      </c>
      <c r="E159" s="165" t="str">
        <f>'WP1 Light Inventory'!E151</f>
        <v>SV 400</v>
      </c>
      <c r="F159" s="364">
        <f>'WP1 Light Inventory'!J151</f>
        <v>45</v>
      </c>
      <c r="G159" s="366">
        <f>'WP12 Condensed Sch. Level Costs'!O150</f>
        <v>140</v>
      </c>
      <c r="H159" s="339">
        <f t="shared" si="86"/>
        <v>8.3250000000000008E-3</v>
      </c>
      <c r="I159" s="295">
        <f t="shared" si="87"/>
        <v>631.79999999999995</v>
      </c>
      <c r="J159" s="727">
        <f t="shared" si="88"/>
        <v>1.17</v>
      </c>
      <c r="L159" s="339">
        <f t="shared" si="89"/>
        <v>2.9375999999999999E-2</v>
      </c>
      <c r="M159" s="295">
        <f t="shared" si="90"/>
        <v>2219.4</v>
      </c>
      <c r="N159" s="727">
        <f t="shared" si="91"/>
        <v>4.1100000000000003</v>
      </c>
      <c r="P159" s="176"/>
      <c r="Q159" s="295"/>
      <c r="T159" s="613" t="s">
        <v>1129</v>
      </c>
    </row>
    <row r="160" spans="1:20" x14ac:dyDescent="0.2">
      <c r="A160" s="613">
        <f t="shared" si="79"/>
        <v>142</v>
      </c>
      <c r="B160" s="164"/>
      <c r="C160" s="164"/>
      <c r="D160" s="327"/>
      <c r="E160" s="165"/>
      <c r="F160" s="364"/>
      <c r="G160" s="399"/>
      <c r="H160" s="342"/>
      <c r="I160" s="295"/>
      <c r="J160" s="727"/>
      <c r="L160" s="342"/>
      <c r="M160" s="295"/>
      <c r="N160" s="727"/>
      <c r="P160" s="342"/>
      <c r="Q160" s="295"/>
    </row>
    <row r="161" spans="1:20" x14ac:dyDescent="0.2">
      <c r="A161" s="613">
        <f t="shared" si="79"/>
        <v>143</v>
      </c>
      <c r="B161" s="164" t="str">
        <f>'WP1 Light Inventory'!A153</f>
        <v>55E &amp; 56E</v>
      </c>
      <c r="C161" s="164"/>
      <c r="D161" s="327" t="str">
        <f>'WP1 Light Inventory'!D153</f>
        <v>Metal Halide</v>
      </c>
      <c r="E161" s="165" t="str">
        <f>'WP1 Light Inventory'!E153</f>
        <v>MH 250</v>
      </c>
      <c r="F161" s="364">
        <f>'WP1 Light Inventory'!J153</f>
        <v>6</v>
      </c>
      <c r="G161" s="366">
        <f>'WP12 Condensed Sch. Level Costs'!O152</f>
        <v>87.5</v>
      </c>
      <c r="H161" s="339">
        <f t="shared" ref="H161" si="92">$Y$8</f>
        <v>8.3250000000000008E-3</v>
      </c>
      <c r="I161" s="295">
        <f t="shared" ref="I161" si="93">+F161*J161*12</f>
        <v>52.56</v>
      </c>
      <c r="J161" s="727">
        <f t="shared" ref="J161" si="94">ROUND(+H161*G161,2)</f>
        <v>0.73</v>
      </c>
      <c r="L161" s="339">
        <f>$Y$9</f>
        <v>2.9375999999999999E-2</v>
      </c>
      <c r="M161" s="295">
        <f>+F161*N161*12</f>
        <v>185.03999999999996</v>
      </c>
      <c r="N161" s="727">
        <f>ROUND(+L161*G161,2)</f>
        <v>2.57</v>
      </c>
      <c r="P161" s="176"/>
      <c r="Q161" s="295"/>
      <c r="T161" s="613" t="s">
        <v>1129</v>
      </c>
    </row>
    <row r="162" spans="1:20" x14ac:dyDescent="0.2">
      <c r="A162" s="613">
        <f t="shared" si="79"/>
        <v>144</v>
      </c>
      <c r="B162" s="164"/>
      <c r="C162" s="164"/>
      <c r="D162" s="327"/>
      <c r="E162" s="165"/>
      <c r="F162" s="364"/>
      <c r="G162" s="399"/>
      <c r="H162" s="342"/>
      <c r="I162" s="295"/>
      <c r="J162" s="727"/>
      <c r="L162" s="342"/>
      <c r="M162" s="295"/>
      <c r="N162" s="727"/>
      <c r="P162" s="342"/>
      <c r="Q162" s="295"/>
    </row>
    <row r="163" spans="1:20" ht="12" customHeight="1" x14ac:dyDescent="0.2">
      <c r="A163" s="613">
        <f t="shared" si="79"/>
        <v>145</v>
      </c>
      <c r="B163" s="164" t="str">
        <f>'WP1 Light Inventory'!A155</f>
        <v>55E &amp; 56E</v>
      </c>
      <c r="C163" s="164"/>
      <c r="D163" s="327" t="str">
        <f>'WP1 Light Inventory'!D155</f>
        <v>Light Emitting Diode</v>
      </c>
      <c r="E163" s="165" t="str">
        <f>'WP1 Light Inventory'!E155</f>
        <v>LED 0-030</v>
      </c>
      <c r="F163" s="364">
        <f>'WP1 Light Inventory'!J155</f>
        <v>0</v>
      </c>
      <c r="G163" s="366">
        <f>'WP12 Condensed Sch. Level Costs'!O154</f>
        <v>5.25</v>
      </c>
      <c r="H163" s="339">
        <f t="shared" ref="H163:H172" si="95">$Y$8</f>
        <v>8.3250000000000008E-3</v>
      </c>
      <c r="I163" s="295">
        <f t="shared" ref="I163:I172" si="96">+F163*J163*12</f>
        <v>0</v>
      </c>
      <c r="J163" s="727">
        <f t="shared" ref="J163:J172" si="97">ROUND(+H163*G163,2)</f>
        <v>0.04</v>
      </c>
      <c r="L163" s="339">
        <f t="shared" ref="L163:L172" si="98">$Y$9</f>
        <v>2.9375999999999999E-2</v>
      </c>
      <c r="M163" s="295">
        <f t="shared" ref="M163:M172" si="99">+F163*N163*12</f>
        <v>0</v>
      </c>
      <c r="N163" s="727">
        <f t="shared" ref="N163:N172" si="100">ROUND(+L163*G163,2)</f>
        <v>0.15</v>
      </c>
      <c r="P163" s="176"/>
      <c r="Q163" s="295"/>
      <c r="T163" s="613" t="s">
        <v>1129</v>
      </c>
    </row>
    <row r="164" spans="1:20" x14ac:dyDescent="0.2">
      <c r="A164" s="613">
        <f t="shared" si="79"/>
        <v>146</v>
      </c>
      <c r="B164" s="164" t="str">
        <f>'WP1 Light Inventory'!A156</f>
        <v>55E &amp; 56E</v>
      </c>
      <c r="C164" s="164"/>
      <c r="D164" s="327" t="str">
        <f>'WP1 Light Inventory'!D156</f>
        <v>Light Emitting Diode</v>
      </c>
      <c r="E164" s="165" t="str">
        <f>'WP1 Light Inventory'!E156</f>
        <v>LED 030.01-060</v>
      </c>
      <c r="F164" s="364">
        <f>'WP1 Light Inventory'!J156</f>
        <v>599</v>
      </c>
      <c r="G164" s="366">
        <f>'WP12 Condensed Sch. Level Costs'!O155</f>
        <v>15.75</v>
      </c>
      <c r="H164" s="339">
        <f t="shared" si="95"/>
        <v>8.3250000000000008E-3</v>
      </c>
      <c r="I164" s="295">
        <f t="shared" si="96"/>
        <v>934.44</v>
      </c>
      <c r="J164" s="727">
        <f t="shared" si="97"/>
        <v>0.13</v>
      </c>
      <c r="L164" s="339">
        <f t="shared" si="98"/>
        <v>2.9375999999999999E-2</v>
      </c>
      <c r="M164" s="295">
        <f t="shared" si="99"/>
        <v>3306.4800000000005</v>
      </c>
      <c r="N164" s="727">
        <f t="shared" si="100"/>
        <v>0.46</v>
      </c>
      <c r="P164" s="176"/>
      <c r="Q164" s="295"/>
      <c r="T164" s="613" t="s">
        <v>1129</v>
      </c>
    </row>
    <row r="165" spans="1:20" x14ac:dyDescent="0.2">
      <c r="A165" s="613">
        <f t="shared" si="79"/>
        <v>147</v>
      </c>
      <c r="B165" s="164" t="str">
        <f>'WP1 Light Inventory'!A157</f>
        <v>55E &amp; 56E</v>
      </c>
      <c r="C165" s="164"/>
      <c r="D165" s="327" t="str">
        <f>'WP1 Light Inventory'!D157</f>
        <v>Light Emitting Diode</v>
      </c>
      <c r="E165" s="165" t="str">
        <f>'WP1 Light Inventory'!E157</f>
        <v>LED 060.01-090</v>
      </c>
      <c r="F165" s="364">
        <f>'WP1 Light Inventory'!J157</f>
        <v>6</v>
      </c>
      <c r="G165" s="366">
        <f>'WP12 Condensed Sch. Level Costs'!O156</f>
        <v>26.25</v>
      </c>
      <c r="H165" s="339">
        <f t="shared" si="95"/>
        <v>8.3250000000000008E-3</v>
      </c>
      <c r="I165" s="295">
        <f t="shared" si="96"/>
        <v>15.84</v>
      </c>
      <c r="J165" s="727">
        <f t="shared" si="97"/>
        <v>0.22</v>
      </c>
      <c r="L165" s="339">
        <f t="shared" si="98"/>
        <v>2.9375999999999999E-2</v>
      </c>
      <c r="M165" s="295">
        <f t="shared" si="99"/>
        <v>55.44</v>
      </c>
      <c r="N165" s="727">
        <f t="shared" si="100"/>
        <v>0.77</v>
      </c>
      <c r="P165" s="176"/>
      <c r="Q165" s="295"/>
      <c r="T165" s="613" t="s">
        <v>1129</v>
      </c>
    </row>
    <row r="166" spans="1:20" x14ac:dyDescent="0.2">
      <c r="A166" s="613">
        <f t="shared" si="79"/>
        <v>148</v>
      </c>
      <c r="B166" s="164" t="str">
        <f>'WP1 Light Inventory'!A158</f>
        <v>55E &amp; 56E</v>
      </c>
      <c r="C166" s="164"/>
      <c r="D166" s="327" t="str">
        <f>'WP1 Light Inventory'!D158</f>
        <v>Light Emitting Diode</v>
      </c>
      <c r="E166" s="165" t="str">
        <f>'WP1 Light Inventory'!E158</f>
        <v>LED 090.01-120</v>
      </c>
      <c r="F166" s="364">
        <f>'WP1 Light Inventory'!J158</f>
        <v>150</v>
      </c>
      <c r="G166" s="366">
        <f>'WP12 Condensed Sch. Level Costs'!O157</f>
        <v>36.75</v>
      </c>
      <c r="H166" s="339">
        <f t="shared" si="95"/>
        <v>8.3250000000000008E-3</v>
      </c>
      <c r="I166" s="295">
        <f t="shared" si="96"/>
        <v>558</v>
      </c>
      <c r="J166" s="727">
        <f t="shared" si="97"/>
        <v>0.31</v>
      </c>
      <c r="L166" s="339">
        <f t="shared" si="98"/>
        <v>2.9375999999999999E-2</v>
      </c>
      <c r="M166" s="295">
        <f t="shared" si="99"/>
        <v>1944</v>
      </c>
      <c r="N166" s="727">
        <f t="shared" si="100"/>
        <v>1.08</v>
      </c>
      <c r="P166" s="176"/>
      <c r="Q166" s="295"/>
      <c r="T166" s="613" t="s">
        <v>1129</v>
      </c>
    </row>
    <row r="167" spans="1:20" x14ac:dyDescent="0.2">
      <c r="A167" s="613">
        <f t="shared" si="79"/>
        <v>149</v>
      </c>
      <c r="B167" s="164" t="str">
        <f>'WP1 Light Inventory'!A159</f>
        <v>55E &amp; 56E</v>
      </c>
      <c r="C167" s="164"/>
      <c r="D167" s="327" t="str">
        <f>'WP1 Light Inventory'!D159</f>
        <v>Light Emitting Diode</v>
      </c>
      <c r="E167" s="165" t="str">
        <f>'WP1 Light Inventory'!E159</f>
        <v>LED 120.01-150</v>
      </c>
      <c r="F167" s="364">
        <f>'WP1 Light Inventory'!J159</f>
        <v>0</v>
      </c>
      <c r="G167" s="366">
        <f>'WP12 Condensed Sch. Level Costs'!O158</f>
        <v>47.25</v>
      </c>
      <c r="H167" s="339">
        <f t="shared" si="95"/>
        <v>8.3250000000000008E-3</v>
      </c>
      <c r="I167" s="295">
        <f t="shared" si="96"/>
        <v>0</v>
      </c>
      <c r="J167" s="727">
        <f t="shared" si="97"/>
        <v>0.39</v>
      </c>
      <c r="L167" s="339">
        <f t="shared" si="98"/>
        <v>2.9375999999999999E-2</v>
      </c>
      <c r="M167" s="295">
        <f t="shared" si="99"/>
        <v>0</v>
      </c>
      <c r="N167" s="727">
        <f t="shared" si="100"/>
        <v>1.39</v>
      </c>
      <c r="P167" s="176"/>
      <c r="Q167" s="295"/>
      <c r="T167" s="613" t="s">
        <v>1129</v>
      </c>
    </row>
    <row r="168" spans="1:20" x14ac:dyDescent="0.2">
      <c r="A168" s="613">
        <f t="shared" si="79"/>
        <v>150</v>
      </c>
      <c r="B168" s="164" t="str">
        <f>'WP1 Light Inventory'!A160</f>
        <v>55E &amp; 56E</v>
      </c>
      <c r="C168" s="164"/>
      <c r="D168" s="327" t="str">
        <f>'WP1 Light Inventory'!D160</f>
        <v>Light Emitting Diode</v>
      </c>
      <c r="E168" s="165" t="str">
        <f>'WP1 Light Inventory'!E160</f>
        <v>LED 150.01-180</v>
      </c>
      <c r="F168" s="364">
        <f>'WP1 Light Inventory'!J160</f>
        <v>0</v>
      </c>
      <c r="G168" s="366">
        <f>'WP12 Condensed Sch. Level Costs'!O159</f>
        <v>57.75</v>
      </c>
      <c r="H168" s="339">
        <f t="shared" si="95"/>
        <v>8.3250000000000008E-3</v>
      </c>
      <c r="I168" s="295">
        <f t="shared" si="96"/>
        <v>0</v>
      </c>
      <c r="J168" s="727">
        <f t="shared" si="97"/>
        <v>0.48</v>
      </c>
      <c r="L168" s="339">
        <f t="shared" si="98"/>
        <v>2.9375999999999999E-2</v>
      </c>
      <c r="M168" s="295">
        <f t="shared" si="99"/>
        <v>0</v>
      </c>
      <c r="N168" s="727">
        <f t="shared" si="100"/>
        <v>1.7</v>
      </c>
      <c r="P168" s="176"/>
      <c r="Q168" s="295"/>
      <c r="T168" s="613" t="s">
        <v>1129</v>
      </c>
    </row>
    <row r="169" spans="1:20" x14ac:dyDescent="0.2">
      <c r="A169" s="613">
        <f t="shared" si="79"/>
        <v>151</v>
      </c>
      <c r="B169" s="164" t="str">
        <f>'WP1 Light Inventory'!A161</f>
        <v>55E &amp; 56E</v>
      </c>
      <c r="C169" s="164"/>
      <c r="D169" s="327" t="str">
        <f>'WP1 Light Inventory'!D161</f>
        <v>Light Emitting Diode</v>
      </c>
      <c r="E169" s="165" t="str">
        <f>'WP1 Light Inventory'!E161</f>
        <v>LED 180.01-210</v>
      </c>
      <c r="F169" s="364">
        <f>'WP1 Light Inventory'!J161</f>
        <v>0</v>
      </c>
      <c r="G169" s="366">
        <f>'WP12 Condensed Sch. Level Costs'!O160</f>
        <v>68.25</v>
      </c>
      <c r="H169" s="339">
        <f t="shared" si="95"/>
        <v>8.3250000000000008E-3</v>
      </c>
      <c r="I169" s="295">
        <f t="shared" si="96"/>
        <v>0</v>
      </c>
      <c r="J169" s="727">
        <f t="shared" si="97"/>
        <v>0.56999999999999995</v>
      </c>
      <c r="L169" s="339">
        <f t="shared" si="98"/>
        <v>2.9375999999999999E-2</v>
      </c>
      <c r="M169" s="295">
        <f t="shared" si="99"/>
        <v>0</v>
      </c>
      <c r="N169" s="727">
        <f t="shared" si="100"/>
        <v>2</v>
      </c>
      <c r="P169" s="176"/>
      <c r="Q169" s="295"/>
      <c r="T169" s="613" t="s">
        <v>1129</v>
      </c>
    </row>
    <row r="170" spans="1:20" x14ac:dyDescent="0.2">
      <c r="A170" s="613">
        <f t="shared" si="79"/>
        <v>152</v>
      </c>
      <c r="B170" s="164" t="str">
        <f>'WP1 Light Inventory'!A162</f>
        <v>55E &amp; 56E</v>
      </c>
      <c r="C170" s="164"/>
      <c r="D170" s="327" t="str">
        <f>'WP1 Light Inventory'!D162</f>
        <v>Light Emitting Diode</v>
      </c>
      <c r="E170" s="165" t="str">
        <f>'WP1 Light Inventory'!E162</f>
        <v>LED 210.01-240</v>
      </c>
      <c r="F170" s="364">
        <f>'WP1 Light Inventory'!J162</f>
        <v>0</v>
      </c>
      <c r="G170" s="366">
        <f>'WP12 Condensed Sch. Level Costs'!O161</f>
        <v>78.75</v>
      </c>
      <c r="H170" s="339">
        <f t="shared" si="95"/>
        <v>8.3250000000000008E-3</v>
      </c>
      <c r="I170" s="295">
        <f t="shared" si="96"/>
        <v>0</v>
      </c>
      <c r="J170" s="727">
        <f t="shared" si="97"/>
        <v>0.66</v>
      </c>
      <c r="L170" s="339">
        <f t="shared" si="98"/>
        <v>2.9375999999999999E-2</v>
      </c>
      <c r="M170" s="295">
        <f t="shared" si="99"/>
        <v>0</v>
      </c>
      <c r="N170" s="727">
        <f t="shared" si="100"/>
        <v>2.31</v>
      </c>
      <c r="P170" s="176"/>
      <c r="Q170" s="295"/>
      <c r="T170" s="613" t="s">
        <v>1129</v>
      </c>
    </row>
    <row r="171" spans="1:20" x14ac:dyDescent="0.2">
      <c r="A171" s="613">
        <f t="shared" si="79"/>
        <v>153</v>
      </c>
      <c r="B171" s="164" t="str">
        <f>'WP1 Light Inventory'!A163</f>
        <v>55E &amp; 56E</v>
      </c>
      <c r="C171" s="164"/>
      <c r="D171" s="327" t="str">
        <f>'WP1 Light Inventory'!D163</f>
        <v>Light Emitting Diode</v>
      </c>
      <c r="E171" s="165" t="str">
        <f>'WP1 Light Inventory'!E163</f>
        <v>LED 240.01-270</v>
      </c>
      <c r="F171" s="364">
        <f>'WP1 Light Inventory'!J163</f>
        <v>0</v>
      </c>
      <c r="G171" s="366">
        <f>'WP12 Condensed Sch. Level Costs'!O162</f>
        <v>89.25</v>
      </c>
      <c r="H171" s="339">
        <f t="shared" si="95"/>
        <v>8.3250000000000008E-3</v>
      </c>
      <c r="I171" s="295">
        <f t="shared" si="96"/>
        <v>0</v>
      </c>
      <c r="J171" s="727">
        <f t="shared" si="97"/>
        <v>0.74</v>
      </c>
      <c r="L171" s="339">
        <f t="shared" si="98"/>
        <v>2.9375999999999999E-2</v>
      </c>
      <c r="M171" s="295">
        <f t="shared" si="99"/>
        <v>0</v>
      </c>
      <c r="N171" s="727">
        <f t="shared" si="100"/>
        <v>2.62</v>
      </c>
      <c r="P171" s="176"/>
      <c r="Q171" s="295"/>
      <c r="T171" s="613" t="s">
        <v>1129</v>
      </c>
    </row>
    <row r="172" spans="1:20" x14ac:dyDescent="0.2">
      <c r="A172" s="613">
        <f t="shared" si="79"/>
        <v>154</v>
      </c>
      <c r="B172" s="164" t="str">
        <f>'WP1 Light Inventory'!A164</f>
        <v>55E &amp; 56E</v>
      </c>
      <c r="C172" s="164"/>
      <c r="D172" s="327" t="str">
        <f>'WP1 Light Inventory'!D164</f>
        <v>Light Emitting Diode</v>
      </c>
      <c r="E172" s="165" t="str">
        <f>'WP1 Light Inventory'!E164</f>
        <v>LED 270.01-300</v>
      </c>
      <c r="F172" s="364">
        <f>'WP1 Light Inventory'!J164</f>
        <v>0</v>
      </c>
      <c r="G172" s="366">
        <f>'WP12 Condensed Sch. Level Costs'!O163</f>
        <v>99.75</v>
      </c>
      <c r="H172" s="339">
        <f t="shared" si="95"/>
        <v>8.3250000000000008E-3</v>
      </c>
      <c r="I172" s="295">
        <f t="shared" si="96"/>
        <v>0</v>
      </c>
      <c r="J172" s="727">
        <f t="shared" si="97"/>
        <v>0.83</v>
      </c>
      <c r="L172" s="339">
        <f t="shared" si="98"/>
        <v>2.9375999999999999E-2</v>
      </c>
      <c r="M172" s="295">
        <f t="shared" si="99"/>
        <v>0</v>
      </c>
      <c r="N172" s="727">
        <f t="shared" si="100"/>
        <v>2.93</v>
      </c>
      <c r="P172" s="176"/>
      <c r="Q172" s="295"/>
      <c r="T172" s="613" t="s">
        <v>1129</v>
      </c>
    </row>
    <row r="173" spans="1:20" x14ac:dyDescent="0.2">
      <c r="A173" s="613">
        <f t="shared" si="79"/>
        <v>155</v>
      </c>
      <c r="B173" s="164"/>
      <c r="C173" s="164"/>
      <c r="D173" s="327"/>
      <c r="E173" s="165"/>
      <c r="F173" s="364"/>
      <c r="G173" s="399"/>
      <c r="H173" s="342"/>
      <c r="I173" s="295"/>
      <c r="J173" s="727"/>
      <c r="L173" s="342"/>
      <c r="M173" s="295"/>
      <c r="N173" s="727"/>
      <c r="P173" s="342"/>
      <c r="Q173" s="295"/>
    </row>
    <row r="174" spans="1:20" x14ac:dyDescent="0.2">
      <c r="A174" s="613">
        <f t="shared" si="79"/>
        <v>156</v>
      </c>
      <c r="B174" s="164" t="s">
        <v>140</v>
      </c>
      <c r="C174" s="164"/>
      <c r="D174" s="327"/>
      <c r="E174" s="165"/>
      <c r="F174" s="364"/>
      <c r="G174" s="399"/>
      <c r="H174" s="342"/>
      <c r="I174" s="295"/>
      <c r="J174" s="727"/>
      <c r="L174" s="342"/>
      <c r="M174" s="295"/>
      <c r="N174" s="727"/>
      <c r="P174" s="342"/>
      <c r="Q174" s="295"/>
    </row>
    <row r="175" spans="1:20" x14ac:dyDescent="0.2">
      <c r="A175" s="613">
        <f t="shared" si="79"/>
        <v>157</v>
      </c>
      <c r="B175" s="164" t="str">
        <f>'WP1 Light Inventory'!A166</f>
        <v>58E &amp; 59E</v>
      </c>
      <c r="C175" s="164" t="str">
        <f>'WP1 Light Inventory'!C166</f>
        <v>Directional</v>
      </c>
      <c r="D175" s="327" t="str">
        <f>'WP1 Light Inventory'!D166</f>
        <v>Sodium Vapor</v>
      </c>
      <c r="E175" s="165" t="str">
        <f>'WP1 Light Inventory'!E166</f>
        <v>DSV 070</v>
      </c>
      <c r="F175" s="364">
        <f>'WP1 Light Inventory'!J166</f>
        <v>53</v>
      </c>
      <c r="G175" s="366">
        <f>'WP12 Condensed Sch. Level Costs'!O165</f>
        <v>24.5</v>
      </c>
      <c r="H175" s="339">
        <f t="shared" ref="H175:H180" si="101">$Y$8</f>
        <v>8.3250000000000008E-3</v>
      </c>
      <c r="I175" s="295">
        <f t="shared" ref="I175:I180" si="102">+F175*J175*12</f>
        <v>127.20000000000002</v>
      </c>
      <c r="J175" s="727">
        <f t="shared" ref="J175:J180" si="103">ROUND(+H175*G175,2)</f>
        <v>0.2</v>
      </c>
      <c r="L175" s="339">
        <f t="shared" ref="L175:L180" si="104">$Y$9</f>
        <v>2.9375999999999999E-2</v>
      </c>
      <c r="M175" s="295">
        <f t="shared" ref="M175:M180" si="105">+F175*N175*12</f>
        <v>457.91999999999996</v>
      </c>
      <c r="N175" s="727">
        <f t="shared" ref="N175:N180" si="106">ROUND(+L175*G175,2)</f>
        <v>0.72</v>
      </c>
      <c r="P175" s="176"/>
      <c r="Q175" s="295"/>
      <c r="T175" s="613" t="s">
        <v>1130</v>
      </c>
    </row>
    <row r="176" spans="1:20" x14ac:dyDescent="0.2">
      <c r="A176" s="613">
        <f t="shared" si="79"/>
        <v>158</v>
      </c>
      <c r="B176" s="164" t="str">
        <f>'WP1 Light Inventory'!A167</f>
        <v>58E &amp; 59E</v>
      </c>
      <c r="C176" s="164" t="str">
        <f>'WP1 Light Inventory'!C167</f>
        <v>Directional</v>
      </c>
      <c r="D176" s="327" t="str">
        <f>'WP1 Light Inventory'!D167</f>
        <v>Sodium Vapor</v>
      </c>
      <c r="E176" s="165" t="str">
        <f>'WP1 Light Inventory'!E167</f>
        <v>DSV 100</v>
      </c>
      <c r="F176" s="364">
        <f>'WP1 Light Inventory'!J167</f>
        <v>10</v>
      </c>
      <c r="G176" s="366">
        <f>'WP12 Condensed Sch. Level Costs'!O166</f>
        <v>35</v>
      </c>
      <c r="H176" s="339">
        <f t="shared" si="101"/>
        <v>8.3250000000000008E-3</v>
      </c>
      <c r="I176" s="295">
        <f t="shared" si="102"/>
        <v>34.799999999999997</v>
      </c>
      <c r="J176" s="727">
        <f t="shared" si="103"/>
        <v>0.28999999999999998</v>
      </c>
      <c r="L176" s="339">
        <f t="shared" si="104"/>
        <v>2.9375999999999999E-2</v>
      </c>
      <c r="M176" s="295">
        <f t="shared" si="105"/>
        <v>123.60000000000001</v>
      </c>
      <c r="N176" s="727">
        <f t="shared" si="106"/>
        <v>1.03</v>
      </c>
      <c r="P176" s="176"/>
      <c r="Q176" s="295"/>
      <c r="T176" s="613" t="s">
        <v>1130</v>
      </c>
    </row>
    <row r="177" spans="1:20" x14ac:dyDescent="0.2">
      <c r="A177" s="613">
        <f t="shared" si="79"/>
        <v>159</v>
      </c>
      <c r="B177" s="164" t="str">
        <f>'WP1 Light Inventory'!A168</f>
        <v>58E &amp; 59E</v>
      </c>
      <c r="C177" s="164" t="str">
        <f>'WP1 Light Inventory'!C168</f>
        <v>Directional</v>
      </c>
      <c r="D177" s="327" t="str">
        <f>'WP1 Light Inventory'!D168</f>
        <v>Sodium Vapor</v>
      </c>
      <c r="E177" s="165" t="str">
        <f>'WP1 Light Inventory'!E168</f>
        <v>DSV 150</v>
      </c>
      <c r="F177" s="364">
        <f>'WP1 Light Inventory'!J168</f>
        <v>145</v>
      </c>
      <c r="G177" s="366">
        <f>'WP12 Condensed Sch. Level Costs'!O167</f>
        <v>52.5</v>
      </c>
      <c r="H177" s="339">
        <f t="shared" si="101"/>
        <v>8.3250000000000008E-3</v>
      </c>
      <c r="I177" s="295">
        <f t="shared" si="102"/>
        <v>765.59999999999991</v>
      </c>
      <c r="J177" s="727">
        <f t="shared" si="103"/>
        <v>0.44</v>
      </c>
      <c r="L177" s="339">
        <f t="shared" si="104"/>
        <v>2.9375999999999999E-2</v>
      </c>
      <c r="M177" s="295">
        <f t="shared" si="105"/>
        <v>2679.6000000000004</v>
      </c>
      <c r="N177" s="727">
        <f t="shared" si="106"/>
        <v>1.54</v>
      </c>
      <c r="P177" s="176"/>
      <c r="Q177" s="295"/>
      <c r="T177" s="613" t="s">
        <v>1130</v>
      </c>
    </row>
    <row r="178" spans="1:20" x14ac:dyDescent="0.2">
      <c r="A178" s="613">
        <f t="shared" si="79"/>
        <v>160</v>
      </c>
      <c r="B178" s="164" t="str">
        <f>'WP1 Light Inventory'!A169</f>
        <v>58E &amp; 59E</v>
      </c>
      <c r="C178" s="164" t="str">
        <f>'WP1 Light Inventory'!C169</f>
        <v>Directional</v>
      </c>
      <c r="D178" s="327" t="str">
        <f>'WP1 Light Inventory'!D169</f>
        <v>Sodium Vapor</v>
      </c>
      <c r="E178" s="165" t="str">
        <f>'WP1 Light Inventory'!E169</f>
        <v>DSV 200</v>
      </c>
      <c r="F178" s="364">
        <f>'WP1 Light Inventory'!J169</f>
        <v>266</v>
      </c>
      <c r="G178" s="366">
        <f>'WP12 Condensed Sch. Level Costs'!O168</f>
        <v>70</v>
      </c>
      <c r="H178" s="339">
        <f t="shared" si="101"/>
        <v>8.3250000000000008E-3</v>
      </c>
      <c r="I178" s="295">
        <f t="shared" si="102"/>
        <v>1851.3600000000001</v>
      </c>
      <c r="J178" s="727">
        <f t="shared" si="103"/>
        <v>0.57999999999999996</v>
      </c>
      <c r="L178" s="339">
        <f t="shared" si="104"/>
        <v>2.9375999999999999E-2</v>
      </c>
      <c r="M178" s="295">
        <f t="shared" si="105"/>
        <v>6575.52</v>
      </c>
      <c r="N178" s="727">
        <f t="shared" si="106"/>
        <v>2.06</v>
      </c>
      <c r="P178" s="176"/>
      <c r="Q178" s="295"/>
      <c r="T178" s="613" t="s">
        <v>1130</v>
      </c>
    </row>
    <row r="179" spans="1:20" x14ac:dyDescent="0.2">
      <c r="A179" s="613">
        <f t="shared" si="79"/>
        <v>161</v>
      </c>
      <c r="B179" s="164" t="str">
        <f>'WP1 Light Inventory'!A170</f>
        <v>58E &amp; 59E</v>
      </c>
      <c r="C179" s="164" t="str">
        <f>'WP1 Light Inventory'!C170</f>
        <v>Directional</v>
      </c>
      <c r="D179" s="327" t="str">
        <f>'WP1 Light Inventory'!D170</f>
        <v>Sodium Vapor</v>
      </c>
      <c r="E179" s="165" t="str">
        <f>'WP1 Light Inventory'!E170</f>
        <v>DSV 250</v>
      </c>
      <c r="F179" s="364">
        <f>'WP1 Light Inventory'!J170</f>
        <v>39</v>
      </c>
      <c r="G179" s="366">
        <f>'WP12 Condensed Sch. Level Costs'!O169</f>
        <v>87.5</v>
      </c>
      <c r="H179" s="339">
        <f t="shared" si="101"/>
        <v>8.3250000000000008E-3</v>
      </c>
      <c r="I179" s="295">
        <f t="shared" si="102"/>
        <v>341.64</v>
      </c>
      <c r="J179" s="727">
        <f t="shared" si="103"/>
        <v>0.73</v>
      </c>
      <c r="L179" s="339">
        <f t="shared" si="104"/>
        <v>2.9375999999999999E-2</v>
      </c>
      <c r="M179" s="295">
        <f t="shared" si="105"/>
        <v>1202.7599999999998</v>
      </c>
      <c r="N179" s="727">
        <f t="shared" si="106"/>
        <v>2.57</v>
      </c>
      <c r="P179" s="176"/>
      <c r="Q179" s="295"/>
      <c r="T179" s="613" t="s">
        <v>1130</v>
      </c>
    </row>
    <row r="180" spans="1:20" x14ac:dyDescent="0.2">
      <c r="A180" s="613">
        <f t="shared" si="79"/>
        <v>162</v>
      </c>
      <c r="B180" s="164" t="str">
        <f>'WP1 Light Inventory'!A171</f>
        <v>58E &amp; 59E</v>
      </c>
      <c r="C180" s="164" t="str">
        <f>'WP1 Light Inventory'!C171</f>
        <v>Directional</v>
      </c>
      <c r="D180" s="327" t="str">
        <f>'WP1 Light Inventory'!D171</f>
        <v>Sodium Vapor</v>
      </c>
      <c r="E180" s="165" t="str">
        <f>'WP1 Light Inventory'!E171</f>
        <v>DSV 400</v>
      </c>
      <c r="F180" s="364">
        <f>'WP1 Light Inventory'!J171</f>
        <v>354</v>
      </c>
      <c r="G180" s="366">
        <f>'WP12 Condensed Sch. Level Costs'!O170</f>
        <v>140</v>
      </c>
      <c r="H180" s="339">
        <f t="shared" si="101"/>
        <v>8.3250000000000008E-3</v>
      </c>
      <c r="I180" s="295">
        <f t="shared" si="102"/>
        <v>4970.16</v>
      </c>
      <c r="J180" s="727">
        <f t="shared" si="103"/>
        <v>1.17</v>
      </c>
      <c r="L180" s="339">
        <f t="shared" si="104"/>
        <v>2.9375999999999999E-2</v>
      </c>
      <c r="M180" s="295">
        <f t="shared" si="105"/>
        <v>17459.28</v>
      </c>
      <c r="N180" s="727">
        <f t="shared" si="106"/>
        <v>4.1100000000000003</v>
      </c>
      <c r="P180" s="176"/>
      <c r="Q180" s="295"/>
      <c r="T180" s="613" t="s">
        <v>1130</v>
      </c>
    </row>
    <row r="181" spans="1:20" x14ac:dyDescent="0.2">
      <c r="A181" s="613">
        <f t="shared" si="79"/>
        <v>163</v>
      </c>
      <c r="B181" s="164"/>
      <c r="C181" s="164"/>
      <c r="D181" s="327"/>
      <c r="E181" s="165"/>
      <c r="F181" s="364"/>
      <c r="G181" s="399"/>
      <c r="H181" s="342"/>
      <c r="I181" s="295"/>
      <c r="J181" s="727"/>
      <c r="L181" s="342"/>
      <c r="M181" s="295"/>
      <c r="N181" s="727"/>
      <c r="P181" s="342"/>
      <c r="Q181" s="295"/>
    </row>
    <row r="182" spans="1:20" x14ac:dyDescent="0.2">
      <c r="A182" s="613">
        <f t="shared" si="79"/>
        <v>164</v>
      </c>
      <c r="B182" s="164" t="str">
        <f>'WP1 Light Inventory'!A173</f>
        <v>58E &amp; 59E</v>
      </c>
      <c r="C182" s="164" t="str">
        <f>'WP1 Light Inventory'!C173</f>
        <v>Horizontal</v>
      </c>
      <c r="D182" s="327" t="str">
        <f>'WP1 Light Inventory'!D173</f>
        <v>Sodium Vapor</v>
      </c>
      <c r="E182" s="165" t="str">
        <f>'WP1 Light Inventory'!E173</f>
        <v>HSV 100</v>
      </c>
      <c r="F182" s="364">
        <f>'WP1 Light Inventory'!J173</f>
        <v>1</v>
      </c>
      <c r="G182" s="366">
        <f>'WP12 Condensed Sch. Level Costs'!O172</f>
        <v>35</v>
      </c>
      <c r="H182" s="339">
        <f t="shared" ref="H182:H186" si="107">$Y$8</f>
        <v>8.3250000000000008E-3</v>
      </c>
      <c r="I182" s="295">
        <f t="shared" ref="I182:I186" si="108">+F182*J182*12</f>
        <v>3.4799999999999995</v>
      </c>
      <c r="J182" s="727">
        <f t="shared" ref="J182:J186" si="109">ROUND(+H182*G182,2)</f>
        <v>0.28999999999999998</v>
      </c>
      <c r="L182" s="339">
        <f t="shared" ref="L182:L186" si="110">$Y$9</f>
        <v>2.9375999999999999E-2</v>
      </c>
      <c r="M182" s="295">
        <f t="shared" ref="M182:M186" si="111">+F182*N182*12</f>
        <v>12.36</v>
      </c>
      <c r="N182" s="727">
        <f t="shared" ref="N182:N186" si="112">ROUND(+L182*G182,2)</f>
        <v>1.03</v>
      </c>
      <c r="P182" s="176"/>
      <c r="Q182" s="295"/>
      <c r="T182" s="613" t="s">
        <v>1131</v>
      </c>
    </row>
    <row r="183" spans="1:20" x14ac:dyDescent="0.2">
      <c r="A183" s="613">
        <f t="shared" si="79"/>
        <v>165</v>
      </c>
      <c r="B183" s="164" t="str">
        <f>'WP1 Light Inventory'!A174</f>
        <v>58E &amp; 59E</v>
      </c>
      <c r="C183" s="164" t="str">
        <f>'WP1 Light Inventory'!C174</f>
        <v>Horizontal</v>
      </c>
      <c r="D183" s="327" t="str">
        <f>'WP1 Light Inventory'!D174</f>
        <v>Sodium Vapor</v>
      </c>
      <c r="E183" s="165" t="str">
        <f>'WP1 Light Inventory'!E174</f>
        <v>HSV 150</v>
      </c>
      <c r="F183" s="364">
        <f>'WP1 Light Inventory'!J174</f>
        <v>16</v>
      </c>
      <c r="G183" s="366">
        <f>'WP12 Condensed Sch. Level Costs'!O173</f>
        <v>52.5</v>
      </c>
      <c r="H183" s="339">
        <f t="shared" si="107"/>
        <v>8.3250000000000008E-3</v>
      </c>
      <c r="I183" s="295">
        <f t="shared" si="108"/>
        <v>84.48</v>
      </c>
      <c r="J183" s="727">
        <f t="shared" si="109"/>
        <v>0.44</v>
      </c>
      <c r="L183" s="339">
        <f t="shared" si="110"/>
        <v>2.9375999999999999E-2</v>
      </c>
      <c r="M183" s="295">
        <f t="shared" si="111"/>
        <v>295.68</v>
      </c>
      <c r="N183" s="727">
        <f t="shared" si="112"/>
        <v>1.54</v>
      </c>
      <c r="P183" s="176"/>
      <c r="Q183" s="295"/>
      <c r="T183" s="613" t="s">
        <v>1131</v>
      </c>
    </row>
    <row r="184" spans="1:20" x14ac:dyDescent="0.2">
      <c r="A184" s="613">
        <f t="shared" si="79"/>
        <v>166</v>
      </c>
      <c r="B184" s="164" t="str">
        <f>'WP1 Light Inventory'!A175</f>
        <v>58E &amp; 59E</v>
      </c>
      <c r="C184" s="164" t="str">
        <f>'WP1 Light Inventory'!C175</f>
        <v>Horizontal</v>
      </c>
      <c r="D184" s="327" t="str">
        <f>'WP1 Light Inventory'!D175</f>
        <v>Sodium Vapor</v>
      </c>
      <c r="E184" s="165" t="str">
        <f>'WP1 Light Inventory'!E175</f>
        <v>HSV 200</v>
      </c>
      <c r="F184" s="364">
        <f>'WP1 Light Inventory'!J175</f>
        <v>9</v>
      </c>
      <c r="G184" s="366">
        <f>'WP12 Condensed Sch. Level Costs'!O174</f>
        <v>70</v>
      </c>
      <c r="H184" s="339">
        <f t="shared" si="107"/>
        <v>8.3250000000000008E-3</v>
      </c>
      <c r="I184" s="295">
        <f t="shared" si="108"/>
        <v>62.64</v>
      </c>
      <c r="J184" s="727">
        <f t="shared" si="109"/>
        <v>0.57999999999999996</v>
      </c>
      <c r="L184" s="339">
        <f t="shared" si="110"/>
        <v>2.9375999999999999E-2</v>
      </c>
      <c r="M184" s="295">
        <f t="shared" si="111"/>
        <v>222.48</v>
      </c>
      <c r="N184" s="727">
        <f t="shared" si="112"/>
        <v>2.06</v>
      </c>
      <c r="P184" s="176"/>
      <c r="Q184" s="295"/>
      <c r="T184" s="613" t="s">
        <v>1131</v>
      </c>
    </row>
    <row r="185" spans="1:20" x14ac:dyDescent="0.2">
      <c r="A185" s="613">
        <f t="shared" si="79"/>
        <v>167</v>
      </c>
      <c r="B185" s="164" t="str">
        <f>'WP1 Light Inventory'!A176</f>
        <v>58E &amp; 59E</v>
      </c>
      <c r="C185" s="164" t="str">
        <f>'WP1 Light Inventory'!C176</f>
        <v>Horizontal</v>
      </c>
      <c r="D185" s="327" t="str">
        <f>'WP1 Light Inventory'!D176</f>
        <v>Sodium Vapor</v>
      </c>
      <c r="E185" s="165" t="str">
        <f>'WP1 Light Inventory'!E176</f>
        <v>HSV 250</v>
      </c>
      <c r="F185" s="364">
        <f>'WP1 Light Inventory'!J176</f>
        <v>34</v>
      </c>
      <c r="G185" s="366">
        <f>'WP12 Condensed Sch. Level Costs'!O175</f>
        <v>87.5</v>
      </c>
      <c r="H185" s="339">
        <f t="shared" si="107"/>
        <v>8.3250000000000008E-3</v>
      </c>
      <c r="I185" s="295">
        <f t="shared" si="108"/>
        <v>297.84000000000003</v>
      </c>
      <c r="J185" s="727">
        <f t="shared" si="109"/>
        <v>0.73</v>
      </c>
      <c r="L185" s="339">
        <f t="shared" si="110"/>
        <v>2.9375999999999999E-2</v>
      </c>
      <c r="M185" s="295">
        <f t="shared" si="111"/>
        <v>1048.56</v>
      </c>
      <c r="N185" s="727">
        <f t="shared" si="112"/>
        <v>2.57</v>
      </c>
      <c r="P185" s="176"/>
      <c r="Q185" s="295"/>
      <c r="T185" s="613" t="s">
        <v>1131</v>
      </c>
    </row>
    <row r="186" spans="1:20" x14ac:dyDescent="0.2">
      <c r="A186" s="613">
        <f t="shared" si="79"/>
        <v>168</v>
      </c>
      <c r="B186" s="164" t="str">
        <f>'WP1 Light Inventory'!A177</f>
        <v>58E &amp; 59E</v>
      </c>
      <c r="C186" s="164" t="str">
        <f>'WP1 Light Inventory'!C177</f>
        <v>Horizontal</v>
      </c>
      <c r="D186" s="327" t="str">
        <f>'WP1 Light Inventory'!D177</f>
        <v>Sodium Vapor</v>
      </c>
      <c r="E186" s="165" t="str">
        <f>'WP1 Light Inventory'!E177</f>
        <v>HSV 400</v>
      </c>
      <c r="F186" s="364">
        <f>'WP1 Light Inventory'!J177</f>
        <v>48</v>
      </c>
      <c r="G186" s="366">
        <f>'WP12 Condensed Sch. Level Costs'!O176</f>
        <v>140</v>
      </c>
      <c r="H186" s="339">
        <f t="shared" si="107"/>
        <v>8.3250000000000008E-3</v>
      </c>
      <c r="I186" s="295">
        <f t="shared" si="108"/>
        <v>673.92</v>
      </c>
      <c r="J186" s="727">
        <f t="shared" si="109"/>
        <v>1.17</v>
      </c>
      <c r="L186" s="339">
        <f t="shared" si="110"/>
        <v>2.9375999999999999E-2</v>
      </c>
      <c r="M186" s="295">
        <f t="shared" si="111"/>
        <v>2367.3600000000006</v>
      </c>
      <c r="N186" s="727">
        <f t="shared" si="112"/>
        <v>4.1100000000000003</v>
      </c>
      <c r="P186" s="176"/>
      <c r="Q186" s="295"/>
      <c r="T186" s="613" t="s">
        <v>1131</v>
      </c>
    </row>
    <row r="187" spans="1:20" x14ac:dyDescent="0.2">
      <c r="A187" s="613">
        <f t="shared" si="79"/>
        <v>169</v>
      </c>
      <c r="B187" s="164"/>
      <c r="C187" s="164"/>
      <c r="D187" s="327"/>
      <c r="E187" s="165"/>
      <c r="F187" s="364"/>
      <c r="G187" s="399"/>
      <c r="H187" s="342"/>
      <c r="I187" s="295"/>
      <c r="J187" s="727"/>
      <c r="L187" s="342"/>
      <c r="M187" s="295"/>
      <c r="N187" s="727"/>
      <c r="P187" s="342"/>
      <c r="Q187" s="295"/>
    </row>
    <row r="188" spans="1:20" x14ac:dyDescent="0.2">
      <c r="A188" s="613">
        <f t="shared" si="79"/>
        <v>170</v>
      </c>
      <c r="B188" s="164" t="str">
        <f>'WP1 Light Inventory'!A179</f>
        <v>58E &amp; 59E</v>
      </c>
      <c r="C188" s="164" t="str">
        <f>'WP1 Light Inventory'!C179</f>
        <v>Directional</v>
      </c>
      <c r="D188" s="327" t="str">
        <f>'WP1 Light Inventory'!D179</f>
        <v>Metal Halide</v>
      </c>
      <c r="E188" s="165" t="str">
        <f>'WP1 Light Inventory'!E179</f>
        <v>DMH 175</v>
      </c>
      <c r="F188" s="364">
        <f>'WP1 Light Inventory'!J179</f>
        <v>3</v>
      </c>
      <c r="G188" s="366">
        <f>'WP12 Condensed Sch. Level Costs'!O178</f>
        <v>61.25</v>
      </c>
      <c r="H188" s="339">
        <f t="shared" ref="H188:H191" si="113">$Y$8</f>
        <v>8.3250000000000008E-3</v>
      </c>
      <c r="I188" s="295">
        <f t="shared" ref="I188:I191" si="114">+F188*J188*12</f>
        <v>18.36</v>
      </c>
      <c r="J188" s="727">
        <f t="shared" ref="J188:J191" si="115">ROUND(+H188*G188,2)</f>
        <v>0.51</v>
      </c>
      <c r="L188" s="339">
        <f t="shared" ref="L188:L191" si="116">$Y$9</f>
        <v>2.9375999999999999E-2</v>
      </c>
      <c r="M188" s="295">
        <f t="shared" ref="M188:M191" si="117">+F188*N188*12</f>
        <v>64.800000000000011</v>
      </c>
      <c r="N188" s="727">
        <f t="shared" ref="N188:N191" si="118">ROUND(+L188*G188,2)</f>
        <v>1.8</v>
      </c>
      <c r="P188" s="176"/>
      <c r="Q188" s="295"/>
      <c r="T188" s="613" t="s">
        <v>1130</v>
      </c>
    </row>
    <row r="189" spans="1:20" x14ac:dyDescent="0.2">
      <c r="A189" s="613">
        <f t="shared" si="79"/>
        <v>171</v>
      </c>
      <c r="B189" s="164" t="str">
        <f>'WP1 Light Inventory'!A180</f>
        <v>58E &amp; 59E</v>
      </c>
      <c r="C189" s="164" t="str">
        <f>'WP1 Light Inventory'!C180</f>
        <v>Directional</v>
      </c>
      <c r="D189" s="327" t="str">
        <f>'WP1 Light Inventory'!D180</f>
        <v>Metal Halide</v>
      </c>
      <c r="E189" s="165" t="str">
        <f>'WP1 Light Inventory'!E180</f>
        <v>DMH 250</v>
      </c>
      <c r="F189" s="364">
        <f>'WP1 Light Inventory'!J180</f>
        <v>17</v>
      </c>
      <c r="G189" s="366">
        <f>'WP12 Condensed Sch. Level Costs'!O179</f>
        <v>87.5</v>
      </c>
      <c r="H189" s="339">
        <f t="shared" si="113"/>
        <v>8.3250000000000008E-3</v>
      </c>
      <c r="I189" s="295">
        <f t="shared" si="114"/>
        <v>148.92000000000002</v>
      </c>
      <c r="J189" s="727">
        <f t="shared" si="115"/>
        <v>0.73</v>
      </c>
      <c r="L189" s="339">
        <f t="shared" si="116"/>
        <v>2.9375999999999999E-2</v>
      </c>
      <c r="M189" s="295">
        <f t="shared" si="117"/>
        <v>524.28</v>
      </c>
      <c r="N189" s="727">
        <f t="shared" si="118"/>
        <v>2.57</v>
      </c>
      <c r="P189" s="176"/>
      <c r="Q189" s="295"/>
      <c r="T189" s="613" t="s">
        <v>1130</v>
      </c>
    </row>
    <row r="190" spans="1:20" x14ac:dyDescent="0.2">
      <c r="A190" s="613">
        <f t="shared" si="79"/>
        <v>172</v>
      </c>
      <c r="B190" s="164" t="str">
        <f>'WP1 Light Inventory'!A181</f>
        <v>58E &amp; 59E</v>
      </c>
      <c r="C190" s="164" t="str">
        <f>'WP1 Light Inventory'!C181</f>
        <v>Directional</v>
      </c>
      <c r="D190" s="327" t="str">
        <f>'WP1 Light Inventory'!D181</f>
        <v>Metal Halide</v>
      </c>
      <c r="E190" s="165" t="str">
        <f>'WP1 Light Inventory'!E181</f>
        <v>DMH 400</v>
      </c>
      <c r="F190" s="364">
        <f>'WP1 Light Inventory'!J181</f>
        <v>88</v>
      </c>
      <c r="G190" s="366">
        <f>'WP12 Condensed Sch. Level Costs'!O180</f>
        <v>140</v>
      </c>
      <c r="H190" s="339">
        <f t="shared" si="113"/>
        <v>8.3250000000000008E-3</v>
      </c>
      <c r="I190" s="295">
        <f t="shared" si="114"/>
        <v>1235.52</v>
      </c>
      <c r="J190" s="727">
        <f t="shared" si="115"/>
        <v>1.17</v>
      </c>
      <c r="L190" s="339">
        <f t="shared" si="116"/>
        <v>2.9375999999999999E-2</v>
      </c>
      <c r="M190" s="295">
        <f t="shared" si="117"/>
        <v>4340.16</v>
      </c>
      <c r="N190" s="727">
        <f t="shared" si="118"/>
        <v>4.1100000000000003</v>
      </c>
      <c r="P190" s="176"/>
      <c r="Q190" s="295"/>
      <c r="T190" s="613" t="s">
        <v>1130</v>
      </c>
    </row>
    <row r="191" spans="1:20" x14ac:dyDescent="0.2">
      <c r="A191" s="613">
        <f t="shared" si="79"/>
        <v>173</v>
      </c>
      <c r="B191" s="164" t="str">
        <f>'WP1 Light Inventory'!A182</f>
        <v>58E &amp; 59E</v>
      </c>
      <c r="C191" s="164" t="str">
        <f>'WP1 Light Inventory'!C182</f>
        <v>Directional</v>
      </c>
      <c r="D191" s="327" t="str">
        <f>'WP1 Light Inventory'!D182</f>
        <v>Metal Halide</v>
      </c>
      <c r="E191" s="165" t="str">
        <f>'WP1 Light Inventory'!E182</f>
        <v>DMH 1000</v>
      </c>
      <c r="F191" s="364">
        <f>'WP1 Light Inventory'!J182</f>
        <v>128</v>
      </c>
      <c r="G191" s="366">
        <f>'WP12 Condensed Sch. Level Costs'!O181</f>
        <v>350</v>
      </c>
      <c r="H191" s="339">
        <f t="shared" si="113"/>
        <v>8.3250000000000008E-3</v>
      </c>
      <c r="I191" s="295">
        <f t="shared" si="114"/>
        <v>4469.76</v>
      </c>
      <c r="J191" s="727">
        <f t="shared" si="115"/>
        <v>2.91</v>
      </c>
      <c r="L191" s="339">
        <f t="shared" si="116"/>
        <v>2.9375999999999999E-2</v>
      </c>
      <c r="M191" s="295">
        <f t="shared" si="117"/>
        <v>15790.079999999998</v>
      </c>
      <c r="N191" s="727">
        <f t="shared" si="118"/>
        <v>10.28</v>
      </c>
      <c r="P191" s="176"/>
      <c r="Q191" s="295"/>
      <c r="T191" s="613" t="s">
        <v>1130</v>
      </c>
    </row>
    <row r="192" spans="1:20" x14ac:dyDescent="0.2">
      <c r="A192" s="613">
        <f t="shared" si="79"/>
        <v>174</v>
      </c>
      <c r="B192" s="164"/>
      <c r="C192" s="164"/>
      <c r="D192" s="327"/>
      <c r="E192" s="165"/>
      <c r="F192" s="364"/>
      <c r="G192" s="399"/>
      <c r="H192" s="339"/>
      <c r="I192" s="295"/>
      <c r="J192" s="727"/>
      <c r="L192" s="339"/>
      <c r="M192" s="295"/>
      <c r="N192" s="727"/>
      <c r="P192" s="339"/>
      <c r="Q192" s="295"/>
    </row>
    <row r="193" spans="1:20" x14ac:dyDescent="0.2">
      <c r="A193" s="613">
        <f t="shared" si="79"/>
        <v>175</v>
      </c>
      <c r="B193" s="164" t="str">
        <f>'WP1 Light Inventory'!A184</f>
        <v>58E &amp; 59E</v>
      </c>
      <c r="C193" s="164" t="str">
        <f>'WP1 Light Inventory'!C184</f>
        <v>Horizontal</v>
      </c>
      <c r="D193" s="327" t="str">
        <f>'WP1 Light Inventory'!D184</f>
        <v>Metal Halide</v>
      </c>
      <c r="E193" s="165" t="str">
        <f>'WP1 Light Inventory'!E184</f>
        <v>HMH 250</v>
      </c>
      <c r="F193" s="364">
        <f>'WP1 Light Inventory'!J184</f>
        <v>10</v>
      </c>
      <c r="G193" s="366">
        <f>'WP12 Condensed Sch. Level Costs'!O183</f>
        <v>87.5</v>
      </c>
      <c r="H193" s="339">
        <f t="shared" ref="H193:H211" si="119">$Y$8</f>
        <v>8.3250000000000008E-3</v>
      </c>
      <c r="I193" s="295">
        <f t="shared" ref="I193:I194" si="120">+F193*J193*12</f>
        <v>87.6</v>
      </c>
      <c r="J193" s="727">
        <f t="shared" ref="J193:J194" si="121">ROUND(+H193*G193,2)</f>
        <v>0.73</v>
      </c>
      <c r="L193" s="339">
        <f t="shared" ref="L193:L194" si="122">$Y$9</f>
        <v>2.9375999999999999E-2</v>
      </c>
      <c r="M193" s="295">
        <f t="shared" ref="M193:M194" si="123">+F193*N193*12</f>
        <v>308.39999999999998</v>
      </c>
      <c r="N193" s="727">
        <f t="shared" ref="N193:N194" si="124">ROUND(+L193*G193,2)</f>
        <v>2.57</v>
      </c>
      <c r="P193" s="176"/>
      <c r="Q193" s="295"/>
      <c r="T193" s="613" t="s">
        <v>1131</v>
      </c>
    </row>
    <row r="194" spans="1:20" x14ac:dyDescent="0.2">
      <c r="A194" s="613">
        <f t="shared" si="79"/>
        <v>176</v>
      </c>
      <c r="B194" s="164" t="str">
        <f>'WP1 Light Inventory'!A185</f>
        <v>58E &amp; 59E</v>
      </c>
      <c r="C194" s="164" t="str">
        <f>'WP1 Light Inventory'!C185</f>
        <v>Horizontal</v>
      </c>
      <c r="D194" s="327" t="str">
        <f>'WP1 Light Inventory'!D185</f>
        <v>Metal Halide</v>
      </c>
      <c r="E194" s="165" t="str">
        <f>'WP1 Light Inventory'!E185</f>
        <v>HMH 400</v>
      </c>
      <c r="F194" s="364">
        <f>'WP1 Light Inventory'!J185</f>
        <v>40</v>
      </c>
      <c r="G194" s="366">
        <f>'WP12 Condensed Sch. Level Costs'!O184</f>
        <v>140</v>
      </c>
      <c r="H194" s="339">
        <f t="shared" si="119"/>
        <v>8.3250000000000008E-3</v>
      </c>
      <c r="I194" s="295">
        <f t="shared" si="120"/>
        <v>561.59999999999991</v>
      </c>
      <c r="J194" s="727">
        <f t="shared" si="121"/>
        <v>1.17</v>
      </c>
      <c r="L194" s="339">
        <f t="shared" si="122"/>
        <v>2.9375999999999999E-2</v>
      </c>
      <c r="M194" s="295">
        <f t="shared" si="123"/>
        <v>1972.8000000000002</v>
      </c>
      <c r="N194" s="727">
        <f t="shared" si="124"/>
        <v>4.1100000000000003</v>
      </c>
      <c r="P194" s="176"/>
      <c r="Q194" s="295"/>
      <c r="T194" s="613" t="s">
        <v>1131</v>
      </c>
    </row>
    <row r="195" spans="1:20" x14ac:dyDescent="0.2">
      <c r="A195" s="613">
        <f t="shared" si="79"/>
        <v>177</v>
      </c>
      <c r="B195" s="164"/>
      <c r="C195" s="164"/>
      <c r="D195" s="327"/>
      <c r="E195" s="165"/>
      <c r="F195" s="364"/>
      <c r="G195" s="399"/>
      <c r="H195" s="342"/>
      <c r="I195" s="295"/>
      <c r="J195" s="727"/>
      <c r="L195" s="342"/>
      <c r="M195" s="295"/>
      <c r="N195" s="727"/>
      <c r="P195" s="342"/>
      <c r="Q195" s="295"/>
    </row>
    <row r="196" spans="1:20" ht="13.5" customHeight="1" x14ac:dyDescent="0.2">
      <c r="A196" s="613">
        <f>A194+1</f>
        <v>177</v>
      </c>
      <c r="B196" s="164" t="str">
        <f>'WP1 Light Inventory'!A187</f>
        <v>58E &amp; 59E</v>
      </c>
      <c r="C196" s="164"/>
      <c r="D196" s="327" t="str">
        <f>'WP1 Light Inventory'!D187</f>
        <v>Light Emitting Diode</v>
      </c>
      <c r="E196" s="165" t="str">
        <f>'WP1 Light Inventory'!E187</f>
        <v>LED 0-030</v>
      </c>
      <c r="F196" s="364">
        <f>'WP1 Light Inventory'!J187</f>
        <v>0</v>
      </c>
      <c r="G196" s="366">
        <f>'WP12 Condensed Sch. Level Costs'!O186</f>
        <v>5.25</v>
      </c>
      <c r="H196" s="339">
        <f t="shared" si="119"/>
        <v>8.3250000000000008E-3</v>
      </c>
      <c r="I196" s="295">
        <f t="shared" ref="I196:I211" si="125">+F196*J196*12</f>
        <v>0</v>
      </c>
      <c r="J196" s="727">
        <f t="shared" ref="J196:J211" si="126">ROUND(+H196*G196,2)</f>
        <v>0.04</v>
      </c>
      <c r="L196" s="339">
        <f t="shared" ref="L196:L211" si="127">$Y$9</f>
        <v>2.9375999999999999E-2</v>
      </c>
      <c r="M196" s="295">
        <f t="shared" ref="M196:M211" si="128">+F196*N196*12</f>
        <v>0</v>
      </c>
      <c r="N196" s="727">
        <f t="shared" ref="N196:N211" si="129">ROUND(+L196*G196,2)</f>
        <v>0.15</v>
      </c>
      <c r="P196" s="176"/>
      <c r="Q196" s="295"/>
      <c r="T196" s="613" t="s">
        <v>1141</v>
      </c>
    </row>
    <row r="197" spans="1:20" x14ac:dyDescent="0.2">
      <c r="A197" s="613">
        <f>A195+1</f>
        <v>178</v>
      </c>
      <c r="B197" s="164" t="str">
        <f>'WP1 Light Inventory'!A188</f>
        <v>58E &amp; 59E</v>
      </c>
      <c r="C197" s="164"/>
      <c r="D197" s="327" t="str">
        <f>'WP1 Light Inventory'!D188</f>
        <v>Light Emitting Diode</v>
      </c>
      <c r="E197" s="165" t="str">
        <f>'WP1 Light Inventory'!E188</f>
        <v>LED 030.01-060</v>
      </c>
      <c r="F197" s="364">
        <f>'WP1 Light Inventory'!J188</f>
        <v>3</v>
      </c>
      <c r="G197" s="366">
        <f>'WP12 Condensed Sch. Level Costs'!O187</f>
        <v>15.75</v>
      </c>
      <c r="H197" s="339">
        <f t="shared" si="119"/>
        <v>8.3250000000000008E-3</v>
      </c>
      <c r="I197" s="295">
        <f t="shared" si="125"/>
        <v>4.68</v>
      </c>
      <c r="J197" s="727">
        <f t="shared" si="126"/>
        <v>0.13</v>
      </c>
      <c r="L197" s="339">
        <f t="shared" si="127"/>
        <v>2.9375999999999999E-2</v>
      </c>
      <c r="M197" s="295">
        <f t="shared" si="128"/>
        <v>16.560000000000002</v>
      </c>
      <c r="N197" s="727">
        <f t="shared" si="129"/>
        <v>0.46</v>
      </c>
      <c r="P197" s="176"/>
      <c r="Q197" s="295"/>
      <c r="T197" s="613" t="s">
        <v>1141</v>
      </c>
    </row>
    <row r="198" spans="1:20" x14ac:dyDescent="0.2">
      <c r="A198" s="613">
        <f t="shared" ref="A198:A214" si="130">A197+1</f>
        <v>179</v>
      </c>
      <c r="B198" s="164" t="str">
        <f>'WP1 Light Inventory'!A189</f>
        <v>58E &amp; 59E</v>
      </c>
      <c r="C198" s="164"/>
      <c r="D198" s="327" t="str">
        <f>'WP1 Light Inventory'!D189</f>
        <v>Light Emitting Diode</v>
      </c>
      <c r="E198" s="165" t="str">
        <f>'WP1 Light Inventory'!E189</f>
        <v>LED 060.01-090</v>
      </c>
      <c r="F198" s="364">
        <f>'WP1 Light Inventory'!J189</f>
        <v>50</v>
      </c>
      <c r="G198" s="366">
        <f>'WP12 Condensed Sch. Level Costs'!O188</f>
        <v>26.25</v>
      </c>
      <c r="H198" s="339">
        <f t="shared" si="119"/>
        <v>8.3250000000000008E-3</v>
      </c>
      <c r="I198" s="295">
        <f t="shared" si="125"/>
        <v>132</v>
      </c>
      <c r="J198" s="727">
        <f t="shared" si="126"/>
        <v>0.22</v>
      </c>
      <c r="L198" s="339">
        <f t="shared" si="127"/>
        <v>2.9375999999999999E-2</v>
      </c>
      <c r="M198" s="295">
        <f t="shared" si="128"/>
        <v>462</v>
      </c>
      <c r="N198" s="727">
        <f t="shared" si="129"/>
        <v>0.77</v>
      </c>
      <c r="P198" s="176"/>
      <c r="Q198" s="295"/>
      <c r="T198" s="613" t="s">
        <v>1141</v>
      </c>
    </row>
    <row r="199" spans="1:20" x14ac:dyDescent="0.2">
      <c r="A199" s="613">
        <f t="shared" si="130"/>
        <v>180</v>
      </c>
      <c r="B199" s="164" t="str">
        <f>'WP1 Light Inventory'!A190</f>
        <v>58E &amp; 59E</v>
      </c>
      <c r="C199" s="164"/>
      <c r="D199" s="327" t="str">
        <f>'WP1 Light Inventory'!D190</f>
        <v>Light Emitting Diode</v>
      </c>
      <c r="E199" s="165" t="str">
        <f>'WP1 Light Inventory'!E190</f>
        <v>LED 090.01-120</v>
      </c>
      <c r="F199" s="364">
        <f>'WP1 Light Inventory'!J190</f>
        <v>15</v>
      </c>
      <c r="G199" s="366">
        <f>'WP12 Condensed Sch. Level Costs'!O189</f>
        <v>36.75</v>
      </c>
      <c r="H199" s="339">
        <f t="shared" si="119"/>
        <v>8.3250000000000008E-3</v>
      </c>
      <c r="I199" s="295">
        <f t="shared" si="125"/>
        <v>55.800000000000004</v>
      </c>
      <c r="J199" s="727">
        <f t="shared" si="126"/>
        <v>0.31</v>
      </c>
      <c r="L199" s="339">
        <f t="shared" si="127"/>
        <v>2.9375999999999999E-2</v>
      </c>
      <c r="M199" s="295">
        <f t="shared" si="128"/>
        <v>194.40000000000003</v>
      </c>
      <c r="N199" s="727">
        <f t="shared" si="129"/>
        <v>1.08</v>
      </c>
      <c r="P199" s="176"/>
      <c r="Q199" s="295"/>
      <c r="T199" s="613" t="s">
        <v>1141</v>
      </c>
    </row>
    <row r="200" spans="1:20" x14ac:dyDescent="0.2">
      <c r="A200" s="613">
        <f t="shared" si="130"/>
        <v>181</v>
      </c>
      <c r="B200" s="164" t="str">
        <f>'WP1 Light Inventory'!A191</f>
        <v>58E &amp; 59E</v>
      </c>
      <c r="C200" s="164"/>
      <c r="D200" s="327" t="str">
        <f>'WP1 Light Inventory'!D191</f>
        <v>Light Emitting Diode</v>
      </c>
      <c r="E200" s="165" t="str">
        <f>'WP1 Light Inventory'!E191</f>
        <v>LED 120.01-150</v>
      </c>
      <c r="F200" s="364">
        <f>'WP1 Light Inventory'!J191</f>
        <v>94</v>
      </c>
      <c r="G200" s="366">
        <f>'WP12 Condensed Sch. Level Costs'!O190</f>
        <v>47.25</v>
      </c>
      <c r="H200" s="339">
        <f t="shared" si="119"/>
        <v>8.3250000000000008E-3</v>
      </c>
      <c r="I200" s="295">
        <f t="shared" si="125"/>
        <v>439.92000000000007</v>
      </c>
      <c r="J200" s="727">
        <f t="shared" si="126"/>
        <v>0.39</v>
      </c>
      <c r="L200" s="339">
        <f t="shared" si="127"/>
        <v>2.9375999999999999E-2</v>
      </c>
      <c r="M200" s="295">
        <f t="shared" si="128"/>
        <v>1567.92</v>
      </c>
      <c r="N200" s="727">
        <f t="shared" si="129"/>
        <v>1.39</v>
      </c>
      <c r="P200" s="176"/>
      <c r="Q200" s="295"/>
      <c r="T200" s="613" t="s">
        <v>1141</v>
      </c>
    </row>
    <row r="201" spans="1:20" x14ac:dyDescent="0.2">
      <c r="A201" s="613">
        <f t="shared" si="130"/>
        <v>182</v>
      </c>
      <c r="B201" s="164" t="str">
        <f>'WP1 Light Inventory'!A192</f>
        <v>58E &amp; 59E</v>
      </c>
      <c r="C201" s="164"/>
      <c r="D201" s="327" t="str">
        <f>'WP1 Light Inventory'!D192</f>
        <v>Light Emitting Diode</v>
      </c>
      <c r="E201" s="165" t="str">
        <f>'WP1 Light Inventory'!E192</f>
        <v>LED 150.01-180</v>
      </c>
      <c r="F201" s="364">
        <f>'WP1 Light Inventory'!J192</f>
        <v>11</v>
      </c>
      <c r="G201" s="366">
        <f>'WP12 Condensed Sch. Level Costs'!O191</f>
        <v>57.75</v>
      </c>
      <c r="H201" s="339">
        <f t="shared" si="119"/>
        <v>8.3250000000000008E-3</v>
      </c>
      <c r="I201" s="295">
        <f t="shared" si="125"/>
        <v>63.359999999999992</v>
      </c>
      <c r="J201" s="727">
        <f t="shared" si="126"/>
        <v>0.48</v>
      </c>
      <c r="L201" s="339">
        <f t="shared" si="127"/>
        <v>2.9375999999999999E-2</v>
      </c>
      <c r="M201" s="295">
        <f t="shared" si="128"/>
        <v>224.39999999999998</v>
      </c>
      <c r="N201" s="727">
        <f t="shared" si="129"/>
        <v>1.7</v>
      </c>
      <c r="P201" s="176"/>
      <c r="Q201" s="295"/>
      <c r="T201" s="613" t="s">
        <v>1141</v>
      </c>
    </row>
    <row r="202" spans="1:20" x14ac:dyDescent="0.2">
      <c r="A202" s="613">
        <f t="shared" si="130"/>
        <v>183</v>
      </c>
      <c r="B202" s="164" t="str">
        <f>'WP1 Light Inventory'!A193</f>
        <v>58E &amp; 59E</v>
      </c>
      <c r="C202" s="164"/>
      <c r="D202" s="327" t="str">
        <f>'WP1 Light Inventory'!D193</f>
        <v>Light Emitting Diode</v>
      </c>
      <c r="E202" s="165" t="str">
        <f>'WP1 Light Inventory'!E193</f>
        <v>LED 180.01-210</v>
      </c>
      <c r="F202" s="364">
        <f>'WP1 Light Inventory'!J193</f>
        <v>0</v>
      </c>
      <c r="G202" s="366">
        <f>'WP12 Condensed Sch. Level Costs'!O192</f>
        <v>68.25</v>
      </c>
      <c r="H202" s="339">
        <f t="shared" si="119"/>
        <v>8.3250000000000008E-3</v>
      </c>
      <c r="I202" s="295">
        <f t="shared" si="125"/>
        <v>0</v>
      </c>
      <c r="J202" s="727">
        <f t="shared" si="126"/>
        <v>0.56999999999999995</v>
      </c>
      <c r="L202" s="339">
        <f t="shared" si="127"/>
        <v>2.9375999999999999E-2</v>
      </c>
      <c r="M202" s="295">
        <f t="shared" si="128"/>
        <v>0</v>
      </c>
      <c r="N202" s="727">
        <f t="shared" si="129"/>
        <v>2</v>
      </c>
      <c r="P202" s="176"/>
      <c r="Q202" s="295"/>
      <c r="T202" s="613" t="s">
        <v>1141</v>
      </c>
    </row>
    <row r="203" spans="1:20" x14ac:dyDescent="0.2">
      <c r="A203" s="613">
        <f t="shared" si="130"/>
        <v>184</v>
      </c>
      <c r="B203" s="164" t="str">
        <f>'WP1 Light Inventory'!A194</f>
        <v>58E &amp; 59E</v>
      </c>
      <c r="C203" s="164"/>
      <c r="D203" s="327" t="str">
        <f>'WP1 Light Inventory'!D194</f>
        <v>Light Emitting Diode</v>
      </c>
      <c r="E203" s="165" t="str">
        <f>'WP1 Light Inventory'!E194</f>
        <v>LED 210.01-240</v>
      </c>
      <c r="F203" s="364">
        <f>'WP1 Light Inventory'!J194</f>
        <v>10</v>
      </c>
      <c r="G203" s="366">
        <f>'WP12 Condensed Sch. Level Costs'!O193</f>
        <v>78.75</v>
      </c>
      <c r="H203" s="339">
        <f t="shared" si="119"/>
        <v>8.3250000000000008E-3</v>
      </c>
      <c r="I203" s="295">
        <f t="shared" si="125"/>
        <v>79.2</v>
      </c>
      <c r="J203" s="727">
        <f t="shared" si="126"/>
        <v>0.66</v>
      </c>
      <c r="L203" s="339">
        <f t="shared" si="127"/>
        <v>2.9375999999999999E-2</v>
      </c>
      <c r="M203" s="295">
        <f t="shared" si="128"/>
        <v>277.20000000000005</v>
      </c>
      <c r="N203" s="727">
        <f t="shared" si="129"/>
        <v>2.31</v>
      </c>
      <c r="P203" s="176"/>
      <c r="Q203" s="295"/>
      <c r="T203" s="613" t="s">
        <v>1141</v>
      </c>
    </row>
    <row r="204" spans="1:20" x14ac:dyDescent="0.2">
      <c r="A204" s="613">
        <f t="shared" si="130"/>
        <v>185</v>
      </c>
      <c r="B204" s="164" t="str">
        <f>'WP1 Light Inventory'!A195</f>
        <v>58E &amp; 59E</v>
      </c>
      <c r="C204" s="164"/>
      <c r="D204" s="327" t="str">
        <f>'WP1 Light Inventory'!D195</f>
        <v>Light Emitting Diode</v>
      </c>
      <c r="E204" s="165" t="str">
        <f>'WP1 Light Inventory'!E195</f>
        <v>LED 240.01-270</v>
      </c>
      <c r="F204" s="364">
        <f>'WP1 Light Inventory'!J195</f>
        <v>22</v>
      </c>
      <c r="G204" s="366">
        <f>'WP12 Condensed Sch. Level Costs'!O194</f>
        <v>89.25</v>
      </c>
      <c r="H204" s="339">
        <f t="shared" si="119"/>
        <v>8.3250000000000008E-3</v>
      </c>
      <c r="I204" s="295">
        <f t="shared" si="125"/>
        <v>195.36</v>
      </c>
      <c r="J204" s="727">
        <f t="shared" si="126"/>
        <v>0.74</v>
      </c>
      <c r="L204" s="339">
        <f t="shared" si="127"/>
        <v>2.9375999999999999E-2</v>
      </c>
      <c r="M204" s="295">
        <f t="shared" si="128"/>
        <v>691.68000000000006</v>
      </c>
      <c r="N204" s="727">
        <f t="shared" si="129"/>
        <v>2.62</v>
      </c>
      <c r="P204" s="176"/>
      <c r="Q204" s="295"/>
      <c r="T204" s="613" t="s">
        <v>1141</v>
      </c>
    </row>
    <row r="205" spans="1:20" x14ac:dyDescent="0.2">
      <c r="A205" s="613">
        <f t="shared" si="130"/>
        <v>186</v>
      </c>
      <c r="B205" s="164" t="str">
        <f>'WP1 Light Inventory'!A196</f>
        <v>58E &amp; 59E</v>
      </c>
      <c r="C205" s="164"/>
      <c r="D205" s="327" t="str">
        <f>'WP1 Light Inventory'!D196</f>
        <v>Light Emitting Diode</v>
      </c>
      <c r="E205" s="165" t="str">
        <f>'WP1 Light Inventory'!E196</f>
        <v>LED 270.01-300</v>
      </c>
      <c r="F205" s="364">
        <f>'WP1 Light Inventory'!J196</f>
        <v>0</v>
      </c>
      <c r="G205" s="366">
        <f>'WP12 Condensed Sch. Level Costs'!O195</f>
        <v>99.75</v>
      </c>
      <c r="H205" s="339">
        <f t="shared" si="119"/>
        <v>8.3250000000000008E-3</v>
      </c>
      <c r="I205" s="295">
        <f t="shared" si="125"/>
        <v>0</v>
      </c>
      <c r="J205" s="727">
        <f t="shared" si="126"/>
        <v>0.83</v>
      </c>
      <c r="L205" s="339">
        <f t="shared" si="127"/>
        <v>2.9375999999999999E-2</v>
      </c>
      <c r="M205" s="295">
        <f t="shared" si="128"/>
        <v>0</v>
      </c>
      <c r="N205" s="727">
        <f t="shared" si="129"/>
        <v>2.93</v>
      </c>
      <c r="P205" s="176"/>
      <c r="Q205" s="295"/>
      <c r="T205" s="613" t="s">
        <v>1141</v>
      </c>
    </row>
    <row r="206" spans="1:20" x14ac:dyDescent="0.2">
      <c r="A206" s="613">
        <f t="shared" si="130"/>
        <v>187</v>
      </c>
      <c r="B206" s="164" t="str">
        <f>'WP1 Light Inventory'!A197</f>
        <v>58E &amp; 59E</v>
      </c>
      <c r="C206" s="164"/>
      <c r="D206" s="327" t="str">
        <f>'WP1 Light Inventory'!D197</f>
        <v>Light Emitting Diode</v>
      </c>
      <c r="E206" s="165" t="str">
        <f>'WP1 Light Inventory'!E197</f>
        <v>LED 300.01-400</v>
      </c>
      <c r="F206" s="364">
        <f>'WP1 Light Inventory'!J197</f>
        <v>0</v>
      </c>
      <c r="G206" s="366">
        <f>'WP12 Condensed Sch. Level Costs'!O196</f>
        <v>122.5</v>
      </c>
      <c r="H206" s="339">
        <f t="shared" si="119"/>
        <v>8.3250000000000008E-3</v>
      </c>
      <c r="I206" s="295">
        <f t="shared" si="125"/>
        <v>0</v>
      </c>
      <c r="J206" s="727">
        <f t="shared" si="126"/>
        <v>1.02</v>
      </c>
      <c r="L206" s="339">
        <f t="shared" si="127"/>
        <v>2.9375999999999999E-2</v>
      </c>
      <c r="M206" s="295">
        <f t="shared" si="128"/>
        <v>0</v>
      </c>
      <c r="N206" s="727">
        <f t="shared" si="129"/>
        <v>3.6</v>
      </c>
      <c r="P206" s="176"/>
      <c r="Q206" s="295"/>
      <c r="T206" s="613" t="s">
        <v>1141</v>
      </c>
    </row>
    <row r="207" spans="1:20" x14ac:dyDescent="0.2">
      <c r="A207" s="613">
        <f t="shared" si="130"/>
        <v>188</v>
      </c>
      <c r="B207" s="164" t="str">
        <f>'WP1 Light Inventory'!A198</f>
        <v>58E &amp; 59E</v>
      </c>
      <c r="C207" s="164"/>
      <c r="D207" s="327" t="str">
        <f>'WP1 Light Inventory'!D198</f>
        <v>Light Emitting Diode</v>
      </c>
      <c r="E207" s="165" t="str">
        <f>'WP1 Light Inventory'!E198</f>
        <v>LED 400.01-500</v>
      </c>
      <c r="F207" s="364">
        <f>'WP1 Light Inventory'!J198</f>
        <v>0</v>
      </c>
      <c r="G207" s="366">
        <f>'WP12 Condensed Sch. Level Costs'!O197</f>
        <v>157.5</v>
      </c>
      <c r="H207" s="339">
        <f t="shared" si="119"/>
        <v>8.3250000000000008E-3</v>
      </c>
      <c r="I207" s="295">
        <f t="shared" si="125"/>
        <v>0</v>
      </c>
      <c r="J207" s="727">
        <f t="shared" si="126"/>
        <v>1.31</v>
      </c>
      <c r="L207" s="339">
        <f t="shared" si="127"/>
        <v>2.9375999999999999E-2</v>
      </c>
      <c r="M207" s="295">
        <f t="shared" si="128"/>
        <v>0</v>
      </c>
      <c r="N207" s="727">
        <f t="shared" si="129"/>
        <v>4.63</v>
      </c>
      <c r="P207" s="176"/>
      <c r="Q207" s="295"/>
      <c r="T207" s="613" t="s">
        <v>1141</v>
      </c>
    </row>
    <row r="208" spans="1:20" x14ac:dyDescent="0.2">
      <c r="A208" s="613">
        <f t="shared" si="130"/>
        <v>189</v>
      </c>
      <c r="B208" s="164" t="str">
        <f>'WP1 Light Inventory'!A199</f>
        <v>58E &amp; 59E</v>
      </c>
      <c r="C208" s="164"/>
      <c r="D208" s="327" t="str">
        <f>'WP1 Light Inventory'!D199</f>
        <v>Light Emitting Diode</v>
      </c>
      <c r="E208" s="165" t="str">
        <f>'WP1 Light Inventory'!E199</f>
        <v>LED 500.01-600</v>
      </c>
      <c r="F208" s="364">
        <f>'WP1 Light Inventory'!J199</f>
        <v>0</v>
      </c>
      <c r="G208" s="366">
        <f>'WP12 Condensed Sch. Level Costs'!O198</f>
        <v>192.5</v>
      </c>
      <c r="H208" s="339">
        <f t="shared" si="119"/>
        <v>8.3250000000000008E-3</v>
      </c>
      <c r="I208" s="295">
        <f t="shared" si="125"/>
        <v>0</v>
      </c>
      <c r="J208" s="727">
        <f t="shared" si="126"/>
        <v>1.6</v>
      </c>
      <c r="L208" s="339">
        <f t="shared" si="127"/>
        <v>2.9375999999999999E-2</v>
      </c>
      <c r="M208" s="295">
        <f t="shared" si="128"/>
        <v>0</v>
      </c>
      <c r="N208" s="727">
        <f t="shared" si="129"/>
        <v>5.65</v>
      </c>
      <c r="P208" s="176"/>
      <c r="Q208" s="295"/>
      <c r="T208" s="613" t="s">
        <v>1141</v>
      </c>
    </row>
    <row r="209" spans="1:20" x14ac:dyDescent="0.2">
      <c r="A209" s="613">
        <f t="shared" si="130"/>
        <v>190</v>
      </c>
      <c r="B209" s="164" t="str">
        <f>'WP1 Light Inventory'!A200</f>
        <v>58E &amp; 59E</v>
      </c>
      <c r="C209" s="164"/>
      <c r="D209" s="327" t="str">
        <f>'WP1 Light Inventory'!D200</f>
        <v>Light Emitting Diode</v>
      </c>
      <c r="E209" s="165" t="str">
        <f>'WP1 Light Inventory'!E200</f>
        <v>LED 600.01-700</v>
      </c>
      <c r="F209" s="364">
        <f>'WP1 Light Inventory'!J200</f>
        <v>0</v>
      </c>
      <c r="G209" s="366">
        <f>'WP12 Condensed Sch. Level Costs'!O199</f>
        <v>227.5</v>
      </c>
      <c r="H209" s="339">
        <f t="shared" si="119"/>
        <v>8.3250000000000008E-3</v>
      </c>
      <c r="I209" s="295">
        <f t="shared" si="125"/>
        <v>0</v>
      </c>
      <c r="J209" s="727">
        <f t="shared" si="126"/>
        <v>1.89</v>
      </c>
      <c r="L209" s="339">
        <f t="shared" si="127"/>
        <v>2.9375999999999999E-2</v>
      </c>
      <c r="M209" s="295">
        <f t="shared" si="128"/>
        <v>0</v>
      </c>
      <c r="N209" s="727">
        <f t="shared" si="129"/>
        <v>6.68</v>
      </c>
      <c r="P209" s="176"/>
      <c r="Q209" s="295"/>
      <c r="T209" s="613" t="s">
        <v>1141</v>
      </c>
    </row>
    <row r="210" spans="1:20" x14ac:dyDescent="0.2">
      <c r="A210" s="613">
        <f t="shared" si="130"/>
        <v>191</v>
      </c>
      <c r="B210" s="164" t="str">
        <f>'WP1 Light Inventory'!A201</f>
        <v>58E &amp; 59E</v>
      </c>
      <c r="C210" s="164"/>
      <c r="D210" s="327" t="str">
        <f>'WP1 Light Inventory'!D201</f>
        <v>Light Emitting Diode</v>
      </c>
      <c r="E210" s="165" t="str">
        <f>'WP1 Light Inventory'!E201</f>
        <v>LED 700.01-800</v>
      </c>
      <c r="F210" s="364">
        <f>'WP1 Light Inventory'!J201</f>
        <v>0</v>
      </c>
      <c r="G210" s="366">
        <f>'WP12 Condensed Sch. Level Costs'!O200</f>
        <v>262.5</v>
      </c>
      <c r="H210" s="339">
        <f t="shared" si="119"/>
        <v>8.3250000000000008E-3</v>
      </c>
      <c r="I210" s="295">
        <f t="shared" si="125"/>
        <v>0</v>
      </c>
      <c r="J210" s="727">
        <f t="shared" si="126"/>
        <v>2.19</v>
      </c>
      <c r="L210" s="339">
        <f t="shared" si="127"/>
        <v>2.9375999999999999E-2</v>
      </c>
      <c r="M210" s="295">
        <f t="shared" si="128"/>
        <v>0</v>
      </c>
      <c r="N210" s="727">
        <f t="shared" si="129"/>
        <v>7.71</v>
      </c>
      <c r="P210" s="176"/>
      <c r="Q210" s="295"/>
      <c r="T210" s="613" t="s">
        <v>1141</v>
      </c>
    </row>
    <row r="211" spans="1:20" x14ac:dyDescent="0.2">
      <c r="A211" s="613">
        <f t="shared" si="130"/>
        <v>192</v>
      </c>
      <c r="B211" s="164" t="str">
        <f>'WP1 Light Inventory'!A202</f>
        <v>58E &amp; 59E</v>
      </c>
      <c r="C211" s="164"/>
      <c r="D211" s="327" t="str">
        <f>'WP1 Light Inventory'!D202</f>
        <v>Light Emitting Diode</v>
      </c>
      <c r="E211" s="165" t="str">
        <f>'WP1 Light Inventory'!E202</f>
        <v>LED 800.01-900</v>
      </c>
      <c r="F211" s="364">
        <f>'WP1 Light Inventory'!J202</f>
        <v>0</v>
      </c>
      <c r="G211" s="366">
        <f>'WP12 Condensed Sch. Level Costs'!O201</f>
        <v>297.5</v>
      </c>
      <c r="H211" s="339">
        <f t="shared" si="119"/>
        <v>8.3250000000000008E-3</v>
      </c>
      <c r="I211" s="295">
        <f t="shared" si="125"/>
        <v>0</v>
      </c>
      <c r="J211" s="727">
        <f t="shared" si="126"/>
        <v>2.48</v>
      </c>
      <c r="L211" s="339">
        <f t="shared" si="127"/>
        <v>2.9375999999999999E-2</v>
      </c>
      <c r="M211" s="295">
        <f t="shared" si="128"/>
        <v>0</v>
      </c>
      <c r="N211" s="727">
        <f t="shared" si="129"/>
        <v>8.74</v>
      </c>
      <c r="P211" s="176"/>
      <c r="Q211" s="295"/>
      <c r="T211" s="613" t="s">
        <v>1141</v>
      </c>
    </row>
    <row r="212" spans="1:20" x14ac:dyDescent="0.2">
      <c r="A212" s="613">
        <f t="shared" si="130"/>
        <v>193</v>
      </c>
      <c r="B212" s="164"/>
      <c r="C212" s="164"/>
      <c r="D212" s="327"/>
      <c r="E212" s="165"/>
      <c r="F212" s="364"/>
      <c r="G212" s="399"/>
      <c r="H212" s="342"/>
      <c r="I212" s="295"/>
      <c r="J212" s="727"/>
      <c r="L212" s="342"/>
      <c r="M212" s="295"/>
      <c r="N212" s="727"/>
      <c r="P212" s="342"/>
      <c r="Q212" s="295"/>
    </row>
    <row r="213" spans="1:20" x14ac:dyDescent="0.2">
      <c r="A213" s="613">
        <f t="shared" si="130"/>
        <v>194</v>
      </c>
      <c r="B213" s="164" t="s">
        <v>247</v>
      </c>
      <c r="C213" s="164"/>
      <c r="D213" s="327"/>
      <c r="E213" s="165"/>
      <c r="F213" s="364"/>
      <c r="G213" s="399"/>
      <c r="H213" s="342"/>
      <c r="I213" s="295"/>
      <c r="J213" s="727"/>
      <c r="L213" s="342"/>
      <c r="M213" s="295"/>
      <c r="N213" s="727"/>
      <c r="P213" s="342"/>
      <c r="Q213" s="295"/>
    </row>
    <row r="214" spans="1:20" x14ac:dyDescent="0.2">
      <c r="A214" s="613">
        <f t="shared" si="130"/>
        <v>195</v>
      </c>
      <c r="B214" s="164" t="str">
        <f>'WP1 Light Inventory'!A204</f>
        <v>57E</v>
      </c>
      <c r="C214" s="164"/>
      <c r="D214" s="327" t="str">
        <f>'WP1 Light Inventory'!D204</f>
        <v>Per W charge</v>
      </c>
      <c r="E214" s="596"/>
      <c r="F214" s="224">
        <f>G222</f>
        <v>5370526</v>
      </c>
      <c r="G214" s="364">
        <f>+F214/G223</f>
        <v>11226169</v>
      </c>
      <c r="H214" s="339">
        <f>$Y$8</f>
        <v>8.3250000000000008E-3</v>
      </c>
      <c r="I214" s="295">
        <f>+H214*F214</f>
        <v>44709.628950000006</v>
      </c>
      <c r="J214" s="728">
        <f>ROUND(+I214/G214,5)</f>
        <v>3.98E-3</v>
      </c>
      <c r="K214" s="166"/>
      <c r="L214" s="339">
        <f t="shared" ref="L214" si="131">$Y$9</f>
        <v>2.9375999999999999E-2</v>
      </c>
      <c r="M214" s="295">
        <f>+L214*F214</f>
        <v>157764.571776</v>
      </c>
      <c r="N214" s="728">
        <f>ROUND(+M214/G214,5)</f>
        <v>1.405E-2</v>
      </c>
      <c r="O214" s="166"/>
      <c r="P214" s="176"/>
      <c r="Q214" s="295"/>
      <c r="R214" s="166"/>
      <c r="S214" s="166"/>
      <c r="T214" s="613" t="s">
        <v>1130</v>
      </c>
    </row>
    <row r="215" spans="1:20" x14ac:dyDescent="0.2">
      <c r="B215" s="164"/>
      <c r="C215" s="164"/>
      <c r="D215" s="327"/>
      <c r="E215" s="165"/>
      <c r="F215" s="596" t="s">
        <v>664</v>
      </c>
      <c r="G215" s="399" t="s">
        <v>663</v>
      </c>
      <c r="H215" s="342"/>
      <c r="I215" s="295"/>
      <c r="L215" s="342"/>
      <c r="M215" s="295"/>
      <c r="P215" s="342"/>
      <c r="Q215" s="295"/>
    </row>
    <row r="216" spans="1:20" x14ac:dyDescent="0.2">
      <c r="B216" s="164"/>
      <c r="C216" s="164"/>
      <c r="D216" s="327"/>
      <c r="E216" s="165"/>
      <c r="F216" s="342"/>
      <c r="G216" s="399"/>
      <c r="H216" s="342"/>
      <c r="L216" s="342"/>
      <c r="P216" s="342"/>
    </row>
    <row r="217" spans="1:20" ht="10.8" thickBot="1" x14ac:dyDescent="0.25">
      <c r="B217" s="164"/>
      <c r="C217" s="164"/>
      <c r="D217" s="327"/>
      <c r="E217" s="165"/>
      <c r="F217" s="173"/>
      <c r="G217" s="173" t="s">
        <v>19</v>
      </c>
      <c r="H217" s="342"/>
      <c r="I217" s="147">
        <f>SUM(I12:I215)</f>
        <v>518057.54894999979</v>
      </c>
      <c r="L217" s="342"/>
      <c r="M217" s="147">
        <f>SUM(M12:M215)</f>
        <v>1831010.8517759996</v>
      </c>
      <c r="P217" s="342"/>
      <c r="Q217" s="174">
        <f>SUM(Q12:Q215)</f>
        <v>0</v>
      </c>
    </row>
    <row r="218" spans="1:20" ht="11.4" thickTop="1" thickBot="1" x14ac:dyDescent="0.25">
      <c r="B218" s="164"/>
      <c r="C218" s="164"/>
      <c r="D218" s="327"/>
      <c r="E218" s="165"/>
      <c r="F218" s="173"/>
      <c r="G218" s="173"/>
      <c r="H218" s="342"/>
      <c r="I218" s="365"/>
      <c r="L218" s="223"/>
      <c r="M218" s="365"/>
      <c r="P218" s="223"/>
      <c r="Q218" s="365"/>
    </row>
    <row r="219" spans="1:20" x14ac:dyDescent="0.2">
      <c r="B219" s="164"/>
      <c r="C219" s="164"/>
      <c r="D219" s="352"/>
      <c r="E219" s="353"/>
      <c r="F219" s="354"/>
      <c r="G219" s="355"/>
      <c r="H219" s="342"/>
      <c r="I219" s="401"/>
      <c r="L219" s="223"/>
      <c r="M219" s="401"/>
      <c r="P219" s="223"/>
      <c r="Q219" s="401"/>
    </row>
    <row r="220" spans="1:20" x14ac:dyDescent="0.2">
      <c r="B220" s="164"/>
      <c r="C220" s="164"/>
      <c r="D220" s="356" t="s">
        <v>694</v>
      </c>
      <c r="E220" s="165"/>
      <c r="F220" s="596"/>
      <c r="G220" s="357"/>
      <c r="H220" s="342"/>
      <c r="L220" s="342"/>
      <c r="P220" s="342"/>
    </row>
    <row r="221" spans="1:20" x14ac:dyDescent="0.2">
      <c r="B221" s="164"/>
      <c r="C221" s="164"/>
      <c r="D221" s="358" t="s">
        <v>693</v>
      </c>
      <c r="E221" s="165"/>
      <c r="F221" s="596"/>
      <c r="G221" s="357">
        <v>11226169</v>
      </c>
      <c r="H221" s="342"/>
      <c r="L221" s="342"/>
      <c r="P221" s="342"/>
    </row>
    <row r="222" spans="1:20" x14ac:dyDescent="0.2">
      <c r="B222" s="164"/>
      <c r="C222" s="164"/>
      <c r="D222" s="358" t="s">
        <v>708</v>
      </c>
      <c r="E222" s="165"/>
      <c r="F222" s="596"/>
      <c r="G222" s="357">
        <v>5370526</v>
      </c>
      <c r="H222" s="342"/>
      <c r="L222" s="342"/>
      <c r="P222" s="342"/>
    </row>
    <row r="223" spans="1:20" ht="10.8" thickBot="1" x14ac:dyDescent="0.25">
      <c r="B223" s="164"/>
      <c r="C223" s="164"/>
      <c r="D223" s="359" t="s">
        <v>662</v>
      </c>
      <c r="E223" s="360"/>
      <c r="F223" s="361"/>
      <c r="G223" s="362">
        <f>+G222/G221</f>
        <v>0.47839347510268193</v>
      </c>
      <c r="H223" s="342"/>
      <c r="L223" s="342"/>
      <c r="P223" s="342"/>
    </row>
    <row r="225" spans="2:3" x14ac:dyDescent="0.2">
      <c r="B225" s="245"/>
      <c r="C225" s="245"/>
    </row>
    <row r="227" spans="2:3" ht="13.8" x14ac:dyDescent="0.3">
      <c r="B227" s="641"/>
      <c r="C227" s="245"/>
    </row>
    <row r="228" spans="2:3" x14ac:dyDescent="0.2">
      <c r="B228" s="245"/>
      <c r="C228" s="245"/>
    </row>
  </sheetData>
  <mergeCells count="8">
    <mergeCell ref="W6:Y6"/>
    <mergeCell ref="A1:U1"/>
    <mergeCell ref="A2:U2"/>
    <mergeCell ref="A3:U3"/>
    <mergeCell ref="A4:U4"/>
    <mergeCell ref="H6:J6"/>
    <mergeCell ref="L6:N6"/>
    <mergeCell ref="P6:R6"/>
  </mergeCells>
  <pageMargins left="0.7" right="0.7" top="0.75" bottom="0.75" header="0.3" footer="0.3"/>
  <pageSetup scale="46"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"/>
  <sheetViews>
    <sheetView workbookViewId="0">
      <selection activeCell="J27" sqref="J27"/>
    </sheetView>
  </sheetViews>
  <sheetFormatPr defaultRowHeight="14.4" x14ac:dyDescent="0.3"/>
  <sheetData>
    <row r="29" spans="2:2" x14ac:dyDescent="0.3">
      <c r="B29" s="50"/>
    </row>
  </sheetData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226"/>
  <sheetViews>
    <sheetView zoomScaleNormal="100" zoomScaleSheetLayoutView="85" workbookViewId="0">
      <pane ySplit="8" topLeftCell="A9" activePane="bottomLeft" state="frozen"/>
      <selection activeCell="D32" sqref="D32"/>
      <selection pane="bottomLeft" activeCell="D32" sqref="D32"/>
    </sheetView>
  </sheetViews>
  <sheetFormatPr defaultColWidth="9.109375" defaultRowHeight="10.199999999999999" x14ac:dyDescent="0.2"/>
  <cols>
    <col min="1" max="1" width="6.33203125" style="32" bestFit="1" customWidth="1"/>
    <col min="2" max="2" width="20.5546875" style="19" bestFit="1" customWidth="1"/>
    <col min="3" max="3" width="10.6640625" style="19" bestFit="1" customWidth="1"/>
    <col min="4" max="4" width="16.88671875" style="19" bestFit="1" customWidth="1"/>
    <col min="5" max="5" width="12" style="19" bestFit="1" customWidth="1"/>
    <col min="6" max="6" width="9" style="19" bestFit="1" customWidth="1"/>
    <col min="7" max="7" width="9.88671875" style="19" bestFit="1" customWidth="1"/>
    <col min="8" max="8" width="13.6640625" style="19" bestFit="1" customWidth="1"/>
    <col min="9" max="9" width="9.88671875" style="19" bestFit="1" customWidth="1"/>
    <col min="10" max="16384" width="9.109375" style="19"/>
  </cols>
  <sheetData>
    <row r="1" spans="1:9" s="251" customFormat="1" x14ac:dyDescent="0.2">
      <c r="A1" s="736" t="str">
        <f>'BDJ-6 Combined Charges'!A1:K1</f>
        <v>Puget Sound Energy</v>
      </c>
      <c r="B1" s="736"/>
      <c r="C1" s="736"/>
      <c r="D1" s="736"/>
      <c r="E1" s="736"/>
      <c r="F1" s="736"/>
      <c r="G1" s="736"/>
      <c r="H1" s="736"/>
      <c r="I1" s="736"/>
    </row>
    <row r="2" spans="1:9" s="251" customFormat="1" x14ac:dyDescent="0.2">
      <c r="A2" s="736" t="s">
        <v>464</v>
      </c>
      <c r="B2" s="736"/>
      <c r="C2" s="736"/>
      <c r="D2" s="736"/>
      <c r="E2" s="736"/>
      <c r="F2" s="736"/>
      <c r="G2" s="736"/>
      <c r="H2" s="736"/>
      <c r="I2" s="736"/>
    </row>
    <row r="3" spans="1:9" s="251" customFormat="1" x14ac:dyDescent="0.2">
      <c r="A3" s="736" t="str">
        <f>'BDJ-6 Combined Charges'!A3:K3</f>
        <v>2022 General Rate Case (GRC)</v>
      </c>
      <c r="B3" s="736"/>
      <c r="C3" s="736"/>
      <c r="D3" s="736"/>
      <c r="E3" s="736"/>
      <c r="F3" s="736"/>
      <c r="G3" s="736"/>
      <c r="H3" s="736"/>
      <c r="I3" s="736"/>
    </row>
    <row r="4" spans="1:9" s="251" customFormat="1" x14ac:dyDescent="0.2">
      <c r="A4" s="736" t="str">
        <f>'BDJ-6 Combined Charges'!A4:K4</f>
        <v>Test Year Ending June 30, 2021</v>
      </c>
      <c r="B4" s="736"/>
      <c r="C4" s="736"/>
      <c r="D4" s="736"/>
      <c r="E4" s="736"/>
      <c r="F4" s="736"/>
      <c r="G4" s="736"/>
      <c r="H4" s="736"/>
      <c r="I4" s="736"/>
    </row>
    <row r="5" spans="1:9" s="251" customFormat="1" x14ac:dyDescent="0.2">
      <c r="A5" s="257"/>
    </row>
    <row r="6" spans="1:9" s="251" customFormat="1" ht="20.399999999999999" x14ac:dyDescent="0.2">
      <c r="A6" s="285" t="s">
        <v>1</v>
      </c>
      <c r="B6" s="285" t="s">
        <v>53</v>
      </c>
      <c r="C6" s="285"/>
      <c r="D6" s="285" t="s">
        <v>67</v>
      </c>
      <c r="E6" s="285" t="s">
        <v>160</v>
      </c>
      <c r="F6" s="285" t="s">
        <v>250</v>
      </c>
      <c r="G6" s="285" t="s">
        <v>260</v>
      </c>
      <c r="H6" s="285" t="s">
        <v>251</v>
      </c>
      <c r="I6" s="285" t="s">
        <v>971</v>
      </c>
    </row>
    <row r="7" spans="1:9" x14ac:dyDescent="0.2">
      <c r="B7" s="14" t="s">
        <v>3</v>
      </c>
      <c r="C7" s="14"/>
      <c r="D7" s="47" t="s">
        <v>4</v>
      </c>
      <c r="E7" s="21" t="s">
        <v>5</v>
      </c>
      <c r="F7" s="14" t="s">
        <v>6</v>
      </c>
      <c r="G7" s="21" t="s">
        <v>390</v>
      </c>
      <c r="H7" s="16" t="s">
        <v>21</v>
      </c>
      <c r="I7" s="16" t="s">
        <v>8</v>
      </c>
    </row>
    <row r="8" spans="1:9" x14ac:dyDescent="0.2">
      <c r="A8" s="32" t="s">
        <v>396</v>
      </c>
      <c r="B8" s="14"/>
      <c r="C8" s="14"/>
      <c r="D8" s="14"/>
      <c r="E8" s="21"/>
      <c r="F8" s="16" t="s">
        <v>496</v>
      </c>
      <c r="G8" s="21" t="s">
        <v>397</v>
      </c>
      <c r="H8" s="21" t="s">
        <v>397</v>
      </c>
      <c r="I8" s="21" t="s">
        <v>397</v>
      </c>
    </row>
    <row r="9" spans="1:9" x14ac:dyDescent="0.2">
      <c r="A9" s="32">
        <v>1</v>
      </c>
      <c r="B9" s="27" t="str">
        <f>'WP12 Condensed Sch. Level Costs'!A7</f>
        <v>Sch 50E</v>
      </c>
      <c r="C9" s="27"/>
      <c r="H9" s="14"/>
      <c r="I9" s="14"/>
    </row>
    <row r="10" spans="1:9" x14ac:dyDescent="0.2">
      <c r="A10" s="32">
        <f>A9+1</f>
        <v>2</v>
      </c>
      <c r="B10" s="27">
        <f>'WP12 Condensed Sch. Level Costs'!A8</f>
        <v>3</v>
      </c>
      <c r="C10" s="27"/>
      <c r="D10" s="327" t="str">
        <f>'WP12 Condensed Sch. Level Costs'!C8</f>
        <v>Compact Fluorescent</v>
      </c>
      <c r="E10" s="41" t="str">
        <f>'WP12 Condensed Sch. Level Costs'!D8</f>
        <v>CF 22</v>
      </c>
      <c r="F10" s="16" t="str">
        <f>'WP12 Condensed Sch. Level Costs'!F8</f>
        <v>Customer</v>
      </c>
      <c r="G10" s="328" t="str">
        <f>'WP12 Condensed Sch. Level Costs'!H8</f>
        <v>N/A</v>
      </c>
      <c r="H10" s="342">
        <f>'WP12 Condensed Sch. Level Costs'!P8</f>
        <v>1.0137794003499056E-2</v>
      </c>
      <c r="I10" s="328">
        <f>ROUND('WP12 Condensed Sch. Level Costs'!U8,2)</f>
        <v>0</v>
      </c>
    </row>
    <row r="11" spans="1:9" x14ac:dyDescent="0.2">
      <c r="A11" s="32">
        <f t="shared" ref="A11:A90" si="0">A10+1</f>
        <v>3</v>
      </c>
      <c r="B11" s="27"/>
      <c r="C11" s="27"/>
      <c r="D11" s="327"/>
      <c r="E11" s="41"/>
      <c r="F11" s="16"/>
      <c r="G11" s="328"/>
      <c r="H11" s="342"/>
      <c r="I11" s="328"/>
    </row>
    <row r="12" spans="1:9" x14ac:dyDescent="0.2">
      <c r="A12" s="32">
        <f t="shared" si="0"/>
        <v>4</v>
      </c>
      <c r="B12" s="27" t="str">
        <f>'WP12 Condensed Sch. Level Costs'!A10</f>
        <v>50E-A</v>
      </c>
      <c r="C12" s="27"/>
      <c r="D12" s="327" t="str">
        <f>'WP12 Condensed Sch. Level Costs'!C10</f>
        <v>Mercury Vapor</v>
      </c>
      <c r="E12" s="41" t="str">
        <f>'WP12 Condensed Sch. Level Costs'!D10</f>
        <v>MV 100</v>
      </c>
      <c r="F12" s="16" t="str">
        <f>'WP12 Condensed Sch. Level Costs'!F10</f>
        <v>Customer</v>
      </c>
      <c r="G12" s="328" t="str">
        <f>'WP12 Condensed Sch. Level Costs'!H10</f>
        <v>N/A</v>
      </c>
      <c r="H12" s="342">
        <f>'WP12 Condensed Sch. Level Costs'!P10</f>
        <v>1.0137794003499056E-2</v>
      </c>
      <c r="I12" s="328">
        <f>ROUND('WP12 Condensed Sch. Level Costs'!U10,2)</f>
        <v>0</v>
      </c>
    </row>
    <row r="13" spans="1:9" x14ac:dyDescent="0.2">
      <c r="A13" s="32">
        <f t="shared" si="0"/>
        <v>5</v>
      </c>
      <c r="B13" s="27" t="str">
        <f>'WP12 Condensed Sch. Level Costs'!A11</f>
        <v>50E-A</v>
      </c>
      <c r="C13" s="27"/>
      <c r="D13" s="327" t="str">
        <f>'WP12 Condensed Sch. Level Costs'!C11</f>
        <v>Mercury Vapor</v>
      </c>
      <c r="E13" s="41" t="str">
        <f>'WP12 Condensed Sch. Level Costs'!D11</f>
        <v>MV 175</v>
      </c>
      <c r="F13" s="16" t="str">
        <f>'WP12 Condensed Sch. Level Costs'!F11</f>
        <v>Customer</v>
      </c>
      <c r="G13" s="328" t="str">
        <f>'WP12 Condensed Sch. Level Costs'!H11</f>
        <v>N/A</v>
      </c>
      <c r="H13" s="342">
        <f>'WP12 Condensed Sch. Level Costs'!P11</f>
        <v>1.0137794003499056E-2</v>
      </c>
      <c r="I13" s="328">
        <f>ROUND('WP12 Condensed Sch. Level Costs'!U11,2)</f>
        <v>0</v>
      </c>
    </row>
    <row r="14" spans="1:9" x14ac:dyDescent="0.2">
      <c r="A14" s="32">
        <f t="shared" si="0"/>
        <v>6</v>
      </c>
      <c r="B14" s="27" t="str">
        <f>'WP12 Condensed Sch. Level Costs'!A12</f>
        <v>50E-A</v>
      </c>
      <c r="C14" s="27"/>
      <c r="D14" s="327" t="str">
        <f>'WP12 Condensed Sch. Level Costs'!C12</f>
        <v>Mercury Vapor</v>
      </c>
      <c r="E14" s="41" t="str">
        <f>'WP12 Condensed Sch. Level Costs'!D12</f>
        <v>MV 400</v>
      </c>
      <c r="F14" s="16" t="str">
        <f>'WP12 Condensed Sch. Level Costs'!F12</f>
        <v>Customer</v>
      </c>
      <c r="G14" s="328" t="str">
        <f>'WP12 Condensed Sch. Level Costs'!H12</f>
        <v>N/A</v>
      </c>
      <c r="H14" s="342">
        <f>'WP12 Condensed Sch. Level Costs'!P12</f>
        <v>1.0137794003499056E-2</v>
      </c>
      <c r="I14" s="328">
        <f>ROUND('WP12 Condensed Sch. Level Costs'!U12,2)</f>
        <v>0</v>
      </c>
    </row>
    <row r="15" spans="1:9" x14ac:dyDescent="0.2">
      <c r="A15" s="32">
        <f t="shared" si="0"/>
        <v>7</v>
      </c>
      <c r="B15" s="27"/>
      <c r="C15" s="27"/>
      <c r="D15" s="327"/>
      <c r="E15" s="41"/>
      <c r="F15" s="16"/>
      <c r="G15" s="328"/>
      <c r="H15" s="342"/>
      <c r="I15" s="328"/>
    </row>
    <row r="16" spans="1:9" x14ac:dyDescent="0.2">
      <c r="A16" s="32">
        <f t="shared" si="0"/>
        <v>8</v>
      </c>
      <c r="B16" s="27" t="str">
        <f>'WP12 Condensed Sch. Level Costs'!A14</f>
        <v>50E-B</v>
      </c>
      <c r="C16" s="27"/>
      <c r="D16" s="327" t="str">
        <f>'WP12 Condensed Sch. Level Costs'!C14</f>
        <v>Mercury Vapor</v>
      </c>
      <c r="E16" s="41" t="str">
        <f>'WP12 Condensed Sch. Level Costs'!D14</f>
        <v>MV 100</v>
      </c>
      <c r="F16" s="16" t="str">
        <f>'WP12 Condensed Sch. Level Costs'!F14</f>
        <v>Customer</v>
      </c>
      <c r="G16" s="328" t="str">
        <f>'WP12 Condensed Sch. Level Costs'!H14</f>
        <v>N/A</v>
      </c>
      <c r="H16" s="342">
        <f>'WP12 Condensed Sch. Level Costs'!P14</f>
        <v>1.0137794003499056E-2</v>
      </c>
      <c r="I16" s="328">
        <f>ROUND('WP12 Condensed Sch. Level Costs'!U14,2)</f>
        <v>0</v>
      </c>
    </row>
    <row r="17" spans="1:9" x14ac:dyDescent="0.2">
      <c r="A17" s="32">
        <f t="shared" si="0"/>
        <v>9</v>
      </c>
      <c r="B17" s="27" t="str">
        <f>'WP12 Condensed Sch. Level Costs'!A15</f>
        <v>50E-B</v>
      </c>
      <c r="C17" s="27"/>
      <c r="D17" s="327" t="str">
        <f>'WP12 Condensed Sch. Level Costs'!C15</f>
        <v>Mercury Vapor</v>
      </c>
      <c r="E17" s="41" t="str">
        <f>'WP12 Condensed Sch. Level Costs'!D15</f>
        <v>MV 175</v>
      </c>
      <c r="F17" s="16" t="str">
        <f>'WP12 Condensed Sch. Level Costs'!F15</f>
        <v>Customer</v>
      </c>
      <c r="G17" s="328" t="str">
        <f>'WP12 Condensed Sch. Level Costs'!H15</f>
        <v>N/A</v>
      </c>
      <c r="H17" s="342">
        <f>'WP12 Condensed Sch. Level Costs'!P15</f>
        <v>1.0137794003499056E-2</v>
      </c>
      <c r="I17" s="328">
        <f>ROUND('WP12 Condensed Sch. Level Costs'!U15,2)</f>
        <v>0</v>
      </c>
    </row>
    <row r="18" spans="1:9" x14ac:dyDescent="0.2">
      <c r="A18" s="32">
        <f t="shared" si="0"/>
        <v>10</v>
      </c>
      <c r="B18" s="27" t="str">
        <f>'WP12 Condensed Sch. Level Costs'!A16</f>
        <v>50E-B</v>
      </c>
      <c r="C18" s="27"/>
      <c r="D18" s="327" t="str">
        <f>'WP12 Condensed Sch. Level Costs'!C16</f>
        <v>Mercury Vapor</v>
      </c>
      <c r="E18" s="41" t="str">
        <f>'WP12 Condensed Sch. Level Costs'!D16</f>
        <v>MV 400</v>
      </c>
      <c r="F18" s="16" t="str">
        <f>'WP12 Condensed Sch. Level Costs'!F16</f>
        <v>Customer</v>
      </c>
      <c r="G18" s="328" t="str">
        <f>'WP12 Condensed Sch. Level Costs'!H16</f>
        <v>N/A</v>
      </c>
      <c r="H18" s="342">
        <f>'WP12 Condensed Sch. Level Costs'!P16</f>
        <v>1.0137794003499056E-2</v>
      </c>
      <c r="I18" s="328">
        <f>ROUND('WP12 Condensed Sch. Level Costs'!U16,2)</f>
        <v>0</v>
      </c>
    </row>
    <row r="19" spans="1:9" x14ac:dyDescent="0.2">
      <c r="A19" s="32">
        <f t="shared" si="0"/>
        <v>11</v>
      </c>
      <c r="B19" s="27" t="str">
        <f>'WP12 Condensed Sch. Level Costs'!A17</f>
        <v>50E-B</v>
      </c>
      <c r="C19" s="27"/>
      <c r="D19" s="327" t="str">
        <f>'WP12 Condensed Sch. Level Costs'!C17</f>
        <v>Mercury Vapor</v>
      </c>
      <c r="E19" s="41" t="str">
        <f>'WP12 Condensed Sch. Level Costs'!D17</f>
        <v>MV 700</v>
      </c>
      <c r="F19" s="16" t="str">
        <f>'WP12 Condensed Sch. Level Costs'!F17</f>
        <v>Customer</v>
      </c>
      <c r="G19" s="328" t="str">
        <f>'WP12 Condensed Sch. Level Costs'!H17</f>
        <v>N/A</v>
      </c>
      <c r="H19" s="342">
        <f>'WP12 Condensed Sch. Level Costs'!P17</f>
        <v>1.0137794003499056E-2</v>
      </c>
      <c r="I19" s="328">
        <f>ROUND('WP12 Condensed Sch. Level Costs'!U17,2)</f>
        <v>0</v>
      </c>
    </row>
    <row r="20" spans="1:9" x14ac:dyDescent="0.2">
      <c r="A20" s="32">
        <f t="shared" si="0"/>
        <v>12</v>
      </c>
      <c r="B20" s="27"/>
      <c r="C20" s="27"/>
      <c r="D20" s="327"/>
      <c r="E20" s="41"/>
      <c r="F20" s="16"/>
      <c r="G20" s="328"/>
      <c r="H20" s="342"/>
      <c r="I20" s="328"/>
    </row>
    <row r="21" spans="1:9" x14ac:dyDescent="0.2">
      <c r="A21" s="32">
        <f t="shared" si="0"/>
        <v>13</v>
      </c>
      <c r="B21" s="27" t="str">
        <f>'WP12 Condensed Sch. Level Costs'!A18</f>
        <v>Sch 51E</v>
      </c>
      <c r="C21" s="27"/>
      <c r="D21" s="327"/>
      <c r="E21" s="41"/>
      <c r="F21" s="16"/>
      <c r="G21" s="328"/>
      <c r="H21" s="342"/>
      <c r="I21" s="328"/>
    </row>
    <row r="22" spans="1:9" x14ac:dyDescent="0.2">
      <c r="A22" s="32">
        <f t="shared" si="0"/>
        <v>14</v>
      </c>
      <c r="B22" s="27" t="str">
        <f>'WP12 Condensed Sch. Level Costs'!A19</f>
        <v>51E</v>
      </c>
      <c r="C22" s="27"/>
      <c r="D22" s="327" t="str">
        <f>'WP12 Condensed Sch. Level Costs'!C19</f>
        <v>Light Emitting Diode</v>
      </c>
      <c r="E22" s="41" t="str">
        <f>'WP12 Condensed Sch. Level Costs'!D19</f>
        <v>LED 0-030</v>
      </c>
      <c r="F22" s="16" t="str">
        <f>'WP12 Condensed Sch. Level Costs'!F19</f>
        <v>Customer</v>
      </c>
      <c r="G22" s="328" t="str">
        <f>'WP12 Condensed Sch. Level Costs'!H19</f>
        <v>N/A</v>
      </c>
      <c r="H22" s="342">
        <f>'WP12 Condensed Sch. Level Costs'!P19</f>
        <v>1.0137794003499056E-2</v>
      </c>
      <c r="I22" s="328">
        <f>ROUND('WP12 Condensed Sch. Level Costs'!U19,2)</f>
        <v>0</v>
      </c>
    </row>
    <row r="23" spans="1:9" x14ac:dyDescent="0.2">
      <c r="A23" s="32">
        <f t="shared" si="0"/>
        <v>15</v>
      </c>
      <c r="B23" s="27" t="str">
        <f>'WP12 Condensed Sch. Level Costs'!A20</f>
        <v>51E</v>
      </c>
      <c r="C23" s="27"/>
      <c r="D23" s="327" t="str">
        <f>'WP12 Condensed Sch. Level Costs'!C20</f>
        <v>Light Emitting Diode</v>
      </c>
      <c r="E23" s="41" t="str">
        <f>'WP12 Condensed Sch. Level Costs'!D20</f>
        <v>LED 030.01-060</v>
      </c>
      <c r="F23" s="16" t="str">
        <f>'WP12 Condensed Sch. Level Costs'!F20</f>
        <v>Customer</v>
      </c>
      <c r="G23" s="328" t="str">
        <f>'WP12 Condensed Sch. Level Costs'!H20</f>
        <v>N/A</v>
      </c>
      <c r="H23" s="342">
        <f>'WP12 Condensed Sch. Level Costs'!P20</f>
        <v>1.0137794003499056E-2</v>
      </c>
      <c r="I23" s="328">
        <f>ROUND('WP12 Condensed Sch. Level Costs'!U20,2)</f>
        <v>0</v>
      </c>
    </row>
    <row r="24" spans="1:9" x14ac:dyDescent="0.2">
      <c r="A24" s="32">
        <f t="shared" si="0"/>
        <v>16</v>
      </c>
      <c r="B24" s="27" t="str">
        <f>'WP12 Condensed Sch. Level Costs'!A21</f>
        <v>51E</v>
      </c>
      <c r="C24" s="27"/>
      <c r="D24" s="327" t="str">
        <f>'WP12 Condensed Sch. Level Costs'!C21</f>
        <v>Light Emitting Diode</v>
      </c>
      <c r="E24" s="41" t="str">
        <f>'WP12 Condensed Sch. Level Costs'!D21</f>
        <v>LED 060.01-090</v>
      </c>
      <c r="F24" s="16" t="str">
        <f>'WP12 Condensed Sch. Level Costs'!F21</f>
        <v>Customer</v>
      </c>
      <c r="G24" s="328" t="str">
        <f>'WP12 Condensed Sch. Level Costs'!H21</f>
        <v>N/A</v>
      </c>
      <c r="H24" s="342">
        <f>'WP12 Condensed Sch. Level Costs'!P21</f>
        <v>1.0137794003499056E-2</v>
      </c>
      <c r="I24" s="328">
        <f>ROUND('WP12 Condensed Sch. Level Costs'!U21,2)</f>
        <v>0</v>
      </c>
    </row>
    <row r="25" spans="1:9" x14ac:dyDescent="0.2">
      <c r="A25" s="32">
        <f t="shared" si="0"/>
        <v>17</v>
      </c>
      <c r="B25" s="27" t="str">
        <f>'WP12 Condensed Sch. Level Costs'!A22</f>
        <v>51E</v>
      </c>
      <c r="C25" s="27"/>
      <c r="D25" s="327" t="str">
        <f>'WP12 Condensed Sch. Level Costs'!C22</f>
        <v>Light Emitting Diode</v>
      </c>
      <c r="E25" s="41" t="str">
        <f>'WP12 Condensed Sch. Level Costs'!D22</f>
        <v>LED 090.01-120</v>
      </c>
      <c r="F25" s="16" t="str">
        <f>'WP12 Condensed Sch. Level Costs'!F22</f>
        <v>Customer</v>
      </c>
      <c r="G25" s="328" t="str">
        <f>'WP12 Condensed Sch. Level Costs'!H22</f>
        <v>N/A</v>
      </c>
      <c r="H25" s="342">
        <f>'WP12 Condensed Sch. Level Costs'!P22</f>
        <v>1.0137794003499056E-2</v>
      </c>
      <c r="I25" s="328">
        <f>ROUND('WP12 Condensed Sch. Level Costs'!U22,2)</f>
        <v>0</v>
      </c>
    </row>
    <row r="26" spans="1:9" x14ac:dyDescent="0.2">
      <c r="A26" s="32">
        <f t="shared" si="0"/>
        <v>18</v>
      </c>
      <c r="B26" s="27" t="str">
        <f>'WP12 Condensed Sch. Level Costs'!A23</f>
        <v>51E</v>
      </c>
      <c r="C26" s="27"/>
      <c r="D26" s="327" t="str">
        <f>'WP12 Condensed Sch. Level Costs'!C23</f>
        <v>Light Emitting Diode</v>
      </c>
      <c r="E26" s="41" t="str">
        <f>'WP12 Condensed Sch. Level Costs'!D23</f>
        <v>LED 120.01-150</v>
      </c>
      <c r="F26" s="16" t="str">
        <f>'WP12 Condensed Sch. Level Costs'!F23</f>
        <v>Customer</v>
      </c>
      <c r="G26" s="328" t="str">
        <f>'WP12 Condensed Sch. Level Costs'!H23</f>
        <v>N/A</v>
      </c>
      <c r="H26" s="342">
        <f>'WP12 Condensed Sch. Level Costs'!P23</f>
        <v>1.0137794003499056E-2</v>
      </c>
      <c r="I26" s="328">
        <f>ROUND('WP12 Condensed Sch. Level Costs'!U23,2)</f>
        <v>0</v>
      </c>
    </row>
    <row r="27" spans="1:9" x14ac:dyDescent="0.2">
      <c r="A27" s="32">
        <f t="shared" si="0"/>
        <v>19</v>
      </c>
      <c r="B27" s="27" t="str">
        <f>'WP12 Condensed Sch. Level Costs'!A24</f>
        <v>51E</v>
      </c>
      <c r="C27" s="27"/>
      <c r="D27" s="327" t="str">
        <f>'WP12 Condensed Sch. Level Costs'!C24</f>
        <v>Light Emitting Diode</v>
      </c>
      <c r="E27" s="41" t="str">
        <f>'WP12 Condensed Sch. Level Costs'!D24</f>
        <v>LED 150.01-180</v>
      </c>
      <c r="F27" s="16" t="str">
        <f>'WP12 Condensed Sch. Level Costs'!F24</f>
        <v>Customer</v>
      </c>
      <c r="G27" s="328" t="str">
        <f>'WP12 Condensed Sch. Level Costs'!H24</f>
        <v>N/A</v>
      </c>
      <c r="H27" s="342">
        <f>'WP12 Condensed Sch. Level Costs'!P24</f>
        <v>1.0137794003499056E-2</v>
      </c>
      <c r="I27" s="328">
        <f>ROUND('WP12 Condensed Sch. Level Costs'!U24,2)</f>
        <v>0</v>
      </c>
    </row>
    <row r="28" spans="1:9" x14ac:dyDescent="0.2">
      <c r="A28" s="32">
        <f t="shared" si="0"/>
        <v>20</v>
      </c>
      <c r="B28" s="27" t="str">
        <f>'WP12 Condensed Sch. Level Costs'!A25</f>
        <v>51E</v>
      </c>
      <c r="C28" s="27"/>
      <c r="D28" s="327" t="str">
        <f>'WP12 Condensed Sch. Level Costs'!C25</f>
        <v>Light Emitting Diode</v>
      </c>
      <c r="E28" s="41" t="str">
        <f>'WP12 Condensed Sch. Level Costs'!D25</f>
        <v>LED 180.01-210</v>
      </c>
      <c r="F28" s="16" t="str">
        <f>'WP12 Condensed Sch. Level Costs'!F25</f>
        <v>Customer</v>
      </c>
      <c r="G28" s="328" t="str">
        <f>'WP12 Condensed Sch. Level Costs'!H25</f>
        <v>N/A</v>
      </c>
      <c r="H28" s="342">
        <f>'WP12 Condensed Sch. Level Costs'!P25</f>
        <v>1.0137794003499056E-2</v>
      </c>
      <c r="I28" s="328">
        <f>ROUND('WP12 Condensed Sch. Level Costs'!U25,2)</f>
        <v>0</v>
      </c>
    </row>
    <row r="29" spans="1:9" x14ac:dyDescent="0.2">
      <c r="A29" s="32">
        <f t="shared" si="0"/>
        <v>21</v>
      </c>
      <c r="B29" s="27" t="str">
        <f>'WP12 Condensed Sch. Level Costs'!A26</f>
        <v>51E</v>
      </c>
      <c r="C29" s="27"/>
      <c r="D29" s="327" t="str">
        <f>'WP12 Condensed Sch. Level Costs'!C26</f>
        <v>Light Emitting Diode</v>
      </c>
      <c r="E29" s="41" t="str">
        <f>'WP12 Condensed Sch. Level Costs'!D26</f>
        <v>LED 210.01-240</v>
      </c>
      <c r="F29" s="16" t="str">
        <f>'WP12 Condensed Sch. Level Costs'!F26</f>
        <v>Customer</v>
      </c>
      <c r="G29" s="328" t="str">
        <f>'WP12 Condensed Sch. Level Costs'!H26</f>
        <v>N/A</v>
      </c>
      <c r="H29" s="342">
        <f>'WP12 Condensed Sch. Level Costs'!P26</f>
        <v>1.0137794003499056E-2</v>
      </c>
      <c r="I29" s="328">
        <f>ROUND('WP12 Condensed Sch. Level Costs'!U26,2)</f>
        <v>0</v>
      </c>
    </row>
    <row r="30" spans="1:9" x14ac:dyDescent="0.2">
      <c r="A30" s="32">
        <f t="shared" si="0"/>
        <v>22</v>
      </c>
      <c r="B30" s="27" t="str">
        <f>'WP12 Condensed Sch. Level Costs'!A27</f>
        <v>51E</v>
      </c>
      <c r="C30" s="27"/>
      <c r="D30" s="327" t="str">
        <f>'WP12 Condensed Sch. Level Costs'!C27</f>
        <v>Light Emitting Diode</v>
      </c>
      <c r="E30" s="41" t="str">
        <f>'WP12 Condensed Sch. Level Costs'!D27</f>
        <v>LED 240.01-270</v>
      </c>
      <c r="F30" s="16" t="str">
        <f>'WP12 Condensed Sch. Level Costs'!F27</f>
        <v>Customer</v>
      </c>
      <c r="G30" s="328" t="str">
        <f>'WP12 Condensed Sch. Level Costs'!H27</f>
        <v>N/A</v>
      </c>
      <c r="H30" s="342">
        <f>'WP12 Condensed Sch. Level Costs'!P27</f>
        <v>1.0137794003499056E-2</v>
      </c>
      <c r="I30" s="328">
        <f>ROUND('WP12 Condensed Sch. Level Costs'!U27,2)</f>
        <v>0</v>
      </c>
    </row>
    <row r="31" spans="1:9" x14ac:dyDescent="0.2">
      <c r="A31" s="32">
        <f t="shared" si="0"/>
        <v>23</v>
      </c>
      <c r="B31" s="27" t="str">
        <f>'WP12 Condensed Sch. Level Costs'!A28</f>
        <v>51E</v>
      </c>
      <c r="C31" s="27"/>
      <c r="D31" s="327" t="str">
        <f>'WP12 Condensed Sch. Level Costs'!C28</f>
        <v>Light Emitting Diode</v>
      </c>
      <c r="E31" s="41" t="str">
        <f>'WP12 Condensed Sch. Level Costs'!D28</f>
        <v>LED 270.01-300</v>
      </c>
      <c r="F31" s="16" t="str">
        <f>'WP12 Condensed Sch. Level Costs'!F28</f>
        <v>Customer</v>
      </c>
      <c r="G31" s="328" t="str">
        <f>'WP12 Condensed Sch. Level Costs'!H28</f>
        <v>N/A</v>
      </c>
      <c r="H31" s="342">
        <f>'WP12 Condensed Sch. Level Costs'!P28</f>
        <v>1.0137794003499056E-2</v>
      </c>
      <c r="I31" s="328">
        <f>ROUND('WP12 Condensed Sch. Level Costs'!U28,2)</f>
        <v>0</v>
      </c>
    </row>
    <row r="32" spans="1:9" x14ac:dyDescent="0.2">
      <c r="A32" s="32">
        <f t="shared" si="0"/>
        <v>24</v>
      </c>
      <c r="B32" s="27"/>
      <c r="C32" s="27"/>
      <c r="D32" s="327"/>
      <c r="E32" s="41"/>
      <c r="F32" s="16"/>
      <c r="G32" s="328"/>
      <c r="H32" s="342"/>
      <c r="I32" s="328"/>
    </row>
    <row r="33" spans="1:9" x14ac:dyDescent="0.2">
      <c r="A33" s="32">
        <f t="shared" si="0"/>
        <v>25</v>
      </c>
      <c r="B33" s="27" t="str">
        <f>'WP12 Condensed Sch. Level Costs'!A30</f>
        <v>51E</v>
      </c>
      <c r="C33" s="327" t="str">
        <f>'WP12 Condensed Sch. Level Costs'!B30</f>
        <v>SMART LIGHT</v>
      </c>
      <c r="D33" s="327" t="str">
        <f>'WP12 Condensed Sch. Level Costs'!C30</f>
        <v>Light Emitting Diode</v>
      </c>
      <c r="E33" s="41" t="str">
        <f>'WP12 Condensed Sch. Level Costs'!D30</f>
        <v>LED 0-030</v>
      </c>
      <c r="F33" s="16" t="str">
        <f>'WP12 Condensed Sch. Level Costs'!F30</f>
        <v>Customer</v>
      </c>
      <c r="G33" s="328" t="str">
        <f>'WP12 Condensed Sch. Level Costs'!H30</f>
        <v>N/A</v>
      </c>
      <c r="H33" s="342">
        <f>'WP12 Condensed Sch. Level Costs'!P30</f>
        <v>1.0137794003499056E-2</v>
      </c>
      <c r="I33" s="339">
        <f>ROUND('WP12 Condensed Sch. Level Costs'!AB30,6)</f>
        <v>0</v>
      </c>
    </row>
    <row r="34" spans="1:9" x14ac:dyDescent="0.2">
      <c r="A34" s="32">
        <f t="shared" si="0"/>
        <v>26</v>
      </c>
      <c r="B34" s="27" t="str">
        <f>'WP12 Condensed Sch. Level Costs'!A31</f>
        <v>51E</v>
      </c>
      <c r="C34" s="327" t="str">
        <f>'WP12 Condensed Sch. Level Costs'!B31</f>
        <v>SMART LIGHT</v>
      </c>
      <c r="D34" s="327" t="str">
        <f>'WP12 Condensed Sch. Level Costs'!C31</f>
        <v>Light Emitting Diode</v>
      </c>
      <c r="E34" s="41" t="str">
        <f>'WP12 Condensed Sch. Level Costs'!D31</f>
        <v>LED 030.01-060</v>
      </c>
      <c r="F34" s="16" t="str">
        <f>'WP12 Condensed Sch. Level Costs'!F31</f>
        <v>Customer</v>
      </c>
      <c r="G34" s="328" t="str">
        <f>'WP12 Condensed Sch. Level Costs'!H31</f>
        <v>N/A</v>
      </c>
      <c r="H34" s="342">
        <f>'WP12 Condensed Sch. Level Costs'!P31</f>
        <v>1.0137794003499056E-2</v>
      </c>
      <c r="I34" s="339">
        <f>ROUND('WP12 Condensed Sch. Level Costs'!AB31,6)</f>
        <v>0</v>
      </c>
    </row>
    <row r="35" spans="1:9" x14ac:dyDescent="0.2">
      <c r="A35" s="32">
        <f t="shared" si="0"/>
        <v>27</v>
      </c>
      <c r="B35" s="27" t="str">
        <f>'WP12 Condensed Sch. Level Costs'!A32</f>
        <v>51E</v>
      </c>
      <c r="C35" s="327" t="str">
        <f>'WP12 Condensed Sch. Level Costs'!B32</f>
        <v>SMART LIGHT</v>
      </c>
      <c r="D35" s="327" t="str">
        <f>'WP12 Condensed Sch. Level Costs'!C32</f>
        <v>Light Emitting Diode</v>
      </c>
      <c r="E35" s="41" t="str">
        <f>'WP12 Condensed Sch. Level Costs'!D32</f>
        <v>LED 060.01-090</v>
      </c>
      <c r="F35" s="16" t="str">
        <f>'WP12 Condensed Sch. Level Costs'!F32</f>
        <v>Customer</v>
      </c>
      <c r="G35" s="328" t="str">
        <f>'WP12 Condensed Sch. Level Costs'!H32</f>
        <v>N/A</v>
      </c>
      <c r="H35" s="342">
        <f>'WP12 Condensed Sch. Level Costs'!P32</f>
        <v>1.0137794003499056E-2</v>
      </c>
      <c r="I35" s="339">
        <f>ROUND('WP12 Condensed Sch. Level Costs'!AB32,6)</f>
        <v>0</v>
      </c>
    </row>
    <row r="36" spans="1:9" x14ac:dyDescent="0.2">
      <c r="A36" s="32">
        <f t="shared" si="0"/>
        <v>28</v>
      </c>
      <c r="B36" s="27" t="str">
        <f>'WP12 Condensed Sch. Level Costs'!A33</f>
        <v>51E</v>
      </c>
      <c r="C36" s="327" t="str">
        <f>'WP12 Condensed Sch. Level Costs'!B33</f>
        <v>SMART LIGHT</v>
      </c>
      <c r="D36" s="327" t="str">
        <f>'WP12 Condensed Sch. Level Costs'!C33</f>
        <v>Light Emitting Diode</v>
      </c>
      <c r="E36" s="41" t="str">
        <f>'WP12 Condensed Sch. Level Costs'!D33</f>
        <v>LED 090.01-120</v>
      </c>
      <c r="F36" s="16" t="str">
        <f>'WP12 Condensed Sch. Level Costs'!F33</f>
        <v>Customer</v>
      </c>
      <c r="G36" s="328" t="str">
        <f>'WP12 Condensed Sch. Level Costs'!H33</f>
        <v>N/A</v>
      </c>
      <c r="H36" s="342">
        <f>'WP12 Condensed Sch. Level Costs'!P33</f>
        <v>1.0137794003499056E-2</v>
      </c>
      <c r="I36" s="339">
        <f>ROUND('WP12 Condensed Sch. Level Costs'!AB33,6)</f>
        <v>0</v>
      </c>
    </row>
    <row r="37" spans="1:9" x14ac:dyDescent="0.2">
      <c r="A37" s="32">
        <f t="shared" si="0"/>
        <v>29</v>
      </c>
      <c r="B37" s="27" t="str">
        <f>'WP12 Condensed Sch. Level Costs'!A34</f>
        <v>51E</v>
      </c>
      <c r="C37" s="327" t="str">
        <f>'WP12 Condensed Sch. Level Costs'!B34</f>
        <v>SMART LIGHT</v>
      </c>
      <c r="D37" s="327" t="str">
        <f>'WP12 Condensed Sch. Level Costs'!C34</f>
        <v>Light Emitting Diode</v>
      </c>
      <c r="E37" s="41" t="str">
        <f>'WP12 Condensed Sch. Level Costs'!D34</f>
        <v>LED 120.01-150</v>
      </c>
      <c r="F37" s="16" t="str">
        <f>'WP12 Condensed Sch. Level Costs'!F34</f>
        <v>Customer</v>
      </c>
      <c r="G37" s="328" t="str">
        <f>'WP12 Condensed Sch. Level Costs'!H34</f>
        <v>N/A</v>
      </c>
      <c r="H37" s="342">
        <f>'WP12 Condensed Sch. Level Costs'!P34</f>
        <v>1.0137794003499056E-2</v>
      </c>
      <c r="I37" s="339">
        <f>ROUND('WP12 Condensed Sch. Level Costs'!AB34,6)</f>
        <v>0</v>
      </c>
    </row>
    <row r="38" spans="1:9" x14ac:dyDescent="0.2">
      <c r="A38" s="32">
        <f t="shared" si="0"/>
        <v>30</v>
      </c>
      <c r="B38" s="27" t="str">
        <f>'WP12 Condensed Sch. Level Costs'!A35</f>
        <v>51E</v>
      </c>
      <c r="C38" s="327" t="str">
        <f>'WP12 Condensed Sch. Level Costs'!B35</f>
        <v>SMART LIGHT</v>
      </c>
      <c r="D38" s="327" t="str">
        <f>'WP12 Condensed Sch. Level Costs'!C35</f>
        <v>Light Emitting Diode</v>
      </c>
      <c r="E38" s="41" t="str">
        <f>'WP12 Condensed Sch. Level Costs'!D35</f>
        <v>LED 150.01-180</v>
      </c>
      <c r="F38" s="16" t="str">
        <f>'WP12 Condensed Sch. Level Costs'!F35</f>
        <v>Customer</v>
      </c>
      <c r="G38" s="328" t="str">
        <f>'WP12 Condensed Sch. Level Costs'!H35</f>
        <v>N/A</v>
      </c>
      <c r="H38" s="342">
        <f>'WP12 Condensed Sch. Level Costs'!P35</f>
        <v>1.0137794003499056E-2</v>
      </c>
      <c r="I38" s="339">
        <f>ROUND('WP12 Condensed Sch. Level Costs'!AB35,6)</f>
        <v>0</v>
      </c>
    </row>
    <row r="39" spans="1:9" x14ac:dyDescent="0.2">
      <c r="A39" s="32">
        <f t="shared" si="0"/>
        <v>31</v>
      </c>
      <c r="B39" s="27" t="str">
        <f>'WP12 Condensed Sch. Level Costs'!A36</f>
        <v>51E</v>
      </c>
      <c r="C39" s="327" t="str">
        <f>'WP12 Condensed Sch. Level Costs'!B36</f>
        <v>SMART LIGHT</v>
      </c>
      <c r="D39" s="327" t="str">
        <f>'WP12 Condensed Sch. Level Costs'!C36</f>
        <v>Light Emitting Diode</v>
      </c>
      <c r="E39" s="41" t="str">
        <f>'WP12 Condensed Sch. Level Costs'!D36</f>
        <v>LED 180.01-210</v>
      </c>
      <c r="F39" s="16" t="str">
        <f>'WP12 Condensed Sch. Level Costs'!F36</f>
        <v>Customer</v>
      </c>
      <c r="G39" s="328" t="str">
        <f>'WP12 Condensed Sch. Level Costs'!H36</f>
        <v>N/A</v>
      </c>
      <c r="H39" s="342">
        <f>'WP12 Condensed Sch. Level Costs'!P36</f>
        <v>1.0137794003499056E-2</v>
      </c>
      <c r="I39" s="339">
        <f>ROUND('WP12 Condensed Sch. Level Costs'!AB36,6)</f>
        <v>0</v>
      </c>
    </row>
    <row r="40" spans="1:9" x14ac:dyDescent="0.2">
      <c r="A40" s="32">
        <f t="shared" si="0"/>
        <v>32</v>
      </c>
      <c r="B40" s="27" t="str">
        <f>'WP12 Condensed Sch. Level Costs'!A37</f>
        <v>51E</v>
      </c>
      <c r="C40" s="327" t="str">
        <f>'WP12 Condensed Sch. Level Costs'!B37</f>
        <v>SMART LIGHT</v>
      </c>
      <c r="D40" s="327" t="str">
        <f>'WP12 Condensed Sch. Level Costs'!C37</f>
        <v>Light Emitting Diode</v>
      </c>
      <c r="E40" s="41" t="str">
        <f>'WP12 Condensed Sch. Level Costs'!D37</f>
        <v>LED 210.01-240</v>
      </c>
      <c r="F40" s="16" t="str">
        <f>'WP12 Condensed Sch. Level Costs'!F37</f>
        <v>Customer</v>
      </c>
      <c r="G40" s="328" t="str">
        <f>'WP12 Condensed Sch. Level Costs'!H37</f>
        <v>N/A</v>
      </c>
      <c r="H40" s="342">
        <f>'WP12 Condensed Sch. Level Costs'!P37</f>
        <v>1.0137794003499056E-2</v>
      </c>
      <c r="I40" s="339">
        <f>ROUND('WP12 Condensed Sch. Level Costs'!AB37,6)</f>
        <v>0</v>
      </c>
    </row>
    <row r="41" spans="1:9" x14ac:dyDescent="0.2">
      <c r="A41" s="32">
        <f t="shared" si="0"/>
        <v>33</v>
      </c>
      <c r="B41" s="27" t="str">
        <f>'WP12 Condensed Sch. Level Costs'!A38</f>
        <v>51E</v>
      </c>
      <c r="C41" s="327" t="str">
        <f>'WP12 Condensed Sch. Level Costs'!B38</f>
        <v>SMART LIGHT</v>
      </c>
      <c r="D41" s="327" t="str">
        <f>'WP12 Condensed Sch. Level Costs'!C38</f>
        <v>Light Emitting Diode</v>
      </c>
      <c r="E41" s="41" t="str">
        <f>'WP12 Condensed Sch. Level Costs'!D38</f>
        <v>LED 240.01-270</v>
      </c>
      <c r="F41" s="16" t="str">
        <f>'WP12 Condensed Sch. Level Costs'!F38</f>
        <v>Customer</v>
      </c>
      <c r="G41" s="328" t="str">
        <f>'WP12 Condensed Sch. Level Costs'!H38</f>
        <v>N/A</v>
      </c>
      <c r="H41" s="342">
        <f>'WP12 Condensed Sch. Level Costs'!P38</f>
        <v>1.0137794003499056E-2</v>
      </c>
      <c r="I41" s="339">
        <f>ROUND('WP12 Condensed Sch. Level Costs'!AB38,6)</f>
        <v>0</v>
      </c>
    </row>
    <row r="42" spans="1:9" x14ac:dyDescent="0.2">
      <c r="A42" s="32">
        <f t="shared" si="0"/>
        <v>34</v>
      </c>
      <c r="B42" s="27" t="str">
        <f>'WP12 Condensed Sch. Level Costs'!A39</f>
        <v>51E</v>
      </c>
      <c r="C42" s="327" t="str">
        <f>'WP12 Condensed Sch. Level Costs'!B39</f>
        <v>SMART LIGHT</v>
      </c>
      <c r="D42" s="327" t="str">
        <f>'WP12 Condensed Sch. Level Costs'!C39</f>
        <v>Light Emitting Diode</v>
      </c>
      <c r="E42" s="41" t="str">
        <f>'WP12 Condensed Sch. Level Costs'!D39</f>
        <v>LED 270.01-300</v>
      </c>
      <c r="F42" s="16" t="str">
        <f>'WP12 Condensed Sch. Level Costs'!F39</f>
        <v>Customer</v>
      </c>
      <c r="G42" s="328" t="str">
        <f>'WP12 Condensed Sch. Level Costs'!H39</f>
        <v>N/A</v>
      </c>
      <c r="H42" s="342">
        <f>'WP12 Condensed Sch. Level Costs'!P39</f>
        <v>1.0137794003499056E-2</v>
      </c>
      <c r="I42" s="339">
        <f>ROUND('WP12 Condensed Sch. Level Costs'!AB39,6)</f>
        <v>0</v>
      </c>
    </row>
    <row r="43" spans="1:9" x14ac:dyDescent="0.2">
      <c r="A43" s="32">
        <f t="shared" si="0"/>
        <v>35</v>
      </c>
      <c r="B43" s="27"/>
      <c r="C43" s="27"/>
      <c r="D43" s="327"/>
      <c r="E43" s="41"/>
      <c r="F43" s="16"/>
      <c r="G43" s="328"/>
      <c r="H43" s="342"/>
      <c r="I43" s="328"/>
    </row>
    <row r="44" spans="1:9" x14ac:dyDescent="0.2">
      <c r="A44" s="32">
        <f t="shared" si="0"/>
        <v>36</v>
      </c>
      <c r="B44" s="27" t="str">
        <f>'WP12 Condensed Sch. Level Costs'!A40</f>
        <v>Sch 52E</v>
      </c>
      <c r="C44" s="27"/>
      <c r="D44" s="327"/>
      <c r="E44" s="41"/>
      <c r="F44" s="16"/>
      <c r="G44" s="328"/>
      <c r="H44" s="342"/>
      <c r="I44" s="328"/>
    </row>
    <row r="45" spans="1:9" x14ac:dyDescent="0.2">
      <c r="A45" s="32">
        <f t="shared" si="0"/>
        <v>37</v>
      </c>
      <c r="B45" s="27" t="str">
        <f>'WP12 Condensed Sch. Level Costs'!A41</f>
        <v xml:space="preserve">52E </v>
      </c>
      <c r="C45" s="27"/>
      <c r="D45" s="327" t="str">
        <f>'WP12 Condensed Sch. Level Costs'!C41</f>
        <v>Sodium Vapor</v>
      </c>
      <c r="E45" s="41" t="str">
        <f>'WP12 Condensed Sch. Level Costs'!D41</f>
        <v>SV 50</v>
      </c>
      <c r="F45" s="16" t="str">
        <f>'WP12 Condensed Sch. Level Costs'!F41</f>
        <v>Customer</v>
      </c>
      <c r="G45" s="328" t="str">
        <f>'WP12 Condensed Sch. Level Costs'!H41</f>
        <v>N/A</v>
      </c>
      <c r="H45" s="342">
        <f>'WP12 Condensed Sch. Level Costs'!P41</f>
        <v>1.0137794003499056E-2</v>
      </c>
      <c r="I45" s="328">
        <f>ROUND('WP12 Condensed Sch. Level Costs'!U41,2)</f>
        <v>0</v>
      </c>
    </row>
    <row r="46" spans="1:9" x14ac:dyDescent="0.2">
      <c r="A46" s="32">
        <f t="shared" si="0"/>
        <v>38</v>
      </c>
      <c r="B46" s="27" t="str">
        <f>'WP12 Condensed Sch. Level Costs'!A42</f>
        <v xml:space="preserve">52E </v>
      </c>
      <c r="C46" s="27"/>
      <c r="D46" s="327" t="str">
        <f>'WP12 Condensed Sch. Level Costs'!C42</f>
        <v>Sodium Vapor</v>
      </c>
      <c r="E46" s="41" t="str">
        <f>'WP12 Condensed Sch. Level Costs'!D42</f>
        <v>SV 070</v>
      </c>
      <c r="F46" s="16" t="str">
        <f>'WP12 Condensed Sch. Level Costs'!F42</f>
        <v>Customer</v>
      </c>
      <c r="G46" s="328" t="str">
        <f>'WP12 Condensed Sch. Level Costs'!H42</f>
        <v>N/A</v>
      </c>
      <c r="H46" s="342">
        <f>'WP12 Condensed Sch. Level Costs'!P42</f>
        <v>1.0137794003499056E-2</v>
      </c>
      <c r="I46" s="328">
        <f>ROUND('WP12 Condensed Sch. Level Costs'!U42,2)</f>
        <v>0</v>
      </c>
    </row>
    <row r="47" spans="1:9" x14ac:dyDescent="0.2">
      <c r="A47" s="32">
        <f t="shared" si="0"/>
        <v>39</v>
      </c>
      <c r="B47" s="27" t="str">
        <f>'WP12 Condensed Sch. Level Costs'!A43</f>
        <v xml:space="preserve">52E </v>
      </c>
      <c r="C47" s="27"/>
      <c r="D47" s="327" t="str">
        <f>'WP12 Condensed Sch. Level Costs'!C43</f>
        <v>Sodium Vapor</v>
      </c>
      <c r="E47" s="41" t="str">
        <f>'WP12 Condensed Sch. Level Costs'!D43</f>
        <v>SV 100</v>
      </c>
      <c r="F47" s="16" t="str">
        <f>'WP12 Condensed Sch. Level Costs'!F43</f>
        <v>Customer</v>
      </c>
      <c r="G47" s="328" t="str">
        <f>'WP12 Condensed Sch. Level Costs'!H43</f>
        <v>N/A</v>
      </c>
      <c r="H47" s="342">
        <f>'WP12 Condensed Sch. Level Costs'!P43</f>
        <v>1.0137794003499056E-2</v>
      </c>
      <c r="I47" s="328">
        <f>ROUND('WP12 Condensed Sch. Level Costs'!U43,2)</f>
        <v>0</v>
      </c>
    </row>
    <row r="48" spans="1:9" x14ac:dyDescent="0.2">
      <c r="A48" s="32">
        <f t="shared" si="0"/>
        <v>40</v>
      </c>
      <c r="B48" s="27" t="str">
        <f>'WP12 Condensed Sch. Level Costs'!A44</f>
        <v xml:space="preserve">52E </v>
      </c>
      <c r="C48" s="27"/>
      <c r="D48" s="327" t="str">
        <f>'WP12 Condensed Sch. Level Costs'!C44</f>
        <v>Sodium Vapor</v>
      </c>
      <c r="E48" s="41" t="str">
        <f>'WP12 Condensed Sch. Level Costs'!D44</f>
        <v>SV 150</v>
      </c>
      <c r="F48" s="16" t="str">
        <f>'WP12 Condensed Sch. Level Costs'!F44</f>
        <v>Customer</v>
      </c>
      <c r="G48" s="328" t="str">
        <f>'WP12 Condensed Sch. Level Costs'!H44</f>
        <v>N/A</v>
      </c>
      <c r="H48" s="342">
        <f>'WP12 Condensed Sch. Level Costs'!P44</f>
        <v>1.0137794003499056E-2</v>
      </c>
      <c r="I48" s="328">
        <f>ROUND('WP12 Condensed Sch. Level Costs'!U44,2)</f>
        <v>0</v>
      </c>
    </row>
    <row r="49" spans="1:9" x14ac:dyDescent="0.2">
      <c r="A49" s="32">
        <f t="shared" si="0"/>
        <v>41</v>
      </c>
      <c r="B49" s="27" t="str">
        <f>'WP12 Condensed Sch. Level Costs'!A45</f>
        <v xml:space="preserve">52E </v>
      </c>
      <c r="C49" s="27"/>
      <c r="D49" s="327" t="str">
        <f>'WP12 Condensed Sch. Level Costs'!C45</f>
        <v>Sodium Vapor</v>
      </c>
      <c r="E49" s="41" t="str">
        <f>'WP12 Condensed Sch. Level Costs'!D45</f>
        <v>SV 200</v>
      </c>
      <c r="F49" s="16" t="str">
        <f>'WP12 Condensed Sch. Level Costs'!F45</f>
        <v>Customer</v>
      </c>
      <c r="G49" s="328" t="str">
        <f>'WP12 Condensed Sch. Level Costs'!H45</f>
        <v>N/A</v>
      </c>
      <c r="H49" s="342">
        <f>'WP12 Condensed Sch. Level Costs'!P45</f>
        <v>1.0137794003499056E-2</v>
      </c>
      <c r="I49" s="328">
        <f>ROUND('WP12 Condensed Sch. Level Costs'!U45,2)</f>
        <v>0</v>
      </c>
    </row>
    <row r="50" spans="1:9" x14ac:dyDescent="0.2">
      <c r="A50" s="32">
        <f t="shared" si="0"/>
        <v>42</v>
      </c>
      <c r="B50" s="27" t="str">
        <f>'WP12 Condensed Sch. Level Costs'!A46</f>
        <v xml:space="preserve">52E </v>
      </c>
      <c r="C50" s="27"/>
      <c r="D50" s="327" t="str">
        <f>'WP12 Condensed Sch. Level Costs'!C46</f>
        <v>Sodium Vapor</v>
      </c>
      <c r="E50" s="41" t="str">
        <f>'WP12 Condensed Sch. Level Costs'!D46</f>
        <v>SV 250</v>
      </c>
      <c r="F50" s="16" t="str">
        <f>'WP12 Condensed Sch. Level Costs'!F46</f>
        <v>Customer</v>
      </c>
      <c r="G50" s="328" t="str">
        <f>'WP12 Condensed Sch. Level Costs'!H46</f>
        <v>N/A</v>
      </c>
      <c r="H50" s="342">
        <f>'WP12 Condensed Sch. Level Costs'!P46</f>
        <v>1.0137794003499056E-2</v>
      </c>
      <c r="I50" s="328">
        <f>ROUND('WP12 Condensed Sch. Level Costs'!U46,2)</f>
        <v>0</v>
      </c>
    </row>
    <row r="51" spans="1:9" x14ac:dyDescent="0.2">
      <c r="A51" s="32">
        <f t="shared" si="0"/>
        <v>43</v>
      </c>
      <c r="B51" s="27" t="str">
        <f>'WP12 Condensed Sch. Level Costs'!A47</f>
        <v xml:space="preserve">52E </v>
      </c>
      <c r="C51" s="27"/>
      <c r="D51" s="327" t="str">
        <f>'WP12 Condensed Sch. Level Costs'!C47</f>
        <v>Sodium Vapor</v>
      </c>
      <c r="E51" s="41" t="str">
        <f>'WP12 Condensed Sch. Level Costs'!D47</f>
        <v>SV 310</v>
      </c>
      <c r="F51" s="16" t="str">
        <f>'WP12 Condensed Sch. Level Costs'!F47</f>
        <v>Customer</v>
      </c>
      <c r="G51" s="328" t="str">
        <f>'WP12 Condensed Sch. Level Costs'!H47</f>
        <v>N/A</v>
      </c>
      <c r="H51" s="342">
        <f>'WP12 Condensed Sch. Level Costs'!P47</f>
        <v>1.0137794003499056E-2</v>
      </c>
      <c r="I51" s="328">
        <f>ROUND('WP12 Condensed Sch. Level Costs'!U47,2)</f>
        <v>0</v>
      </c>
    </row>
    <row r="52" spans="1:9" x14ac:dyDescent="0.2">
      <c r="A52" s="32">
        <f t="shared" si="0"/>
        <v>44</v>
      </c>
      <c r="B52" s="27" t="str">
        <f>'WP12 Condensed Sch. Level Costs'!A48</f>
        <v xml:space="preserve">52E </v>
      </c>
      <c r="C52" s="27"/>
      <c r="D52" s="327" t="str">
        <f>'WP12 Condensed Sch. Level Costs'!C48</f>
        <v>Sodium Vapor</v>
      </c>
      <c r="E52" s="41" t="str">
        <f>'WP12 Condensed Sch. Level Costs'!D48</f>
        <v>SV 400</v>
      </c>
      <c r="F52" s="16" t="str">
        <f>'WP12 Condensed Sch. Level Costs'!F48</f>
        <v>Customer</v>
      </c>
      <c r="G52" s="328" t="str">
        <f>'WP12 Condensed Sch. Level Costs'!H48</f>
        <v>N/A</v>
      </c>
      <c r="H52" s="342">
        <f>'WP12 Condensed Sch. Level Costs'!P48</f>
        <v>1.0137794003499056E-2</v>
      </c>
      <c r="I52" s="328">
        <f>ROUND('WP12 Condensed Sch. Level Costs'!U48,2)</f>
        <v>0</v>
      </c>
    </row>
    <row r="53" spans="1:9" x14ac:dyDescent="0.2">
      <c r="A53" s="32">
        <f t="shared" si="0"/>
        <v>45</v>
      </c>
      <c r="B53" s="27"/>
      <c r="C53" s="27"/>
      <c r="D53" s="327"/>
      <c r="E53" s="41"/>
      <c r="F53" s="16"/>
      <c r="G53" s="328"/>
      <c r="H53" s="342"/>
      <c r="I53" s="328"/>
    </row>
    <row r="54" spans="1:9" x14ac:dyDescent="0.2">
      <c r="A54" s="32">
        <f t="shared" si="0"/>
        <v>46</v>
      </c>
      <c r="B54" s="27" t="str">
        <f>'WP12 Condensed Sch. Level Costs'!A50</f>
        <v xml:space="preserve">52E </v>
      </c>
      <c r="C54" s="27"/>
      <c r="D54" s="327" t="str">
        <f>'WP12 Condensed Sch. Level Costs'!C50</f>
        <v>Metal Halide</v>
      </c>
      <c r="E54" s="41" t="str">
        <f>'WP12 Condensed Sch. Level Costs'!D50</f>
        <v>MH 070</v>
      </c>
      <c r="F54" s="16" t="str">
        <f>'WP12 Condensed Sch. Level Costs'!F50</f>
        <v>Customer</v>
      </c>
      <c r="G54" s="328" t="str">
        <f>'WP12 Condensed Sch. Level Costs'!H50</f>
        <v>N/A</v>
      </c>
      <c r="H54" s="342">
        <f>'WP12 Condensed Sch. Level Costs'!P50</f>
        <v>1.0137794003499056E-2</v>
      </c>
      <c r="I54" s="328">
        <f>ROUND('WP12 Condensed Sch. Level Costs'!U50,2)</f>
        <v>0</v>
      </c>
    </row>
    <row r="55" spans="1:9" x14ac:dyDescent="0.2">
      <c r="A55" s="32">
        <f t="shared" si="0"/>
        <v>47</v>
      </c>
      <c r="B55" s="27" t="str">
        <f>'WP12 Condensed Sch. Level Costs'!A51</f>
        <v xml:space="preserve">52E </v>
      </c>
      <c r="C55" s="27"/>
      <c r="D55" s="327" t="str">
        <f>'WP12 Condensed Sch. Level Costs'!C51</f>
        <v>Metal Halide</v>
      </c>
      <c r="E55" s="41" t="str">
        <f>'WP12 Condensed Sch. Level Costs'!D51</f>
        <v>MH 100</v>
      </c>
      <c r="F55" s="16" t="str">
        <f>'WP12 Condensed Sch. Level Costs'!F51</f>
        <v>Customer</v>
      </c>
      <c r="G55" s="328" t="str">
        <f>'WP12 Condensed Sch. Level Costs'!H51</f>
        <v>N/A</v>
      </c>
      <c r="H55" s="342">
        <f>'WP12 Condensed Sch. Level Costs'!P51</f>
        <v>1.0137794003499056E-2</v>
      </c>
      <c r="I55" s="328">
        <f>ROUND('WP12 Condensed Sch. Level Costs'!U51,2)</f>
        <v>0</v>
      </c>
    </row>
    <row r="56" spans="1:9" x14ac:dyDescent="0.2">
      <c r="A56" s="32">
        <f t="shared" si="0"/>
        <v>48</v>
      </c>
      <c r="B56" s="27" t="str">
        <f>'WP12 Condensed Sch. Level Costs'!A52</f>
        <v xml:space="preserve">52E </v>
      </c>
      <c r="C56" s="27"/>
      <c r="D56" s="327" t="str">
        <f>'WP12 Condensed Sch. Level Costs'!C52</f>
        <v>Metal Halide</v>
      </c>
      <c r="E56" s="41" t="str">
        <f>'WP12 Condensed Sch. Level Costs'!D52</f>
        <v>MH 150</v>
      </c>
      <c r="F56" s="16" t="str">
        <f>'WP12 Condensed Sch. Level Costs'!F52</f>
        <v>Customer</v>
      </c>
      <c r="G56" s="328" t="str">
        <f>'WP12 Condensed Sch. Level Costs'!H52</f>
        <v>N/A</v>
      </c>
      <c r="H56" s="342">
        <f>'WP12 Condensed Sch. Level Costs'!P52</f>
        <v>1.0137794003499056E-2</v>
      </c>
      <c r="I56" s="328">
        <f>ROUND('WP12 Condensed Sch. Level Costs'!U52,2)</f>
        <v>0</v>
      </c>
    </row>
    <row r="57" spans="1:9" x14ac:dyDescent="0.2">
      <c r="A57" s="32">
        <f t="shared" si="0"/>
        <v>49</v>
      </c>
      <c r="B57" s="27" t="str">
        <f>'WP12 Condensed Sch. Level Costs'!A53</f>
        <v xml:space="preserve">52E </v>
      </c>
      <c r="C57" s="27"/>
      <c r="D57" s="327" t="str">
        <f>'WP12 Condensed Sch. Level Costs'!C53</f>
        <v>Metal Halide</v>
      </c>
      <c r="E57" s="41" t="str">
        <f>'WP12 Condensed Sch. Level Costs'!D53</f>
        <v>MH 175</v>
      </c>
      <c r="F57" s="16" t="str">
        <f>'WP12 Condensed Sch. Level Costs'!F53</f>
        <v>Customer</v>
      </c>
      <c r="G57" s="328" t="str">
        <f>'WP12 Condensed Sch. Level Costs'!H53</f>
        <v>N/A</v>
      </c>
      <c r="H57" s="342">
        <f>'WP12 Condensed Sch. Level Costs'!P53</f>
        <v>1.0137794003499056E-2</v>
      </c>
      <c r="I57" s="328">
        <f>ROUND('WP12 Condensed Sch. Level Costs'!U53,2)</f>
        <v>0</v>
      </c>
    </row>
    <row r="58" spans="1:9" x14ac:dyDescent="0.2">
      <c r="A58" s="32">
        <f t="shared" si="0"/>
        <v>50</v>
      </c>
      <c r="B58" s="27" t="str">
        <f>'WP12 Condensed Sch. Level Costs'!A54</f>
        <v xml:space="preserve">52E </v>
      </c>
      <c r="C58" s="27"/>
      <c r="D58" s="327" t="str">
        <f>'WP12 Condensed Sch. Level Costs'!C54</f>
        <v>Metal Halide</v>
      </c>
      <c r="E58" s="41" t="str">
        <f>'WP12 Condensed Sch. Level Costs'!D54</f>
        <v>MH 250</v>
      </c>
      <c r="F58" s="16" t="str">
        <f>'WP12 Condensed Sch. Level Costs'!F54</f>
        <v>Customer</v>
      </c>
      <c r="G58" s="328" t="str">
        <f>'WP12 Condensed Sch. Level Costs'!H54</f>
        <v>N/A</v>
      </c>
      <c r="H58" s="342">
        <f>'WP12 Condensed Sch. Level Costs'!P54</f>
        <v>1.0137794003499056E-2</v>
      </c>
      <c r="I58" s="328">
        <f>ROUND('WP12 Condensed Sch. Level Costs'!U54,2)</f>
        <v>0</v>
      </c>
    </row>
    <row r="59" spans="1:9" x14ac:dyDescent="0.2">
      <c r="A59" s="32">
        <f t="shared" si="0"/>
        <v>51</v>
      </c>
      <c r="B59" s="27" t="str">
        <f>'WP12 Condensed Sch. Level Costs'!A55</f>
        <v xml:space="preserve">52E </v>
      </c>
      <c r="C59" s="27"/>
      <c r="D59" s="327" t="str">
        <f>'WP12 Condensed Sch. Level Costs'!C55</f>
        <v>Metal Halide</v>
      </c>
      <c r="E59" s="41" t="str">
        <f>'WP12 Condensed Sch. Level Costs'!D55</f>
        <v>MH 400</v>
      </c>
      <c r="F59" s="16" t="str">
        <f>'WP12 Condensed Sch. Level Costs'!F55</f>
        <v>Customer</v>
      </c>
      <c r="G59" s="328" t="str">
        <f>'WP12 Condensed Sch. Level Costs'!H55</f>
        <v>N/A</v>
      </c>
      <c r="H59" s="342">
        <f>'WP12 Condensed Sch. Level Costs'!P55</f>
        <v>1.0137794003499056E-2</v>
      </c>
      <c r="I59" s="328">
        <f>ROUND('WP12 Condensed Sch. Level Costs'!U55,2)</f>
        <v>0</v>
      </c>
    </row>
    <row r="60" spans="1:9" x14ac:dyDescent="0.2">
      <c r="A60" s="32">
        <f t="shared" si="0"/>
        <v>52</v>
      </c>
      <c r="B60" s="27" t="str">
        <f>'WP12 Condensed Sch. Level Costs'!A56</f>
        <v xml:space="preserve">52E </v>
      </c>
      <c r="C60" s="27"/>
      <c r="D60" s="327" t="str">
        <f>'WP12 Condensed Sch. Level Costs'!C56</f>
        <v>Metal Halide</v>
      </c>
      <c r="E60" s="41" t="str">
        <f>'WP12 Condensed Sch. Level Costs'!D56</f>
        <v>MH 1000</v>
      </c>
      <c r="F60" s="16" t="str">
        <f>'WP12 Condensed Sch. Level Costs'!F56</f>
        <v>Customer</v>
      </c>
      <c r="G60" s="328" t="str">
        <f>'WP12 Condensed Sch. Level Costs'!H56</f>
        <v>N/A</v>
      </c>
      <c r="H60" s="342">
        <f>'WP12 Condensed Sch. Level Costs'!P56</f>
        <v>1.0137794003499056E-2</v>
      </c>
      <c r="I60" s="328">
        <f>ROUND('WP12 Condensed Sch. Level Costs'!U56,2)</f>
        <v>0</v>
      </c>
    </row>
    <row r="61" spans="1:9" x14ac:dyDescent="0.2">
      <c r="A61" s="32">
        <f t="shared" si="0"/>
        <v>53</v>
      </c>
      <c r="B61" s="27"/>
      <c r="C61" s="27"/>
      <c r="D61" s="327"/>
      <c r="E61" s="41"/>
      <c r="F61" s="16"/>
      <c r="G61" s="328"/>
      <c r="H61" s="342"/>
      <c r="I61" s="328"/>
    </row>
    <row r="62" spans="1:9" x14ac:dyDescent="0.2">
      <c r="A62" s="32">
        <f t="shared" si="0"/>
        <v>54</v>
      </c>
      <c r="B62" s="27" t="str">
        <f>'WP12 Condensed Sch. Level Costs'!A57</f>
        <v>Sch 53E</v>
      </c>
      <c r="C62" s="27"/>
      <c r="D62" s="327"/>
      <c r="E62" s="41"/>
      <c r="F62" s="16"/>
      <c r="G62" s="328"/>
      <c r="H62" s="342"/>
      <c r="I62" s="328"/>
    </row>
    <row r="63" spans="1:9" x14ac:dyDescent="0.2">
      <c r="A63" s="32">
        <f t="shared" si="0"/>
        <v>55</v>
      </c>
      <c r="B63" s="27" t="str">
        <f>'WP12 Condensed Sch. Level Costs'!A58</f>
        <v>53E - Company Owned</v>
      </c>
      <c r="C63" s="27"/>
      <c r="D63" s="327" t="str">
        <f>'WP12 Condensed Sch. Level Costs'!C58</f>
        <v>Sodium Vapor</v>
      </c>
      <c r="E63" s="41" t="str">
        <f>'WP12 Condensed Sch. Level Costs'!D58</f>
        <v>SV 050</v>
      </c>
      <c r="F63" s="16" t="str">
        <f>'WP12 Condensed Sch. Level Costs'!F58</f>
        <v>Company</v>
      </c>
      <c r="G63" s="328">
        <f>'WP12 Condensed Sch. Level Costs'!H58</f>
        <v>847.10701856946366</v>
      </c>
      <c r="H63" s="342">
        <f>'WP12 Condensed Sch. Level Costs'!P58</f>
        <v>1.0137794003499056E-2</v>
      </c>
      <c r="I63" s="328">
        <f>ROUND('WP12 Condensed Sch. Level Costs'!U58,2)</f>
        <v>8.59</v>
      </c>
    </row>
    <row r="64" spans="1:9" x14ac:dyDescent="0.2">
      <c r="A64" s="32">
        <f t="shared" si="0"/>
        <v>56</v>
      </c>
      <c r="B64" s="27" t="str">
        <f>'WP12 Condensed Sch. Level Costs'!A59</f>
        <v>53E - Company Owned</v>
      </c>
      <c r="C64" s="27"/>
      <c r="D64" s="327" t="str">
        <f>'WP12 Condensed Sch. Level Costs'!C59</f>
        <v>Sodium Vapor</v>
      </c>
      <c r="E64" s="41" t="str">
        <f>'WP12 Condensed Sch. Level Costs'!D59</f>
        <v>SV 070</v>
      </c>
      <c r="F64" s="16" t="str">
        <f>'WP12 Condensed Sch. Level Costs'!F59</f>
        <v>Company</v>
      </c>
      <c r="G64" s="328">
        <f>'WP12 Condensed Sch. Level Costs'!H59</f>
        <v>908.27</v>
      </c>
      <c r="H64" s="342">
        <f>'WP12 Condensed Sch. Level Costs'!P59</f>
        <v>1.0137794003499056E-2</v>
      </c>
      <c r="I64" s="328">
        <f>ROUND('WP12 Condensed Sch. Level Costs'!U59,2)</f>
        <v>9.2100000000000009</v>
      </c>
    </row>
    <row r="65" spans="1:9" x14ac:dyDescent="0.2">
      <c r="A65" s="32">
        <f t="shared" si="0"/>
        <v>57</v>
      </c>
      <c r="B65" s="27" t="str">
        <f>'WP12 Condensed Sch. Level Costs'!A60</f>
        <v>53E - Company Owned</v>
      </c>
      <c r="C65" s="27"/>
      <c r="D65" s="327" t="str">
        <f>'WP12 Condensed Sch. Level Costs'!C60</f>
        <v>Sodium Vapor</v>
      </c>
      <c r="E65" s="41" t="str">
        <f>'WP12 Condensed Sch. Level Costs'!D60</f>
        <v>SV 100</v>
      </c>
      <c r="F65" s="16" t="str">
        <f>'WP12 Condensed Sch. Level Costs'!F60</f>
        <v>Company</v>
      </c>
      <c r="G65" s="328">
        <f>'WP12 Condensed Sch. Level Costs'!H60</f>
        <v>855.82</v>
      </c>
      <c r="H65" s="342">
        <f>'WP12 Condensed Sch. Level Costs'!P60</f>
        <v>1.0137794003499056E-2</v>
      </c>
      <c r="I65" s="328">
        <f>ROUND('WP12 Condensed Sch. Level Costs'!U60,2)</f>
        <v>8.68</v>
      </c>
    </row>
    <row r="66" spans="1:9" x14ac:dyDescent="0.2">
      <c r="A66" s="32">
        <f t="shared" si="0"/>
        <v>58</v>
      </c>
      <c r="B66" s="27" t="str">
        <f>'WP12 Condensed Sch. Level Costs'!A61</f>
        <v>53E - Company Owned</v>
      </c>
      <c r="C66" s="27"/>
      <c r="D66" s="327" t="str">
        <f>'WP12 Condensed Sch. Level Costs'!C61</f>
        <v>Sodium Vapor</v>
      </c>
      <c r="E66" s="41" t="str">
        <f>'WP12 Condensed Sch. Level Costs'!D61</f>
        <v>SV 150</v>
      </c>
      <c r="F66" s="16" t="str">
        <f>'WP12 Condensed Sch. Level Costs'!F61</f>
        <v>Company</v>
      </c>
      <c r="G66" s="328">
        <f>'WP12 Condensed Sch. Level Costs'!H61</f>
        <v>857.29</v>
      </c>
      <c r="H66" s="342">
        <f>'WP12 Condensed Sch. Level Costs'!P61</f>
        <v>1.0137794003499056E-2</v>
      </c>
      <c r="I66" s="328">
        <f>ROUND('WP12 Condensed Sch. Level Costs'!U61,2)</f>
        <v>8.69</v>
      </c>
    </row>
    <row r="67" spans="1:9" x14ac:dyDescent="0.2">
      <c r="A67" s="32">
        <f t="shared" si="0"/>
        <v>59</v>
      </c>
      <c r="B67" s="27" t="str">
        <f>'WP12 Condensed Sch. Level Costs'!A62</f>
        <v>53E - Company Owned</v>
      </c>
      <c r="C67" s="27"/>
      <c r="D67" s="327" t="str">
        <f>'WP12 Condensed Sch. Level Costs'!C62</f>
        <v>Sodium Vapor</v>
      </c>
      <c r="E67" s="41" t="str">
        <f>'WP12 Condensed Sch. Level Costs'!D62</f>
        <v>SV 200</v>
      </c>
      <c r="F67" s="16" t="str">
        <f>'WP12 Condensed Sch. Level Costs'!F62</f>
        <v>Company</v>
      </c>
      <c r="G67" s="328">
        <f>'WP12 Condensed Sch. Level Costs'!H62</f>
        <v>906.86</v>
      </c>
      <c r="H67" s="342">
        <f>'WP12 Condensed Sch. Level Costs'!P62</f>
        <v>1.0137794003499056E-2</v>
      </c>
      <c r="I67" s="328">
        <f>ROUND('WP12 Condensed Sch. Level Costs'!U62,2)</f>
        <v>9.19</v>
      </c>
    </row>
    <row r="68" spans="1:9" x14ac:dyDescent="0.2">
      <c r="A68" s="32">
        <f t="shared" si="0"/>
        <v>60</v>
      </c>
      <c r="B68" s="27" t="str">
        <f>'WP12 Condensed Sch. Level Costs'!A63</f>
        <v>53E - Company Owned</v>
      </c>
      <c r="C68" s="27"/>
      <c r="D68" s="327" t="str">
        <f>'WP12 Condensed Sch. Level Costs'!C63</f>
        <v>Sodium Vapor</v>
      </c>
      <c r="E68" s="41" t="str">
        <f>'WP12 Condensed Sch. Level Costs'!D63</f>
        <v>SV 250</v>
      </c>
      <c r="F68" s="16" t="str">
        <f>'WP12 Condensed Sch. Level Costs'!F63</f>
        <v>Company</v>
      </c>
      <c r="G68" s="328">
        <f>'WP12 Condensed Sch. Level Costs'!H63</f>
        <v>922.99</v>
      </c>
      <c r="H68" s="342">
        <f>'WP12 Condensed Sch. Level Costs'!P63</f>
        <v>1.0137794003499056E-2</v>
      </c>
      <c r="I68" s="328">
        <f>ROUND('WP12 Condensed Sch. Level Costs'!U63,2)</f>
        <v>9.36</v>
      </c>
    </row>
    <row r="69" spans="1:9" x14ac:dyDescent="0.2">
      <c r="A69" s="32">
        <f t="shared" si="0"/>
        <v>61</v>
      </c>
      <c r="B69" s="27" t="str">
        <f>'WP12 Condensed Sch. Level Costs'!A64</f>
        <v>53E - Company Owned</v>
      </c>
      <c r="C69" s="27"/>
      <c r="D69" s="327" t="str">
        <f>'WP12 Condensed Sch. Level Costs'!C64</f>
        <v>Sodium Vapor</v>
      </c>
      <c r="E69" s="41" t="str">
        <f>'WP12 Condensed Sch. Level Costs'!D64</f>
        <v>SV 310</v>
      </c>
      <c r="F69" s="16" t="str">
        <f>'WP12 Condensed Sch. Level Costs'!F64</f>
        <v>Company</v>
      </c>
      <c r="G69" s="328">
        <f>'WP12 Condensed Sch. Level Costs'!H64</f>
        <v>960.17</v>
      </c>
      <c r="H69" s="342">
        <f>'WP12 Condensed Sch. Level Costs'!P64</f>
        <v>1.0137794003499056E-2</v>
      </c>
      <c r="I69" s="328">
        <f>ROUND('WP12 Condensed Sch. Level Costs'!U64,2)</f>
        <v>9.73</v>
      </c>
    </row>
    <row r="70" spans="1:9" x14ac:dyDescent="0.2">
      <c r="A70" s="32">
        <f t="shared" si="0"/>
        <v>62</v>
      </c>
      <c r="B70" s="27" t="str">
        <f>'WP12 Condensed Sch. Level Costs'!A65</f>
        <v>53E - Company Owned</v>
      </c>
      <c r="C70" s="27"/>
      <c r="D70" s="327" t="str">
        <f>'WP12 Condensed Sch. Level Costs'!C65</f>
        <v>Sodium Vapor</v>
      </c>
      <c r="E70" s="41" t="str">
        <f>'WP12 Condensed Sch. Level Costs'!D65</f>
        <v>SV 400</v>
      </c>
      <c r="F70" s="16" t="str">
        <f>'WP12 Condensed Sch. Level Costs'!F65</f>
        <v>Company</v>
      </c>
      <c r="G70" s="328">
        <f>'WP12 Condensed Sch. Level Costs'!H65</f>
        <v>1029.9100000000001</v>
      </c>
      <c r="H70" s="342">
        <f>'WP12 Condensed Sch. Level Costs'!P65</f>
        <v>1.0137794003499056E-2</v>
      </c>
      <c r="I70" s="328">
        <f>ROUND('WP12 Condensed Sch. Level Costs'!U65,2)</f>
        <v>10.44</v>
      </c>
    </row>
    <row r="71" spans="1:9" x14ac:dyDescent="0.2">
      <c r="A71" s="32">
        <f t="shared" si="0"/>
        <v>63</v>
      </c>
      <c r="B71" s="27" t="str">
        <f>'WP12 Condensed Sch. Level Costs'!A66</f>
        <v>53E - Company Owned</v>
      </c>
      <c r="C71" s="27"/>
      <c r="D71" s="327" t="str">
        <f>'WP12 Condensed Sch. Level Costs'!C66</f>
        <v>Sodium Vapor</v>
      </c>
      <c r="E71" s="41" t="str">
        <f>'WP12 Condensed Sch. Level Costs'!D66</f>
        <v>SV 1000</v>
      </c>
      <c r="F71" s="16" t="str">
        <f>'WP12 Condensed Sch. Level Costs'!F66</f>
        <v>Company</v>
      </c>
      <c r="G71" s="328">
        <f>'WP12 Condensed Sch. Level Costs'!H66</f>
        <v>1277.1803163686384</v>
      </c>
      <c r="H71" s="342">
        <f>'WP12 Condensed Sch. Level Costs'!P66</f>
        <v>1.0137794003499056E-2</v>
      </c>
      <c r="I71" s="328">
        <f>ROUND('WP12 Condensed Sch. Level Costs'!U66,2)</f>
        <v>12.95</v>
      </c>
    </row>
    <row r="72" spans="1:9" x14ac:dyDescent="0.2">
      <c r="A72" s="32">
        <f t="shared" si="0"/>
        <v>64</v>
      </c>
      <c r="B72" s="27"/>
      <c r="C72" s="27"/>
      <c r="D72" s="327"/>
      <c r="E72" s="41"/>
      <c r="F72" s="16"/>
      <c r="G72" s="328"/>
      <c r="H72" s="342"/>
      <c r="I72" s="328"/>
    </row>
    <row r="73" spans="1:9" x14ac:dyDescent="0.2">
      <c r="A73" s="32">
        <f t="shared" si="0"/>
        <v>65</v>
      </c>
      <c r="B73" s="27" t="str">
        <f>'WP12 Condensed Sch. Level Costs'!A68</f>
        <v>53E - Company Owned</v>
      </c>
      <c r="C73" s="27"/>
      <c r="D73" s="327" t="str">
        <f>'WP12 Condensed Sch. Level Costs'!C68</f>
        <v>Metal Halide</v>
      </c>
      <c r="E73" s="41" t="str">
        <f>'WP12 Condensed Sch. Level Costs'!D68</f>
        <v>MH 070</v>
      </c>
      <c r="F73" s="16" t="str">
        <f>'WP12 Condensed Sch. Level Costs'!F68</f>
        <v>Company</v>
      </c>
      <c r="G73" s="328">
        <f>'WP12 Condensed Sch. Level Costs'!H68</f>
        <v>804.13942857142865</v>
      </c>
      <c r="H73" s="342">
        <f>'WP12 Condensed Sch. Level Costs'!P68</f>
        <v>1.0137794003499056E-2</v>
      </c>
      <c r="I73" s="328">
        <f>ROUND('WP12 Condensed Sch. Level Costs'!U68,2)</f>
        <v>8.15</v>
      </c>
    </row>
    <row r="74" spans="1:9" x14ac:dyDescent="0.2">
      <c r="A74" s="32">
        <f t="shared" si="0"/>
        <v>66</v>
      </c>
      <c r="B74" s="27" t="str">
        <f>'WP12 Condensed Sch. Level Costs'!A69</f>
        <v>53E - Company Owned</v>
      </c>
      <c r="C74" s="27"/>
      <c r="D74" s="327" t="str">
        <f>'WP12 Condensed Sch. Level Costs'!C69</f>
        <v>Metal Halide</v>
      </c>
      <c r="E74" s="41" t="str">
        <f>'WP12 Condensed Sch. Level Costs'!D69</f>
        <v>MH 100</v>
      </c>
      <c r="F74" s="16" t="str">
        <f>'WP12 Condensed Sch. Level Costs'!F69</f>
        <v>Company</v>
      </c>
      <c r="G74" s="328">
        <f>'WP12 Condensed Sch. Level Costs'!H69</f>
        <v>817.88071428571436</v>
      </c>
      <c r="H74" s="342">
        <f>'WP12 Condensed Sch. Level Costs'!P69</f>
        <v>1.0137794003499056E-2</v>
      </c>
      <c r="I74" s="328">
        <f>ROUND('WP12 Condensed Sch. Level Costs'!U69,2)</f>
        <v>8.2899999999999991</v>
      </c>
    </row>
    <row r="75" spans="1:9" x14ac:dyDescent="0.2">
      <c r="A75" s="32">
        <f t="shared" si="0"/>
        <v>67</v>
      </c>
      <c r="B75" s="27" t="str">
        <f>'WP12 Condensed Sch. Level Costs'!A70</f>
        <v>53E - Company Owned</v>
      </c>
      <c r="C75" s="27"/>
      <c r="D75" s="327" t="str">
        <f>'WP12 Condensed Sch. Level Costs'!C70</f>
        <v>Metal Halide</v>
      </c>
      <c r="E75" s="41" t="str">
        <f>'WP12 Condensed Sch. Level Costs'!D70</f>
        <v>MH 150</v>
      </c>
      <c r="F75" s="16" t="str">
        <f>'WP12 Condensed Sch. Level Costs'!F70</f>
        <v>Company</v>
      </c>
      <c r="G75" s="328">
        <f>'WP12 Condensed Sch. Level Costs'!H70</f>
        <v>840.78285714285721</v>
      </c>
      <c r="H75" s="342">
        <f>'WP12 Condensed Sch. Level Costs'!P70</f>
        <v>1.0137794003499056E-2</v>
      </c>
      <c r="I75" s="328">
        <f>ROUND('WP12 Condensed Sch. Level Costs'!U70,2)</f>
        <v>8.52</v>
      </c>
    </row>
    <row r="76" spans="1:9" x14ac:dyDescent="0.2">
      <c r="A76" s="32">
        <f t="shared" si="0"/>
        <v>68</v>
      </c>
      <c r="B76" s="27" t="str">
        <f>'WP12 Condensed Sch. Level Costs'!A71</f>
        <v>53E - Company Owned</v>
      </c>
      <c r="C76" s="27"/>
      <c r="D76" s="327" t="str">
        <f>'WP12 Condensed Sch. Level Costs'!C71</f>
        <v>Metal Halide</v>
      </c>
      <c r="E76" s="41" t="str">
        <f>'WP12 Condensed Sch. Level Costs'!D71</f>
        <v>MH 250</v>
      </c>
      <c r="F76" s="16" t="str">
        <f>'WP12 Condensed Sch. Level Costs'!F71</f>
        <v>Company</v>
      </c>
      <c r="G76" s="328">
        <f>'WP12 Condensed Sch. Level Costs'!H71</f>
        <v>915.43</v>
      </c>
      <c r="H76" s="342">
        <f>'WP12 Condensed Sch. Level Costs'!P71</f>
        <v>1.0137794003499056E-2</v>
      </c>
      <c r="I76" s="328">
        <f>ROUND('WP12 Condensed Sch. Level Costs'!U71,2)</f>
        <v>9.2799999999999994</v>
      </c>
    </row>
    <row r="77" spans="1:9" x14ac:dyDescent="0.2">
      <c r="A77" s="32">
        <f t="shared" si="0"/>
        <v>69</v>
      </c>
      <c r="B77" s="27" t="str">
        <f>'WP12 Condensed Sch. Level Costs'!A72</f>
        <v>53E - Company Owned</v>
      </c>
      <c r="C77" s="27"/>
      <c r="D77" s="327" t="str">
        <f>'WP12 Condensed Sch. Level Costs'!C72</f>
        <v>Metal Halide</v>
      </c>
      <c r="E77" s="41" t="str">
        <f>'WP12 Condensed Sch. Level Costs'!D72</f>
        <v>MH 400</v>
      </c>
      <c r="F77" s="16" t="str">
        <f>'WP12 Condensed Sch. Level Costs'!F72</f>
        <v>Company</v>
      </c>
      <c r="G77" s="328">
        <f>'WP12 Condensed Sch. Level Costs'!H72</f>
        <v>919.24</v>
      </c>
      <c r="H77" s="342">
        <f>'WP12 Condensed Sch. Level Costs'!P72</f>
        <v>1.0137794003499056E-2</v>
      </c>
      <c r="I77" s="328">
        <f>ROUND('WP12 Condensed Sch. Level Costs'!U72,2)</f>
        <v>9.32</v>
      </c>
    </row>
    <row r="78" spans="1:9" x14ac:dyDescent="0.2">
      <c r="A78" s="32">
        <f t="shared" si="0"/>
        <v>70</v>
      </c>
      <c r="B78" s="27"/>
      <c r="C78" s="27"/>
      <c r="D78" s="327"/>
      <c r="E78" s="41"/>
      <c r="F78" s="16"/>
      <c r="G78" s="328"/>
      <c r="H78" s="342"/>
      <c r="I78" s="328"/>
    </row>
    <row r="79" spans="1:9" x14ac:dyDescent="0.2">
      <c r="A79" s="32">
        <f t="shared" si="0"/>
        <v>71</v>
      </c>
      <c r="B79" s="27" t="str">
        <f>'WP12 Condensed Sch. Level Costs'!A74</f>
        <v>53E - Company Owned</v>
      </c>
      <c r="C79" s="27"/>
      <c r="D79" s="327" t="str">
        <f>'WP12 Condensed Sch. Level Costs'!C74</f>
        <v>Light Emitting Diode</v>
      </c>
      <c r="E79" s="41" t="str">
        <f>'WP12 Condensed Sch. Level Costs'!D74</f>
        <v>LED 0-030</v>
      </c>
      <c r="F79" s="16" t="str">
        <f>'WP12 Condensed Sch. Level Costs'!F74</f>
        <v>Company</v>
      </c>
      <c r="G79" s="328">
        <f>'WP12 Condensed Sch. Level Costs'!H74</f>
        <v>875.41268444011189</v>
      </c>
      <c r="H79" s="342">
        <f>'WP12 Condensed Sch. Level Costs'!P74</f>
        <v>1.0137794003499056E-2</v>
      </c>
      <c r="I79" s="328">
        <f>ROUND('WP12 Condensed Sch. Level Costs'!U74,2)</f>
        <v>8.8699999999999992</v>
      </c>
    </row>
    <row r="80" spans="1:9" x14ac:dyDescent="0.2">
      <c r="A80" s="32">
        <f t="shared" si="0"/>
        <v>72</v>
      </c>
      <c r="B80" s="27" t="str">
        <f>'WP12 Condensed Sch. Level Costs'!A75</f>
        <v>53E - Company Owned</v>
      </c>
      <c r="C80" s="27"/>
      <c r="D80" s="327" t="str">
        <f>'WP12 Condensed Sch. Level Costs'!C75</f>
        <v>Light Emitting Diode</v>
      </c>
      <c r="E80" s="41" t="str">
        <f>'WP12 Condensed Sch. Level Costs'!D75</f>
        <v>LED 030.01-060</v>
      </c>
      <c r="F80" s="16" t="str">
        <f>'WP12 Condensed Sch. Level Costs'!F75</f>
        <v>Company</v>
      </c>
      <c r="G80" s="328">
        <f>'WP12 Condensed Sch. Level Costs'!H75</f>
        <v>870.45377419354838</v>
      </c>
      <c r="H80" s="342">
        <f>'WP12 Condensed Sch. Level Costs'!P75</f>
        <v>1.0137794003499056E-2</v>
      </c>
      <c r="I80" s="328">
        <f>ROUND('WP12 Condensed Sch. Level Costs'!U75,2)</f>
        <v>8.82</v>
      </c>
    </row>
    <row r="81" spans="1:9" x14ac:dyDescent="0.2">
      <c r="A81" s="32">
        <f t="shared" si="0"/>
        <v>73</v>
      </c>
      <c r="B81" s="27" t="str">
        <f>'WP12 Condensed Sch. Level Costs'!A76</f>
        <v>53E - Company Owned</v>
      </c>
      <c r="C81" s="27"/>
      <c r="D81" s="327" t="str">
        <f>'WP12 Condensed Sch. Level Costs'!C76</f>
        <v>Light Emitting Diode</v>
      </c>
      <c r="E81" s="41" t="str">
        <f>'WP12 Condensed Sch. Level Costs'!D76</f>
        <v>LED 060.01-090</v>
      </c>
      <c r="F81" s="16" t="str">
        <f>'WP12 Condensed Sch. Level Costs'!F76</f>
        <v>Company</v>
      </c>
      <c r="G81" s="328">
        <f>'WP12 Condensed Sch. Level Costs'!H76</f>
        <v>851.13228571428579</v>
      </c>
      <c r="H81" s="342">
        <f>'WP12 Condensed Sch. Level Costs'!P76</f>
        <v>1.0137794003499056E-2</v>
      </c>
      <c r="I81" s="328">
        <f>ROUND('WP12 Condensed Sch. Level Costs'!U76,2)</f>
        <v>8.6300000000000008</v>
      </c>
    </row>
    <row r="82" spans="1:9" x14ac:dyDescent="0.2">
      <c r="A82" s="32">
        <f t="shared" si="0"/>
        <v>74</v>
      </c>
      <c r="B82" s="27" t="str">
        <f>'WP12 Condensed Sch. Level Costs'!A77</f>
        <v>53E - Company Owned</v>
      </c>
      <c r="C82" s="27"/>
      <c r="D82" s="327" t="str">
        <f>'WP12 Condensed Sch. Level Costs'!C77</f>
        <v>Light Emitting Diode</v>
      </c>
      <c r="E82" s="41" t="str">
        <f>'WP12 Condensed Sch. Level Costs'!D77</f>
        <v>LED 090.01-120</v>
      </c>
      <c r="F82" s="16" t="str">
        <f>'WP12 Condensed Sch. Level Costs'!F77</f>
        <v>Company</v>
      </c>
      <c r="G82" s="328">
        <f>'WP12 Condensed Sch. Level Costs'!H77</f>
        <v>910.30015384615376</v>
      </c>
      <c r="H82" s="342">
        <f>'WP12 Condensed Sch. Level Costs'!P77</f>
        <v>1.0137794003499056E-2</v>
      </c>
      <c r="I82" s="328">
        <f>ROUND('WP12 Condensed Sch. Level Costs'!U77,2)</f>
        <v>9.23</v>
      </c>
    </row>
    <row r="83" spans="1:9" x14ac:dyDescent="0.2">
      <c r="A83" s="32">
        <f t="shared" si="0"/>
        <v>75</v>
      </c>
      <c r="B83" s="27" t="str">
        <f>'WP12 Condensed Sch. Level Costs'!A78</f>
        <v>53E - Company Owned</v>
      </c>
      <c r="C83" s="27"/>
      <c r="D83" s="327" t="str">
        <f>'WP12 Condensed Sch. Level Costs'!C78</f>
        <v>Light Emitting Diode</v>
      </c>
      <c r="E83" s="41" t="str">
        <f>'WP12 Condensed Sch. Level Costs'!D78</f>
        <v>LED 120.01-150</v>
      </c>
      <c r="F83" s="16" t="str">
        <f>'WP12 Condensed Sch. Level Costs'!F78</f>
        <v>Company</v>
      </c>
      <c r="G83" s="328">
        <f>'WP12 Condensed Sch. Level Costs'!H78</f>
        <v>939.25</v>
      </c>
      <c r="H83" s="342">
        <f>'WP12 Condensed Sch. Level Costs'!P78</f>
        <v>1.0137794003499056E-2</v>
      </c>
      <c r="I83" s="328">
        <f>ROUND('WP12 Condensed Sch. Level Costs'!U78,2)</f>
        <v>9.52</v>
      </c>
    </row>
    <row r="84" spans="1:9" x14ac:dyDescent="0.2">
      <c r="A84" s="32">
        <f t="shared" si="0"/>
        <v>76</v>
      </c>
      <c r="B84" s="27" t="str">
        <f>'WP12 Condensed Sch. Level Costs'!A79</f>
        <v>53E - Company Owned</v>
      </c>
      <c r="C84" s="27"/>
      <c r="D84" s="327" t="str">
        <f>'WP12 Condensed Sch. Level Costs'!C79</f>
        <v>Light Emitting Diode</v>
      </c>
      <c r="E84" s="41" t="str">
        <f>'WP12 Condensed Sch. Level Costs'!D79</f>
        <v>LED 150.01-180</v>
      </c>
      <c r="F84" s="16" t="str">
        <f>'WP12 Condensed Sch. Level Costs'!F79</f>
        <v>Company</v>
      </c>
      <c r="G84" s="328">
        <f>'WP12 Condensed Sch. Level Costs'!H79</f>
        <v>908.3504999999999</v>
      </c>
      <c r="H84" s="342">
        <f>'WP12 Condensed Sch. Level Costs'!P79</f>
        <v>1.0137794003499056E-2</v>
      </c>
      <c r="I84" s="328">
        <f>ROUND('WP12 Condensed Sch. Level Costs'!U79,2)</f>
        <v>9.2100000000000009</v>
      </c>
    </row>
    <row r="85" spans="1:9" x14ac:dyDescent="0.2">
      <c r="A85" s="32">
        <f t="shared" si="0"/>
        <v>77</v>
      </c>
      <c r="B85" s="27" t="str">
        <f>'WP12 Condensed Sch. Level Costs'!A80</f>
        <v>53E - Company Owned</v>
      </c>
      <c r="C85" s="27"/>
      <c r="D85" s="327" t="str">
        <f>'WP12 Condensed Sch. Level Costs'!C80</f>
        <v>Light Emitting Diode</v>
      </c>
      <c r="E85" s="41" t="str">
        <f>'WP12 Condensed Sch. Level Costs'!D80</f>
        <v>LED 180.01-210</v>
      </c>
      <c r="F85" s="16" t="str">
        <f>'WP12 Condensed Sch. Level Costs'!F80</f>
        <v>Company</v>
      </c>
      <c r="G85" s="328">
        <f>'WP12 Condensed Sch. Level Costs'!H80</f>
        <v>908.3504999999999</v>
      </c>
      <c r="H85" s="342">
        <f>'WP12 Condensed Sch. Level Costs'!P80</f>
        <v>1.0137794003499056E-2</v>
      </c>
      <c r="I85" s="328">
        <f>ROUND('WP12 Condensed Sch. Level Costs'!U80,2)</f>
        <v>9.2100000000000009</v>
      </c>
    </row>
    <row r="86" spans="1:9" x14ac:dyDescent="0.2">
      <c r="A86" s="32">
        <f t="shared" si="0"/>
        <v>78</v>
      </c>
      <c r="B86" s="27" t="str">
        <f>'WP12 Condensed Sch. Level Costs'!A81</f>
        <v>53E - Company Owned</v>
      </c>
      <c r="C86" s="27"/>
      <c r="D86" s="327" t="str">
        <f>'WP12 Condensed Sch. Level Costs'!C81</f>
        <v>Light Emitting Diode</v>
      </c>
      <c r="E86" s="41" t="str">
        <f>'WP12 Condensed Sch. Level Costs'!D81</f>
        <v>LED 210.01-240</v>
      </c>
      <c r="F86" s="16" t="str">
        <f>'WP12 Condensed Sch. Level Costs'!F81</f>
        <v>Company</v>
      </c>
      <c r="G86" s="328">
        <f>'WP12 Condensed Sch. Level Costs'!H81</f>
        <v>913.10849999999994</v>
      </c>
      <c r="H86" s="342">
        <f>'WP12 Condensed Sch. Level Costs'!P81</f>
        <v>1.0137794003499056E-2</v>
      </c>
      <c r="I86" s="328">
        <f>ROUND('WP12 Condensed Sch. Level Costs'!U81,2)</f>
        <v>9.26</v>
      </c>
    </row>
    <row r="87" spans="1:9" x14ac:dyDescent="0.2">
      <c r="A87" s="32">
        <f t="shared" si="0"/>
        <v>79</v>
      </c>
      <c r="B87" s="27" t="str">
        <f>'WP12 Condensed Sch. Level Costs'!A82</f>
        <v>53E - Company Owned</v>
      </c>
      <c r="C87" s="27"/>
      <c r="D87" s="327" t="str">
        <f>'WP12 Condensed Sch. Level Costs'!C82</f>
        <v>Light Emitting Diode</v>
      </c>
      <c r="E87" s="41" t="str">
        <f>'WP12 Condensed Sch. Level Costs'!D82</f>
        <v>LED 240.01-270</v>
      </c>
      <c r="F87" s="16" t="str">
        <f>'WP12 Condensed Sch. Level Costs'!F82</f>
        <v>Company</v>
      </c>
      <c r="G87" s="328">
        <f>'WP12 Condensed Sch. Level Costs'!H82</f>
        <v>913.10849999999994</v>
      </c>
      <c r="H87" s="342">
        <f>'WP12 Condensed Sch. Level Costs'!P82</f>
        <v>1.0137794003499056E-2</v>
      </c>
      <c r="I87" s="328">
        <f>ROUND('WP12 Condensed Sch. Level Costs'!U82,2)</f>
        <v>9.26</v>
      </c>
    </row>
    <row r="88" spans="1:9" x14ac:dyDescent="0.2">
      <c r="A88" s="32">
        <f t="shared" si="0"/>
        <v>80</v>
      </c>
      <c r="B88" s="27" t="str">
        <f>'WP12 Condensed Sch. Level Costs'!A83</f>
        <v>53E - Company Owned</v>
      </c>
      <c r="C88" s="27"/>
      <c r="D88" s="327" t="str">
        <f>'WP12 Condensed Sch. Level Costs'!C83</f>
        <v>Light Emitting Diode</v>
      </c>
      <c r="E88" s="41" t="str">
        <f>'WP12 Condensed Sch. Level Costs'!D83</f>
        <v>LED 270.01-300</v>
      </c>
      <c r="F88" s="16" t="str">
        <f>'WP12 Condensed Sch. Level Costs'!F83</f>
        <v>Company</v>
      </c>
      <c r="G88" s="328">
        <f>'WP12 Condensed Sch. Level Costs'!H83</f>
        <v>913.10849999999994</v>
      </c>
      <c r="H88" s="342">
        <f>'WP12 Condensed Sch. Level Costs'!P83</f>
        <v>1.0137794003499056E-2</v>
      </c>
      <c r="I88" s="328">
        <f>ROUND('WP12 Condensed Sch. Level Costs'!U83,2)</f>
        <v>9.26</v>
      </c>
    </row>
    <row r="89" spans="1:9" x14ac:dyDescent="0.2">
      <c r="A89" s="32">
        <f t="shared" si="0"/>
        <v>81</v>
      </c>
      <c r="B89" s="27"/>
      <c r="C89" s="27"/>
      <c r="D89" s="327"/>
      <c r="E89" s="41"/>
      <c r="F89" s="16"/>
      <c r="G89" s="328"/>
      <c r="H89" s="342"/>
      <c r="I89" s="328"/>
    </row>
    <row r="90" spans="1:9" x14ac:dyDescent="0.2">
      <c r="A90" s="32">
        <f t="shared" si="0"/>
        <v>82</v>
      </c>
      <c r="B90" s="27" t="str">
        <f>'WP12 Condensed Sch. Level Costs'!A85</f>
        <v>53E - Company Owned</v>
      </c>
      <c r="C90" s="327" t="str">
        <f>'WP12 Condensed Sch. Level Costs'!B85</f>
        <v>SMART LIGHT</v>
      </c>
      <c r="D90" s="327" t="str">
        <f>'WP12 Condensed Sch. Level Costs'!C85</f>
        <v>Light Emitting Diode</v>
      </c>
      <c r="E90" s="41" t="str">
        <f>'WP12 Condensed Sch. Level Costs'!D85</f>
        <v>LED 0-030</v>
      </c>
      <c r="F90" s="16" t="str">
        <f>'WP12 Condensed Sch. Level Costs'!F85</f>
        <v>Company</v>
      </c>
      <c r="G90" s="328">
        <f>'WP12 Condensed Sch. Level Costs'!H85</f>
        <v>875.41268444011189</v>
      </c>
      <c r="H90" s="342">
        <f>'WP12 Condensed Sch. Level Costs'!P85</f>
        <v>1.0137794003499056E-2</v>
      </c>
      <c r="I90" s="339">
        <f>ROUND('WP12 Condensed Sch. Level Costs'!AB85,6)</f>
        <v>1.690429</v>
      </c>
    </row>
    <row r="91" spans="1:9" x14ac:dyDescent="0.2">
      <c r="A91" s="32">
        <f t="shared" ref="A91:A104" si="1">A90+1</f>
        <v>83</v>
      </c>
      <c r="B91" s="27" t="str">
        <f>'WP12 Condensed Sch. Level Costs'!A86</f>
        <v>53E - Company Owned</v>
      </c>
      <c r="C91" s="327" t="str">
        <f>'WP12 Condensed Sch. Level Costs'!B86</f>
        <v>SMART LIGHT</v>
      </c>
      <c r="D91" s="327" t="str">
        <f>'WP12 Condensed Sch. Level Costs'!C86</f>
        <v>Light Emitting Diode</v>
      </c>
      <c r="E91" s="41" t="str">
        <f>'WP12 Condensed Sch. Level Costs'!D86</f>
        <v>LED 030.01-060</v>
      </c>
      <c r="F91" s="16" t="str">
        <f>'WP12 Condensed Sch. Level Costs'!F86</f>
        <v>Company</v>
      </c>
      <c r="G91" s="328">
        <f>'WP12 Condensed Sch. Level Costs'!H86</f>
        <v>870.45377419354838</v>
      </c>
      <c r="H91" s="342">
        <f>'WP12 Condensed Sch. Level Costs'!P86</f>
        <v>1.0137794003499056E-2</v>
      </c>
      <c r="I91" s="339">
        <f>ROUND('WP12 Condensed Sch. Level Costs'!AB86,6)</f>
        <v>0.56028500000000003</v>
      </c>
    </row>
    <row r="92" spans="1:9" x14ac:dyDescent="0.2">
      <c r="A92" s="32">
        <f t="shared" si="1"/>
        <v>84</v>
      </c>
      <c r="B92" s="27" t="str">
        <f>'WP12 Condensed Sch. Level Costs'!A87</f>
        <v>53E - Company Owned</v>
      </c>
      <c r="C92" s="327" t="str">
        <f>'WP12 Condensed Sch. Level Costs'!B87</f>
        <v>SMART LIGHT</v>
      </c>
      <c r="D92" s="327" t="str">
        <f>'WP12 Condensed Sch. Level Costs'!C87</f>
        <v>Light Emitting Diode</v>
      </c>
      <c r="E92" s="41" t="str">
        <f>'WP12 Condensed Sch. Level Costs'!D87</f>
        <v>LED 060.01-090</v>
      </c>
      <c r="F92" s="16" t="str">
        <f>'WP12 Condensed Sch. Level Costs'!F87</f>
        <v>Company</v>
      </c>
      <c r="G92" s="328">
        <f>'WP12 Condensed Sch. Level Costs'!H87</f>
        <v>851.13228571428579</v>
      </c>
      <c r="H92" s="342">
        <f>'WP12 Condensed Sch. Level Costs'!P87</f>
        <v>1.0137794003499056E-2</v>
      </c>
      <c r="I92" s="339">
        <f>ROUND('WP12 Condensed Sch. Level Costs'!AB87,6)</f>
        <v>0.32870899999999997</v>
      </c>
    </row>
    <row r="93" spans="1:9" x14ac:dyDescent="0.2">
      <c r="A93" s="32">
        <f t="shared" si="1"/>
        <v>85</v>
      </c>
      <c r="B93" s="27" t="str">
        <f>'WP12 Condensed Sch. Level Costs'!A88</f>
        <v>53E - Company Owned</v>
      </c>
      <c r="C93" s="327" t="str">
        <f>'WP12 Condensed Sch. Level Costs'!B88</f>
        <v>SMART LIGHT</v>
      </c>
      <c r="D93" s="327" t="str">
        <f>'WP12 Condensed Sch. Level Costs'!C88</f>
        <v>Light Emitting Diode</v>
      </c>
      <c r="E93" s="41" t="str">
        <f>'WP12 Condensed Sch. Level Costs'!D88</f>
        <v>LED 090.01-120</v>
      </c>
      <c r="F93" s="16" t="str">
        <f>'WP12 Condensed Sch. Level Costs'!F88</f>
        <v>Company</v>
      </c>
      <c r="G93" s="328">
        <f>'WP12 Condensed Sch. Level Costs'!H88</f>
        <v>910.30015384615376</v>
      </c>
      <c r="H93" s="342">
        <f>'WP12 Condensed Sch. Level Costs'!P88</f>
        <v>1.0137794003499056E-2</v>
      </c>
      <c r="I93" s="339">
        <f>ROUND('WP12 Condensed Sch. Level Costs'!AB88,6)</f>
        <v>0.251114</v>
      </c>
    </row>
    <row r="94" spans="1:9" x14ac:dyDescent="0.2">
      <c r="A94" s="32">
        <f t="shared" si="1"/>
        <v>86</v>
      </c>
      <c r="B94" s="27" t="str">
        <f>'WP12 Condensed Sch. Level Costs'!A89</f>
        <v>53E - Company Owned</v>
      </c>
      <c r="C94" s="327" t="str">
        <f>'WP12 Condensed Sch. Level Costs'!B89</f>
        <v>SMART LIGHT</v>
      </c>
      <c r="D94" s="327" t="str">
        <f>'WP12 Condensed Sch. Level Costs'!C89</f>
        <v>Light Emitting Diode</v>
      </c>
      <c r="E94" s="41" t="str">
        <f>'WP12 Condensed Sch. Level Costs'!D89</f>
        <v>LED 120.01-150</v>
      </c>
      <c r="F94" s="16" t="str">
        <f>'WP12 Condensed Sch. Level Costs'!F89</f>
        <v>Company</v>
      </c>
      <c r="G94" s="328">
        <f>'WP12 Condensed Sch. Level Costs'!H89</f>
        <v>939.25</v>
      </c>
      <c r="H94" s="342">
        <f>'WP12 Condensed Sch. Level Costs'!P89</f>
        <v>1.0137794003499056E-2</v>
      </c>
      <c r="I94" s="339">
        <f>ROUND('WP12 Condensed Sch. Level Costs'!AB89,6)</f>
        <v>0.20152200000000001</v>
      </c>
    </row>
    <row r="95" spans="1:9" x14ac:dyDescent="0.2">
      <c r="A95" s="32">
        <f t="shared" si="1"/>
        <v>87</v>
      </c>
      <c r="B95" s="27" t="str">
        <f>'WP12 Condensed Sch. Level Costs'!A90</f>
        <v>53E - Company Owned</v>
      </c>
      <c r="C95" s="327" t="str">
        <f>'WP12 Condensed Sch. Level Costs'!B90</f>
        <v>SMART LIGHT</v>
      </c>
      <c r="D95" s="327" t="str">
        <f>'WP12 Condensed Sch. Level Costs'!C90</f>
        <v>Light Emitting Diode</v>
      </c>
      <c r="E95" s="41" t="str">
        <f>'WP12 Condensed Sch. Level Costs'!D90</f>
        <v>LED 150.01-180</v>
      </c>
      <c r="F95" s="16" t="str">
        <f>'WP12 Condensed Sch. Level Costs'!F90</f>
        <v>Company</v>
      </c>
      <c r="G95" s="328">
        <f>'WP12 Condensed Sch. Level Costs'!H90</f>
        <v>908.3504999999999</v>
      </c>
      <c r="H95" s="342">
        <f>'WP12 Condensed Sch. Level Costs'!P90</f>
        <v>1.0137794003499056E-2</v>
      </c>
      <c r="I95" s="339">
        <f>ROUND('WP12 Condensed Sch. Level Costs'!AB90,6)</f>
        <v>0.15945699999999999</v>
      </c>
    </row>
    <row r="96" spans="1:9" x14ac:dyDescent="0.2">
      <c r="A96" s="32">
        <f t="shared" si="1"/>
        <v>88</v>
      </c>
      <c r="B96" s="27" t="str">
        <f>'WP12 Condensed Sch. Level Costs'!A91</f>
        <v>53E - Company Owned</v>
      </c>
      <c r="C96" s="327" t="str">
        <f>'WP12 Condensed Sch. Level Costs'!B91</f>
        <v>SMART LIGHT</v>
      </c>
      <c r="D96" s="327" t="str">
        <f>'WP12 Condensed Sch. Level Costs'!C91</f>
        <v>Light Emitting Diode</v>
      </c>
      <c r="E96" s="41" t="str">
        <f>'WP12 Condensed Sch. Level Costs'!D91</f>
        <v>LED 180.01-210</v>
      </c>
      <c r="F96" s="16" t="str">
        <f>'WP12 Condensed Sch. Level Costs'!F91</f>
        <v>Company</v>
      </c>
      <c r="G96" s="328">
        <f>'WP12 Condensed Sch. Level Costs'!H91</f>
        <v>908.3504999999999</v>
      </c>
      <c r="H96" s="342">
        <f>'WP12 Condensed Sch. Level Costs'!P91</f>
        <v>1.0137794003499056E-2</v>
      </c>
      <c r="I96" s="339">
        <f>ROUND('WP12 Condensed Sch. Level Costs'!AB91,6)</f>
        <v>0.13492599999999999</v>
      </c>
    </row>
    <row r="97" spans="1:9" x14ac:dyDescent="0.2">
      <c r="A97" s="32">
        <f t="shared" si="1"/>
        <v>89</v>
      </c>
      <c r="B97" s="27" t="str">
        <f>'WP12 Condensed Sch. Level Costs'!A92</f>
        <v>53E - Company Owned</v>
      </c>
      <c r="C97" s="327" t="str">
        <f>'WP12 Condensed Sch. Level Costs'!B92</f>
        <v>SMART LIGHT</v>
      </c>
      <c r="D97" s="327" t="str">
        <f>'WP12 Condensed Sch. Level Costs'!C92</f>
        <v>Light Emitting Diode</v>
      </c>
      <c r="E97" s="41" t="str">
        <f>'WP12 Condensed Sch. Level Costs'!D92</f>
        <v>LED 210.01-240</v>
      </c>
      <c r="F97" s="16" t="str">
        <f>'WP12 Condensed Sch. Level Costs'!F92</f>
        <v>Company</v>
      </c>
      <c r="G97" s="328">
        <f>'WP12 Condensed Sch. Level Costs'!H92</f>
        <v>913.10849999999994</v>
      </c>
      <c r="H97" s="342">
        <f>'WP12 Condensed Sch. Level Costs'!P92</f>
        <v>1.0137794003499056E-2</v>
      </c>
      <c r="I97" s="339">
        <f>ROUND('WP12 Condensed Sch. Level Costs'!AB92,6)</f>
        <v>0.117548</v>
      </c>
    </row>
    <row r="98" spans="1:9" x14ac:dyDescent="0.2">
      <c r="A98" s="32">
        <f t="shared" si="1"/>
        <v>90</v>
      </c>
      <c r="B98" s="27" t="str">
        <f>'WP12 Condensed Sch. Level Costs'!A93</f>
        <v>53E - Company Owned</v>
      </c>
      <c r="C98" s="327" t="str">
        <f>'WP12 Condensed Sch. Level Costs'!B93</f>
        <v>SMART LIGHT</v>
      </c>
      <c r="D98" s="327" t="str">
        <f>'WP12 Condensed Sch. Level Costs'!C93</f>
        <v>Light Emitting Diode</v>
      </c>
      <c r="E98" s="41" t="str">
        <f>'WP12 Condensed Sch. Level Costs'!D93</f>
        <v>LED 240.01-270</v>
      </c>
      <c r="F98" s="16" t="str">
        <f>'WP12 Condensed Sch. Level Costs'!F93</f>
        <v>Company</v>
      </c>
      <c r="G98" s="328">
        <f>'WP12 Condensed Sch. Level Costs'!H93</f>
        <v>913.10849999999994</v>
      </c>
      <c r="H98" s="342">
        <f>'WP12 Condensed Sch. Level Costs'!P93</f>
        <v>1.0137794003499056E-2</v>
      </c>
      <c r="I98" s="339">
        <f>ROUND('WP12 Condensed Sch. Level Costs'!AB93,6)</f>
        <v>0.10371900000000001</v>
      </c>
    </row>
    <row r="99" spans="1:9" x14ac:dyDescent="0.2">
      <c r="A99" s="32">
        <f t="shared" si="1"/>
        <v>91</v>
      </c>
      <c r="B99" s="27" t="str">
        <f>'WP12 Condensed Sch. Level Costs'!A94</f>
        <v>53E - Company Owned</v>
      </c>
      <c r="C99" s="327" t="str">
        <f>'WP12 Condensed Sch. Level Costs'!B94</f>
        <v>SMART LIGHT</v>
      </c>
      <c r="D99" s="327" t="str">
        <f>'WP12 Condensed Sch. Level Costs'!C94</f>
        <v>Light Emitting Diode</v>
      </c>
      <c r="E99" s="41" t="str">
        <f>'WP12 Condensed Sch. Level Costs'!D94</f>
        <v>LED 270.01-300</v>
      </c>
      <c r="F99" s="16" t="str">
        <f>'WP12 Condensed Sch. Level Costs'!F94</f>
        <v>Company</v>
      </c>
      <c r="G99" s="328">
        <f>'WP12 Condensed Sch. Level Costs'!H94</f>
        <v>913.10849999999994</v>
      </c>
      <c r="H99" s="342">
        <f>'WP12 Condensed Sch. Level Costs'!P94</f>
        <v>1.0137794003499056E-2</v>
      </c>
      <c r="I99" s="339">
        <f>ROUND('WP12 Condensed Sch. Level Costs'!AB94,6)</f>
        <v>9.2800999999999995E-2</v>
      </c>
    </row>
    <row r="100" spans="1:9" x14ac:dyDescent="0.2">
      <c r="A100" s="32">
        <f t="shared" si="1"/>
        <v>92</v>
      </c>
      <c r="B100" s="27"/>
      <c r="C100" s="27"/>
      <c r="D100" s="327"/>
      <c r="E100" s="41"/>
      <c r="F100" s="16"/>
      <c r="G100" s="328"/>
      <c r="H100" s="342"/>
      <c r="I100" s="328"/>
    </row>
    <row r="101" spans="1:9" x14ac:dyDescent="0.2">
      <c r="A101" s="32">
        <f t="shared" si="1"/>
        <v>93</v>
      </c>
      <c r="B101" s="27" t="str">
        <f>'WP12 Condensed Sch. Level Costs'!A96</f>
        <v>53E - Customer Owned</v>
      </c>
      <c r="C101" s="27"/>
      <c r="D101" s="327" t="str">
        <f>'WP12 Condensed Sch. Level Costs'!C96</f>
        <v>Sodium Vapor</v>
      </c>
      <c r="E101" s="41" t="str">
        <f>'WP12 Condensed Sch. Level Costs'!D96</f>
        <v>SV 050</v>
      </c>
      <c r="F101" s="16" t="str">
        <f>'WP12 Condensed Sch. Level Costs'!F96</f>
        <v>Customer</v>
      </c>
      <c r="G101" s="328" t="str">
        <f>'WP12 Condensed Sch. Level Costs'!H96</f>
        <v>N/A</v>
      </c>
      <c r="H101" s="342">
        <f>'WP12 Condensed Sch. Level Costs'!P96</f>
        <v>1.0137794003499056E-2</v>
      </c>
      <c r="I101" s="328">
        <f>ROUND('WP12 Condensed Sch. Level Costs'!U96,2)</f>
        <v>0</v>
      </c>
    </row>
    <row r="102" spans="1:9" x14ac:dyDescent="0.2">
      <c r="A102" s="32">
        <f t="shared" si="1"/>
        <v>94</v>
      </c>
      <c r="B102" s="27" t="str">
        <f>'WP12 Condensed Sch. Level Costs'!A97</f>
        <v>53E - Customer Owned</v>
      </c>
      <c r="C102" s="27"/>
      <c r="D102" s="327" t="str">
        <f>'WP12 Condensed Sch. Level Costs'!C97</f>
        <v>Sodium Vapor</v>
      </c>
      <c r="E102" s="41" t="str">
        <f>'WP12 Condensed Sch. Level Costs'!D97</f>
        <v>SV 070</v>
      </c>
      <c r="F102" s="16" t="str">
        <f>'WP12 Condensed Sch. Level Costs'!F97</f>
        <v>Customer</v>
      </c>
      <c r="G102" s="328" t="str">
        <f>'WP12 Condensed Sch. Level Costs'!H97</f>
        <v>N/A</v>
      </c>
      <c r="H102" s="342">
        <f>'WP12 Condensed Sch. Level Costs'!P97</f>
        <v>1.0137794003499056E-2</v>
      </c>
      <c r="I102" s="328">
        <f>ROUND('WP12 Condensed Sch. Level Costs'!U97,2)</f>
        <v>0</v>
      </c>
    </row>
    <row r="103" spans="1:9" x14ac:dyDescent="0.2">
      <c r="A103" s="32">
        <f t="shared" si="1"/>
        <v>95</v>
      </c>
      <c r="B103" s="27" t="str">
        <f>'WP12 Condensed Sch. Level Costs'!A98</f>
        <v>53E - Customer Owned</v>
      </c>
      <c r="C103" s="27"/>
      <c r="D103" s="327" t="str">
        <f>'WP12 Condensed Sch. Level Costs'!C98</f>
        <v>Sodium Vapor</v>
      </c>
      <c r="E103" s="41" t="str">
        <f>'WP12 Condensed Sch. Level Costs'!D98</f>
        <v>SV 100</v>
      </c>
      <c r="F103" s="16" t="str">
        <f>'WP12 Condensed Sch. Level Costs'!F98</f>
        <v>Customer</v>
      </c>
      <c r="G103" s="328" t="str">
        <f>'WP12 Condensed Sch. Level Costs'!H98</f>
        <v>N/A</v>
      </c>
      <c r="H103" s="342">
        <f>'WP12 Condensed Sch. Level Costs'!P98</f>
        <v>1.0137794003499056E-2</v>
      </c>
      <c r="I103" s="328">
        <f>ROUND('WP12 Condensed Sch. Level Costs'!U98,2)</f>
        <v>0</v>
      </c>
    </row>
    <row r="104" spans="1:9" x14ac:dyDescent="0.2">
      <c r="A104" s="32">
        <f t="shared" si="1"/>
        <v>96</v>
      </c>
      <c r="B104" s="27" t="str">
        <f>'WP12 Condensed Sch. Level Costs'!A99</f>
        <v>53E - Customer Owned</v>
      </c>
      <c r="C104" s="27"/>
      <c r="D104" s="327" t="str">
        <f>'WP12 Condensed Sch. Level Costs'!C99</f>
        <v>Sodium Vapor</v>
      </c>
      <c r="E104" s="41" t="str">
        <f>'WP12 Condensed Sch. Level Costs'!D99</f>
        <v>SV 150</v>
      </c>
      <c r="F104" s="16" t="str">
        <f>'WP12 Condensed Sch. Level Costs'!F99</f>
        <v>Customer</v>
      </c>
      <c r="G104" s="328" t="str">
        <f>'WP12 Condensed Sch. Level Costs'!H99</f>
        <v>N/A</v>
      </c>
      <c r="H104" s="342">
        <f>'WP12 Condensed Sch. Level Costs'!P99</f>
        <v>1.0137794003499056E-2</v>
      </c>
      <c r="I104" s="328">
        <f>ROUND('WP12 Condensed Sch. Level Costs'!U99,2)</f>
        <v>0</v>
      </c>
    </row>
    <row r="105" spans="1:9" x14ac:dyDescent="0.2">
      <c r="A105" s="32">
        <f t="shared" ref="A105:A168" si="2">A104+1</f>
        <v>97</v>
      </c>
      <c r="B105" s="27" t="str">
        <f>'WP12 Condensed Sch. Level Costs'!A100</f>
        <v>53E - Customer Owned</v>
      </c>
      <c r="C105" s="27"/>
      <c r="D105" s="327" t="str">
        <f>'WP12 Condensed Sch. Level Costs'!C100</f>
        <v>Sodium Vapor</v>
      </c>
      <c r="E105" s="41" t="str">
        <f>'WP12 Condensed Sch. Level Costs'!D100</f>
        <v>SV 200</v>
      </c>
      <c r="F105" s="16" t="str">
        <f>'WP12 Condensed Sch. Level Costs'!F100</f>
        <v>Customer</v>
      </c>
      <c r="G105" s="328" t="str">
        <f>'WP12 Condensed Sch. Level Costs'!H100</f>
        <v>N/A</v>
      </c>
      <c r="H105" s="342">
        <f>'WP12 Condensed Sch. Level Costs'!P100</f>
        <v>1.0137794003499056E-2</v>
      </c>
      <c r="I105" s="328">
        <f>ROUND('WP12 Condensed Sch. Level Costs'!U100,2)</f>
        <v>0</v>
      </c>
    </row>
    <row r="106" spans="1:9" x14ac:dyDescent="0.2">
      <c r="A106" s="32">
        <f t="shared" si="2"/>
        <v>98</v>
      </c>
      <c r="B106" s="27" t="str">
        <f>'WP12 Condensed Sch. Level Costs'!A101</f>
        <v>53E - Customer Owned</v>
      </c>
      <c r="C106" s="27"/>
      <c r="D106" s="327" t="str">
        <f>'WP12 Condensed Sch. Level Costs'!C101</f>
        <v>Sodium Vapor</v>
      </c>
      <c r="E106" s="41" t="str">
        <f>'WP12 Condensed Sch. Level Costs'!D101</f>
        <v>SV 250</v>
      </c>
      <c r="F106" s="16" t="str">
        <f>'WP12 Condensed Sch. Level Costs'!F101</f>
        <v>Customer</v>
      </c>
      <c r="G106" s="328" t="str">
        <f>'WP12 Condensed Sch. Level Costs'!H101</f>
        <v>N/A</v>
      </c>
      <c r="H106" s="342">
        <f>'WP12 Condensed Sch. Level Costs'!P101</f>
        <v>1.0137794003499056E-2</v>
      </c>
      <c r="I106" s="328">
        <f>ROUND('WP12 Condensed Sch. Level Costs'!U101,2)</f>
        <v>0</v>
      </c>
    </row>
    <row r="107" spans="1:9" x14ac:dyDescent="0.2">
      <c r="A107" s="32">
        <f t="shared" si="2"/>
        <v>99</v>
      </c>
      <c r="B107" s="27" t="str">
        <f>'WP12 Condensed Sch. Level Costs'!A102</f>
        <v>53E - Customer Owned</v>
      </c>
      <c r="C107" s="27"/>
      <c r="D107" s="327" t="str">
        <f>'WP12 Condensed Sch. Level Costs'!C102</f>
        <v>Sodium Vapor</v>
      </c>
      <c r="E107" s="41" t="str">
        <f>'WP12 Condensed Sch. Level Costs'!D102</f>
        <v>SV 310</v>
      </c>
      <c r="F107" s="16" t="str">
        <f>'WP12 Condensed Sch. Level Costs'!F102</f>
        <v>Customer</v>
      </c>
      <c r="G107" s="328" t="str">
        <f>'WP12 Condensed Sch. Level Costs'!H102</f>
        <v>N/A</v>
      </c>
      <c r="H107" s="342">
        <f>'WP12 Condensed Sch. Level Costs'!P102</f>
        <v>1.0137794003499056E-2</v>
      </c>
      <c r="I107" s="328">
        <f>ROUND('WP12 Condensed Sch. Level Costs'!U102,2)</f>
        <v>0</v>
      </c>
    </row>
    <row r="108" spans="1:9" x14ac:dyDescent="0.2">
      <c r="A108" s="32">
        <f t="shared" si="2"/>
        <v>100</v>
      </c>
      <c r="B108" s="27" t="str">
        <f>'WP12 Condensed Sch. Level Costs'!A103</f>
        <v>53E - Customer Owned</v>
      </c>
      <c r="C108" s="27"/>
      <c r="D108" s="327" t="str">
        <f>'WP12 Condensed Sch. Level Costs'!C103</f>
        <v>Sodium Vapor</v>
      </c>
      <c r="E108" s="41" t="str">
        <f>'WP12 Condensed Sch. Level Costs'!D103</f>
        <v>SV 400</v>
      </c>
      <c r="F108" s="16" t="str">
        <f>'WP12 Condensed Sch. Level Costs'!F103</f>
        <v>Customer</v>
      </c>
      <c r="G108" s="328" t="str">
        <f>'WP12 Condensed Sch. Level Costs'!H103</f>
        <v>N/A</v>
      </c>
      <c r="H108" s="342">
        <f>'WP12 Condensed Sch. Level Costs'!P103</f>
        <v>1.0137794003499056E-2</v>
      </c>
      <c r="I108" s="328">
        <f>ROUND('WP12 Condensed Sch. Level Costs'!U103,2)</f>
        <v>0</v>
      </c>
    </row>
    <row r="109" spans="1:9" x14ac:dyDescent="0.2">
      <c r="A109" s="32">
        <f t="shared" si="2"/>
        <v>101</v>
      </c>
      <c r="B109" s="27" t="str">
        <f>'WP12 Condensed Sch. Level Costs'!A104</f>
        <v>53E - Customer Owned</v>
      </c>
      <c r="C109" s="27"/>
      <c r="D109" s="327" t="str">
        <f>'WP12 Condensed Sch. Level Costs'!C104</f>
        <v>Sodium Vapor</v>
      </c>
      <c r="E109" s="41" t="str">
        <f>'WP12 Condensed Sch. Level Costs'!D104</f>
        <v>SV 1000</v>
      </c>
      <c r="F109" s="16" t="str">
        <f>'WP12 Condensed Sch. Level Costs'!F104</f>
        <v>Customer</v>
      </c>
      <c r="G109" s="328" t="str">
        <f>'WP12 Condensed Sch. Level Costs'!H104</f>
        <v>N/A</v>
      </c>
      <c r="H109" s="342">
        <f>'WP12 Condensed Sch. Level Costs'!P104</f>
        <v>1.0137794003499056E-2</v>
      </c>
      <c r="I109" s="328">
        <f>ROUND('WP12 Condensed Sch. Level Costs'!U104,2)</f>
        <v>0</v>
      </c>
    </row>
    <row r="110" spans="1:9" x14ac:dyDescent="0.2">
      <c r="A110" s="32">
        <f t="shared" si="2"/>
        <v>102</v>
      </c>
      <c r="B110" s="27"/>
      <c r="C110" s="27"/>
      <c r="D110" s="327"/>
      <c r="E110" s="41"/>
      <c r="F110" s="16"/>
      <c r="G110" s="328"/>
      <c r="H110" s="342"/>
      <c r="I110" s="328"/>
    </row>
    <row r="111" spans="1:9" x14ac:dyDescent="0.2">
      <c r="A111" s="32">
        <f t="shared" si="2"/>
        <v>103</v>
      </c>
      <c r="B111" s="27" t="str">
        <f>'WP12 Condensed Sch. Level Costs'!A106</f>
        <v>53E - Customer Owned</v>
      </c>
      <c r="C111" s="27"/>
      <c r="D111" s="327" t="str">
        <f>'WP12 Condensed Sch. Level Costs'!C106</f>
        <v>Metal Halide</v>
      </c>
      <c r="E111" s="41" t="str">
        <f>'WP12 Condensed Sch. Level Costs'!D106</f>
        <v>MH 70</v>
      </c>
      <c r="F111" s="16" t="str">
        <f>'WP12 Condensed Sch. Level Costs'!F106</f>
        <v>Customer</v>
      </c>
      <c r="G111" s="328" t="str">
        <f>'WP12 Condensed Sch. Level Costs'!H106</f>
        <v>N/A</v>
      </c>
      <c r="H111" s="342">
        <f>'WP12 Condensed Sch. Level Costs'!P106</f>
        <v>1.0137794003499056E-2</v>
      </c>
      <c r="I111" s="328">
        <f>ROUND('WP12 Condensed Sch. Level Costs'!U106,2)</f>
        <v>0</v>
      </c>
    </row>
    <row r="112" spans="1:9" x14ac:dyDescent="0.2">
      <c r="A112" s="32">
        <f t="shared" si="2"/>
        <v>104</v>
      </c>
      <c r="B112" s="27" t="str">
        <f>'WP12 Condensed Sch. Level Costs'!A107</f>
        <v>53E - Customer Owned</v>
      </c>
      <c r="C112" s="27"/>
      <c r="D112" s="327" t="str">
        <f>'WP12 Condensed Sch. Level Costs'!C107</f>
        <v>Metal Halide</v>
      </c>
      <c r="E112" s="41" t="str">
        <f>'WP12 Condensed Sch. Level Costs'!D107</f>
        <v>MH 100</v>
      </c>
      <c r="F112" s="16" t="str">
        <f>'WP12 Condensed Sch. Level Costs'!F107</f>
        <v>Customer</v>
      </c>
      <c r="G112" s="328" t="str">
        <f>'WP12 Condensed Sch. Level Costs'!H107</f>
        <v>N/A</v>
      </c>
      <c r="H112" s="342">
        <f>'WP12 Condensed Sch. Level Costs'!P107</f>
        <v>1.0137794003499056E-2</v>
      </c>
      <c r="I112" s="328">
        <f>ROUND('WP12 Condensed Sch. Level Costs'!U107,2)</f>
        <v>0</v>
      </c>
    </row>
    <row r="113" spans="1:9" x14ac:dyDescent="0.2">
      <c r="A113" s="32">
        <f t="shared" si="2"/>
        <v>105</v>
      </c>
      <c r="B113" s="27" t="str">
        <f>'WP12 Condensed Sch. Level Costs'!A108</f>
        <v>53E - Customer Owned</v>
      </c>
      <c r="C113" s="27"/>
      <c r="D113" s="327" t="str">
        <f>'WP12 Condensed Sch. Level Costs'!C108</f>
        <v>Metal Halide</v>
      </c>
      <c r="E113" s="41" t="str">
        <f>'WP12 Condensed Sch. Level Costs'!D108</f>
        <v>MH 150</v>
      </c>
      <c r="F113" s="16" t="str">
        <f>'WP12 Condensed Sch. Level Costs'!F108</f>
        <v>Customer</v>
      </c>
      <c r="G113" s="328" t="str">
        <f>'WP12 Condensed Sch. Level Costs'!H108</f>
        <v>N/A</v>
      </c>
      <c r="H113" s="342">
        <f>'WP12 Condensed Sch. Level Costs'!P108</f>
        <v>1.0137794003499056E-2</v>
      </c>
      <c r="I113" s="328">
        <f>ROUND('WP12 Condensed Sch. Level Costs'!U108,2)</f>
        <v>0</v>
      </c>
    </row>
    <row r="114" spans="1:9" x14ac:dyDescent="0.2">
      <c r="A114" s="32">
        <f t="shared" si="2"/>
        <v>106</v>
      </c>
      <c r="B114" s="27" t="str">
        <f>'WP12 Condensed Sch. Level Costs'!A109</f>
        <v>53E - Customer Owned</v>
      </c>
      <c r="C114" s="27"/>
      <c r="D114" s="327" t="str">
        <f>'WP12 Condensed Sch. Level Costs'!C109</f>
        <v>Metal Halide</v>
      </c>
      <c r="E114" s="41" t="str">
        <f>'WP12 Condensed Sch. Level Costs'!D109</f>
        <v>MH 175</v>
      </c>
      <c r="F114" s="16" t="str">
        <f>'WP12 Condensed Sch. Level Costs'!F109</f>
        <v>Customer</v>
      </c>
      <c r="G114" s="328" t="str">
        <f>'WP12 Condensed Sch. Level Costs'!H109</f>
        <v>N/A</v>
      </c>
      <c r="H114" s="342">
        <f>'WP12 Condensed Sch. Level Costs'!P109</f>
        <v>1.0137794003499056E-2</v>
      </c>
      <c r="I114" s="328">
        <f>ROUND('WP12 Condensed Sch. Level Costs'!U109,2)</f>
        <v>0</v>
      </c>
    </row>
    <row r="115" spans="1:9" x14ac:dyDescent="0.2">
      <c r="A115" s="32">
        <f t="shared" si="2"/>
        <v>107</v>
      </c>
      <c r="B115" s="27" t="str">
        <f>'WP12 Condensed Sch. Level Costs'!A110</f>
        <v>53E - Customer Owned</v>
      </c>
      <c r="C115" s="27"/>
      <c r="D115" s="327" t="str">
        <f>'WP12 Condensed Sch. Level Costs'!C110</f>
        <v>Metal Halide</v>
      </c>
      <c r="E115" s="41" t="str">
        <f>'WP12 Condensed Sch. Level Costs'!D110</f>
        <v>MH 250</v>
      </c>
      <c r="F115" s="16" t="str">
        <f>'WP12 Condensed Sch. Level Costs'!F110</f>
        <v>Customer</v>
      </c>
      <c r="G115" s="328" t="str">
        <f>'WP12 Condensed Sch. Level Costs'!H110</f>
        <v>N/A</v>
      </c>
      <c r="H115" s="342">
        <f>'WP12 Condensed Sch. Level Costs'!P110</f>
        <v>1.0137794003499056E-2</v>
      </c>
      <c r="I115" s="328">
        <f>ROUND('WP12 Condensed Sch. Level Costs'!U110,2)</f>
        <v>0</v>
      </c>
    </row>
    <row r="116" spans="1:9" x14ac:dyDescent="0.2">
      <c r="A116" s="32">
        <f t="shared" si="2"/>
        <v>108</v>
      </c>
      <c r="B116" s="27" t="str">
        <f>'WP12 Condensed Sch. Level Costs'!A111</f>
        <v>53E - Customer Owned</v>
      </c>
      <c r="C116" s="27"/>
      <c r="D116" s="327" t="str">
        <f>'WP12 Condensed Sch. Level Costs'!C111</f>
        <v>Metal Halide</v>
      </c>
      <c r="E116" s="41" t="str">
        <f>'WP12 Condensed Sch. Level Costs'!D111</f>
        <v>MH 400</v>
      </c>
      <c r="F116" s="16" t="str">
        <f>'WP12 Condensed Sch. Level Costs'!F111</f>
        <v>Customer</v>
      </c>
      <c r="G116" s="328" t="str">
        <f>'WP12 Condensed Sch. Level Costs'!H111</f>
        <v>N/A</v>
      </c>
      <c r="H116" s="342">
        <f>'WP12 Condensed Sch. Level Costs'!P111</f>
        <v>1.0137794003499056E-2</v>
      </c>
      <c r="I116" s="328">
        <f>ROUND('WP12 Condensed Sch. Level Costs'!U111,2)</f>
        <v>0</v>
      </c>
    </row>
    <row r="117" spans="1:9" x14ac:dyDescent="0.2">
      <c r="A117" s="32">
        <f t="shared" si="2"/>
        <v>109</v>
      </c>
      <c r="B117" s="27"/>
      <c r="C117" s="27"/>
      <c r="D117" s="327"/>
      <c r="E117" s="41"/>
      <c r="F117" s="16"/>
      <c r="G117" s="328"/>
      <c r="H117" s="342"/>
      <c r="I117" s="328"/>
    </row>
    <row r="118" spans="1:9" x14ac:dyDescent="0.2">
      <c r="A118" s="32">
        <f t="shared" si="2"/>
        <v>110</v>
      </c>
      <c r="B118" s="27" t="str">
        <f>'WP12 Condensed Sch. Level Costs'!A113</f>
        <v>53E - Customer Owned</v>
      </c>
      <c r="C118" s="27"/>
      <c r="D118" s="327" t="str">
        <f>'WP12 Condensed Sch. Level Costs'!C113</f>
        <v>Light Emitting Diode</v>
      </c>
      <c r="E118" s="41" t="str">
        <f>'WP12 Condensed Sch. Level Costs'!D113</f>
        <v>LED 0-030</v>
      </c>
      <c r="F118" s="16" t="str">
        <f>'WP12 Condensed Sch. Level Costs'!F113</f>
        <v>Customer</v>
      </c>
      <c r="G118" s="328" t="str">
        <f>'WP12 Condensed Sch. Level Costs'!H113</f>
        <v>N/A</v>
      </c>
      <c r="H118" s="342">
        <f>'WP12 Condensed Sch. Level Costs'!P113</f>
        <v>1.0137794003499056E-2</v>
      </c>
      <c r="I118" s="328">
        <f>ROUND('WP12 Condensed Sch. Level Costs'!U113,2)</f>
        <v>0</v>
      </c>
    </row>
    <row r="119" spans="1:9" x14ac:dyDescent="0.2">
      <c r="A119" s="32">
        <f t="shared" si="2"/>
        <v>111</v>
      </c>
      <c r="B119" s="27" t="str">
        <f>'WP12 Condensed Sch. Level Costs'!A114</f>
        <v>53E - Customer Owned</v>
      </c>
      <c r="C119" s="27"/>
      <c r="D119" s="327" t="str">
        <f>'WP12 Condensed Sch. Level Costs'!C114</f>
        <v>Light Emitting Diode</v>
      </c>
      <c r="E119" s="41" t="str">
        <f>'WP12 Condensed Sch. Level Costs'!D114</f>
        <v>LED 030.01-060</v>
      </c>
      <c r="F119" s="16" t="str">
        <f>'WP12 Condensed Sch. Level Costs'!F114</f>
        <v>Customer</v>
      </c>
      <c r="G119" s="328" t="str">
        <f>'WP12 Condensed Sch. Level Costs'!H114</f>
        <v>N/A</v>
      </c>
      <c r="H119" s="342">
        <f>'WP12 Condensed Sch. Level Costs'!P114</f>
        <v>1.0137794003499056E-2</v>
      </c>
      <c r="I119" s="328">
        <f>ROUND('WP12 Condensed Sch. Level Costs'!U114,2)</f>
        <v>0</v>
      </c>
    </row>
    <row r="120" spans="1:9" x14ac:dyDescent="0.2">
      <c r="A120" s="32">
        <f t="shared" si="2"/>
        <v>112</v>
      </c>
      <c r="B120" s="27" t="str">
        <f>'WP12 Condensed Sch. Level Costs'!A115</f>
        <v>53E - Customer Owned</v>
      </c>
      <c r="C120" s="27"/>
      <c r="D120" s="327" t="str">
        <f>'WP12 Condensed Sch. Level Costs'!C115</f>
        <v>Light Emitting Diode</v>
      </c>
      <c r="E120" s="41" t="str">
        <f>'WP12 Condensed Sch. Level Costs'!D115</f>
        <v>LED 060.01-090</v>
      </c>
      <c r="F120" s="16" t="str">
        <f>'WP12 Condensed Sch. Level Costs'!F115</f>
        <v>Customer</v>
      </c>
      <c r="G120" s="328" t="str">
        <f>'WP12 Condensed Sch. Level Costs'!H115</f>
        <v>N/A</v>
      </c>
      <c r="H120" s="342">
        <f>'WP12 Condensed Sch. Level Costs'!P115</f>
        <v>1.0137794003499056E-2</v>
      </c>
      <c r="I120" s="328">
        <f>ROUND('WP12 Condensed Sch. Level Costs'!U115,2)</f>
        <v>0</v>
      </c>
    </row>
    <row r="121" spans="1:9" x14ac:dyDescent="0.2">
      <c r="A121" s="32">
        <f t="shared" si="2"/>
        <v>113</v>
      </c>
      <c r="B121" s="27" t="str">
        <f>'WP12 Condensed Sch. Level Costs'!A116</f>
        <v>53E - Customer Owned</v>
      </c>
      <c r="C121" s="27"/>
      <c r="D121" s="327" t="str">
        <f>'WP12 Condensed Sch. Level Costs'!C116</f>
        <v>Light Emitting Diode</v>
      </c>
      <c r="E121" s="41" t="str">
        <f>'WP12 Condensed Sch. Level Costs'!D116</f>
        <v>LED 090.01-120</v>
      </c>
      <c r="F121" s="16" t="str">
        <f>'WP12 Condensed Sch. Level Costs'!F116</f>
        <v>Customer</v>
      </c>
      <c r="G121" s="328" t="str">
        <f>'WP12 Condensed Sch. Level Costs'!H116</f>
        <v>N/A</v>
      </c>
      <c r="H121" s="342">
        <f>'WP12 Condensed Sch. Level Costs'!P116</f>
        <v>1.0137794003499056E-2</v>
      </c>
      <c r="I121" s="328">
        <f>ROUND('WP12 Condensed Sch. Level Costs'!U116,2)</f>
        <v>0</v>
      </c>
    </row>
    <row r="122" spans="1:9" x14ac:dyDescent="0.2">
      <c r="A122" s="32">
        <f t="shared" si="2"/>
        <v>114</v>
      </c>
      <c r="B122" s="27" t="str">
        <f>'WP12 Condensed Sch. Level Costs'!A117</f>
        <v>53E - Customer Owned</v>
      </c>
      <c r="C122" s="27"/>
      <c r="D122" s="327" t="str">
        <f>'WP12 Condensed Sch. Level Costs'!C117</f>
        <v>Light Emitting Diode</v>
      </c>
      <c r="E122" s="41" t="str">
        <f>'WP12 Condensed Sch. Level Costs'!D117</f>
        <v>LED 120.01-150</v>
      </c>
      <c r="F122" s="16" t="str">
        <f>'WP12 Condensed Sch. Level Costs'!F117</f>
        <v>Customer</v>
      </c>
      <c r="G122" s="328" t="str">
        <f>'WP12 Condensed Sch. Level Costs'!H117</f>
        <v>N/A</v>
      </c>
      <c r="H122" s="342">
        <f>'WP12 Condensed Sch. Level Costs'!P117</f>
        <v>1.0137794003499056E-2</v>
      </c>
      <c r="I122" s="328">
        <f>ROUND('WP12 Condensed Sch. Level Costs'!U117,2)</f>
        <v>0</v>
      </c>
    </row>
    <row r="123" spans="1:9" x14ac:dyDescent="0.2">
      <c r="A123" s="32">
        <f t="shared" si="2"/>
        <v>115</v>
      </c>
      <c r="B123" s="27" t="str">
        <f>'WP12 Condensed Sch. Level Costs'!A118</f>
        <v>53E - Customer Owned</v>
      </c>
      <c r="C123" s="27"/>
      <c r="D123" s="327" t="str">
        <f>'WP12 Condensed Sch. Level Costs'!C118</f>
        <v>Light Emitting Diode</v>
      </c>
      <c r="E123" s="41" t="str">
        <f>'WP12 Condensed Sch. Level Costs'!D118</f>
        <v>LED 150.01-180</v>
      </c>
      <c r="F123" s="16" t="str">
        <f>'WP12 Condensed Sch. Level Costs'!F118</f>
        <v>Customer</v>
      </c>
      <c r="G123" s="328" t="str">
        <f>'WP12 Condensed Sch. Level Costs'!H118</f>
        <v>N/A</v>
      </c>
      <c r="H123" s="342">
        <f>'WP12 Condensed Sch. Level Costs'!P118</f>
        <v>1.0137794003499056E-2</v>
      </c>
      <c r="I123" s="328">
        <f>ROUND('WP12 Condensed Sch. Level Costs'!U118,2)</f>
        <v>0</v>
      </c>
    </row>
    <row r="124" spans="1:9" x14ac:dyDescent="0.2">
      <c r="A124" s="32">
        <f t="shared" si="2"/>
        <v>116</v>
      </c>
      <c r="B124" s="27" t="str">
        <f>'WP12 Condensed Sch. Level Costs'!A119</f>
        <v>53E - Customer Owned</v>
      </c>
      <c r="C124" s="27"/>
      <c r="D124" s="327" t="str">
        <f>'WP12 Condensed Sch. Level Costs'!C119</f>
        <v>Light Emitting Diode</v>
      </c>
      <c r="E124" s="41" t="str">
        <f>'WP12 Condensed Sch. Level Costs'!D119</f>
        <v>LED 180.01-210</v>
      </c>
      <c r="F124" s="16" t="str">
        <f>'WP12 Condensed Sch. Level Costs'!F119</f>
        <v>Customer</v>
      </c>
      <c r="G124" s="328" t="str">
        <f>'WP12 Condensed Sch. Level Costs'!H119</f>
        <v>N/A</v>
      </c>
      <c r="H124" s="342">
        <f>'WP12 Condensed Sch. Level Costs'!P119</f>
        <v>1.0137794003499056E-2</v>
      </c>
      <c r="I124" s="328">
        <f>ROUND('WP12 Condensed Sch. Level Costs'!U119,2)</f>
        <v>0</v>
      </c>
    </row>
    <row r="125" spans="1:9" x14ac:dyDescent="0.2">
      <c r="A125" s="32">
        <f t="shared" si="2"/>
        <v>117</v>
      </c>
      <c r="B125" s="27" t="str">
        <f>'WP12 Condensed Sch. Level Costs'!A120</f>
        <v>53E - Customer Owned</v>
      </c>
      <c r="C125" s="27"/>
      <c r="D125" s="327" t="str">
        <f>'WP12 Condensed Sch. Level Costs'!C120</f>
        <v>Light Emitting Diode</v>
      </c>
      <c r="E125" s="41" t="str">
        <f>'WP12 Condensed Sch. Level Costs'!D120</f>
        <v>LED 210.01-240</v>
      </c>
      <c r="F125" s="16" t="str">
        <f>'WP12 Condensed Sch. Level Costs'!F120</f>
        <v>Customer</v>
      </c>
      <c r="G125" s="328" t="str">
        <f>'WP12 Condensed Sch. Level Costs'!H120</f>
        <v>N/A</v>
      </c>
      <c r="H125" s="342">
        <f>'WP12 Condensed Sch. Level Costs'!P120</f>
        <v>1.0137794003499056E-2</v>
      </c>
      <c r="I125" s="328">
        <f>ROUND('WP12 Condensed Sch. Level Costs'!U120,2)</f>
        <v>0</v>
      </c>
    </row>
    <row r="126" spans="1:9" x14ac:dyDescent="0.2">
      <c r="A126" s="32">
        <f t="shared" si="2"/>
        <v>118</v>
      </c>
      <c r="B126" s="27" t="str">
        <f>'WP12 Condensed Sch. Level Costs'!A121</f>
        <v>53E - Customer Owned</v>
      </c>
      <c r="C126" s="27"/>
      <c r="D126" s="327" t="str">
        <f>'WP12 Condensed Sch. Level Costs'!C121</f>
        <v>Light Emitting Diode</v>
      </c>
      <c r="E126" s="41" t="str">
        <f>'WP12 Condensed Sch. Level Costs'!D121</f>
        <v>LED 240.01-270</v>
      </c>
      <c r="F126" s="16" t="str">
        <f>'WP12 Condensed Sch. Level Costs'!F121</f>
        <v>Customer</v>
      </c>
      <c r="G126" s="328" t="str">
        <f>'WP12 Condensed Sch. Level Costs'!H121</f>
        <v>N/A</v>
      </c>
      <c r="H126" s="342">
        <f>'WP12 Condensed Sch. Level Costs'!P121</f>
        <v>1.0137794003499056E-2</v>
      </c>
      <c r="I126" s="328">
        <f>ROUND('WP12 Condensed Sch. Level Costs'!U121,2)</f>
        <v>0</v>
      </c>
    </row>
    <row r="127" spans="1:9" x14ac:dyDescent="0.2">
      <c r="A127" s="32">
        <f t="shared" si="2"/>
        <v>119</v>
      </c>
      <c r="B127" s="27" t="str">
        <f>'WP12 Condensed Sch. Level Costs'!A122</f>
        <v>53E - Customer Owned</v>
      </c>
      <c r="C127" s="27"/>
      <c r="D127" s="327" t="str">
        <f>'WP12 Condensed Sch. Level Costs'!C122</f>
        <v>Light Emitting Diode</v>
      </c>
      <c r="E127" s="41" t="str">
        <f>'WP12 Condensed Sch. Level Costs'!D122</f>
        <v>LED 270.01-300</v>
      </c>
      <c r="F127" s="16" t="str">
        <f>'WP12 Condensed Sch. Level Costs'!F122</f>
        <v>Customer</v>
      </c>
      <c r="G127" s="328" t="str">
        <f>'WP12 Condensed Sch. Level Costs'!H122</f>
        <v>N/A</v>
      </c>
      <c r="H127" s="342">
        <f>'WP12 Condensed Sch. Level Costs'!P122</f>
        <v>1.0137794003499056E-2</v>
      </c>
      <c r="I127" s="328">
        <f>ROUND('WP12 Condensed Sch. Level Costs'!U122,2)</f>
        <v>0</v>
      </c>
    </row>
    <row r="128" spans="1:9" x14ac:dyDescent="0.2">
      <c r="A128" s="32">
        <f t="shared" si="2"/>
        <v>120</v>
      </c>
      <c r="B128" s="27"/>
      <c r="C128" s="27"/>
      <c r="D128" s="327"/>
      <c r="E128" s="41"/>
      <c r="F128" s="16"/>
      <c r="G128" s="328"/>
      <c r="H128" s="342"/>
      <c r="I128" s="328"/>
    </row>
    <row r="129" spans="1:9" x14ac:dyDescent="0.2">
      <c r="A129" s="32">
        <f t="shared" si="2"/>
        <v>121</v>
      </c>
      <c r="B129" s="27" t="str">
        <f>'WP12 Condensed Sch. Level Costs'!A123</f>
        <v>Sch 54E</v>
      </c>
      <c r="C129" s="27"/>
      <c r="D129" s="327"/>
      <c r="E129" s="41"/>
      <c r="F129" s="16"/>
      <c r="G129" s="328"/>
      <c r="H129" s="342"/>
      <c r="I129" s="328"/>
    </row>
    <row r="130" spans="1:9" x14ac:dyDescent="0.2">
      <c r="A130" s="32">
        <f t="shared" si="2"/>
        <v>122</v>
      </c>
      <c r="B130" s="27" t="str">
        <f>'WP12 Condensed Sch. Level Costs'!A124</f>
        <v>54E</v>
      </c>
      <c r="C130" s="27"/>
      <c r="D130" s="327" t="str">
        <f>'WP12 Condensed Sch. Level Costs'!C124</f>
        <v>Sodium Vapor</v>
      </c>
      <c r="E130" s="41" t="str">
        <f>'WP12 Condensed Sch. Level Costs'!D124</f>
        <v>SV 050</v>
      </c>
      <c r="F130" s="16" t="str">
        <f>'WP12 Condensed Sch. Level Costs'!F124</f>
        <v>Customer</v>
      </c>
      <c r="G130" s="328" t="str">
        <f>'WP12 Condensed Sch. Level Costs'!H124</f>
        <v>N/A</v>
      </c>
      <c r="H130" s="342">
        <f>'WP12 Condensed Sch. Level Costs'!P124</f>
        <v>1.0137794003499056E-2</v>
      </c>
      <c r="I130" s="328">
        <f>ROUND('WP12 Condensed Sch. Level Costs'!U124,2)</f>
        <v>0</v>
      </c>
    </row>
    <row r="131" spans="1:9" x14ac:dyDescent="0.2">
      <c r="A131" s="32">
        <f t="shared" si="2"/>
        <v>123</v>
      </c>
      <c r="B131" s="27" t="str">
        <f>'WP12 Condensed Sch. Level Costs'!A125</f>
        <v>54E</v>
      </c>
      <c r="C131" s="27"/>
      <c r="D131" s="327" t="str">
        <f>'WP12 Condensed Sch. Level Costs'!C125</f>
        <v>Sodium Vapor</v>
      </c>
      <c r="E131" s="41" t="str">
        <f>'WP12 Condensed Sch. Level Costs'!D125</f>
        <v>SV 070</v>
      </c>
      <c r="F131" s="16" t="str">
        <f>'WP12 Condensed Sch. Level Costs'!F125</f>
        <v>Customer</v>
      </c>
      <c r="G131" s="328" t="str">
        <f>'WP12 Condensed Sch. Level Costs'!H125</f>
        <v>N/A</v>
      </c>
      <c r="H131" s="342">
        <f>'WP12 Condensed Sch. Level Costs'!P125</f>
        <v>1.0137794003499056E-2</v>
      </c>
      <c r="I131" s="328">
        <f>ROUND('WP12 Condensed Sch. Level Costs'!U125,2)</f>
        <v>0</v>
      </c>
    </row>
    <row r="132" spans="1:9" x14ac:dyDescent="0.2">
      <c r="A132" s="32">
        <f t="shared" si="2"/>
        <v>124</v>
      </c>
      <c r="B132" s="27" t="str">
        <f>'WP12 Condensed Sch. Level Costs'!A126</f>
        <v>54E</v>
      </c>
      <c r="C132" s="27"/>
      <c r="D132" s="327" t="str">
        <f>'WP12 Condensed Sch. Level Costs'!C126</f>
        <v>Sodium Vapor</v>
      </c>
      <c r="E132" s="41" t="str">
        <f>'WP12 Condensed Sch. Level Costs'!D126</f>
        <v>SV 100</v>
      </c>
      <c r="F132" s="16" t="str">
        <f>'WP12 Condensed Sch. Level Costs'!F126</f>
        <v>Customer</v>
      </c>
      <c r="G132" s="328" t="str">
        <f>'WP12 Condensed Sch. Level Costs'!H126</f>
        <v>N/A</v>
      </c>
      <c r="H132" s="342">
        <f>'WP12 Condensed Sch. Level Costs'!P126</f>
        <v>1.0137794003499056E-2</v>
      </c>
      <c r="I132" s="328">
        <f>ROUND('WP12 Condensed Sch. Level Costs'!U126,2)</f>
        <v>0</v>
      </c>
    </row>
    <row r="133" spans="1:9" x14ac:dyDescent="0.2">
      <c r="A133" s="32">
        <f t="shared" si="2"/>
        <v>125</v>
      </c>
      <c r="B133" s="27" t="str">
        <f>'WP12 Condensed Sch. Level Costs'!A127</f>
        <v>54E</v>
      </c>
      <c r="C133" s="27"/>
      <c r="D133" s="327" t="str">
        <f>'WP12 Condensed Sch. Level Costs'!C127</f>
        <v>Sodium Vapor</v>
      </c>
      <c r="E133" s="41" t="str">
        <f>'WP12 Condensed Sch. Level Costs'!D127</f>
        <v>SV 150</v>
      </c>
      <c r="F133" s="16" t="str">
        <f>'WP12 Condensed Sch. Level Costs'!F127</f>
        <v>Customer</v>
      </c>
      <c r="G133" s="328" t="str">
        <f>'WP12 Condensed Sch. Level Costs'!H127</f>
        <v>N/A</v>
      </c>
      <c r="H133" s="342">
        <f>'WP12 Condensed Sch. Level Costs'!P127</f>
        <v>1.0137794003499056E-2</v>
      </c>
      <c r="I133" s="328">
        <f>ROUND('WP12 Condensed Sch. Level Costs'!U127,2)</f>
        <v>0</v>
      </c>
    </row>
    <row r="134" spans="1:9" x14ac:dyDescent="0.2">
      <c r="A134" s="32">
        <f t="shared" si="2"/>
        <v>126</v>
      </c>
      <c r="B134" s="27" t="str">
        <f>'WP12 Condensed Sch. Level Costs'!A128</f>
        <v>54E</v>
      </c>
      <c r="C134" s="27"/>
      <c r="D134" s="327" t="str">
        <f>'WP12 Condensed Sch. Level Costs'!C128</f>
        <v>Sodium Vapor</v>
      </c>
      <c r="E134" s="41" t="str">
        <f>'WP12 Condensed Sch. Level Costs'!D128</f>
        <v>SV 200</v>
      </c>
      <c r="F134" s="16" t="str">
        <f>'WP12 Condensed Sch. Level Costs'!F128</f>
        <v>Customer</v>
      </c>
      <c r="G134" s="328" t="str">
        <f>'WP12 Condensed Sch. Level Costs'!H128</f>
        <v>N/A</v>
      </c>
      <c r="H134" s="342">
        <f>'WP12 Condensed Sch. Level Costs'!P128</f>
        <v>1.0137794003499056E-2</v>
      </c>
      <c r="I134" s="328">
        <f>ROUND('WP12 Condensed Sch. Level Costs'!U128,2)</f>
        <v>0</v>
      </c>
    </row>
    <row r="135" spans="1:9" x14ac:dyDescent="0.2">
      <c r="A135" s="32">
        <f t="shared" si="2"/>
        <v>127</v>
      </c>
      <c r="B135" s="27" t="str">
        <f>'WP12 Condensed Sch. Level Costs'!A129</f>
        <v>54E</v>
      </c>
      <c r="C135" s="27"/>
      <c r="D135" s="327" t="str">
        <f>'WP12 Condensed Sch. Level Costs'!C129</f>
        <v>Sodium Vapor</v>
      </c>
      <c r="E135" s="41" t="str">
        <f>'WP12 Condensed Sch. Level Costs'!D129</f>
        <v>SV 250</v>
      </c>
      <c r="F135" s="16" t="str">
        <f>'WP12 Condensed Sch. Level Costs'!F129</f>
        <v>Customer</v>
      </c>
      <c r="G135" s="328" t="str">
        <f>'WP12 Condensed Sch. Level Costs'!H129</f>
        <v>N/A</v>
      </c>
      <c r="H135" s="342">
        <f>'WP12 Condensed Sch. Level Costs'!P129</f>
        <v>1.0137794003499056E-2</v>
      </c>
      <c r="I135" s="328">
        <f>ROUND('WP12 Condensed Sch. Level Costs'!U129,2)</f>
        <v>0</v>
      </c>
    </row>
    <row r="136" spans="1:9" x14ac:dyDescent="0.2">
      <c r="A136" s="32">
        <f t="shared" si="2"/>
        <v>128</v>
      </c>
      <c r="B136" s="27" t="str">
        <f>'WP12 Condensed Sch. Level Costs'!A130</f>
        <v>54E</v>
      </c>
      <c r="C136" s="27"/>
      <c r="D136" s="327" t="str">
        <f>'WP12 Condensed Sch. Level Costs'!C130</f>
        <v>Sodium Vapor</v>
      </c>
      <c r="E136" s="41" t="str">
        <f>'WP12 Condensed Sch. Level Costs'!D130</f>
        <v>SV 310</v>
      </c>
      <c r="F136" s="16" t="str">
        <f>'WP12 Condensed Sch. Level Costs'!F130</f>
        <v>Customer</v>
      </c>
      <c r="G136" s="328" t="str">
        <f>'WP12 Condensed Sch. Level Costs'!H130</f>
        <v>N/A</v>
      </c>
      <c r="H136" s="342">
        <f>'WP12 Condensed Sch. Level Costs'!P130</f>
        <v>1.0137794003499056E-2</v>
      </c>
      <c r="I136" s="328">
        <f>ROUND('WP12 Condensed Sch. Level Costs'!U130,2)</f>
        <v>0</v>
      </c>
    </row>
    <row r="137" spans="1:9" x14ac:dyDescent="0.2">
      <c r="A137" s="32">
        <f t="shared" si="2"/>
        <v>129</v>
      </c>
      <c r="B137" s="27" t="str">
        <f>'WP12 Condensed Sch. Level Costs'!A131</f>
        <v>54E</v>
      </c>
      <c r="C137" s="27"/>
      <c r="D137" s="327" t="str">
        <f>'WP12 Condensed Sch. Level Costs'!C131</f>
        <v>Sodium Vapor</v>
      </c>
      <c r="E137" s="41" t="str">
        <f>'WP12 Condensed Sch. Level Costs'!D131</f>
        <v>SV 400</v>
      </c>
      <c r="F137" s="16" t="str">
        <f>'WP12 Condensed Sch. Level Costs'!F131</f>
        <v>Customer</v>
      </c>
      <c r="G137" s="328" t="str">
        <f>'WP12 Condensed Sch. Level Costs'!H131</f>
        <v>N/A</v>
      </c>
      <c r="H137" s="342">
        <f>'WP12 Condensed Sch. Level Costs'!P131</f>
        <v>1.0137794003499056E-2</v>
      </c>
      <c r="I137" s="328">
        <f>ROUND('WP12 Condensed Sch. Level Costs'!U131,2)</f>
        <v>0</v>
      </c>
    </row>
    <row r="138" spans="1:9" x14ac:dyDescent="0.2">
      <c r="A138" s="32">
        <f t="shared" si="2"/>
        <v>130</v>
      </c>
      <c r="B138" s="27" t="str">
        <f>'WP12 Condensed Sch. Level Costs'!A132</f>
        <v>54E</v>
      </c>
      <c r="C138" s="27"/>
      <c r="D138" s="327" t="str">
        <f>'WP12 Condensed Sch. Level Costs'!C132</f>
        <v>Sodium Vapor</v>
      </c>
      <c r="E138" s="41" t="str">
        <f>'WP12 Condensed Sch. Level Costs'!D132</f>
        <v>SV 1000</v>
      </c>
      <c r="F138" s="16" t="str">
        <f>'WP12 Condensed Sch. Level Costs'!F132</f>
        <v>Customer</v>
      </c>
      <c r="G138" s="328" t="str">
        <f>'WP12 Condensed Sch. Level Costs'!H132</f>
        <v>N/A</v>
      </c>
      <c r="H138" s="342">
        <f>'WP12 Condensed Sch. Level Costs'!P132</f>
        <v>1.0137794003499056E-2</v>
      </c>
      <c r="I138" s="328">
        <f>ROUND('WP12 Condensed Sch. Level Costs'!U132,2)</f>
        <v>0</v>
      </c>
    </row>
    <row r="139" spans="1:9" x14ac:dyDescent="0.2">
      <c r="A139" s="32">
        <f t="shared" si="2"/>
        <v>131</v>
      </c>
      <c r="B139" s="27"/>
      <c r="C139" s="27"/>
      <c r="D139" s="327"/>
      <c r="E139" s="41"/>
      <c r="F139" s="16"/>
      <c r="G139" s="328"/>
      <c r="H139" s="342"/>
      <c r="I139" s="328"/>
    </row>
    <row r="140" spans="1:9" x14ac:dyDescent="0.2">
      <c r="A140" s="32">
        <f t="shared" si="2"/>
        <v>132</v>
      </c>
      <c r="B140" s="27" t="str">
        <f>'WP12 Condensed Sch. Level Costs'!A134</f>
        <v>54E</v>
      </c>
      <c r="C140" s="27"/>
      <c r="D140" s="327" t="str">
        <f>'WP12 Condensed Sch. Level Costs'!C134</f>
        <v>Light Emitting Diode</v>
      </c>
      <c r="E140" s="41" t="str">
        <f>'WP12 Condensed Sch. Level Costs'!D134</f>
        <v>LED 0-030</v>
      </c>
      <c r="F140" s="16" t="str">
        <f>'WP12 Condensed Sch. Level Costs'!F134</f>
        <v>Customer</v>
      </c>
      <c r="G140" s="328" t="str">
        <f>'WP12 Condensed Sch. Level Costs'!H134</f>
        <v>N/A</v>
      </c>
      <c r="H140" s="342">
        <f>'WP12 Condensed Sch. Level Costs'!P134</f>
        <v>1.0137794003499056E-2</v>
      </c>
      <c r="I140" s="328">
        <f>ROUND('WP12 Condensed Sch. Level Costs'!U134,2)</f>
        <v>0</v>
      </c>
    </row>
    <row r="141" spans="1:9" x14ac:dyDescent="0.2">
      <c r="A141" s="32">
        <f t="shared" si="2"/>
        <v>133</v>
      </c>
      <c r="B141" s="27" t="str">
        <f>'WP12 Condensed Sch. Level Costs'!A135</f>
        <v>54E</v>
      </c>
      <c r="C141" s="27"/>
      <c r="D141" s="327" t="str">
        <f>'WP12 Condensed Sch. Level Costs'!C135</f>
        <v>Light Emitting Diode</v>
      </c>
      <c r="E141" s="41" t="str">
        <f>'WP12 Condensed Sch. Level Costs'!D135</f>
        <v>LED 030.01-060</v>
      </c>
      <c r="F141" s="16" t="str">
        <f>'WP12 Condensed Sch. Level Costs'!F135</f>
        <v>Customer</v>
      </c>
      <c r="G141" s="328" t="str">
        <f>'WP12 Condensed Sch. Level Costs'!H135</f>
        <v>N/A</v>
      </c>
      <c r="H141" s="342">
        <f>'WP12 Condensed Sch. Level Costs'!P135</f>
        <v>1.0137794003499056E-2</v>
      </c>
      <c r="I141" s="328">
        <f>ROUND('WP12 Condensed Sch. Level Costs'!U135,2)</f>
        <v>0</v>
      </c>
    </row>
    <row r="142" spans="1:9" x14ac:dyDescent="0.2">
      <c r="A142" s="32">
        <f t="shared" si="2"/>
        <v>134</v>
      </c>
      <c r="B142" s="27" t="str">
        <f>'WP12 Condensed Sch. Level Costs'!A136</f>
        <v>54E</v>
      </c>
      <c r="C142" s="27"/>
      <c r="D142" s="327" t="str">
        <f>'WP12 Condensed Sch. Level Costs'!C136</f>
        <v>Light Emitting Diode</v>
      </c>
      <c r="E142" s="41" t="str">
        <f>'WP12 Condensed Sch. Level Costs'!D136</f>
        <v>LED 060.01-090</v>
      </c>
      <c r="F142" s="16" t="str">
        <f>'WP12 Condensed Sch. Level Costs'!F136</f>
        <v>Customer</v>
      </c>
      <c r="G142" s="328" t="str">
        <f>'WP12 Condensed Sch. Level Costs'!H136</f>
        <v>N/A</v>
      </c>
      <c r="H142" s="342">
        <f>'WP12 Condensed Sch. Level Costs'!P136</f>
        <v>1.0137794003499056E-2</v>
      </c>
      <c r="I142" s="328">
        <f>ROUND('WP12 Condensed Sch. Level Costs'!U136,2)</f>
        <v>0</v>
      </c>
    </row>
    <row r="143" spans="1:9" x14ac:dyDescent="0.2">
      <c r="A143" s="32">
        <f t="shared" si="2"/>
        <v>135</v>
      </c>
      <c r="B143" s="27" t="str">
        <f>'WP12 Condensed Sch. Level Costs'!A137</f>
        <v>54E</v>
      </c>
      <c r="C143" s="27"/>
      <c r="D143" s="327" t="str">
        <f>'WP12 Condensed Sch. Level Costs'!C137</f>
        <v>Light Emitting Diode</v>
      </c>
      <c r="E143" s="41" t="str">
        <f>'WP12 Condensed Sch. Level Costs'!D137</f>
        <v>LED 090.01-120</v>
      </c>
      <c r="F143" s="16" t="str">
        <f>'WP12 Condensed Sch. Level Costs'!F137</f>
        <v>Customer</v>
      </c>
      <c r="G143" s="328" t="str">
        <f>'WP12 Condensed Sch. Level Costs'!H137</f>
        <v>N/A</v>
      </c>
      <c r="H143" s="342">
        <f>'WP12 Condensed Sch. Level Costs'!P137</f>
        <v>1.0137794003499056E-2</v>
      </c>
      <c r="I143" s="328">
        <f>ROUND('WP12 Condensed Sch. Level Costs'!U137,2)</f>
        <v>0</v>
      </c>
    </row>
    <row r="144" spans="1:9" x14ac:dyDescent="0.2">
      <c r="A144" s="32">
        <f t="shared" si="2"/>
        <v>136</v>
      </c>
      <c r="B144" s="27" t="str">
        <f>'WP12 Condensed Sch. Level Costs'!A138</f>
        <v>54E</v>
      </c>
      <c r="C144" s="27"/>
      <c r="D144" s="327" t="str">
        <f>'WP12 Condensed Sch. Level Costs'!C138</f>
        <v>Light Emitting Diode</v>
      </c>
      <c r="E144" s="41" t="str">
        <f>'WP12 Condensed Sch. Level Costs'!D138</f>
        <v>LED 120.01-150</v>
      </c>
      <c r="F144" s="16" t="str">
        <f>'WP12 Condensed Sch. Level Costs'!F138</f>
        <v>Customer</v>
      </c>
      <c r="G144" s="328" t="str">
        <f>'WP12 Condensed Sch. Level Costs'!H138</f>
        <v>N/A</v>
      </c>
      <c r="H144" s="342">
        <f>'WP12 Condensed Sch. Level Costs'!P138</f>
        <v>1.0137794003499056E-2</v>
      </c>
      <c r="I144" s="328">
        <f>ROUND('WP12 Condensed Sch. Level Costs'!U138,2)</f>
        <v>0</v>
      </c>
    </row>
    <row r="145" spans="1:9" x14ac:dyDescent="0.2">
      <c r="A145" s="32">
        <f t="shared" si="2"/>
        <v>137</v>
      </c>
      <c r="B145" s="27" t="str">
        <f>'WP12 Condensed Sch. Level Costs'!A139</f>
        <v>54E</v>
      </c>
      <c r="C145" s="27"/>
      <c r="D145" s="327" t="str">
        <f>'WP12 Condensed Sch. Level Costs'!C139</f>
        <v>Light Emitting Diode</v>
      </c>
      <c r="E145" s="41" t="str">
        <f>'WP12 Condensed Sch. Level Costs'!D139</f>
        <v>LED 150.01-180</v>
      </c>
      <c r="F145" s="16" t="str">
        <f>'WP12 Condensed Sch. Level Costs'!F139</f>
        <v>Customer</v>
      </c>
      <c r="G145" s="328" t="str">
        <f>'WP12 Condensed Sch. Level Costs'!H139</f>
        <v>N/A</v>
      </c>
      <c r="H145" s="342">
        <f>'WP12 Condensed Sch. Level Costs'!P139</f>
        <v>1.0137794003499056E-2</v>
      </c>
      <c r="I145" s="328">
        <f>ROUND('WP12 Condensed Sch. Level Costs'!U139,2)</f>
        <v>0</v>
      </c>
    </row>
    <row r="146" spans="1:9" x14ac:dyDescent="0.2">
      <c r="A146" s="32">
        <f t="shared" si="2"/>
        <v>138</v>
      </c>
      <c r="B146" s="27" t="str">
        <f>'WP12 Condensed Sch. Level Costs'!A140</f>
        <v>54E</v>
      </c>
      <c r="C146" s="27"/>
      <c r="D146" s="327" t="str">
        <f>'WP12 Condensed Sch. Level Costs'!C140</f>
        <v>Light Emitting Diode</v>
      </c>
      <c r="E146" s="41" t="str">
        <f>'WP12 Condensed Sch. Level Costs'!D140</f>
        <v>LED 180.01-210</v>
      </c>
      <c r="F146" s="16" t="str">
        <f>'WP12 Condensed Sch. Level Costs'!F140</f>
        <v>Customer</v>
      </c>
      <c r="G146" s="328" t="str">
        <f>'WP12 Condensed Sch. Level Costs'!H140</f>
        <v>N/A</v>
      </c>
      <c r="H146" s="342">
        <f>'WP12 Condensed Sch. Level Costs'!P140</f>
        <v>1.0137794003499056E-2</v>
      </c>
      <c r="I146" s="328">
        <f>ROUND('WP12 Condensed Sch. Level Costs'!U140,2)</f>
        <v>0</v>
      </c>
    </row>
    <row r="147" spans="1:9" x14ac:dyDescent="0.2">
      <c r="A147" s="32">
        <f t="shared" si="2"/>
        <v>139</v>
      </c>
      <c r="B147" s="27" t="str">
        <f>'WP12 Condensed Sch. Level Costs'!A141</f>
        <v>54E</v>
      </c>
      <c r="C147" s="27"/>
      <c r="D147" s="327" t="str">
        <f>'WP12 Condensed Sch. Level Costs'!C141</f>
        <v>Light Emitting Diode</v>
      </c>
      <c r="E147" s="41" t="str">
        <f>'WP12 Condensed Sch. Level Costs'!D141</f>
        <v>LED 210.01-240</v>
      </c>
      <c r="F147" s="16" t="str">
        <f>'WP12 Condensed Sch. Level Costs'!F141</f>
        <v>Customer</v>
      </c>
      <c r="G147" s="328" t="str">
        <f>'WP12 Condensed Sch. Level Costs'!H141</f>
        <v>N/A</v>
      </c>
      <c r="H147" s="342">
        <f>'WP12 Condensed Sch. Level Costs'!P141</f>
        <v>1.0137794003499056E-2</v>
      </c>
      <c r="I147" s="328">
        <f>ROUND('WP12 Condensed Sch. Level Costs'!U141,2)</f>
        <v>0</v>
      </c>
    </row>
    <row r="148" spans="1:9" x14ac:dyDescent="0.2">
      <c r="A148" s="32">
        <f t="shared" si="2"/>
        <v>140</v>
      </c>
      <c r="B148" s="27" t="str">
        <f>'WP12 Condensed Sch. Level Costs'!A142</f>
        <v>54E</v>
      </c>
      <c r="C148" s="27"/>
      <c r="D148" s="327" t="str">
        <f>'WP12 Condensed Sch. Level Costs'!C142</f>
        <v>Light Emitting Diode</v>
      </c>
      <c r="E148" s="41" t="str">
        <f>'WP12 Condensed Sch. Level Costs'!D142</f>
        <v>LED 240.01-270</v>
      </c>
      <c r="F148" s="16" t="str">
        <f>'WP12 Condensed Sch. Level Costs'!F142</f>
        <v>Customer</v>
      </c>
      <c r="G148" s="328" t="str">
        <f>'WP12 Condensed Sch. Level Costs'!H142</f>
        <v>N/A</v>
      </c>
      <c r="H148" s="342">
        <f>'WP12 Condensed Sch. Level Costs'!P142</f>
        <v>1.0137794003499056E-2</v>
      </c>
      <c r="I148" s="328">
        <f>ROUND('WP12 Condensed Sch. Level Costs'!U142,2)</f>
        <v>0</v>
      </c>
    </row>
    <row r="149" spans="1:9" x14ac:dyDescent="0.2">
      <c r="A149" s="32">
        <f t="shared" si="2"/>
        <v>141</v>
      </c>
      <c r="B149" s="27" t="str">
        <f>'WP12 Condensed Sch. Level Costs'!A143</f>
        <v>54E</v>
      </c>
      <c r="C149" s="27"/>
      <c r="D149" s="327" t="str">
        <f>'WP12 Condensed Sch. Level Costs'!C143</f>
        <v>Light Emitting Diode</v>
      </c>
      <c r="E149" s="41" t="str">
        <f>'WP12 Condensed Sch. Level Costs'!D143</f>
        <v>LED 270.01-300</v>
      </c>
      <c r="F149" s="16" t="str">
        <f>'WP12 Condensed Sch. Level Costs'!F143</f>
        <v>Customer</v>
      </c>
      <c r="G149" s="328" t="str">
        <f>'WP12 Condensed Sch. Level Costs'!H143</f>
        <v>N/A</v>
      </c>
      <c r="H149" s="342">
        <f>'WP12 Condensed Sch. Level Costs'!P143</f>
        <v>1.0137794003499056E-2</v>
      </c>
      <c r="I149" s="328">
        <f>ROUND('WP12 Condensed Sch. Level Costs'!U143,2)</f>
        <v>0</v>
      </c>
    </row>
    <row r="150" spans="1:9" x14ac:dyDescent="0.2">
      <c r="A150" s="32">
        <f t="shared" si="2"/>
        <v>142</v>
      </c>
      <c r="B150" s="27"/>
      <c r="C150" s="27"/>
      <c r="D150" s="327"/>
      <c r="E150" s="41"/>
      <c r="F150" s="16"/>
      <c r="G150" s="328"/>
      <c r="H150" s="342"/>
      <c r="I150" s="328"/>
    </row>
    <row r="151" spans="1:9" x14ac:dyDescent="0.2">
      <c r="A151" s="32">
        <f t="shared" si="2"/>
        <v>143</v>
      </c>
      <c r="B151" s="27" t="str">
        <f>'WP12 Condensed Sch. Level Costs'!A144</f>
        <v>Sch 55 &amp; 56</v>
      </c>
      <c r="C151" s="27"/>
      <c r="D151" s="327"/>
      <c r="E151" s="41"/>
      <c r="F151" s="16"/>
      <c r="G151" s="328"/>
      <c r="H151" s="342"/>
      <c r="I151" s="328"/>
    </row>
    <row r="152" spans="1:9" x14ac:dyDescent="0.2">
      <c r="A152" s="32">
        <f t="shared" si="2"/>
        <v>144</v>
      </c>
      <c r="B152" s="27" t="str">
        <f>'WP12 Condensed Sch. Level Costs'!A145</f>
        <v>55E &amp; 56E</v>
      </c>
      <c r="C152" s="27"/>
      <c r="D152" s="327" t="str">
        <f>'WP12 Condensed Sch. Level Costs'!C145</f>
        <v>Sodium Vapor</v>
      </c>
      <c r="E152" s="41" t="str">
        <f>'WP12 Condensed Sch. Level Costs'!D145</f>
        <v>SV 070</v>
      </c>
      <c r="F152" s="16" t="str">
        <f>'WP12 Condensed Sch. Level Costs'!F145</f>
        <v>Company</v>
      </c>
      <c r="G152" s="328">
        <f>'WP12 Condensed Sch. Level Costs'!H145</f>
        <v>908.27</v>
      </c>
      <c r="H152" s="342">
        <f>'WP12 Condensed Sch. Level Costs'!P145</f>
        <v>1.0137794003499056E-2</v>
      </c>
      <c r="I152" s="328">
        <f>ROUND('WP12 Condensed Sch. Level Costs'!U145,2)</f>
        <v>9.2100000000000009</v>
      </c>
    </row>
    <row r="153" spans="1:9" x14ac:dyDescent="0.2">
      <c r="A153" s="32">
        <f t="shared" si="2"/>
        <v>145</v>
      </c>
      <c r="B153" s="27" t="str">
        <f>'WP12 Condensed Sch. Level Costs'!A146</f>
        <v>55E &amp; 56E</v>
      </c>
      <c r="C153" s="27"/>
      <c r="D153" s="327" t="str">
        <f>'WP12 Condensed Sch. Level Costs'!C146</f>
        <v>Sodium Vapor</v>
      </c>
      <c r="E153" s="41" t="str">
        <f>'WP12 Condensed Sch. Level Costs'!D146</f>
        <v>SV 100</v>
      </c>
      <c r="F153" s="16" t="str">
        <f>'WP12 Condensed Sch. Level Costs'!F146</f>
        <v>Company</v>
      </c>
      <c r="G153" s="328">
        <f>'WP12 Condensed Sch. Level Costs'!H146</f>
        <v>855.82</v>
      </c>
      <c r="H153" s="342">
        <f>'WP12 Condensed Sch. Level Costs'!P146</f>
        <v>1.0137794003499056E-2</v>
      </c>
      <c r="I153" s="328">
        <f>ROUND('WP12 Condensed Sch. Level Costs'!U146,2)</f>
        <v>8.68</v>
      </c>
    </row>
    <row r="154" spans="1:9" x14ac:dyDescent="0.2">
      <c r="A154" s="32">
        <f t="shared" si="2"/>
        <v>146</v>
      </c>
      <c r="B154" s="27" t="str">
        <f>'WP12 Condensed Sch. Level Costs'!A147</f>
        <v>55E &amp; 56E</v>
      </c>
      <c r="C154" s="27"/>
      <c r="D154" s="327" t="str">
        <f>'WP12 Condensed Sch. Level Costs'!C147</f>
        <v>Sodium Vapor</v>
      </c>
      <c r="E154" s="41" t="str">
        <f>'WP12 Condensed Sch. Level Costs'!D147</f>
        <v>SV 150</v>
      </c>
      <c r="F154" s="16" t="str">
        <f>'WP12 Condensed Sch. Level Costs'!F147</f>
        <v>Company</v>
      </c>
      <c r="G154" s="328">
        <f>'WP12 Condensed Sch. Level Costs'!H147</f>
        <v>857.29</v>
      </c>
      <c r="H154" s="342">
        <f>'WP12 Condensed Sch. Level Costs'!P147</f>
        <v>1.0137794003499056E-2</v>
      </c>
      <c r="I154" s="328">
        <f>ROUND('WP12 Condensed Sch. Level Costs'!U147,2)</f>
        <v>8.69</v>
      </c>
    </row>
    <row r="155" spans="1:9" x14ac:dyDescent="0.2">
      <c r="A155" s="32">
        <f t="shared" si="2"/>
        <v>147</v>
      </c>
      <c r="B155" s="27" t="str">
        <f>'WP12 Condensed Sch. Level Costs'!A148</f>
        <v>55E &amp; 56E</v>
      </c>
      <c r="C155" s="27"/>
      <c r="D155" s="327" t="str">
        <f>'WP12 Condensed Sch. Level Costs'!C148</f>
        <v>Sodium Vapor</v>
      </c>
      <c r="E155" s="41" t="str">
        <f>'WP12 Condensed Sch. Level Costs'!D148</f>
        <v>SV 200</v>
      </c>
      <c r="F155" s="16" t="str">
        <f>'WP12 Condensed Sch. Level Costs'!F148</f>
        <v>Company</v>
      </c>
      <c r="G155" s="328">
        <f>'WP12 Condensed Sch. Level Costs'!H148</f>
        <v>906.86</v>
      </c>
      <c r="H155" s="342">
        <f>'WP12 Condensed Sch. Level Costs'!P148</f>
        <v>1.0137794003499056E-2</v>
      </c>
      <c r="I155" s="328">
        <f>ROUND('WP12 Condensed Sch. Level Costs'!U148,2)</f>
        <v>9.19</v>
      </c>
    </row>
    <row r="156" spans="1:9" x14ac:dyDescent="0.2">
      <c r="A156" s="32">
        <f t="shared" si="2"/>
        <v>148</v>
      </c>
      <c r="B156" s="27" t="str">
        <f>'WP12 Condensed Sch. Level Costs'!A149</f>
        <v>55E &amp; 56E</v>
      </c>
      <c r="C156" s="27"/>
      <c r="D156" s="327" t="str">
        <f>'WP12 Condensed Sch. Level Costs'!C149</f>
        <v>Sodium Vapor</v>
      </c>
      <c r="E156" s="41" t="str">
        <f>'WP12 Condensed Sch. Level Costs'!D149</f>
        <v>SV 250</v>
      </c>
      <c r="F156" s="16" t="str">
        <f>'WP12 Condensed Sch. Level Costs'!F149</f>
        <v>Company</v>
      </c>
      <c r="G156" s="328">
        <f>'WP12 Condensed Sch. Level Costs'!H149</f>
        <v>922.99</v>
      </c>
      <c r="H156" s="342">
        <f>'WP12 Condensed Sch. Level Costs'!P149</f>
        <v>1.0137794003499056E-2</v>
      </c>
      <c r="I156" s="328">
        <f>ROUND('WP12 Condensed Sch. Level Costs'!U149,2)</f>
        <v>9.36</v>
      </c>
    </row>
    <row r="157" spans="1:9" x14ac:dyDescent="0.2">
      <c r="A157" s="32">
        <f t="shared" si="2"/>
        <v>149</v>
      </c>
      <c r="B157" s="27" t="str">
        <f>'WP12 Condensed Sch. Level Costs'!A150</f>
        <v>55E &amp; 56E</v>
      </c>
      <c r="C157" s="27"/>
      <c r="D157" s="327" t="str">
        <f>'WP12 Condensed Sch. Level Costs'!C150</f>
        <v>Sodium Vapor</v>
      </c>
      <c r="E157" s="41" t="str">
        <f>'WP12 Condensed Sch. Level Costs'!D150</f>
        <v>SV 400</v>
      </c>
      <c r="F157" s="16" t="str">
        <f>'WP12 Condensed Sch. Level Costs'!F150</f>
        <v>Company</v>
      </c>
      <c r="G157" s="328">
        <f>'WP12 Condensed Sch. Level Costs'!H150</f>
        <v>1029.9100000000001</v>
      </c>
      <c r="H157" s="342">
        <f>'WP12 Condensed Sch. Level Costs'!P150</f>
        <v>1.0137794003499056E-2</v>
      </c>
      <c r="I157" s="328">
        <f>ROUND('WP12 Condensed Sch. Level Costs'!U150,2)</f>
        <v>10.44</v>
      </c>
    </row>
    <row r="158" spans="1:9" x14ac:dyDescent="0.2">
      <c r="A158" s="32">
        <f t="shared" si="2"/>
        <v>150</v>
      </c>
      <c r="B158" s="27"/>
      <c r="C158" s="27"/>
      <c r="D158" s="327"/>
      <c r="E158" s="41"/>
      <c r="F158" s="16"/>
      <c r="G158" s="328"/>
      <c r="H158" s="342"/>
      <c r="I158" s="328"/>
    </row>
    <row r="159" spans="1:9" x14ac:dyDescent="0.2">
      <c r="A159" s="32">
        <f t="shared" si="2"/>
        <v>151</v>
      </c>
      <c r="B159" s="27" t="str">
        <f>'WP12 Condensed Sch. Level Costs'!A152</f>
        <v>55E &amp; 56E</v>
      </c>
      <c r="C159" s="27"/>
      <c r="D159" s="327" t="str">
        <f>'WP12 Condensed Sch. Level Costs'!C152</f>
        <v>Metal Halide</v>
      </c>
      <c r="E159" s="41" t="str">
        <f>'WP12 Condensed Sch. Level Costs'!D152</f>
        <v>MH 250</v>
      </c>
      <c r="F159" s="16" t="str">
        <f>'WP12 Condensed Sch. Level Costs'!F152</f>
        <v>Company</v>
      </c>
      <c r="G159" s="328">
        <f>'WP12 Condensed Sch. Level Costs'!H152</f>
        <v>915.43</v>
      </c>
      <c r="H159" s="342">
        <f>'WP12 Condensed Sch. Level Costs'!P152</f>
        <v>1.0137794003499056E-2</v>
      </c>
      <c r="I159" s="328">
        <f>ROUND('WP12 Condensed Sch. Level Costs'!U152,2)</f>
        <v>9.2799999999999994</v>
      </c>
    </row>
    <row r="160" spans="1:9" x14ac:dyDescent="0.2">
      <c r="A160" s="32">
        <f t="shared" si="2"/>
        <v>152</v>
      </c>
      <c r="B160" s="27"/>
      <c r="C160" s="27"/>
      <c r="D160" s="327"/>
      <c r="E160" s="41"/>
      <c r="F160" s="16"/>
      <c r="G160" s="328"/>
      <c r="H160" s="342"/>
      <c r="I160" s="328"/>
    </row>
    <row r="161" spans="1:9" x14ac:dyDescent="0.2">
      <c r="A161" s="32">
        <f t="shared" si="2"/>
        <v>153</v>
      </c>
      <c r="B161" s="27" t="str">
        <f>'WP12 Condensed Sch. Level Costs'!A154</f>
        <v>55E &amp; 56E</v>
      </c>
      <c r="C161" s="27"/>
      <c r="D161" s="327" t="str">
        <f>'WP12 Condensed Sch. Level Costs'!C154</f>
        <v>Light Emitting Diode</v>
      </c>
      <c r="E161" s="41" t="str">
        <f>'WP12 Condensed Sch. Level Costs'!D154</f>
        <v>LED 0-030</v>
      </c>
      <c r="F161" s="16" t="str">
        <f>'WP12 Condensed Sch. Level Costs'!F154</f>
        <v>Company</v>
      </c>
      <c r="G161" s="328">
        <f>'WP12 Condensed Sch. Level Costs'!H154</f>
        <v>690.48333333333335</v>
      </c>
      <c r="H161" s="342">
        <f>'WP12 Condensed Sch. Level Costs'!P154</f>
        <v>1.0137794003499056E-2</v>
      </c>
      <c r="I161" s="328">
        <f>ROUND('WP12 Condensed Sch. Level Costs'!U154,2)</f>
        <v>7</v>
      </c>
    </row>
    <row r="162" spans="1:9" x14ac:dyDescent="0.2">
      <c r="A162" s="32">
        <f t="shared" si="2"/>
        <v>154</v>
      </c>
      <c r="B162" s="27" t="str">
        <f>'WP12 Condensed Sch. Level Costs'!A155</f>
        <v>55E &amp; 56E</v>
      </c>
      <c r="C162" s="27"/>
      <c r="D162" s="327" t="str">
        <f>'WP12 Condensed Sch. Level Costs'!C155</f>
        <v>Light Emitting Diode</v>
      </c>
      <c r="E162" s="41" t="str">
        <f>'WP12 Condensed Sch. Level Costs'!D155</f>
        <v>LED 030.01-060</v>
      </c>
      <c r="F162" s="16" t="str">
        <f>'WP12 Condensed Sch. Level Costs'!F155</f>
        <v>Company</v>
      </c>
      <c r="G162" s="328">
        <f>'WP12 Condensed Sch. Level Costs'!H155</f>
        <v>799.17</v>
      </c>
      <c r="H162" s="342">
        <f>'WP12 Condensed Sch. Level Costs'!P155</f>
        <v>1.0137794003499056E-2</v>
      </c>
      <c r="I162" s="328">
        <f>ROUND('WP12 Condensed Sch. Level Costs'!U155,2)</f>
        <v>8.1</v>
      </c>
    </row>
    <row r="163" spans="1:9" x14ac:dyDescent="0.2">
      <c r="A163" s="32">
        <f t="shared" si="2"/>
        <v>155</v>
      </c>
      <c r="B163" s="27" t="str">
        <f>'WP12 Condensed Sch. Level Costs'!A156</f>
        <v>55E &amp; 56E</v>
      </c>
      <c r="C163" s="27"/>
      <c r="D163" s="327" t="str">
        <f>'WP12 Condensed Sch. Level Costs'!C156</f>
        <v>Light Emitting Diode</v>
      </c>
      <c r="E163" s="41" t="str">
        <f>'WP12 Condensed Sch. Level Costs'!D156</f>
        <v>LED 060.01-090</v>
      </c>
      <c r="F163" s="16" t="str">
        <f>'WP12 Condensed Sch. Level Costs'!F156</f>
        <v>Company</v>
      </c>
      <c r="G163" s="328">
        <f>'WP12 Condensed Sch. Level Costs'!H156</f>
        <v>1061.43</v>
      </c>
      <c r="H163" s="342">
        <f>'WP12 Condensed Sch. Level Costs'!P156</f>
        <v>1.0137794003499056E-2</v>
      </c>
      <c r="I163" s="328">
        <f>ROUND('WP12 Condensed Sch. Level Costs'!U156,2)</f>
        <v>10.76</v>
      </c>
    </row>
    <row r="164" spans="1:9" x14ac:dyDescent="0.2">
      <c r="A164" s="32">
        <f t="shared" si="2"/>
        <v>156</v>
      </c>
      <c r="B164" s="27" t="str">
        <f>'WP12 Condensed Sch. Level Costs'!A157</f>
        <v>55E &amp; 56E</v>
      </c>
      <c r="C164" s="27"/>
      <c r="D164" s="327" t="str">
        <f>'WP12 Condensed Sch. Level Costs'!C157</f>
        <v>Light Emitting Diode</v>
      </c>
      <c r="E164" s="41" t="str">
        <f>'WP12 Condensed Sch. Level Costs'!D157</f>
        <v>LED 090.01-120</v>
      </c>
      <c r="F164" s="16" t="str">
        <f>'WP12 Condensed Sch. Level Costs'!F157</f>
        <v>Company</v>
      </c>
      <c r="G164" s="328">
        <f>'WP12 Condensed Sch. Level Costs'!H157</f>
        <v>1093.33</v>
      </c>
      <c r="H164" s="342">
        <f>'WP12 Condensed Sch. Level Costs'!P157</f>
        <v>1.0137794003499056E-2</v>
      </c>
      <c r="I164" s="328">
        <f>ROUND('WP12 Condensed Sch. Level Costs'!U157,2)</f>
        <v>11.08</v>
      </c>
    </row>
    <row r="165" spans="1:9" x14ac:dyDescent="0.2">
      <c r="A165" s="32">
        <f t="shared" si="2"/>
        <v>157</v>
      </c>
      <c r="B165" s="27" t="str">
        <f>'WP12 Condensed Sch. Level Costs'!A158</f>
        <v>55E &amp; 56E</v>
      </c>
      <c r="C165" s="27"/>
      <c r="D165" s="327" t="str">
        <f>'WP12 Condensed Sch. Level Costs'!C158</f>
        <v>Light Emitting Diode</v>
      </c>
      <c r="E165" s="41" t="str">
        <f>'WP12 Condensed Sch. Level Costs'!D158</f>
        <v>LED 120.01-150</v>
      </c>
      <c r="F165" s="16" t="str">
        <f>'WP12 Condensed Sch. Level Costs'!F158</f>
        <v>Company</v>
      </c>
      <c r="G165" s="328">
        <f>'WP12 Condensed Sch. Level Costs'!H158</f>
        <v>1278.8033333333333</v>
      </c>
      <c r="H165" s="342">
        <f>'WP12 Condensed Sch. Level Costs'!P158</f>
        <v>1.0137794003499056E-2</v>
      </c>
      <c r="I165" s="328">
        <f>ROUND('WP12 Condensed Sch. Level Costs'!U158,2)</f>
        <v>12.96</v>
      </c>
    </row>
    <row r="166" spans="1:9" x14ac:dyDescent="0.2">
      <c r="A166" s="32">
        <f t="shared" si="2"/>
        <v>158</v>
      </c>
      <c r="B166" s="27" t="str">
        <f>'WP12 Condensed Sch. Level Costs'!A159</f>
        <v>55E &amp; 56E</v>
      </c>
      <c r="C166" s="27"/>
      <c r="D166" s="327" t="str">
        <f>'WP12 Condensed Sch. Level Costs'!C159</f>
        <v>Light Emitting Diode</v>
      </c>
      <c r="E166" s="41" t="str">
        <f>'WP12 Condensed Sch. Level Costs'!D159</f>
        <v>LED 150.01-180</v>
      </c>
      <c r="F166" s="16" t="str">
        <f>'WP12 Condensed Sch. Level Costs'!F159</f>
        <v>Company</v>
      </c>
      <c r="G166" s="328">
        <f>'WP12 Condensed Sch. Level Costs'!H159</f>
        <v>1425.8833333333332</v>
      </c>
      <c r="H166" s="342">
        <f>'WP12 Condensed Sch. Level Costs'!P159</f>
        <v>1.0137794003499056E-2</v>
      </c>
      <c r="I166" s="328">
        <f>ROUND('WP12 Condensed Sch. Level Costs'!U159,2)</f>
        <v>14.46</v>
      </c>
    </row>
    <row r="167" spans="1:9" x14ac:dyDescent="0.2">
      <c r="A167" s="32">
        <f t="shared" si="2"/>
        <v>159</v>
      </c>
      <c r="B167" s="27" t="str">
        <f>'WP12 Condensed Sch. Level Costs'!A160</f>
        <v>55E &amp; 56E</v>
      </c>
      <c r="C167" s="27"/>
      <c r="D167" s="327" t="str">
        <f>'WP12 Condensed Sch. Level Costs'!C160</f>
        <v>Light Emitting Diode</v>
      </c>
      <c r="E167" s="41" t="str">
        <f>'WP12 Condensed Sch. Level Costs'!D160</f>
        <v>LED 180.01-210</v>
      </c>
      <c r="F167" s="16" t="str">
        <f>'WP12 Condensed Sch. Level Costs'!F160</f>
        <v>Company</v>
      </c>
      <c r="G167" s="328">
        <f>'WP12 Condensed Sch. Level Costs'!H160</f>
        <v>1572.9633333333331</v>
      </c>
      <c r="H167" s="342">
        <f>'WP12 Condensed Sch. Level Costs'!P160</f>
        <v>1.0137794003499056E-2</v>
      </c>
      <c r="I167" s="328">
        <f>ROUND('WP12 Condensed Sch. Level Costs'!U160,2)</f>
        <v>15.95</v>
      </c>
    </row>
    <row r="168" spans="1:9" x14ac:dyDescent="0.2">
      <c r="A168" s="32">
        <f t="shared" si="2"/>
        <v>160</v>
      </c>
      <c r="B168" s="27" t="str">
        <f>'WP12 Condensed Sch. Level Costs'!A161</f>
        <v>55E &amp; 56E</v>
      </c>
      <c r="C168" s="27"/>
      <c r="D168" s="327" t="str">
        <f>'WP12 Condensed Sch. Level Costs'!C161</f>
        <v>Light Emitting Diode</v>
      </c>
      <c r="E168" s="41" t="str">
        <f>'WP12 Condensed Sch. Level Costs'!D161</f>
        <v>LED 210.01-240</v>
      </c>
      <c r="F168" s="16" t="str">
        <f>'WP12 Condensed Sch. Level Costs'!F161</f>
        <v>Company</v>
      </c>
      <c r="G168" s="328">
        <f>'WP12 Condensed Sch. Level Costs'!H161</f>
        <v>1720.0433333333333</v>
      </c>
      <c r="H168" s="342">
        <f>'WP12 Condensed Sch. Level Costs'!P161</f>
        <v>1.0137794003499056E-2</v>
      </c>
      <c r="I168" s="328">
        <f>ROUND('WP12 Condensed Sch. Level Costs'!U161,2)</f>
        <v>17.440000000000001</v>
      </c>
    </row>
    <row r="169" spans="1:9" x14ac:dyDescent="0.2">
      <c r="A169" s="32">
        <f t="shared" ref="A169:A217" si="3">A168+1</f>
        <v>161</v>
      </c>
      <c r="B169" s="27" t="str">
        <f>'WP12 Condensed Sch. Level Costs'!A162</f>
        <v>55E &amp; 56E</v>
      </c>
      <c r="C169" s="27"/>
      <c r="D169" s="327" t="str">
        <f>'WP12 Condensed Sch. Level Costs'!C162</f>
        <v>Light Emitting Diode</v>
      </c>
      <c r="E169" s="41" t="str">
        <f>'WP12 Condensed Sch. Level Costs'!D162</f>
        <v>LED 240.01-270</v>
      </c>
      <c r="F169" s="16" t="str">
        <f>'WP12 Condensed Sch. Level Costs'!F162</f>
        <v>Company</v>
      </c>
      <c r="G169" s="328">
        <f>'WP12 Condensed Sch. Level Costs'!H162</f>
        <v>1867.1233333333332</v>
      </c>
      <c r="H169" s="342">
        <f>'WP12 Condensed Sch. Level Costs'!P162</f>
        <v>1.0137794003499056E-2</v>
      </c>
      <c r="I169" s="328">
        <f>ROUND('WP12 Condensed Sch. Level Costs'!U162,2)</f>
        <v>18.93</v>
      </c>
    </row>
    <row r="170" spans="1:9" x14ac:dyDescent="0.2">
      <c r="A170" s="32">
        <f t="shared" si="3"/>
        <v>162</v>
      </c>
      <c r="B170" s="27" t="str">
        <f>'WP12 Condensed Sch. Level Costs'!A163</f>
        <v>55E &amp; 56E</v>
      </c>
      <c r="C170" s="27"/>
      <c r="D170" s="327" t="str">
        <f>'WP12 Condensed Sch. Level Costs'!C163</f>
        <v>Light Emitting Diode</v>
      </c>
      <c r="E170" s="41" t="str">
        <f>'WP12 Condensed Sch. Level Costs'!D163</f>
        <v>LED 270.01-300</v>
      </c>
      <c r="F170" s="16" t="str">
        <f>'WP12 Condensed Sch. Level Costs'!F163</f>
        <v>Company</v>
      </c>
      <c r="G170" s="328">
        <f>'WP12 Condensed Sch. Level Costs'!H163</f>
        <v>2014.2033333333331</v>
      </c>
      <c r="H170" s="342">
        <f>'WP12 Condensed Sch. Level Costs'!P163</f>
        <v>1.0137794003499056E-2</v>
      </c>
      <c r="I170" s="328">
        <f>ROUND('WP12 Condensed Sch. Level Costs'!U163,2)</f>
        <v>20.420000000000002</v>
      </c>
    </row>
    <row r="171" spans="1:9" x14ac:dyDescent="0.2">
      <c r="A171" s="32">
        <f t="shared" si="3"/>
        <v>163</v>
      </c>
      <c r="B171" s="27"/>
      <c r="C171" s="27"/>
      <c r="D171" s="327"/>
      <c r="E171" s="41"/>
      <c r="F171" s="16"/>
      <c r="G171" s="328"/>
      <c r="H171" s="342"/>
      <c r="I171" s="328"/>
    </row>
    <row r="172" spans="1:9" x14ac:dyDescent="0.2">
      <c r="A172" s="32">
        <f t="shared" si="3"/>
        <v>164</v>
      </c>
      <c r="B172" s="27" t="str">
        <f>'WP12 Condensed Sch. Level Costs'!A164</f>
        <v>Sch 58 &amp; 59</v>
      </c>
      <c r="C172" s="27"/>
      <c r="D172" s="327"/>
      <c r="E172" s="41"/>
      <c r="F172" s="16"/>
      <c r="G172" s="328"/>
      <c r="H172" s="342"/>
      <c r="I172" s="328"/>
    </row>
    <row r="173" spans="1:9" x14ac:dyDescent="0.2">
      <c r="A173" s="32">
        <f t="shared" si="3"/>
        <v>165</v>
      </c>
      <c r="B173" s="27" t="str">
        <f>'WP12 Condensed Sch. Level Costs'!A165</f>
        <v>58E &amp; 59E</v>
      </c>
      <c r="C173" s="27"/>
      <c r="D173" s="327" t="str">
        <f>'WP12 Condensed Sch. Level Costs'!C165</f>
        <v>Sodium Vapor</v>
      </c>
      <c r="E173" s="41" t="str">
        <f>'WP12 Condensed Sch. Level Costs'!D165</f>
        <v>DSV 070</v>
      </c>
      <c r="F173" s="16" t="str">
        <f>'WP12 Condensed Sch. Level Costs'!F165</f>
        <v>Company</v>
      </c>
      <c r="G173" s="328">
        <f>'WP12 Condensed Sch. Level Costs'!H165</f>
        <v>908.27</v>
      </c>
      <c r="H173" s="342">
        <f>'WP12 Condensed Sch. Level Costs'!P165</f>
        <v>1.0137794003499056E-2</v>
      </c>
      <c r="I173" s="328">
        <f>ROUND('WP12 Condensed Sch. Level Costs'!U165,2)</f>
        <v>9.2100000000000009</v>
      </c>
    </row>
    <row r="174" spans="1:9" x14ac:dyDescent="0.2">
      <c r="A174" s="32">
        <f t="shared" si="3"/>
        <v>166</v>
      </c>
      <c r="B174" s="27" t="str">
        <f>'WP12 Condensed Sch. Level Costs'!A166</f>
        <v>58E &amp; 59E</v>
      </c>
      <c r="C174" s="27"/>
      <c r="D174" s="327" t="str">
        <f>'WP12 Condensed Sch. Level Costs'!C166</f>
        <v>Sodium Vapor</v>
      </c>
      <c r="E174" s="41" t="str">
        <f>'WP12 Condensed Sch. Level Costs'!D166</f>
        <v>DSV 100</v>
      </c>
      <c r="F174" s="16" t="str">
        <f>'WP12 Condensed Sch. Level Costs'!F166</f>
        <v>Company</v>
      </c>
      <c r="G174" s="328">
        <f>'WP12 Condensed Sch. Level Costs'!H166</f>
        <v>855.82</v>
      </c>
      <c r="H174" s="342">
        <f>'WP12 Condensed Sch. Level Costs'!P166</f>
        <v>1.0137794003499056E-2</v>
      </c>
      <c r="I174" s="328">
        <f>ROUND('WP12 Condensed Sch. Level Costs'!U166,2)</f>
        <v>8.68</v>
      </c>
    </row>
    <row r="175" spans="1:9" x14ac:dyDescent="0.2">
      <c r="A175" s="32">
        <f t="shared" si="3"/>
        <v>167</v>
      </c>
      <c r="B175" s="27" t="str">
        <f>'WP12 Condensed Sch. Level Costs'!A167</f>
        <v>58E &amp; 59E</v>
      </c>
      <c r="C175" s="27"/>
      <c r="D175" s="327" t="str">
        <f>'WP12 Condensed Sch. Level Costs'!C167</f>
        <v>Sodium Vapor</v>
      </c>
      <c r="E175" s="41" t="str">
        <f>'WP12 Condensed Sch. Level Costs'!D167</f>
        <v>DSV 150</v>
      </c>
      <c r="F175" s="16" t="str">
        <f>'WP12 Condensed Sch. Level Costs'!F167</f>
        <v>Company</v>
      </c>
      <c r="G175" s="328">
        <f>'WP12 Condensed Sch. Level Costs'!H167</f>
        <v>857.29</v>
      </c>
      <c r="H175" s="342">
        <f>'WP12 Condensed Sch. Level Costs'!P167</f>
        <v>1.0137794003499056E-2</v>
      </c>
      <c r="I175" s="328">
        <f>ROUND('WP12 Condensed Sch. Level Costs'!U167,2)</f>
        <v>8.69</v>
      </c>
    </row>
    <row r="176" spans="1:9" x14ac:dyDescent="0.2">
      <c r="A176" s="32">
        <f t="shared" si="3"/>
        <v>168</v>
      </c>
      <c r="B176" s="27" t="str">
        <f>'WP12 Condensed Sch. Level Costs'!A168</f>
        <v>58E &amp; 59E</v>
      </c>
      <c r="C176" s="27"/>
      <c r="D176" s="327" t="str">
        <f>'WP12 Condensed Sch. Level Costs'!C168</f>
        <v>Sodium Vapor</v>
      </c>
      <c r="E176" s="41" t="str">
        <f>'WP12 Condensed Sch. Level Costs'!D168</f>
        <v>DSV 200</v>
      </c>
      <c r="F176" s="16" t="str">
        <f>'WP12 Condensed Sch. Level Costs'!F168</f>
        <v>Company</v>
      </c>
      <c r="G176" s="328">
        <f>'WP12 Condensed Sch. Level Costs'!H168</f>
        <v>906.86</v>
      </c>
      <c r="H176" s="342">
        <f>'WP12 Condensed Sch. Level Costs'!P168</f>
        <v>1.0137794003499056E-2</v>
      </c>
      <c r="I176" s="328">
        <f>ROUND('WP12 Condensed Sch. Level Costs'!U168,2)</f>
        <v>9.19</v>
      </c>
    </row>
    <row r="177" spans="1:9" x14ac:dyDescent="0.2">
      <c r="A177" s="32">
        <f t="shared" si="3"/>
        <v>169</v>
      </c>
      <c r="B177" s="27" t="str">
        <f>'WP12 Condensed Sch. Level Costs'!A169</f>
        <v>58E &amp; 59E</v>
      </c>
      <c r="C177" s="27"/>
      <c r="D177" s="327" t="str">
        <f>'WP12 Condensed Sch. Level Costs'!C169</f>
        <v>Sodium Vapor</v>
      </c>
      <c r="E177" s="41" t="str">
        <f>'WP12 Condensed Sch. Level Costs'!D169</f>
        <v>DSV 250</v>
      </c>
      <c r="F177" s="16" t="str">
        <f>'WP12 Condensed Sch. Level Costs'!F169</f>
        <v>Company</v>
      </c>
      <c r="G177" s="328">
        <f>'WP12 Condensed Sch. Level Costs'!H169</f>
        <v>922.99</v>
      </c>
      <c r="H177" s="342">
        <f>'WP12 Condensed Sch. Level Costs'!P169</f>
        <v>1.0137794003499056E-2</v>
      </c>
      <c r="I177" s="328">
        <f>ROUND('WP12 Condensed Sch. Level Costs'!U169,2)</f>
        <v>9.36</v>
      </c>
    </row>
    <row r="178" spans="1:9" x14ac:dyDescent="0.2">
      <c r="A178" s="32">
        <f t="shared" si="3"/>
        <v>170</v>
      </c>
      <c r="B178" s="27" t="str">
        <f>'WP12 Condensed Sch. Level Costs'!A170</f>
        <v>58E &amp; 59E</v>
      </c>
      <c r="C178" s="27"/>
      <c r="D178" s="327" t="str">
        <f>'WP12 Condensed Sch. Level Costs'!C170</f>
        <v>Sodium Vapor</v>
      </c>
      <c r="E178" s="41" t="str">
        <f>'WP12 Condensed Sch. Level Costs'!D170</f>
        <v>DSV 400</v>
      </c>
      <c r="F178" s="16" t="str">
        <f>'WP12 Condensed Sch. Level Costs'!F170</f>
        <v>Company</v>
      </c>
      <c r="G178" s="328">
        <f>'WP12 Condensed Sch. Level Costs'!H170</f>
        <v>1029.9100000000001</v>
      </c>
      <c r="H178" s="342">
        <f>'WP12 Condensed Sch. Level Costs'!P170</f>
        <v>1.0137794003499056E-2</v>
      </c>
      <c r="I178" s="328">
        <f>ROUND('WP12 Condensed Sch. Level Costs'!U170,2)</f>
        <v>10.44</v>
      </c>
    </row>
    <row r="179" spans="1:9" x14ac:dyDescent="0.2">
      <c r="A179" s="32">
        <f t="shared" si="3"/>
        <v>171</v>
      </c>
      <c r="B179" s="27"/>
      <c r="C179" s="27"/>
      <c r="D179" s="327"/>
      <c r="E179" s="41"/>
      <c r="F179" s="16"/>
      <c r="G179" s="328"/>
      <c r="H179" s="342"/>
      <c r="I179" s="328"/>
    </row>
    <row r="180" spans="1:9" x14ac:dyDescent="0.2">
      <c r="A180" s="32">
        <f t="shared" si="3"/>
        <v>172</v>
      </c>
      <c r="B180" s="27" t="str">
        <f>'WP12 Condensed Sch. Level Costs'!A172</f>
        <v>58E &amp; 59E</v>
      </c>
      <c r="C180" s="27"/>
      <c r="D180" s="327" t="str">
        <f>'WP12 Condensed Sch. Level Costs'!C172</f>
        <v>Sodium Vapor</v>
      </c>
      <c r="E180" s="41" t="str">
        <f>'WP12 Condensed Sch. Level Costs'!D172</f>
        <v>HSV 100</v>
      </c>
      <c r="F180" s="16" t="str">
        <f>'WP12 Condensed Sch. Level Costs'!F172</f>
        <v>Company</v>
      </c>
      <c r="G180" s="328">
        <f>'WP12 Condensed Sch. Level Costs'!H172</f>
        <v>855.82</v>
      </c>
      <c r="H180" s="342">
        <f>'WP12 Condensed Sch. Level Costs'!P172</f>
        <v>1.0137794003499056E-2</v>
      </c>
      <c r="I180" s="328">
        <f>ROUND('WP12 Condensed Sch. Level Costs'!U172,2)</f>
        <v>8.68</v>
      </c>
    </row>
    <row r="181" spans="1:9" x14ac:dyDescent="0.2">
      <c r="A181" s="32">
        <f t="shared" si="3"/>
        <v>173</v>
      </c>
      <c r="B181" s="27" t="str">
        <f>'WP12 Condensed Sch. Level Costs'!A173</f>
        <v>58E &amp; 59E</v>
      </c>
      <c r="C181" s="27"/>
      <c r="D181" s="327" t="str">
        <f>'WP12 Condensed Sch. Level Costs'!C173</f>
        <v>Sodium Vapor</v>
      </c>
      <c r="E181" s="41" t="str">
        <f>'WP12 Condensed Sch. Level Costs'!D173</f>
        <v>HSV 150</v>
      </c>
      <c r="F181" s="16" t="str">
        <f>'WP12 Condensed Sch. Level Costs'!F173</f>
        <v>Company</v>
      </c>
      <c r="G181" s="328">
        <f>'WP12 Condensed Sch. Level Costs'!H173</f>
        <v>857.29</v>
      </c>
      <c r="H181" s="342">
        <f>'WP12 Condensed Sch. Level Costs'!P173</f>
        <v>1.0137794003499056E-2</v>
      </c>
      <c r="I181" s="328">
        <f>ROUND('WP12 Condensed Sch. Level Costs'!U173,2)</f>
        <v>8.69</v>
      </c>
    </row>
    <row r="182" spans="1:9" x14ac:dyDescent="0.2">
      <c r="A182" s="32">
        <f t="shared" si="3"/>
        <v>174</v>
      </c>
      <c r="B182" s="27" t="str">
        <f>'WP12 Condensed Sch. Level Costs'!A174</f>
        <v>58E &amp; 59E</v>
      </c>
      <c r="C182" s="27"/>
      <c r="D182" s="327" t="str">
        <f>'WP12 Condensed Sch. Level Costs'!C174</f>
        <v>Sodium Vapor</v>
      </c>
      <c r="E182" s="41" t="str">
        <f>'WP12 Condensed Sch. Level Costs'!D174</f>
        <v>HSV 200</v>
      </c>
      <c r="F182" s="16" t="str">
        <f>'WP12 Condensed Sch. Level Costs'!F174</f>
        <v>Company</v>
      </c>
      <c r="G182" s="328">
        <f>'WP12 Condensed Sch. Level Costs'!H174</f>
        <v>906.86</v>
      </c>
      <c r="H182" s="342">
        <f>'WP12 Condensed Sch. Level Costs'!P174</f>
        <v>1.0137794003499056E-2</v>
      </c>
      <c r="I182" s="328">
        <f>ROUND('WP12 Condensed Sch. Level Costs'!U174,2)</f>
        <v>9.19</v>
      </c>
    </row>
    <row r="183" spans="1:9" x14ac:dyDescent="0.2">
      <c r="A183" s="32">
        <f t="shared" si="3"/>
        <v>175</v>
      </c>
      <c r="B183" s="27" t="str">
        <f>'WP12 Condensed Sch. Level Costs'!A175</f>
        <v>58E &amp; 59E</v>
      </c>
      <c r="C183" s="27"/>
      <c r="D183" s="327" t="str">
        <f>'WP12 Condensed Sch. Level Costs'!C175</f>
        <v>Sodium Vapor</v>
      </c>
      <c r="E183" s="41" t="str">
        <f>'WP12 Condensed Sch. Level Costs'!D175</f>
        <v>HSV 250</v>
      </c>
      <c r="F183" s="16" t="str">
        <f>'WP12 Condensed Sch. Level Costs'!F175</f>
        <v>Company</v>
      </c>
      <c r="G183" s="328">
        <f>'WP12 Condensed Sch. Level Costs'!H175</f>
        <v>922.99</v>
      </c>
      <c r="H183" s="342">
        <f>'WP12 Condensed Sch. Level Costs'!P175</f>
        <v>1.0137794003499056E-2</v>
      </c>
      <c r="I183" s="328">
        <f>ROUND('WP12 Condensed Sch. Level Costs'!U175,2)</f>
        <v>9.36</v>
      </c>
    </row>
    <row r="184" spans="1:9" x14ac:dyDescent="0.2">
      <c r="A184" s="32">
        <f t="shared" si="3"/>
        <v>176</v>
      </c>
      <c r="B184" s="27" t="str">
        <f>'WP12 Condensed Sch. Level Costs'!A176</f>
        <v>58E &amp; 59E</v>
      </c>
      <c r="C184" s="27"/>
      <c r="D184" s="327" t="str">
        <f>'WP12 Condensed Sch. Level Costs'!C176</f>
        <v>Sodium Vapor</v>
      </c>
      <c r="E184" s="41" t="str">
        <f>'WP12 Condensed Sch. Level Costs'!D176</f>
        <v>HSV 400</v>
      </c>
      <c r="F184" s="16" t="str">
        <f>'WP12 Condensed Sch. Level Costs'!F176</f>
        <v>Company</v>
      </c>
      <c r="G184" s="328">
        <f>'WP12 Condensed Sch. Level Costs'!H176</f>
        <v>1029.9100000000001</v>
      </c>
      <c r="H184" s="342">
        <f>'WP12 Condensed Sch. Level Costs'!P176</f>
        <v>1.0137794003499056E-2</v>
      </c>
      <c r="I184" s="328">
        <f>ROUND('WP12 Condensed Sch. Level Costs'!U176,2)</f>
        <v>10.44</v>
      </c>
    </row>
    <row r="185" spans="1:9" x14ac:dyDescent="0.2">
      <c r="A185" s="32">
        <f t="shared" si="3"/>
        <v>177</v>
      </c>
      <c r="B185" s="27"/>
      <c r="C185" s="27"/>
      <c r="D185" s="327"/>
      <c r="E185" s="41"/>
      <c r="F185" s="16"/>
      <c r="G185" s="328"/>
      <c r="H185" s="342"/>
      <c r="I185" s="328"/>
    </row>
    <row r="186" spans="1:9" x14ac:dyDescent="0.2">
      <c r="A186" s="32">
        <f t="shared" si="3"/>
        <v>178</v>
      </c>
      <c r="B186" s="27" t="str">
        <f>'WP12 Condensed Sch. Level Costs'!A178</f>
        <v>58E &amp; 59E</v>
      </c>
      <c r="C186" s="27"/>
      <c r="D186" s="327" t="str">
        <f>'WP12 Condensed Sch. Level Costs'!C178</f>
        <v>Metal Halide</v>
      </c>
      <c r="E186" s="41" t="str">
        <f>'WP12 Condensed Sch. Level Costs'!D178</f>
        <v>DMH 175</v>
      </c>
      <c r="F186" s="16" t="str">
        <f>'WP12 Condensed Sch. Level Costs'!F178</f>
        <v>Company</v>
      </c>
      <c r="G186" s="328">
        <f>'WP12 Condensed Sch. Level Costs'!H178</f>
        <v>852.23392857142869</v>
      </c>
      <c r="H186" s="342">
        <f>'WP12 Condensed Sch. Level Costs'!P178</f>
        <v>1.0137794003499056E-2</v>
      </c>
      <c r="I186" s="328">
        <f>ROUND('WP12 Condensed Sch. Level Costs'!U178,2)</f>
        <v>8.64</v>
      </c>
    </row>
    <row r="187" spans="1:9" x14ac:dyDescent="0.2">
      <c r="A187" s="32">
        <f t="shared" si="3"/>
        <v>179</v>
      </c>
      <c r="B187" s="27" t="str">
        <f>'WP12 Condensed Sch. Level Costs'!A179</f>
        <v>58E &amp; 59E</v>
      </c>
      <c r="C187" s="27"/>
      <c r="D187" s="327" t="str">
        <f>'WP12 Condensed Sch. Level Costs'!C179</f>
        <v>Metal Halide</v>
      </c>
      <c r="E187" s="41" t="str">
        <f>'WP12 Condensed Sch. Level Costs'!D179</f>
        <v>DMH 250</v>
      </c>
      <c r="F187" s="16" t="str">
        <f>'WP12 Condensed Sch. Level Costs'!F179</f>
        <v>Company</v>
      </c>
      <c r="G187" s="328">
        <f>'WP12 Condensed Sch. Level Costs'!H179</f>
        <v>915.43</v>
      </c>
      <c r="H187" s="342">
        <f>'WP12 Condensed Sch. Level Costs'!P179</f>
        <v>1.0137794003499056E-2</v>
      </c>
      <c r="I187" s="328">
        <f>ROUND('WP12 Condensed Sch. Level Costs'!U179,2)</f>
        <v>9.2799999999999994</v>
      </c>
    </row>
    <row r="188" spans="1:9" x14ac:dyDescent="0.2">
      <c r="A188" s="32">
        <f t="shared" si="3"/>
        <v>180</v>
      </c>
      <c r="B188" s="27" t="str">
        <f>'WP12 Condensed Sch. Level Costs'!A180</f>
        <v>58E &amp; 59E</v>
      </c>
      <c r="C188" s="27"/>
      <c r="D188" s="327" t="str">
        <f>'WP12 Condensed Sch. Level Costs'!C180</f>
        <v>Metal Halide</v>
      </c>
      <c r="E188" s="41" t="str">
        <f>'WP12 Condensed Sch. Level Costs'!D180</f>
        <v>DMH 400</v>
      </c>
      <c r="F188" s="16" t="str">
        <f>'WP12 Condensed Sch. Level Costs'!F180</f>
        <v>Company</v>
      </c>
      <c r="G188" s="328">
        <f>'WP12 Condensed Sch. Level Costs'!H180</f>
        <v>919.24</v>
      </c>
      <c r="H188" s="342">
        <f>'WP12 Condensed Sch. Level Costs'!P180</f>
        <v>1.0137794003499056E-2</v>
      </c>
      <c r="I188" s="328">
        <f>ROUND('WP12 Condensed Sch. Level Costs'!U180,2)</f>
        <v>9.32</v>
      </c>
    </row>
    <row r="189" spans="1:9" x14ac:dyDescent="0.2">
      <c r="A189" s="32">
        <f t="shared" si="3"/>
        <v>181</v>
      </c>
      <c r="B189" s="27" t="str">
        <f>'WP12 Condensed Sch. Level Costs'!A181</f>
        <v>58E &amp; 59E</v>
      </c>
      <c r="C189" s="27"/>
      <c r="D189" s="327" t="str">
        <f>'WP12 Condensed Sch. Level Costs'!C181</f>
        <v>Metal Halide</v>
      </c>
      <c r="E189" s="41" t="str">
        <f>'WP12 Condensed Sch. Level Costs'!D181</f>
        <v>DMH 1000</v>
      </c>
      <c r="F189" s="16" t="str">
        <f>'WP12 Condensed Sch. Level Costs'!F181</f>
        <v>Company</v>
      </c>
      <c r="G189" s="328">
        <f>'WP12 Condensed Sch. Level Costs'!H181</f>
        <v>1237.33</v>
      </c>
      <c r="H189" s="342">
        <f>'WP12 Condensed Sch. Level Costs'!P181</f>
        <v>1.0137794003499056E-2</v>
      </c>
      <c r="I189" s="328">
        <f>ROUND('WP12 Condensed Sch. Level Costs'!U181,2)</f>
        <v>12.54</v>
      </c>
    </row>
    <row r="190" spans="1:9" x14ac:dyDescent="0.2">
      <c r="A190" s="32">
        <f t="shared" si="3"/>
        <v>182</v>
      </c>
      <c r="B190" s="27"/>
      <c r="C190" s="27"/>
      <c r="D190" s="327"/>
      <c r="E190" s="41"/>
      <c r="F190" s="16"/>
      <c r="G190" s="328"/>
      <c r="H190" s="342"/>
      <c r="I190" s="328"/>
    </row>
    <row r="191" spans="1:9" x14ac:dyDescent="0.2">
      <c r="A191" s="32">
        <f t="shared" si="3"/>
        <v>183</v>
      </c>
      <c r="B191" s="27" t="str">
        <f>'WP12 Condensed Sch. Level Costs'!A183</f>
        <v>58E &amp; 59E</v>
      </c>
      <c r="C191" s="27"/>
      <c r="D191" s="327" t="str">
        <f>'WP12 Condensed Sch. Level Costs'!C183</f>
        <v>Metal Halide</v>
      </c>
      <c r="E191" s="41" t="str">
        <f>'WP12 Condensed Sch. Level Costs'!D183</f>
        <v>HMH 250</v>
      </c>
      <c r="F191" s="16" t="str">
        <f>'WP12 Condensed Sch. Level Costs'!F183</f>
        <v>Company</v>
      </c>
      <c r="G191" s="328">
        <f>'WP12 Condensed Sch. Level Costs'!H183</f>
        <v>915.43</v>
      </c>
      <c r="H191" s="342">
        <f>'WP12 Condensed Sch. Level Costs'!P183</f>
        <v>1.0137794003499056E-2</v>
      </c>
      <c r="I191" s="328">
        <f>ROUND('WP12 Condensed Sch. Level Costs'!U183,2)</f>
        <v>9.2799999999999994</v>
      </c>
    </row>
    <row r="192" spans="1:9" x14ac:dyDescent="0.2">
      <c r="A192" s="32">
        <f t="shared" si="3"/>
        <v>184</v>
      </c>
      <c r="B192" s="27" t="str">
        <f>'WP12 Condensed Sch. Level Costs'!A184</f>
        <v>58E &amp; 59E</v>
      </c>
      <c r="C192" s="27"/>
      <c r="D192" s="327" t="str">
        <f>'WP12 Condensed Sch. Level Costs'!C184</f>
        <v>Metal Halide</v>
      </c>
      <c r="E192" s="41" t="str">
        <f>'WP12 Condensed Sch. Level Costs'!D184</f>
        <v>HMH 400</v>
      </c>
      <c r="F192" s="16" t="str">
        <f>'WP12 Condensed Sch. Level Costs'!F184</f>
        <v>Company</v>
      </c>
      <c r="G192" s="328">
        <f>'WP12 Condensed Sch. Level Costs'!H184</f>
        <v>919.24</v>
      </c>
      <c r="H192" s="342">
        <f>'WP12 Condensed Sch. Level Costs'!P184</f>
        <v>1.0137794003499056E-2</v>
      </c>
      <c r="I192" s="328">
        <f>ROUND('WP12 Condensed Sch. Level Costs'!U184,2)</f>
        <v>9.32</v>
      </c>
    </row>
    <row r="193" spans="1:9" x14ac:dyDescent="0.2">
      <c r="A193" s="32">
        <f t="shared" si="3"/>
        <v>185</v>
      </c>
      <c r="B193" s="27"/>
      <c r="C193" s="27"/>
      <c r="D193" s="327"/>
      <c r="E193" s="41"/>
      <c r="F193" s="16"/>
      <c r="G193" s="328"/>
      <c r="H193" s="342"/>
      <c r="I193" s="328"/>
    </row>
    <row r="194" spans="1:9" x14ac:dyDescent="0.2">
      <c r="A194" s="32">
        <f t="shared" si="3"/>
        <v>186</v>
      </c>
      <c r="B194" s="27" t="str">
        <f>'WP12 Condensed Sch. Level Costs'!A186</f>
        <v>58E &amp; 59E</v>
      </c>
      <c r="C194" s="27"/>
      <c r="D194" s="327" t="str">
        <f>'WP12 Condensed Sch. Level Costs'!C186</f>
        <v>Light Emitting Diode</v>
      </c>
      <c r="E194" s="41" t="str">
        <f>'WP12 Condensed Sch. Level Costs'!D186</f>
        <v>LED 0-030</v>
      </c>
      <c r="F194" s="16" t="str">
        <f>'WP12 Condensed Sch. Level Costs'!F186</f>
        <v>Company</v>
      </c>
      <c r="G194" s="328">
        <f>'WP12 Condensed Sch. Level Costs'!H186</f>
        <v>764.05999999999972</v>
      </c>
      <c r="H194" s="342">
        <f>'WP12 Condensed Sch. Level Costs'!P186</f>
        <v>1.0137794003499056E-2</v>
      </c>
      <c r="I194" s="328">
        <f>ROUND('WP12 Condensed Sch. Level Costs'!U186,2)</f>
        <v>7.75</v>
      </c>
    </row>
    <row r="195" spans="1:9" x14ac:dyDescent="0.2">
      <c r="A195" s="32">
        <f t="shared" si="3"/>
        <v>187</v>
      </c>
      <c r="B195" s="27" t="str">
        <f>'WP12 Condensed Sch. Level Costs'!A187</f>
        <v>58E &amp; 59E</v>
      </c>
      <c r="C195" s="27"/>
      <c r="D195" s="327" t="str">
        <f>'WP12 Condensed Sch. Level Costs'!C187</f>
        <v>Light Emitting Diode</v>
      </c>
      <c r="E195" s="41" t="str">
        <f>'WP12 Condensed Sch. Level Costs'!D187</f>
        <v>LED 030.01-060</v>
      </c>
      <c r="F195" s="16" t="str">
        <f>'WP12 Condensed Sch. Level Costs'!F187</f>
        <v>Company</v>
      </c>
      <c r="G195" s="328">
        <f>'WP12 Condensed Sch. Level Costs'!H187</f>
        <v>917.8399999999998</v>
      </c>
      <c r="H195" s="342">
        <f>'WP12 Condensed Sch. Level Costs'!P187</f>
        <v>1.0137794003499056E-2</v>
      </c>
      <c r="I195" s="328">
        <f>ROUND('WP12 Condensed Sch. Level Costs'!U187,2)</f>
        <v>9.3000000000000007</v>
      </c>
    </row>
    <row r="196" spans="1:9" x14ac:dyDescent="0.2">
      <c r="A196" s="32">
        <f t="shared" si="3"/>
        <v>188</v>
      </c>
      <c r="B196" s="27" t="str">
        <f>'WP12 Condensed Sch. Level Costs'!A188</f>
        <v>58E &amp; 59E</v>
      </c>
      <c r="C196" s="27"/>
      <c r="D196" s="327" t="str">
        <f>'WP12 Condensed Sch. Level Costs'!C188</f>
        <v>Light Emitting Diode</v>
      </c>
      <c r="E196" s="41" t="str">
        <f>'WP12 Condensed Sch. Level Costs'!D188</f>
        <v>LED 060.01-090</v>
      </c>
      <c r="F196" s="16" t="str">
        <f>'WP12 Condensed Sch. Level Costs'!F188</f>
        <v>Company</v>
      </c>
      <c r="G196" s="328">
        <f>'WP12 Condensed Sch. Level Costs'!H188</f>
        <v>1071.6199999999999</v>
      </c>
      <c r="H196" s="342">
        <f>'WP12 Condensed Sch. Level Costs'!P188</f>
        <v>1.0137794003499056E-2</v>
      </c>
      <c r="I196" s="328">
        <f>ROUND('WP12 Condensed Sch. Level Costs'!U188,2)</f>
        <v>10.86</v>
      </c>
    </row>
    <row r="197" spans="1:9" x14ac:dyDescent="0.2">
      <c r="A197" s="32">
        <f t="shared" si="3"/>
        <v>189</v>
      </c>
      <c r="B197" s="27" t="str">
        <f>'WP12 Condensed Sch. Level Costs'!A189</f>
        <v>58E &amp; 59E</v>
      </c>
      <c r="C197" s="27"/>
      <c r="D197" s="327" t="str">
        <f>'WP12 Condensed Sch. Level Costs'!C189</f>
        <v>Light Emitting Diode</v>
      </c>
      <c r="E197" s="41" t="str">
        <f>'WP12 Condensed Sch. Level Costs'!D189</f>
        <v>LED 090.01-120</v>
      </c>
      <c r="F197" s="16" t="str">
        <f>'WP12 Condensed Sch. Level Costs'!F189</f>
        <v>Company</v>
      </c>
      <c r="G197" s="328">
        <f>'WP12 Condensed Sch. Level Costs'!H189</f>
        <v>1225.4000000000001</v>
      </c>
      <c r="H197" s="342">
        <f>'WP12 Condensed Sch. Level Costs'!P189</f>
        <v>1.0137794003499056E-2</v>
      </c>
      <c r="I197" s="328">
        <f>ROUND('WP12 Condensed Sch. Level Costs'!U189,2)</f>
        <v>12.42</v>
      </c>
    </row>
    <row r="198" spans="1:9" x14ac:dyDescent="0.2">
      <c r="A198" s="32">
        <f t="shared" si="3"/>
        <v>190</v>
      </c>
      <c r="B198" s="27" t="str">
        <f>'WP12 Condensed Sch. Level Costs'!A190</f>
        <v>58E &amp; 59E</v>
      </c>
      <c r="C198" s="27"/>
      <c r="D198" s="327" t="str">
        <f>'WP12 Condensed Sch. Level Costs'!C190</f>
        <v>Light Emitting Diode</v>
      </c>
      <c r="E198" s="41" t="str">
        <f>'WP12 Condensed Sch. Level Costs'!D190</f>
        <v>LED 120.01-150</v>
      </c>
      <c r="F198" s="16" t="str">
        <f>'WP12 Condensed Sch. Level Costs'!F190</f>
        <v>Company</v>
      </c>
      <c r="G198" s="328">
        <f>'WP12 Condensed Sch. Level Costs'!H190</f>
        <v>1379.1800000000003</v>
      </c>
      <c r="H198" s="342">
        <f>'WP12 Condensed Sch. Level Costs'!P190</f>
        <v>1.0137794003499056E-2</v>
      </c>
      <c r="I198" s="328">
        <f>ROUND('WP12 Condensed Sch. Level Costs'!U190,2)</f>
        <v>13.98</v>
      </c>
    </row>
    <row r="199" spans="1:9" x14ac:dyDescent="0.2">
      <c r="A199" s="32">
        <f t="shared" si="3"/>
        <v>191</v>
      </c>
      <c r="B199" s="27" t="str">
        <f>'WP12 Condensed Sch. Level Costs'!A191</f>
        <v>58E &amp; 59E</v>
      </c>
      <c r="C199" s="27"/>
      <c r="D199" s="327" t="str">
        <f>'WP12 Condensed Sch. Level Costs'!C191</f>
        <v>Light Emitting Diode</v>
      </c>
      <c r="E199" s="41" t="str">
        <f>'WP12 Condensed Sch. Level Costs'!D191</f>
        <v>LED 150.01-180</v>
      </c>
      <c r="F199" s="16" t="str">
        <f>'WP12 Condensed Sch. Level Costs'!F191</f>
        <v>Company</v>
      </c>
      <c r="G199" s="328">
        <f>'WP12 Condensed Sch. Level Costs'!H191</f>
        <v>1532.9600000000005</v>
      </c>
      <c r="H199" s="342">
        <f>'WP12 Condensed Sch. Level Costs'!P191</f>
        <v>1.0137794003499056E-2</v>
      </c>
      <c r="I199" s="328">
        <f>ROUND('WP12 Condensed Sch. Level Costs'!U191,2)</f>
        <v>15.54</v>
      </c>
    </row>
    <row r="200" spans="1:9" x14ac:dyDescent="0.2">
      <c r="A200" s="32">
        <f t="shared" si="3"/>
        <v>192</v>
      </c>
      <c r="B200" s="27" t="str">
        <f>'WP12 Condensed Sch. Level Costs'!A192</f>
        <v>58E &amp; 59E</v>
      </c>
      <c r="C200" s="27"/>
      <c r="D200" s="327" t="str">
        <f>'WP12 Condensed Sch. Level Costs'!C192</f>
        <v>Light Emitting Diode</v>
      </c>
      <c r="E200" s="41" t="str">
        <f>'WP12 Condensed Sch. Level Costs'!D192</f>
        <v>LED 180.01-210</v>
      </c>
      <c r="F200" s="16" t="str">
        <f>'WP12 Condensed Sch. Level Costs'!F192</f>
        <v>Company</v>
      </c>
      <c r="G200" s="328">
        <f>'WP12 Condensed Sch. Level Costs'!H192</f>
        <v>1686.7400000000007</v>
      </c>
      <c r="H200" s="342">
        <f>'WP12 Condensed Sch. Level Costs'!P192</f>
        <v>1.0137794003499056E-2</v>
      </c>
      <c r="I200" s="328">
        <f>ROUND('WP12 Condensed Sch. Level Costs'!U192,2)</f>
        <v>17.100000000000001</v>
      </c>
    </row>
    <row r="201" spans="1:9" x14ac:dyDescent="0.2">
      <c r="A201" s="32">
        <f t="shared" si="3"/>
        <v>193</v>
      </c>
      <c r="B201" s="27" t="str">
        <f>'WP12 Condensed Sch. Level Costs'!A193</f>
        <v>58E &amp; 59E</v>
      </c>
      <c r="C201" s="27"/>
      <c r="D201" s="327" t="str">
        <f>'WP12 Condensed Sch. Level Costs'!C193</f>
        <v>Light Emitting Diode</v>
      </c>
      <c r="E201" s="41" t="str">
        <f>'WP12 Condensed Sch. Level Costs'!D193</f>
        <v>LED 210.01-240</v>
      </c>
      <c r="F201" s="16" t="str">
        <f>'WP12 Condensed Sch. Level Costs'!F193</f>
        <v>Company</v>
      </c>
      <c r="G201" s="328">
        <f>'WP12 Condensed Sch. Level Costs'!H193</f>
        <v>1840.5200000000007</v>
      </c>
      <c r="H201" s="342">
        <f>'WP12 Condensed Sch. Level Costs'!P193</f>
        <v>1.0137794003499056E-2</v>
      </c>
      <c r="I201" s="328">
        <f>ROUND('WP12 Condensed Sch. Level Costs'!U193,2)</f>
        <v>18.66</v>
      </c>
    </row>
    <row r="202" spans="1:9" x14ac:dyDescent="0.2">
      <c r="A202" s="32">
        <f t="shared" si="3"/>
        <v>194</v>
      </c>
      <c r="B202" s="27" t="str">
        <f>'WP12 Condensed Sch. Level Costs'!A194</f>
        <v>58E &amp; 59E</v>
      </c>
      <c r="C202" s="27"/>
      <c r="D202" s="327" t="str">
        <f>'WP12 Condensed Sch. Level Costs'!C194</f>
        <v>Light Emitting Diode</v>
      </c>
      <c r="E202" s="41" t="str">
        <f>'WP12 Condensed Sch. Level Costs'!D194</f>
        <v>LED 240.01-270</v>
      </c>
      <c r="F202" s="16" t="str">
        <f>'WP12 Condensed Sch. Level Costs'!F194</f>
        <v>Company</v>
      </c>
      <c r="G202" s="328">
        <f>'WP12 Condensed Sch. Level Costs'!H194</f>
        <v>1994.3000000000009</v>
      </c>
      <c r="H202" s="342">
        <f>'WP12 Condensed Sch. Level Costs'!P194</f>
        <v>1.0137794003499056E-2</v>
      </c>
      <c r="I202" s="328">
        <f>ROUND('WP12 Condensed Sch. Level Costs'!U194,2)</f>
        <v>20.22</v>
      </c>
    </row>
    <row r="203" spans="1:9" x14ac:dyDescent="0.2">
      <c r="A203" s="32">
        <f t="shared" si="3"/>
        <v>195</v>
      </c>
      <c r="B203" s="27" t="str">
        <f>'WP12 Condensed Sch. Level Costs'!A195</f>
        <v>58E &amp; 59E</v>
      </c>
      <c r="C203" s="27"/>
      <c r="D203" s="327" t="str">
        <f>'WP12 Condensed Sch. Level Costs'!C195</f>
        <v>Light Emitting Diode</v>
      </c>
      <c r="E203" s="41" t="str">
        <f>'WP12 Condensed Sch. Level Costs'!D195</f>
        <v>LED 270.01-300</v>
      </c>
      <c r="F203" s="16" t="str">
        <f>'WP12 Condensed Sch. Level Costs'!F195</f>
        <v>Company</v>
      </c>
      <c r="G203" s="328">
        <f>'WP12 Condensed Sch. Level Costs'!H195</f>
        <v>2148.0800000000008</v>
      </c>
      <c r="H203" s="342">
        <f>'WP12 Condensed Sch. Level Costs'!P195</f>
        <v>1.0137794003499056E-2</v>
      </c>
      <c r="I203" s="328">
        <f>ROUND('WP12 Condensed Sch. Level Costs'!U195,2)</f>
        <v>21.78</v>
      </c>
    </row>
    <row r="204" spans="1:9" x14ac:dyDescent="0.2">
      <c r="A204" s="32">
        <f t="shared" si="3"/>
        <v>196</v>
      </c>
      <c r="B204" s="27" t="str">
        <f>'WP12 Condensed Sch. Level Costs'!A196</f>
        <v>58E &amp; 59E</v>
      </c>
      <c r="C204" s="27"/>
      <c r="D204" s="327" t="str">
        <f>'WP12 Condensed Sch. Level Costs'!C196</f>
        <v>Light Emitting Diode</v>
      </c>
      <c r="E204" s="41" t="str">
        <f>'WP12 Condensed Sch. Level Costs'!D196</f>
        <v>LED 300.01-400</v>
      </c>
      <c r="F204" s="16" t="str">
        <f>'WP12 Condensed Sch. Level Costs'!F196</f>
        <v>Company</v>
      </c>
      <c r="G204" s="328">
        <f>'WP12 Condensed Sch. Level Costs'!H196</f>
        <v>2481.2700000000013</v>
      </c>
      <c r="H204" s="342">
        <f>'WP12 Condensed Sch. Level Costs'!P196</f>
        <v>1.0137794003499056E-2</v>
      </c>
      <c r="I204" s="328">
        <f>ROUND('WP12 Condensed Sch. Level Costs'!U196,2)</f>
        <v>25.15</v>
      </c>
    </row>
    <row r="205" spans="1:9" x14ac:dyDescent="0.2">
      <c r="A205" s="32">
        <f t="shared" si="3"/>
        <v>197</v>
      </c>
      <c r="B205" s="27" t="str">
        <f>'WP12 Condensed Sch. Level Costs'!A197</f>
        <v>58E &amp; 59E</v>
      </c>
      <c r="C205" s="27"/>
      <c r="D205" s="327" t="str">
        <f>'WP12 Condensed Sch. Level Costs'!C197</f>
        <v>Light Emitting Diode</v>
      </c>
      <c r="E205" s="41" t="str">
        <f>'WP12 Condensed Sch. Level Costs'!D197</f>
        <v>LED 400.01-500</v>
      </c>
      <c r="F205" s="16" t="str">
        <f>'WP12 Condensed Sch. Level Costs'!F197</f>
        <v>Company</v>
      </c>
      <c r="G205" s="328">
        <f>'WP12 Condensed Sch. Level Costs'!H197</f>
        <v>2993.8700000000017</v>
      </c>
      <c r="H205" s="342">
        <f>'WP12 Condensed Sch. Level Costs'!P197</f>
        <v>1.0137794003499056E-2</v>
      </c>
      <c r="I205" s="328">
        <f>ROUND('WP12 Condensed Sch. Level Costs'!U197,2)</f>
        <v>30.35</v>
      </c>
    </row>
    <row r="206" spans="1:9" x14ac:dyDescent="0.2">
      <c r="A206" s="32">
        <f t="shared" si="3"/>
        <v>198</v>
      </c>
      <c r="B206" s="27" t="str">
        <f>'WP12 Condensed Sch. Level Costs'!A198</f>
        <v>58E &amp; 59E</v>
      </c>
      <c r="C206" s="27"/>
      <c r="D206" s="327" t="str">
        <f>'WP12 Condensed Sch. Level Costs'!C198</f>
        <v>Light Emitting Diode</v>
      </c>
      <c r="E206" s="41" t="str">
        <f>'WP12 Condensed Sch. Level Costs'!D198</f>
        <v>LED 500.01-600</v>
      </c>
      <c r="F206" s="16" t="str">
        <f>'WP12 Condensed Sch. Level Costs'!F198</f>
        <v>Company</v>
      </c>
      <c r="G206" s="328">
        <f>'WP12 Condensed Sch. Level Costs'!H198</f>
        <v>3506.4700000000021</v>
      </c>
      <c r="H206" s="342">
        <f>'WP12 Condensed Sch. Level Costs'!P198</f>
        <v>1.0137794003499056E-2</v>
      </c>
      <c r="I206" s="328">
        <f>ROUND('WP12 Condensed Sch. Level Costs'!U198,2)</f>
        <v>35.549999999999997</v>
      </c>
    </row>
    <row r="207" spans="1:9" x14ac:dyDescent="0.2">
      <c r="A207" s="32">
        <f t="shared" si="3"/>
        <v>199</v>
      </c>
      <c r="B207" s="27" t="str">
        <f>'WP12 Condensed Sch. Level Costs'!A199</f>
        <v>58E &amp; 59E</v>
      </c>
      <c r="C207" s="27"/>
      <c r="D207" s="327" t="str">
        <f>'WP12 Condensed Sch. Level Costs'!C199</f>
        <v>Light Emitting Diode</v>
      </c>
      <c r="E207" s="41" t="str">
        <f>'WP12 Condensed Sch. Level Costs'!D199</f>
        <v>LED 600.01-700</v>
      </c>
      <c r="F207" s="16" t="str">
        <f>'WP12 Condensed Sch. Level Costs'!F199</f>
        <v>Company</v>
      </c>
      <c r="G207" s="328">
        <f>'WP12 Condensed Sch. Level Costs'!H199</f>
        <v>4019.0700000000029</v>
      </c>
      <c r="H207" s="342">
        <f>'WP12 Condensed Sch. Level Costs'!P199</f>
        <v>1.0137794003499056E-2</v>
      </c>
      <c r="I207" s="328">
        <f>ROUND('WP12 Condensed Sch. Level Costs'!U199,2)</f>
        <v>40.74</v>
      </c>
    </row>
    <row r="208" spans="1:9" x14ac:dyDescent="0.2">
      <c r="A208" s="32">
        <f t="shared" si="3"/>
        <v>200</v>
      </c>
      <c r="B208" s="27" t="str">
        <f>'WP12 Condensed Sch. Level Costs'!A200</f>
        <v>58E &amp; 59E</v>
      </c>
      <c r="C208" s="27"/>
      <c r="D208" s="327" t="str">
        <f>'WP12 Condensed Sch. Level Costs'!C200</f>
        <v>Light Emitting Diode</v>
      </c>
      <c r="E208" s="41" t="str">
        <f>'WP12 Condensed Sch. Level Costs'!D200</f>
        <v>LED 700.01-800</v>
      </c>
      <c r="F208" s="16" t="str">
        <f>'WP12 Condensed Sch. Level Costs'!F200</f>
        <v>Company</v>
      </c>
      <c r="G208" s="328">
        <f>'WP12 Condensed Sch. Level Costs'!H200</f>
        <v>4531.6700000000037</v>
      </c>
      <c r="H208" s="342">
        <f>'WP12 Condensed Sch. Level Costs'!P200</f>
        <v>1.0137794003499056E-2</v>
      </c>
      <c r="I208" s="328">
        <f>ROUND('WP12 Condensed Sch. Level Costs'!U200,2)</f>
        <v>45.94</v>
      </c>
    </row>
    <row r="209" spans="1:10" x14ac:dyDescent="0.2">
      <c r="A209" s="32">
        <f t="shared" si="3"/>
        <v>201</v>
      </c>
      <c r="B209" s="27" t="str">
        <f>'WP12 Condensed Sch. Level Costs'!A201</f>
        <v>58E &amp; 59E</v>
      </c>
      <c r="C209" s="27"/>
      <c r="D209" s="327" t="str">
        <f>'WP12 Condensed Sch. Level Costs'!C201</f>
        <v>Light Emitting Diode</v>
      </c>
      <c r="E209" s="41" t="str">
        <f>'WP12 Condensed Sch. Level Costs'!D201</f>
        <v>LED 800.01-900</v>
      </c>
      <c r="F209" s="16" t="str">
        <f>'WP12 Condensed Sch. Level Costs'!F201</f>
        <v>Company</v>
      </c>
      <c r="G209" s="328">
        <f>'WP12 Condensed Sch. Level Costs'!H201</f>
        <v>5044.2700000000041</v>
      </c>
      <c r="H209" s="342">
        <f>'WP12 Condensed Sch. Level Costs'!P201</f>
        <v>1.0137794003499056E-2</v>
      </c>
      <c r="I209" s="328">
        <f>ROUND('WP12 Condensed Sch. Level Costs'!U201,2)</f>
        <v>51.14</v>
      </c>
    </row>
    <row r="210" spans="1:10" x14ac:dyDescent="0.2">
      <c r="A210" s="32">
        <f t="shared" si="3"/>
        <v>202</v>
      </c>
      <c r="B210" s="27"/>
      <c r="C210" s="27"/>
      <c r="D210" s="327"/>
      <c r="E210" s="41"/>
      <c r="F210" s="16"/>
      <c r="G210" s="328"/>
      <c r="H210" s="342"/>
      <c r="I210" s="328"/>
    </row>
    <row r="211" spans="1:10" x14ac:dyDescent="0.2">
      <c r="A211" s="32">
        <f t="shared" si="3"/>
        <v>203</v>
      </c>
      <c r="B211" s="27" t="str">
        <f>'WP12 Condensed Sch. Level Costs'!A202</f>
        <v>Sch 57</v>
      </c>
      <c r="C211" s="27"/>
      <c r="D211" s="327"/>
      <c r="E211" s="41"/>
      <c r="F211" s="16"/>
      <c r="G211" s="328"/>
      <c r="H211" s="342"/>
      <c r="I211" s="328"/>
    </row>
    <row r="212" spans="1:10" x14ac:dyDescent="0.2">
      <c r="A212" s="32">
        <f t="shared" si="3"/>
        <v>204</v>
      </c>
      <c r="B212" s="27" t="str">
        <f>'WP12 Condensed Sch. Level Costs'!A203</f>
        <v>57E</v>
      </c>
      <c r="C212" s="27"/>
      <c r="D212" s="327" t="str">
        <f>'WP12 Condensed Sch. Level Costs'!C203</f>
        <v>Per W charge</v>
      </c>
      <c r="E212" s="341">
        <f>'WP12 Condensed Sch. Level Costs'!E203</f>
        <v>935514.08333333337</v>
      </c>
      <c r="F212" s="16" t="str">
        <f>'WP12 Condensed Sch. Level Costs'!F203</f>
        <v>Customer</v>
      </c>
      <c r="G212" s="328" t="str">
        <f>'WP12 Condensed Sch. Level Costs'!H203</f>
        <v>N/A</v>
      </c>
      <c r="H212" s="342">
        <f>'WP12 Condensed Sch. Level Costs'!P203</f>
        <v>1.0137794003499056E-2</v>
      </c>
      <c r="I212" s="328">
        <f>ROUND('WP12 Condensed Sch. Level Costs'!U203,2)</f>
        <v>0</v>
      </c>
    </row>
    <row r="213" spans="1:10" x14ac:dyDescent="0.2">
      <c r="A213" s="32">
        <f t="shared" si="3"/>
        <v>205</v>
      </c>
      <c r="B213" s="27"/>
      <c r="C213" s="27"/>
      <c r="D213" s="327"/>
      <c r="E213" s="41"/>
      <c r="F213" s="16"/>
      <c r="G213" s="328"/>
      <c r="H213" s="342"/>
      <c r="I213" s="328"/>
    </row>
    <row r="214" spans="1:10" x14ac:dyDescent="0.2">
      <c r="A214" s="32">
        <f t="shared" si="3"/>
        <v>206</v>
      </c>
      <c r="B214" s="27" t="str">
        <f>'WP12 Condensed Sch. Level Costs'!A205</f>
        <v>55 &amp; 56</v>
      </c>
      <c r="C214" s="27"/>
      <c r="D214" s="327" t="str">
        <f>'WP12 Condensed Sch. Level Costs'!C205</f>
        <v>Pole</v>
      </c>
      <c r="E214" s="41" t="str">
        <f>'WP12 Condensed Sch. Level Costs'!D205</f>
        <v>Old</v>
      </c>
      <c r="F214" s="16" t="str">
        <f>'WP12 Condensed Sch. Level Costs'!F205</f>
        <v>Company</v>
      </c>
      <c r="G214" s="328">
        <f>'WP12 Condensed Sch. Level Costs'!H205</f>
        <v>959.25797583146004</v>
      </c>
      <c r="H214" s="342">
        <f>'WP12 Condensed Sch. Level Costs'!P205</f>
        <v>3.1647244337929866E-3</v>
      </c>
      <c r="I214" s="328">
        <f>ROUND('WP12 Condensed Sch. Level Costs'!U205,2)</f>
        <v>3.04</v>
      </c>
    </row>
    <row r="215" spans="1:10" x14ac:dyDescent="0.2">
      <c r="A215" s="32">
        <f t="shared" si="3"/>
        <v>207</v>
      </c>
      <c r="B215" s="27" t="str">
        <f>'WP12 Condensed Sch. Level Costs'!A206</f>
        <v>55 &amp; 56</v>
      </c>
      <c r="C215" s="27"/>
      <c r="D215" s="327" t="str">
        <f>'WP12 Condensed Sch. Level Costs'!C206</f>
        <v>Pole</v>
      </c>
      <c r="E215" s="41" t="str">
        <f>'WP12 Condensed Sch. Level Costs'!D206</f>
        <v>New</v>
      </c>
      <c r="F215" s="16" t="str">
        <f>'WP12 Condensed Sch. Level Costs'!F206</f>
        <v>Company</v>
      </c>
      <c r="G215" s="328">
        <f>'WP12 Condensed Sch. Level Costs'!H206</f>
        <v>1918.5159516629201</v>
      </c>
      <c r="H215" s="342">
        <f>'WP12 Condensed Sch. Level Costs'!P206</f>
        <v>3.1647244337929866E-3</v>
      </c>
      <c r="I215" s="328">
        <f>ROUND('WP12 Condensed Sch. Level Costs'!U206,2)</f>
        <v>6.07</v>
      </c>
    </row>
    <row r="216" spans="1:10" x14ac:dyDescent="0.2">
      <c r="A216" s="32">
        <f t="shared" si="3"/>
        <v>208</v>
      </c>
      <c r="B216" s="27"/>
      <c r="C216" s="27"/>
      <c r="D216" s="327"/>
      <c r="E216" s="41"/>
      <c r="F216" s="16"/>
      <c r="G216" s="328"/>
      <c r="H216" s="342"/>
      <c r="I216" s="328"/>
    </row>
    <row r="217" spans="1:10" x14ac:dyDescent="0.2">
      <c r="A217" s="32">
        <f t="shared" si="3"/>
        <v>209</v>
      </c>
      <c r="B217" s="27" t="str">
        <f>'WP12 Condensed Sch. Level Costs'!A208</f>
        <v>58 &amp; 59</v>
      </c>
      <c r="C217" s="27"/>
      <c r="D217" s="327" t="str">
        <f>'WP12 Condensed Sch. Level Costs'!C208</f>
        <v>Pole</v>
      </c>
      <c r="E217" s="41" t="str">
        <f>'WP12 Condensed Sch. Level Costs'!D208</f>
        <v>New</v>
      </c>
      <c r="F217" s="16" t="str">
        <f>'WP12 Condensed Sch. Level Costs'!F208</f>
        <v>Company</v>
      </c>
      <c r="G217" s="328">
        <f>'WP12 Condensed Sch. Level Costs'!H208</f>
        <v>1918.5159516629201</v>
      </c>
      <c r="H217" s="342">
        <f>'WP12 Condensed Sch. Level Costs'!P208</f>
        <v>3.1647244337929866E-3</v>
      </c>
      <c r="I217" s="328">
        <f>ROUND('WP12 Condensed Sch. Level Costs'!U208,2)</f>
        <v>6.07</v>
      </c>
    </row>
    <row r="218" spans="1:10" x14ac:dyDescent="0.2">
      <c r="D218" s="17"/>
      <c r="E218" s="17"/>
      <c r="F218" s="17"/>
      <c r="G218" s="17"/>
      <c r="H218" s="17"/>
      <c r="I218" s="17"/>
      <c r="J218" s="17"/>
    </row>
    <row r="219" spans="1:10" x14ac:dyDescent="0.2">
      <c r="B219" s="17"/>
      <c r="C219" s="17"/>
      <c r="D219" s="17"/>
      <c r="E219" s="17"/>
      <c r="F219" s="17"/>
      <c r="G219" s="17"/>
      <c r="H219" s="17"/>
      <c r="I219" s="17"/>
    </row>
    <row r="220" spans="1:10" x14ac:dyDescent="0.2">
      <c r="D220" s="17"/>
      <c r="E220" s="17"/>
      <c r="F220" s="17"/>
      <c r="H220" s="49"/>
      <c r="I220" s="49"/>
    </row>
    <row r="221" spans="1:10" x14ac:dyDescent="0.2">
      <c r="A221" s="19"/>
      <c r="B221" s="20"/>
      <c r="C221" s="20"/>
    </row>
    <row r="222" spans="1:10" x14ac:dyDescent="0.2">
      <c r="A222" s="19"/>
      <c r="B222" s="20"/>
      <c r="C222" s="20"/>
    </row>
    <row r="223" spans="1:10" x14ac:dyDescent="0.2">
      <c r="D223" s="17"/>
      <c r="E223" s="17"/>
      <c r="F223" s="17"/>
      <c r="G223" s="17"/>
      <c r="H223" s="17"/>
      <c r="I223" s="17"/>
    </row>
    <row r="224" spans="1:10" x14ac:dyDescent="0.2">
      <c r="D224" s="17"/>
      <c r="E224" s="17"/>
      <c r="F224" s="17"/>
      <c r="G224" s="17"/>
      <c r="H224" s="17"/>
      <c r="I224" s="17"/>
    </row>
    <row r="225" spans="4:6" x14ac:dyDescent="0.2">
      <c r="D225" s="17"/>
      <c r="E225" s="17"/>
      <c r="F225" s="17"/>
    </row>
    <row r="226" spans="4:6" x14ac:dyDescent="0.2">
      <c r="D226" s="17"/>
      <c r="E226" s="17"/>
      <c r="F226" s="17"/>
    </row>
  </sheetData>
  <mergeCells count="4">
    <mergeCell ref="A4:I4"/>
    <mergeCell ref="A3:I3"/>
    <mergeCell ref="A2:I2"/>
    <mergeCell ref="A1:I1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29"/>
  <sheetViews>
    <sheetView zoomScaleNormal="100" zoomScaleSheetLayoutView="55" workbookViewId="0">
      <pane ySplit="8" topLeftCell="A9" activePane="bottomLeft" state="frozen"/>
      <selection activeCell="D32" sqref="D32"/>
      <selection pane="bottomLeft" activeCell="D32" sqref="D32"/>
    </sheetView>
  </sheetViews>
  <sheetFormatPr defaultColWidth="9.109375" defaultRowHeight="10.199999999999999" x14ac:dyDescent="0.2"/>
  <cols>
    <col min="1" max="1" width="7.44140625" style="32" bestFit="1" customWidth="1"/>
    <col min="2" max="2" width="20" style="19" bestFit="1" customWidth="1"/>
    <col min="3" max="3" width="14" style="19" customWidth="1"/>
    <col min="4" max="4" width="16.88671875" style="19" bestFit="1" customWidth="1"/>
    <col min="5" max="5" width="14.5546875" style="19" customWidth="1"/>
    <col min="6" max="6" width="7.88671875" style="19" customWidth="1"/>
    <col min="7" max="7" width="9.33203125" style="19" bestFit="1" customWidth="1"/>
    <col min="8" max="8" width="13.5546875" style="19" bestFit="1" customWidth="1"/>
    <col min="9" max="9" width="9.88671875" style="19" bestFit="1" customWidth="1"/>
    <col min="10" max="16384" width="9.109375" style="19"/>
  </cols>
  <sheetData>
    <row r="1" spans="1:9" s="251" customFormat="1" x14ac:dyDescent="0.2">
      <c r="A1" s="736" t="str">
        <f>'Capital Charge'!A1:I1</f>
        <v>Puget Sound Energy</v>
      </c>
      <c r="B1" s="736"/>
      <c r="C1" s="736"/>
      <c r="D1" s="736"/>
      <c r="E1" s="736"/>
      <c r="F1" s="736"/>
      <c r="G1" s="736"/>
      <c r="H1" s="736"/>
      <c r="I1" s="736"/>
    </row>
    <row r="2" spans="1:9" s="251" customFormat="1" x14ac:dyDescent="0.2">
      <c r="A2" s="736" t="s">
        <v>463</v>
      </c>
      <c r="B2" s="736"/>
      <c r="C2" s="736"/>
      <c r="D2" s="736"/>
      <c r="E2" s="736"/>
      <c r="F2" s="736"/>
      <c r="G2" s="736"/>
      <c r="H2" s="736"/>
      <c r="I2" s="736"/>
    </row>
    <row r="3" spans="1:9" s="251" customFormat="1" x14ac:dyDescent="0.2">
      <c r="A3" s="736" t="str">
        <f>'Capital Charge'!A3:I3</f>
        <v>2022 General Rate Case (GRC)</v>
      </c>
      <c r="B3" s="736"/>
      <c r="C3" s="736"/>
      <c r="D3" s="736"/>
      <c r="E3" s="736"/>
      <c r="F3" s="736"/>
      <c r="G3" s="736"/>
      <c r="H3" s="736"/>
      <c r="I3" s="736"/>
    </row>
    <row r="4" spans="1:9" s="251" customFormat="1" x14ac:dyDescent="0.2">
      <c r="A4" s="736" t="str">
        <f>'Capital Charge'!A4:I4</f>
        <v>Test Year Ending June 30, 2021</v>
      </c>
      <c r="B4" s="736"/>
      <c r="C4" s="736"/>
      <c r="D4" s="736"/>
      <c r="E4" s="736"/>
      <c r="F4" s="736"/>
      <c r="G4" s="736"/>
      <c r="H4" s="736"/>
      <c r="I4" s="736"/>
    </row>
    <row r="5" spans="1:9" s="251" customFormat="1" x14ac:dyDescent="0.2">
      <c r="A5" s="257"/>
    </row>
    <row r="6" spans="1:9" s="251" customFormat="1" ht="30.6" x14ac:dyDescent="0.2">
      <c r="A6" s="285" t="s">
        <v>1</v>
      </c>
      <c r="B6" s="285" t="s">
        <v>53</v>
      </c>
      <c r="C6" s="285"/>
      <c r="D6" s="285" t="s">
        <v>67</v>
      </c>
      <c r="E6" s="285" t="s">
        <v>160</v>
      </c>
      <c r="F6" s="285" t="s">
        <v>124</v>
      </c>
      <c r="G6" s="285" t="s">
        <v>388</v>
      </c>
      <c r="H6" s="285" t="s">
        <v>252</v>
      </c>
      <c r="I6" s="285" t="s">
        <v>468</v>
      </c>
    </row>
    <row r="7" spans="1:9" x14ac:dyDescent="0.2">
      <c r="B7" s="14" t="s">
        <v>3</v>
      </c>
      <c r="C7" s="14"/>
      <c r="D7" s="14" t="s">
        <v>4</v>
      </c>
      <c r="E7" s="143" t="s">
        <v>5</v>
      </c>
      <c r="F7" s="14" t="s">
        <v>6</v>
      </c>
      <c r="G7" s="21" t="s">
        <v>390</v>
      </c>
      <c r="H7" s="21" t="s">
        <v>21</v>
      </c>
      <c r="I7" s="21" t="s">
        <v>8</v>
      </c>
    </row>
    <row r="8" spans="1:9" x14ac:dyDescent="0.2">
      <c r="A8" s="32" t="s">
        <v>396</v>
      </c>
      <c r="B8" s="14"/>
      <c r="C8" s="14"/>
      <c r="D8" s="14"/>
      <c r="E8" s="21"/>
      <c r="F8" s="16" t="s">
        <v>496</v>
      </c>
      <c r="G8" s="21" t="s">
        <v>397</v>
      </c>
      <c r="H8" s="21" t="s">
        <v>397</v>
      </c>
      <c r="I8" s="21" t="s">
        <v>397</v>
      </c>
    </row>
    <row r="9" spans="1:9" x14ac:dyDescent="0.2">
      <c r="A9" s="32">
        <v>1</v>
      </c>
      <c r="B9" s="27" t="str">
        <f>'WP12 Condensed Sch. Level Costs'!A7</f>
        <v>Sch 50E</v>
      </c>
      <c r="C9" s="27"/>
      <c r="H9" s="69"/>
      <c r="I9" s="69"/>
    </row>
    <row r="10" spans="1:9" x14ac:dyDescent="0.2">
      <c r="A10" s="32">
        <f>A9+1</f>
        <v>2</v>
      </c>
      <c r="B10" s="27">
        <f>'WP12 Condensed Sch. Level Costs'!A8</f>
        <v>3</v>
      </c>
      <c r="C10" s="27"/>
      <c r="D10" s="327" t="str">
        <f>'WP12 Condensed Sch. Level Costs'!C8</f>
        <v>Compact Fluorescent</v>
      </c>
      <c r="E10" s="41" t="str">
        <f>'WP12 Condensed Sch. Level Costs'!D8</f>
        <v>CF 22</v>
      </c>
      <c r="F10" s="14" t="str">
        <f>'WP12 Condensed Sch. Level Costs'!I8</f>
        <v>No</v>
      </c>
      <c r="G10" s="14">
        <f>'WP12 Condensed Sch. Level Costs'!J8</f>
        <v>0</v>
      </c>
      <c r="H10" s="328">
        <f>'WP12 Condensed Sch. Level Costs'!Q8</f>
        <v>2.2529806535397991</v>
      </c>
      <c r="I10" s="328">
        <f>ROUND('WP12 Condensed Sch. Level Costs'!V8,2)</f>
        <v>0</v>
      </c>
    </row>
    <row r="11" spans="1:9" x14ac:dyDescent="0.2">
      <c r="A11" s="32">
        <f t="shared" ref="A11:A90" si="0">A10+1</f>
        <v>3</v>
      </c>
      <c r="B11" s="27"/>
      <c r="C11" s="27"/>
      <c r="D11" s="327"/>
      <c r="E11" s="41"/>
      <c r="F11" s="14"/>
      <c r="G11" s="14"/>
      <c r="H11" s="328"/>
      <c r="I11" s="328"/>
    </row>
    <row r="12" spans="1:9" x14ac:dyDescent="0.2">
      <c r="A12" s="32">
        <f t="shared" si="0"/>
        <v>4</v>
      </c>
      <c r="B12" s="27" t="str">
        <f>'WP12 Condensed Sch. Level Costs'!A10</f>
        <v>50E-A</v>
      </c>
      <c r="C12" s="27"/>
      <c r="D12" s="327" t="str">
        <f>'WP12 Condensed Sch. Level Costs'!C10</f>
        <v>Mercury Vapor</v>
      </c>
      <c r="E12" s="41" t="str">
        <f>'WP12 Condensed Sch. Level Costs'!D10</f>
        <v>MV 100</v>
      </c>
      <c r="F12" s="14" t="str">
        <f>'WP12 Condensed Sch. Level Costs'!I10</f>
        <v>Yes</v>
      </c>
      <c r="G12" s="14">
        <f>'WP12 Condensed Sch. Level Costs'!J10</f>
        <v>1</v>
      </c>
      <c r="H12" s="328">
        <f>'WP12 Condensed Sch. Level Costs'!Q10</f>
        <v>2.2529806535397991</v>
      </c>
      <c r="I12" s="328">
        <f>ROUND('WP12 Condensed Sch. Level Costs'!V10,2)</f>
        <v>2.25</v>
      </c>
    </row>
    <row r="13" spans="1:9" x14ac:dyDescent="0.2">
      <c r="A13" s="32">
        <f t="shared" si="0"/>
        <v>5</v>
      </c>
      <c r="B13" s="27" t="str">
        <f>'WP12 Condensed Sch. Level Costs'!A11</f>
        <v>50E-A</v>
      </c>
      <c r="C13" s="27"/>
      <c r="D13" s="327" t="str">
        <f>'WP12 Condensed Sch. Level Costs'!C11</f>
        <v>Mercury Vapor</v>
      </c>
      <c r="E13" s="41" t="str">
        <f>'WP12 Condensed Sch. Level Costs'!D11</f>
        <v>MV 175</v>
      </c>
      <c r="F13" s="14" t="str">
        <f>'WP12 Condensed Sch. Level Costs'!I11</f>
        <v>Yes</v>
      </c>
      <c r="G13" s="14">
        <f>'WP12 Condensed Sch. Level Costs'!J11</f>
        <v>1</v>
      </c>
      <c r="H13" s="328">
        <f>'WP12 Condensed Sch. Level Costs'!Q11</f>
        <v>2.2529806535397991</v>
      </c>
      <c r="I13" s="328">
        <f>ROUND('WP12 Condensed Sch. Level Costs'!V11,2)</f>
        <v>2.25</v>
      </c>
    </row>
    <row r="14" spans="1:9" x14ac:dyDescent="0.2">
      <c r="A14" s="32">
        <f t="shared" si="0"/>
        <v>6</v>
      </c>
      <c r="B14" s="27" t="str">
        <f>'WP12 Condensed Sch. Level Costs'!A12</f>
        <v>50E-A</v>
      </c>
      <c r="C14" s="27"/>
      <c r="D14" s="327" t="str">
        <f>'WP12 Condensed Sch. Level Costs'!C12</f>
        <v>Mercury Vapor</v>
      </c>
      <c r="E14" s="41" t="str">
        <f>'WP12 Condensed Sch. Level Costs'!D12</f>
        <v>MV 400</v>
      </c>
      <c r="F14" s="14" t="str">
        <f>'WP12 Condensed Sch. Level Costs'!I12</f>
        <v>Yes</v>
      </c>
      <c r="G14" s="14">
        <f>'WP12 Condensed Sch. Level Costs'!J12</f>
        <v>1</v>
      </c>
      <c r="H14" s="328">
        <f>'WP12 Condensed Sch. Level Costs'!Q12</f>
        <v>2.2529806535397991</v>
      </c>
      <c r="I14" s="328">
        <f>ROUND('WP12 Condensed Sch. Level Costs'!V12,2)</f>
        <v>2.25</v>
      </c>
    </row>
    <row r="15" spans="1:9" x14ac:dyDescent="0.2">
      <c r="A15" s="32">
        <f t="shared" si="0"/>
        <v>7</v>
      </c>
      <c r="B15" s="27"/>
      <c r="C15" s="27"/>
      <c r="D15" s="327"/>
      <c r="E15" s="41"/>
      <c r="F15" s="14"/>
      <c r="G15" s="14"/>
      <c r="H15" s="328"/>
      <c r="I15" s="328"/>
    </row>
    <row r="16" spans="1:9" x14ac:dyDescent="0.2">
      <c r="A16" s="32">
        <f t="shared" si="0"/>
        <v>8</v>
      </c>
      <c r="B16" s="27" t="str">
        <f>'WP12 Condensed Sch. Level Costs'!A14</f>
        <v>50E-B</v>
      </c>
      <c r="C16" s="27"/>
      <c r="D16" s="327" t="str">
        <f>'WP12 Condensed Sch. Level Costs'!C14</f>
        <v>Mercury Vapor</v>
      </c>
      <c r="E16" s="41" t="str">
        <f>'WP12 Condensed Sch. Level Costs'!D14</f>
        <v>MV 100</v>
      </c>
      <c r="F16" s="14" t="str">
        <f>'WP12 Condensed Sch. Level Costs'!I14</f>
        <v>No</v>
      </c>
      <c r="G16" s="14">
        <f>'WP12 Condensed Sch. Level Costs'!J14</f>
        <v>1</v>
      </c>
      <c r="H16" s="328">
        <f>'WP12 Condensed Sch. Level Costs'!Q14</f>
        <v>2.2529806535397991</v>
      </c>
      <c r="I16" s="328">
        <f>ROUND('WP12 Condensed Sch. Level Costs'!V14,2)</f>
        <v>0</v>
      </c>
    </row>
    <row r="17" spans="1:9" x14ac:dyDescent="0.2">
      <c r="A17" s="32">
        <f t="shared" si="0"/>
        <v>9</v>
      </c>
      <c r="B17" s="27" t="str">
        <f>'WP12 Condensed Sch. Level Costs'!A15</f>
        <v>50E-B</v>
      </c>
      <c r="C17" s="27"/>
      <c r="D17" s="327" t="str">
        <f>'WP12 Condensed Sch. Level Costs'!C15</f>
        <v>Mercury Vapor</v>
      </c>
      <c r="E17" s="41" t="str">
        <f>'WP12 Condensed Sch. Level Costs'!D15</f>
        <v>MV 175</v>
      </c>
      <c r="F17" s="14" t="str">
        <f>'WP12 Condensed Sch. Level Costs'!I15</f>
        <v>No</v>
      </c>
      <c r="G17" s="14">
        <f>'WP12 Condensed Sch. Level Costs'!J15</f>
        <v>1</v>
      </c>
      <c r="H17" s="328">
        <f>'WP12 Condensed Sch. Level Costs'!Q15</f>
        <v>2.2529806535397991</v>
      </c>
      <c r="I17" s="328">
        <f>ROUND('WP12 Condensed Sch. Level Costs'!V15,2)</f>
        <v>0</v>
      </c>
    </row>
    <row r="18" spans="1:9" x14ac:dyDescent="0.2">
      <c r="A18" s="32">
        <f t="shared" si="0"/>
        <v>10</v>
      </c>
      <c r="B18" s="27" t="str">
        <f>'WP12 Condensed Sch. Level Costs'!A16</f>
        <v>50E-B</v>
      </c>
      <c r="C18" s="27"/>
      <c r="D18" s="327" t="str">
        <f>'WP12 Condensed Sch. Level Costs'!C16</f>
        <v>Mercury Vapor</v>
      </c>
      <c r="E18" s="41" t="str">
        <f>'WP12 Condensed Sch. Level Costs'!D16</f>
        <v>MV 400</v>
      </c>
      <c r="F18" s="14" t="str">
        <f>'WP12 Condensed Sch. Level Costs'!I16</f>
        <v>No</v>
      </c>
      <c r="G18" s="14">
        <f>'WP12 Condensed Sch. Level Costs'!J16</f>
        <v>1</v>
      </c>
      <c r="H18" s="328">
        <f>'WP12 Condensed Sch. Level Costs'!Q16</f>
        <v>2.2529806535397991</v>
      </c>
      <c r="I18" s="328">
        <f>ROUND('WP12 Condensed Sch. Level Costs'!V16,2)</f>
        <v>0</v>
      </c>
    </row>
    <row r="19" spans="1:9" x14ac:dyDescent="0.2">
      <c r="A19" s="32">
        <f t="shared" si="0"/>
        <v>11</v>
      </c>
      <c r="B19" s="27" t="str">
        <f>'WP12 Condensed Sch. Level Costs'!A17</f>
        <v>50E-B</v>
      </c>
      <c r="C19" s="27"/>
      <c r="D19" s="327" t="str">
        <f>'WP12 Condensed Sch. Level Costs'!C17</f>
        <v>Mercury Vapor</v>
      </c>
      <c r="E19" s="41" t="str">
        <f>'WP12 Condensed Sch. Level Costs'!D17</f>
        <v>MV 700</v>
      </c>
      <c r="F19" s="14" t="str">
        <f>'WP12 Condensed Sch. Level Costs'!I17</f>
        <v>No</v>
      </c>
      <c r="G19" s="14">
        <f>'WP12 Condensed Sch. Level Costs'!J17</f>
        <v>1</v>
      </c>
      <c r="H19" s="328">
        <f>'WP12 Condensed Sch. Level Costs'!Q17</f>
        <v>2.2529806535397991</v>
      </c>
      <c r="I19" s="328">
        <f>ROUND('WP12 Condensed Sch. Level Costs'!V17,2)</f>
        <v>0</v>
      </c>
    </row>
    <row r="20" spans="1:9" x14ac:dyDescent="0.2">
      <c r="A20" s="32">
        <f t="shared" si="0"/>
        <v>12</v>
      </c>
      <c r="B20" s="27"/>
      <c r="C20" s="27"/>
      <c r="D20" s="327"/>
      <c r="E20" s="41"/>
      <c r="F20" s="14"/>
      <c r="G20" s="14"/>
      <c r="H20" s="328"/>
      <c r="I20" s="328"/>
    </row>
    <row r="21" spans="1:9" x14ac:dyDescent="0.2">
      <c r="A21" s="32">
        <f t="shared" si="0"/>
        <v>13</v>
      </c>
      <c r="B21" s="27" t="str">
        <f>'WP12 Condensed Sch. Level Costs'!A18</f>
        <v>Sch 51E</v>
      </c>
      <c r="C21" s="27"/>
      <c r="D21" s="327"/>
      <c r="E21" s="41"/>
      <c r="F21" s="14"/>
      <c r="G21" s="14"/>
      <c r="H21" s="328"/>
      <c r="I21" s="328"/>
    </row>
    <row r="22" spans="1:9" x14ac:dyDescent="0.2">
      <c r="A22" s="32">
        <f t="shared" si="0"/>
        <v>14</v>
      </c>
      <c r="B22" s="27" t="str">
        <f>'WP12 Condensed Sch. Level Costs'!A19</f>
        <v>51E</v>
      </c>
      <c r="C22" s="27"/>
      <c r="D22" s="327" t="str">
        <f>'WP12 Condensed Sch. Level Costs'!C19</f>
        <v>Light Emitting Diode</v>
      </c>
      <c r="E22" s="41" t="str">
        <f>'WP12 Condensed Sch. Level Costs'!D19</f>
        <v>LED 0-030</v>
      </c>
      <c r="F22" s="14" t="str">
        <f>'WP12 Condensed Sch. Level Costs'!I19</f>
        <v>No</v>
      </c>
      <c r="G22" s="14">
        <f>'WP12 Condensed Sch. Level Costs'!J19</f>
        <v>0.2</v>
      </c>
      <c r="H22" s="328">
        <f>'WP12 Condensed Sch. Level Costs'!Q19</f>
        <v>2.2529806535397991</v>
      </c>
      <c r="I22" s="328">
        <f>ROUND('WP12 Condensed Sch. Level Costs'!V19,2)</f>
        <v>0</v>
      </c>
    </row>
    <row r="23" spans="1:9" x14ac:dyDescent="0.2">
      <c r="A23" s="32">
        <f t="shared" si="0"/>
        <v>15</v>
      </c>
      <c r="B23" s="27" t="str">
        <f>'WP12 Condensed Sch. Level Costs'!A20</f>
        <v>51E</v>
      </c>
      <c r="C23" s="27"/>
      <c r="D23" s="327" t="str">
        <f>'WP12 Condensed Sch. Level Costs'!C20</f>
        <v>Light Emitting Diode</v>
      </c>
      <c r="E23" s="41" t="str">
        <f>'WP12 Condensed Sch. Level Costs'!D20</f>
        <v>LED 030.01-060</v>
      </c>
      <c r="F23" s="14" t="str">
        <f>'WP12 Condensed Sch. Level Costs'!I20</f>
        <v>No</v>
      </c>
      <c r="G23" s="14">
        <f>'WP12 Condensed Sch. Level Costs'!J20</f>
        <v>0.2</v>
      </c>
      <c r="H23" s="328">
        <f>'WP12 Condensed Sch. Level Costs'!Q20</f>
        <v>2.2529806535397991</v>
      </c>
      <c r="I23" s="328">
        <f>ROUND('WP12 Condensed Sch. Level Costs'!V20,2)</f>
        <v>0</v>
      </c>
    </row>
    <row r="24" spans="1:9" x14ac:dyDescent="0.2">
      <c r="A24" s="32">
        <f t="shared" si="0"/>
        <v>16</v>
      </c>
      <c r="B24" s="27" t="str">
        <f>'WP12 Condensed Sch. Level Costs'!A21</f>
        <v>51E</v>
      </c>
      <c r="C24" s="27"/>
      <c r="D24" s="327" t="str">
        <f>'WP12 Condensed Sch. Level Costs'!C21</f>
        <v>Light Emitting Diode</v>
      </c>
      <c r="E24" s="41" t="str">
        <f>'WP12 Condensed Sch. Level Costs'!D21</f>
        <v>LED 060.01-090</v>
      </c>
      <c r="F24" s="14" t="str">
        <f>'WP12 Condensed Sch. Level Costs'!I21</f>
        <v>No</v>
      </c>
      <c r="G24" s="14">
        <f>'WP12 Condensed Sch. Level Costs'!J21</f>
        <v>0.2</v>
      </c>
      <c r="H24" s="328">
        <f>'WP12 Condensed Sch. Level Costs'!Q21</f>
        <v>2.2529806535397991</v>
      </c>
      <c r="I24" s="328">
        <f>ROUND('WP12 Condensed Sch. Level Costs'!V21,2)</f>
        <v>0</v>
      </c>
    </row>
    <row r="25" spans="1:9" x14ac:dyDescent="0.2">
      <c r="A25" s="32">
        <f t="shared" si="0"/>
        <v>17</v>
      </c>
      <c r="B25" s="27" t="str">
        <f>'WP12 Condensed Sch. Level Costs'!A22</f>
        <v>51E</v>
      </c>
      <c r="C25" s="27"/>
      <c r="D25" s="327" t="str">
        <f>'WP12 Condensed Sch. Level Costs'!C22</f>
        <v>Light Emitting Diode</v>
      </c>
      <c r="E25" s="41" t="str">
        <f>'WP12 Condensed Sch. Level Costs'!D22</f>
        <v>LED 090.01-120</v>
      </c>
      <c r="F25" s="14" t="str">
        <f>'WP12 Condensed Sch. Level Costs'!I22</f>
        <v>No</v>
      </c>
      <c r="G25" s="14">
        <f>'WP12 Condensed Sch. Level Costs'!J22</f>
        <v>0.2</v>
      </c>
      <c r="H25" s="328">
        <f>'WP12 Condensed Sch. Level Costs'!Q22</f>
        <v>2.2529806535397991</v>
      </c>
      <c r="I25" s="328">
        <f>ROUND('WP12 Condensed Sch. Level Costs'!V22,2)</f>
        <v>0</v>
      </c>
    </row>
    <row r="26" spans="1:9" x14ac:dyDescent="0.2">
      <c r="A26" s="32">
        <f t="shared" si="0"/>
        <v>18</v>
      </c>
      <c r="B26" s="27" t="str">
        <f>'WP12 Condensed Sch. Level Costs'!A23</f>
        <v>51E</v>
      </c>
      <c r="C26" s="27"/>
      <c r="D26" s="327" t="str">
        <f>'WP12 Condensed Sch. Level Costs'!C23</f>
        <v>Light Emitting Diode</v>
      </c>
      <c r="E26" s="41" t="str">
        <f>'WP12 Condensed Sch. Level Costs'!D23</f>
        <v>LED 120.01-150</v>
      </c>
      <c r="F26" s="14" t="str">
        <f>'WP12 Condensed Sch. Level Costs'!I23</f>
        <v>No</v>
      </c>
      <c r="G26" s="14">
        <f>'WP12 Condensed Sch. Level Costs'!J23</f>
        <v>0.2</v>
      </c>
      <c r="H26" s="328">
        <f>'WP12 Condensed Sch. Level Costs'!Q23</f>
        <v>2.2529806535397991</v>
      </c>
      <c r="I26" s="328">
        <f>ROUND('WP12 Condensed Sch. Level Costs'!V23,2)</f>
        <v>0</v>
      </c>
    </row>
    <row r="27" spans="1:9" x14ac:dyDescent="0.2">
      <c r="A27" s="32">
        <f t="shared" si="0"/>
        <v>19</v>
      </c>
      <c r="B27" s="27" t="str">
        <f>'WP12 Condensed Sch. Level Costs'!A24</f>
        <v>51E</v>
      </c>
      <c r="C27" s="27"/>
      <c r="D27" s="327" t="str">
        <f>'WP12 Condensed Sch. Level Costs'!C24</f>
        <v>Light Emitting Diode</v>
      </c>
      <c r="E27" s="41" t="str">
        <f>'WP12 Condensed Sch. Level Costs'!D24</f>
        <v>LED 150.01-180</v>
      </c>
      <c r="F27" s="14" t="str">
        <f>'WP12 Condensed Sch. Level Costs'!I24</f>
        <v>No</v>
      </c>
      <c r="G27" s="14">
        <f>'WP12 Condensed Sch. Level Costs'!J24</f>
        <v>0.2</v>
      </c>
      <c r="H27" s="328">
        <f>'WP12 Condensed Sch. Level Costs'!Q24</f>
        <v>2.2529806535397991</v>
      </c>
      <c r="I27" s="328">
        <f>ROUND('WP12 Condensed Sch. Level Costs'!V24,2)</f>
        <v>0</v>
      </c>
    </row>
    <row r="28" spans="1:9" x14ac:dyDescent="0.2">
      <c r="A28" s="32">
        <f t="shared" si="0"/>
        <v>20</v>
      </c>
      <c r="B28" s="27" t="str">
        <f>'WP12 Condensed Sch. Level Costs'!A25</f>
        <v>51E</v>
      </c>
      <c r="C28" s="27"/>
      <c r="D28" s="327" t="str">
        <f>'WP12 Condensed Sch. Level Costs'!C25</f>
        <v>Light Emitting Diode</v>
      </c>
      <c r="E28" s="41" t="str">
        <f>'WP12 Condensed Sch. Level Costs'!D25</f>
        <v>LED 180.01-210</v>
      </c>
      <c r="F28" s="14" t="str">
        <f>'WP12 Condensed Sch. Level Costs'!I25</f>
        <v>No</v>
      </c>
      <c r="G28" s="14">
        <f>'WP12 Condensed Sch. Level Costs'!J25</f>
        <v>0.2</v>
      </c>
      <c r="H28" s="328">
        <f>'WP12 Condensed Sch. Level Costs'!Q25</f>
        <v>2.2529806535397991</v>
      </c>
      <c r="I28" s="328">
        <f>ROUND('WP12 Condensed Sch. Level Costs'!V25,2)</f>
        <v>0</v>
      </c>
    </row>
    <row r="29" spans="1:9" x14ac:dyDescent="0.2">
      <c r="A29" s="32">
        <f t="shared" si="0"/>
        <v>21</v>
      </c>
      <c r="B29" s="27" t="str">
        <f>'WP12 Condensed Sch. Level Costs'!A26</f>
        <v>51E</v>
      </c>
      <c r="C29" s="27"/>
      <c r="D29" s="327" t="str">
        <f>'WP12 Condensed Sch. Level Costs'!C26</f>
        <v>Light Emitting Diode</v>
      </c>
      <c r="E29" s="41" t="str">
        <f>'WP12 Condensed Sch. Level Costs'!D26</f>
        <v>LED 210.01-240</v>
      </c>
      <c r="F29" s="14" t="str">
        <f>'WP12 Condensed Sch. Level Costs'!I26</f>
        <v>No</v>
      </c>
      <c r="G29" s="14">
        <f>'WP12 Condensed Sch. Level Costs'!J26</f>
        <v>0.2</v>
      </c>
      <c r="H29" s="328">
        <f>'WP12 Condensed Sch. Level Costs'!Q26</f>
        <v>2.2529806535397991</v>
      </c>
      <c r="I29" s="328">
        <f>ROUND('WP12 Condensed Sch. Level Costs'!V26,2)</f>
        <v>0</v>
      </c>
    </row>
    <row r="30" spans="1:9" x14ac:dyDescent="0.2">
      <c r="A30" s="32">
        <f t="shared" si="0"/>
        <v>22</v>
      </c>
      <c r="B30" s="27" t="str">
        <f>'WP12 Condensed Sch. Level Costs'!A27</f>
        <v>51E</v>
      </c>
      <c r="C30" s="27"/>
      <c r="D30" s="327" t="str">
        <f>'WP12 Condensed Sch. Level Costs'!C27</f>
        <v>Light Emitting Diode</v>
      </c>
      <c r="E30" s="41" t="str">
        <f>'WP12 Condensed Sch. Level Costs'!D27</f>
        <v>LED 240.01-270</v>
      </c>
      <c r="F30" s="14" t="str">
        <f>'WP12 Condensed Sch. Level Costs'!I27</f>
        <v>No</v>
      </c>
      <c r="G30" s="14">
        <f>'WP12 Condensed Sch. Level Costs'!J27</f>
        <v>0.2</v>
      </c>
      <c r="H30" s="328">
        <f>'WP12 Condensed Sch. Level Costs'!Q27</f>
        <v>2.2529806535397991</v>
      </c>
      <c r="I30" s="328">
        <f>ROUND('WP12 Condensed Sch. Level Costs'!V27,2)</f>
        <v>0</v>
      </c>
    </row>
    <row r="31" spans="1:9" x14ac:dyDescent="0.2">
      <c r="A31" s="32">
        <f t="shared" si="0"/>
        <v>23</v>
      </c>
      <c r="B31" s="27" t="str">
        <f>'WP12 Condensed Sch. Level Costs'!A28</f>
        <v>51E</v>
      </c>
      <c r="C31" s="27"/>
      <c r="D31" s="327" t="str">
        <f>'WP12 Condensed Sch. Level Costs'!C28</f>
        <v>Light Emitting Diode</v>
      </c>
      <c r="E31" s="41" t="str">
        <f>'WP12 Condensed Sch. Level Costs'!D28</f>
        <v>LED 270.01-300</v>
      </c>
      <c r="F31" s="14" t="str">
        <f>'WP12 Condensed Sch. Level Costs'!I28</f>
        <v>No</v>
      </c>
      <c r="G31" s="14">
        <f>'WP12 Condensed Sch. Level Costs'!J28</f>
        <v>0.2</v>
      </c>
      <c r="H31" s="328">
        <f>'WP12 Condensed Sch. Level Costs'!Q28</f>
        <v>2.2529806535397991</v>
      </c>
      <c r="I31" s="328">
        <f>ROUND('WP12 Condensed Sch. Level Costs'!V28,2)</f>
        <v>0</v>
      </c>
    </row>
    <row r="32" spans="1:9" x14ac:dyDescent="0.2">
      <c r="A32" s="32">
        <f t="shared" si="0"/>
        <v>24</v>
      </c>
      <c r="B32" s="27"/>
      <c r="C32" s="27"/>
      <c r="D32" s="327"/>
      <c r="E32" s="41"/>
      <c r="F32" s="14"/>
      <c r="G32" s="14"/>
      <c r="H32" s="328"/>
      <c r="I32" s="328"/>
    </row>
    <row r="33" spans="1:9" x14ac:dyDescent="0.2">
      <c r="A33" s="32">
        <f t="shared" si="0"/>
        <v>25</v>
      </c>
      <c r="B33" s="27" t="str">
        <f>'WP12 Condensed Sch. Level Costs'!A30</f>
        <v>51E</v>
      </c>
      <c r="C33" s="327" t="str">
        <f>'WP12 Condensed Sch. Level Costs'!B30</f>
        <v>SMART LIGHT</v>
      </c>
      <c r="D33" s="327" t="str">
        <f>'WP12 Condensed Sch. Level Costs'!C30</f>
        <v>Light Emitting Diode</v>
      </c>
      <c r="E33" s="41" t="str">
        <f>'WP12 Condensed Sch. Level Costs'!D30</f>
        <v>LED 0-030</v>
      </c>
      <c r="F33" s="14" t="str">
        <f>'WP12 Condensed Sch. Level Costs'!I30</f>
        <v>No</v>
      </c>
      <c r="G33" s="14">
        <f>'WP12 Condensed Sch. Level Costs'!J30</f>
        <v>0.2</v>
      </c>
      <c r="H33" s="328">
        <f>'WP12 Condensed Sch. Level Costs'!Q30</f>
        <v>2.2529806535397991</v>
      </c>
      <c r="I33" s="339">
        <f>ROUND('WP12 Condensed Sch. Level Costs'!AC30,6)</f>
        <v>0</v>
      </c>
    </row>
    <row r="34" spans="1:9" x14ac:dyDescent="0.2">
      <c r="A34" s="32">
        <f t="shared" si="0"/>
        <v>26</v>
      </c>
      <c r="B34" s="27" t="str">
        <f>'WP12 Condensed Sch. Level Costs'!A31</f>
        <v>51E</v>
      </c>
      <c r="C34" s="327" t="str">
        <f>'WP12 Condensed Sch. Level Costs'!B31</f>
        <v>SMART LIGHT</v>
      </c>
      <c r="D34" s="327" t="str">
        <f>'WP12 Condensed Sch. Level Costs'!C31</f>
        <v>Light Emitting Diode</v>
      </c>
      <c r="E34" s="41" t="str">
        <f>'WP12 Condensed Sch. Level Costs'!D31</f>
        <v>LED 030.01-060</v>
      </c>
      <c r="F34" s="14" t="str">
        <f>'WP12 Condensed Sch. Level Costs'!I31</f>
        <v>No</v>
      </c>
      <c r="G34" s="14">
        <f>'WP12 Condensed Sch. Level Costs'!J31</f>
        <v>0.2</v>
      </c>
      <c r="H34" s="328">
        <f>'WP12 Condensed Sch. Level Costs'!Q31</f>
        <v>2.2529806535397991</v>
      </c>
      <c r="I34" s="339">
        <f>ROUND('WP12 Condensed Sch. Level Costs'!AC31,6)</f>
        <v>0</v>
      </c>
    </row>
    <row r="35" spans="1:9" x14ac:dyDescent="0.2">
      <c r="A35" s="32">
        <f t="shared" si="0"/>
        <v>27</v>
      </c>
      <c r="B35" s="27" t="str">
        <f>'WP12 Condensed Sch. Level Costs'!A32</f>
        <v>51E</v>
      </c>
      <c r="C35" s="327" t="str">
        <f>'WP12 Condensed Sch. Level Costs'!B32</f>
        <v>SMART LIGHT</v>
      </c>
      <c r="D35" s="327" t="str">
        <f>'WP12 Condensed Sch. Level Costs'!C32</f>
        <v>Light Emitting Diode</v>
      </c>
      <c r="E35" s="41" t="str">
        <f>'WP12 Condensed Sch. Level Costs'!D32</f>
        <v>LED 060.01-090</v>
      </c>
      <c r="F35" s="14" t="str">
        <f>'WP12 Condensed Sch. Level Costs'!I32</f>
        <v>No</v>
      </c>
      <c r="G35" s="14">
        <f>'WP12 Condensed Sch. Level Costs'!J32</f>
        <v>0.2</v>
      </c>
      <c r="H35" s="328">
        <f>'WP12 Condensed Sch. Level Costs'!Q32</f>
        <v>2.2529806535397991</v>
      </c>
      <c r="I35" s="339">
        <f>ROUND('WP12 Condensed Sch. Level Costs'!AC32,6)</f>
        <v>0</v>
      </c>
    </row>
    <row r="36" spans="1:9" x14ac:dyDescent="0.2">
      <c r="A36" s="32">
        <f t="shared" si="0"/>
        <v>28</v>
      </c>
      <c r="B36" s="27" t="str">
        <f>'WP12 Condensed Sch. Level Costs'!A33</f>
        <v>51E</v>
      </c>
      <c r="C36" s="327" t="str">
        <f>'WP12 Condensed Sch. Level Costs'!B33</f>
        <v>SMART LIGHT</v>
      </c>
      <c r="D36" s="327" t="str">
        <f>'WP12 Condensed Sch. Level Costs'!C33</f>
        <v>Light Emitting Diode</v>
      </c>
      <c r="E36" s="41" t="str">
        <f>'WP12 Condensed Sch. Level Costs'!D33</f>
        <v>LED 090.01-120</v>
      </c>
      <c r="F36" s="14" t="str">
        <f>'WP12 Condensed Sch. Level Costs'!I33</f>
        <v>No</v>
      </c>
      <c r="G36" s="14">
        <f>'WP12 Condensed Sch. Level Costs'!J33</f>
        <v>0.2</v>
      </c>
      <c r="H36" s="328">
        <f>'WP12 Condensed Sch. Level Costs'!Q33</f>
        <v>2.2529806535397991</v>
      </c>
      <c r="I36" s="339">
        <f>ROUND('WP12 Condensed Sch. Level Costs'!AC33,6)</f>
        <v>0</v>
      </c>
    </row>
    <row r="37" spans="1:9" x14ac:dyDescent="0.2">
      <c r="A37" s="32">
        <f t="shared" si="0"/>
        <v>29</v>
      </c>
      <c r="B37" s="27" t="str">
        <f>'WP12 Condensed Sch. Level Costs'!A34</f>
        <v>51E</v>
      </c>
      <c r="C37" s="327" t="str">
        <f>'WP12 Condensed Sch. Level Costs'!B34</f>
        <v>SMART LIGHT</v>
      </c>
      <c r="D37" s="327" t="str">
        <f>'WP12 Condensed Sch. Level Costs'!C34</f>
        <v>Light Emitting Diode</v>
      </c>
      <c r="E37" s="41" t="str">
        <f>'WP12 Condensed Sch. Level Costs'!D34</f>
        <v>LED 120.01-150</v>
      </c>
      <c r="F37" s="14" t="str">
        <f>'WP12 Condensed Sch. Level Costs'!I34</f>
        <v>No</v>
      </c>
      <c r="G37" s="14">
        <f>'WP12 Condensed Sch. Level Costs'!J34</f>
        <v>0.2</v>
      </c>
      <c r="H37" s="328">
        <f>'WP12 Condensed Sch. Level Costs'!Q34</f>
        <v>2.2529806535397991</v>
      </c>
      <c r="I37" s="339">
        <f>ROUND('WP12 Condensed Sch. Level Costs'!AC34,6)</f>
        <v>0</v>
      </c>
    </row>
    <row r="38" spans="1:9" x14ac:dyDescent="0.2">
      <c r="A38" s="32">
        <f t="shared" si="0"/>
        <v>30</v>
      </c>
      <c r="B38" s="27" t="str">
        <f>'WP12 Condensed Sch. Level Costs'!A35</f>
        <v>51E</v>
      </c>
      <c r="C38" s="327" t="str">
        <f>'WP12 Condensed Sch. Level Costs'!B35</f>
        <v>SMART LIGHT</v>
      </c>
      <c r="D38" s="327" t="str">
        <f>'WP12 Condensed Sch. Level Costs'!C35</f>
        <v>Light Emitting Diode</v>
      </c>
      <c r="E38" s="41" t="str">
        <f>'WP12 Condensed Sch. Level Costs'!D35</f>
        <v>LED 150.01-180</v>
      </c>
      <c r="F38" s="14" t="str">
        <f>'WP12 Condensed Sch. Level Costs'!I35</f>
        <v>No</v>
      </c>
      <c r="G38" s="14">
        <f>'WP12 Condensed Sch. Level Costs'!J35</f>
        <v>0.2</v>
      </c>
      <c r="H38" s="328">
        <f>'WP12 Condensed Sch. Level Costs'!Q35</f>
        <v>2.2529806535397991</v>
      </c>
      <c r="I38" s="339">
        <f>ROUND('WP12 Condensed Sch. Level Costs'!AC35,6)</f>
        <v>0</v>
      </c>
    </row>
    <row r="39" spans="1:9" x14ac:dyDescent="0.2">
      <c r="A39" s="32">
        <f t="shared" si="0"/>
        <v>31</v>
      </c>
      <c r="B39" s="27" t="str">
        <f>'WP12 Condensed Sch. Level Costs'!A36</f>
        <v>51E</v>
      </c>
      <c r="C39" s="327" t="str">
        <f>'WP12 Condensed Sch. Level Costs'!B36</f>
        <v>SMART LIGHT</v>
      </c>
      <c r="D39" s="327" t="str">
        <f>'WP12 Condensed Sch. Level Costs'!C36</f>
        <v>Light Emitting Diode</v>
      </c>
      <c r="E39" s="41" t="str">
        <f>'WP12 Condensed Sch. Level Costs'!D36</f>
        <v>LED 180.01-210</v>
      </c>
      <c r="F39" s="14" t="str">
        <f>'WP12 Condensed Sch. Level Costs'!I36</f>
        <v>No</v>
      </c>
      <c r="G39" s="14">
        <f>'WP12 Condensed Sch. Level Costs'!J36</f>
        <v>0.2</v>
      </c>
      <c r="H39" s="328">
        <f>'WP12 Condensed Sch. Level Costs'!Q36</f>
        <v>2.2529806535397991</v>
      </c>
      <c r="I39" s="339">
        <f>ROUND('WP12 Condensed Sch. Level Costs'!AC36,6)</f>
        <v>0</v>
      </c>
    </row>
    <row r="40" spans="1:9" x14ac:dyDescent="0.2">
      <c r="A40" s="32">
        <f t="shared" si="0"/>
        <v>32</v>
      </c>
      <c r="B40" s="27" t="str">
        <f>'WP12 Condensed Sch. Level Costs'!A37</f>
        <v>51E</v>
      </c>
      <c r="C40" s="327" t="str">
        <f>'WP12 Condensed Sch. Level Costs'!B37</f>
        <v>SMART LIGHT</v>
      </c>
      <c r="D40" s="327" t="str">
        <f>'WP12 Condensed Sch. Level Costs'!C37</f>
        <v>Light Emitting Diode</v>
      </c>
      <c r="E40" s="41" t="str">
        <f>'WP12 Condensed Sch. Level Costs'!D37</f>
        <v>LED 210.01-240</v>
      </c>
      <c r="F40" s="14" t="str">
        <f>'WP12 Condensed Sch. Level Costs'!I37</f>
        <v>No</v>
      </c>
      <c r="G40" s="14">
        <f>'WP12 Condensed Sch. Level Costs'!J37</f>
        <v>0.2</v>
      </c>
      <c r="H40" s="328">
        <f>'WP12 Condensed Sch. Level Costs'!Q37</f>
        <v>2.2529806535397991</v>
      </c>
      <c r="I40" s="339">
        <f>ROUND('WP12 Condensed Sch. Level Costs'!AC37,6)</f>
        <v>0</v>
      </c>
    </row>
    <row r="41" spans="1:9" x14ac:dyDescent="0.2">
      <c r="A41" s="32">
        <f t="shared" si="0"/>
        <v>33</v>
      </c>
      <c r="B41" s="27" t="str">
        <f>'WP12 Condensed Sch. Level Costs'!A38</f>
        <v>51E</v>
      </c>
      <c r="C41" s="327" t="str">
        <f>'WP12 Condensed Sch. Level Costs'!B38</f>
        <v>SMART LIGHT</v>
      </c>
      <c r="D41" s="327" t="str">
        <f>'WP12 Condensed Sch. Level Costs'!C38</f>
        <v>Light Emitting Diode</v>
      </c>
      <c r="E41" s="41" t="str">
        <f>'WP12 Condensed Sch. Level Costs'!D38</f>
        <v>LED 240.01-270</v>
      </c>
      <c r="F41" s="14" t="str">
        <f>'WP12 Condensed Sch. Level Costs'!I38</f>
        <v>No</v>
      </c>
      <c r="G41" s="14">
        <f>'WP12 Condensed Sch. Level Costs'!J38</f>
        <v>0.2</v>
      </c>
      <c r="H41" s="328">
        <f>'WP12 Condensed Sch. Level Costs'!Q38</f>
        <v>2.2529806535397991</v>
      </c>
      <c r="I41" s="339">
        <f>ROUND('WP12 Condensed Sch. Level Costs'!AC38,6)</f>
        <v>0</v>
      </c>
    </row>
    <row r="42" spans="1:9" x14ac:dyDescent="0.2">
      <c r="A42" s="32">
        <f t="shared" si="0"/>
        <v>34</v>
      </c>
      <c r="B42" s="27" t="str">
        <f>'WP12 Condensed Sch. Level Costs'!A39</f>
        <v>51E</v>
      </c>
      <c r="C42" s="327" t="str">
        <f>'WP12 Condensed Sch. Level Costs'!B39</f>
        <v>SMART LIGHT</v>
      </c>
      <c r="D42" s="327" t="str">
        <f>'WP12 Condensed Sch. Level Costs'!C39</f>
        <v>Light Emitting Diode</v>
      </c>
      <c r="E42" s="41" t="str">
        <f>'WP12 Condensed Sch. Level Costs'!D39</f>
        <v>LED 270.01-300</v>
      </c>
      <c r="F42" s="14" t="str">
        <f>'WP12 Condensed Sch. Level Costs'!I39</f>
        <v>No</v>
      </c>
      <c r="G42" s="14">
        <f>'WP12 Condensed Sch. Level Costs'!J39</f>
        <v>0.2</v>
      </c>
      <c r="H42" s="328">
        <f>'WP12 Condensed Sch. Level Costs'!Q39</f>
        <v>2.2529806535397991</v>
      </c>
      <c r="I42" s="339">
        <f>ROUND('WP12 Condensed Sch. Level Costs'!AC39,6)</f>
        <v>0</v>
      </c>
    </row>
    <row r="43" spans="1:9" x14ac:dyDescent="0.2">
      <c r="A43" s="32">
        <f t="shared" si="0"/>
        <v>35</v>
      </c>
      <c r="B43" s="27"/>
      <c r="C43" s="27"/>
      <c r="D43" s="327"/>
      <c r="E43" s="41"/>
      <c r="F43" s="14"/>
      <c r="G43" s="14"/>
      <c r="H43" s="328"/>
      <c r="I43" s="328"/>
    </row>
    <row r="44" spans="1:9" x14ac:dyDescent="0.2">
      <c r="A44" s="32">
        <f t="shared" si="0"/>
        <v>36</v>
      </c>
      <c r="B44" s="27" t="str">
        <f>'WP12 Condensed Sch. Level Costs'!A40</f>
        <v>Sch 52E</v>
      </c>
      <c r="C44" s="27"/>
      <c r="D44" s="327"/>
      <c r="E44" s="41"/>
      <c r="F44" s="14"/>
      <c r="G44" s="14"/>
      <c r="H44" s="328"/>
      <c r="I44" s="328"/>
    </row>
    <row r="45" spans="1:9" x14ac:dyDescent="0.2">
      <c r="A45" s="32">
        <f t="shared" si="0"/>
        <v>37</v>
      </c>
      <c r="B45" s="27" t="str">
        <f>'WP12 Condensed Sch. Level Costs'!A41</f>
        <v xml:space="preserve">52E </v>
      </c>
      <c r="C45" s="27"/>
      <c r="D45" s="327" t="str">
        <f>'WP12 Condensed Sch. Level Costs'!C41</f>
        <v>Sodium Vapor</v>
      </c>
      <c r="E45" s="41" t="str">
        <f>'WP12 Condensed Sch. Level Costs'!D41</f>
        <v>SV 50</v>
      </c>
      <c r="F45" s="14" t="str">
        <f>'WP12 Condensed Sch. Level Costs'!I41</f>
        <v>No</v>
      </c>
      <c r="G45" s="14">
        <f>'WP12 Condensed Sch. Level Costs'!J41</f>
        <v>1</v>
      </c>
      <c r="H45" s="328">
        <f>'WP12 Condensed Sch. Level Costs'!Q41</f>
        <v>2.2529806535397991</v>
      </c>
      <c r="I45" s="328">
        <f>ROUND('WP12 Condensed Sch. Level Costs'!V41,2)</f>
        <v>0</v>
      </c>
    </row>
    <row r="46" spans="1:9" x14ac:dyDescent="0.2">
      <c r="A46" s="32">
        <f t="shared" si="0"/>
        <v>38</v>
      </c>
      <c r="B46" s="27" t="str">
        <f>'WP12 Condensed Sch. Level Costs'!A42</f>
        <v xml:space="preserve">52E </v>
      </c>
      <c r="C46" s="27"/>
      <c r="D46" s="327" t="str">
        <f>'WP12 Condensed Sch. Level Costs'!C42</f>
        <v>Sodium Vapor</v>
      </c>
      <c r="E46" s="41" t="str">
        <f>'WP12 Condensed Sch. Level Costs'!D42</f>
        <v>SV 070</v>
      </c>
      <c r="F46" s="14" t="str">
        <f>'WP12 Condensed Sch. Level Costs'!I42</f>
        <v>No</v>
      </c>
      <c r="G46" s="14">
        <f>'WP12 Condensed Sch. Level Costs'!J42</f>
        <v>1</v>
      </c>
      <c r="H46" s="328">
        <f>'WP12 Condensed Sch. Level Costs'!Q42</f>
        <v>2.2529806535397991</v>
      </c>
      <c r="I46" s="328">
        <f>ROUND('WP12 Condensed Sch. Level Costs'!V42,2)</f>
        <v>0</v>
      </c>
    </row>
    <row r="47" spans="1:9" x14ac:dyDescent="0.2">
      <c r="A47" s="32">
        <f t="shared" si="0"/>
        <v>39</v>
      </c>
      <c r="B47" s="27" t="str">
        <f>'WP12 Condensed Sch. Level Costs'!A43</f>
        <v xml:space="preserve">52E </v>
      </c>
      <c r="C47" s="27"/>
      <c r="D47" s="327" t="str">
        <f>'WP12 Condensed Sch. Level Costs'!C43</f>
        <v>Sodium Vapor</v>
      </c>
      <c r="E47" s="41" t="str">
        <f>'WP12 Condensed Sch. Level Costs'!D43</f>
        <v>SV 100</v>
      </c>
      <c r="F47" s="14" t="str">
        <f>'WP12 Condensed Sch. Level Costs'!I43</f>
        <v>No</v>
      </c>
      <c r="G47" s="14">
        <f>'WP12 Condensed Sch. Level Costs'!J43</f>
        <v>1</v>
      </c>
      <c r="H47" s="328">
        <f>'WP12 Condensed Sch. Level Costs'!Q43</f>
        <v>2.2529806535397991</v>
      </c>
      <c r="I47" s="328">
        <f>ROUND('WP12 Condensed Sch. Level Costs'!V43,2)</f>
        <v>0</v>
      </c>
    </row>
    <row r="48" spans="1:9" x14ac:dyDescent="0.2">
      <c r="A48" s="32">
        <f t="shared" si="0"/>
        <v>40</v>
      </c>
      <c r="B48" s="27" t="str">
        <f>'WP12 Condensed Sch. Level Costs'!A44</f>
        <v xml:space="preserve">52E </v>
      </c>
      <c r="C48" s="27"/>
      <c r="D48" s="327" t="str">
        <f>'WP12 Condensed Sch. Level Costs'!C44</f>
        <v>Sodium Vapor</v>
      </c>
      <c r="E48" s="41" t="str">
        <f>'WP12 Condensed Sch. Level Costs'!D44</f>
        <v>SV 150</v>
      </c>
      <c r="F48" s="14" t="str">
        <f>'WP12 Condensed Sch. Level Costs'!I44</f>
        <v>No</v>
      </c>
      <c r="G48" s="14">
        <f>'WP12 Condensed Sch. Level Costs'!J44</f>
        <v>1</v>
      </c>
      <c r="H48" s="328">
        <f>'WP12 Condensed Sch. Level Costs'!Q44</f>
        <v>2.2529806535397991</v>
      </c>
      <c r="I48" s="328">
        <f>ROUND('WP12 Condensed Sch. Level Costs'!V44,2)</f>
        <v>0</v>
      </c>
    </row>
    <row r="49" spans="1:9" x14ac:dyDescent="0.2">
      <c r="A49" s="32">
        <f t="shared" si="0"/>
        <v>41</v>
      </c>
      <c r="B49" s="27" t="str">
        <f>'WP12 Condensed Sch. Level Costs'!A45</f>
        <v xml:space="preserve">52E </v>
      </c>
      <c r="C49" s="27"/>
      <c r="D49" s="327" t="str">
        <f>'WP12 Condensed Sch. Level Costs'!C45</f>
        <v>Sodium Vapor</v>
      </c>
      <c r="E49" s="41" t="str">
        <f>'WP12 Condensed Sch. Level Costs'!D45</f>
        <v>SV 200</v>
      </c>
      <c r="F49" s="14" t="str">
        <f>'WP12 Condensed Sch. Level Costs'!I45</f>
        <v>No</v>
      </c>
      <c r="G49" s="14">
        <f>'WP12 Condensed Sch. Level Costs'!J45</f>
        <v>1</v>
      </c>
      <c r="H49" s="328">
        <f>'WP12 Condensed Sch. Level Costs'!Q45</f>
        <v>2.2529806535397991</v>
      </c>
      <c r="I49" s="328">
        <f>ROUND('WP12 Condensed Sch. Level Costs'!V45,2)</f>
        <v>0</v>
      </c>
    </row>
    <row r="50" spans="1:9" x14ac:dyDescent="0.2">
      <c r="A50" s="32">
        <f t="shared" si="0"/>
        <v>42</v>
      </c>
      <c r="B50" s="27" t="str">
        <f>'WP12 Condensed Sch. Level Costs'!A46</f>
        <v xml:space="preserve">52E </v>
      </c>
      <c r="C50" s="27"/>
      <c r="D50" s="327" t="str">
        <f>'WP12 Condensed Sch. Level Costs'!C46</f>
        <v>Sodium Vapor</v>
      </c>
      <c r="E50" s="41" t="str">
        <f>'WP12 Condensed Sch. Level Costs'!D46</f>
        <v>SV 250</v>
      </c>
      <c r="F50" s="14" t="str">
        <f>'WP12 Condensed Sch. Level Costs'!I46</f>
        <v>No</v>
      </c>
      <c r="G50" s="14">
        <f>'WP12 Condensed Sch. Level Costs'!J46</f>
        <v>1</v>
      </c>
      <c r="H50" s="328">
        <f>'WP12 Condensed Sch. Level Costs'!Q46</f>
        <v>2.2529806535397991</v>
      </c>
      <c r="I50" s="328">
        <f>ROUND('WP12 Condensed Sch. Level Costs'!V46,2)</f>
        <v>0</v>
      </c>
    </row>
    <row r="51" spans="1:9" x14ac:dyDescent="0.2">
      <c r="A51" s="32">
        <f t="shared" si="0"/>
        <v>43</v>
      </c>
      <c r="B51" s="27" t="str">
        <f>'WP12 Condensed Sch. Level Costs'!A47</f>
        <v xml:space="preserve">52E </v>
      </c>
      <c r="C51" s="27"/>
      <c r="D51" s="327" t="str">
        <f>'WP12 Condensed Sch. Level Costs'!C47</f>
        <v>Sodium Vapor</v>
      </c>
      <c r="E51" s="41" t="str">
        <f>'WP12 Condensed Sch. Level Costs'!D47</f>
        <v>SV 310</v>
      </c>
      <c r="F51" s="14" t="str">
        <f>'WP12 Condensed Sch. Level Costs'!I47</f>
        <v>No</v>
      </c>
      <c r="G51" s="14">
        <f>'WP12 Condensed Sch. Level Costs'!J47</f>
        <v>1</v>
      </c>
      <c r="H51" s="328">
        <f>'WP12 Condensed Sch. Level Costs'!Q47</f>
        <v>2.2529806535397991</v>
      </c>
      <c r="I51" s="328">
        <f>ROUND('WP12 Condensed Sch. Level Costs'!V47,2)</f>
        <v>0</v>
      </c>
    </row>
    <row r="52" spans="1:9" x14ac:dyDescent="0.2">
      <c r="A52" s="32">
        <f t="shared" si="0"/>
        <v>44</v>
      </c>
      <c r="B52" s="27" t="str">
        <f>'WP12 Condensed Sch. Level Costs'!A48</f>
        <v xml:space="preserve">52E </v>
      </c>
      <c r="C52" s="27"/>
      <c r="D52" s="327" t="str">
        <f>'WP12 Condensed Sch. Level Costs'!C48</f>
        <v>Sodium Vapor</v>
      </c>
      <c r="E52" s="41" t="str">
        <f>'WP12 Condensed Sch. Level Costs'!D48</f>
        <v>SV 400</v>
      </c>
      <c r="F52" s="14" t="str">
        <f>'WP12 Condensed Sch. Level Costs'!I48</f>
        <v>No</v>
      </c>
      <c r="G52" s="14">
        <f>'WP12 Condensed Sch. Level Costs'!J48</f>
        <v>1</v>
      </c>
      <c r="H52" s="328">
        <f>'WP12 Condensed Sch. Level Costs'!Q48</f>
        <v>2.2529806535397991</v>
      </c>
      <c r="I52" s="328">
        <f>ROUND('WP12 Condensed Sch. Level Costs'!V48,2)</f>
        <v>0</v>
      </c>
    </row>
    <row r="53" spans="1:9" x14ac:dyDescent="0.2">
      <c r="A53" s="32">
        <f t="shared" si="0"/>
        <v>45</v>
      </c>
      <c r="B53" s="27"/>
      <c r="C53" s="27"/>
      <c r="D53" s="327"/>
      <c r="E53" s="41"/>
      <c r="F53" s="14"/>
      <c r="G53" s="14"/>
      <c r="H53" s="328"/>
      <c r="I53" s="328"/>
    </row>
    <row r="54" spans="1:9" x14ac:dyDescent="0.2">
      <c r="A54" s="32">
        <f t="shared" si="0"/>
        <v>46</v>
      </c>
      <c r="B54" s="27" t="str">
        <f>'WP12 Condensed Sch. Level Costs'!A50</f>
        <v xml:space="preserve">52E </v>
      </c>
      <c r="C54" s="27"/>
      <c r="D54" s="327" t="str">
        <f>'WP12 Condensed Sch. Level Costs'!C50</f>
        <v>Metal Halide</v>
      </c>
      <c r="E54" s="41" t="str">
        <f>'WP12 Condensed Sch. Level Costs'!D50</f>
        <v>MH 070</v>
      </c>
      <c r="F54" s="14" t="str">
        <f>'WP12 Condensed Sch. Level Costs'!I50</f>
        <v>No</v>
      </c>
      <c r="G54" s="14">
        <f>'WP12 Condensed Sch. Level Costs'!J50</f>
        <v>2</v>
      </c>
      <c r="H54" s="328">
        <f>'WP12 Condensed Sch. Level Costs'!Q50</f>
        <v>2.2529806535397991</v>
      </c>
      <c r="I54" s="328">
        <f>ROUND('WP12 Condensed Sch. Level Costs'!V50,2)</f>
        <v>0</v>
      </c>
    </row>
    <row r="55" spans="1:9" x14ac:dyDescent="0.2">
      <c r="A55" s="32">
        <f t="shared" si="0"/>
        <v>47</v>
      </c>
      <c r="B55" s="27" t="str">
        <f>'WP12 Condensed Sch. Level Costs'!A51</f>
        <v xml:space="preserve">52E </v>
      </c>
      <c r="C55" s="27"/>
      <c r="D55" s="327" t="str">
        <f>'WP12 Condensed Sch. Level Costs'!C51</f>
        <v>Metal Halide</v>
      </c>
      <c r="E55" s="41" t="str">
        <f>'WP12 Condensed Sch. Level Costs'!D51</f>
        <v>MH 100</v>
      </c>
      <c r="F55" s="14" t="str">
        <f>'WP12 Condensed Sch. Level Costs'!I51</f>
        <v>No</v>
      </c>
      <c r="G55" s="14">
        <f>'WP12 Condensed Sch. Level Costs'!J51</f>
        <v>2</v>
      </c>
      <c r="H55" s="328">
        <f>'WP12 Condensed Sch. Level Costs'!Q51</f>
        <v>2.2529806535397991</v>
      </c>
      <c r="I55" s="328">
        <f>ROUND('WP12 Condensed Sch. Level Costs'!V51,2)</f>
        <v>0</v>
      </c>
    </row>
    <row r="56" spans="1:9" x14ac:dyDescent="0.2">
      <c r="A56" s="32">
        <f t="shared" si="0"/>
        <v>48</v>
      </c>
      <c r="B56" s="27" t="str">
        <f>'WP12 Condensed Sch. Level Costs'!A52</f>
        <v xml:space="preserve">52E </v>
      </c>
      <c r="C56" s="27"/>
      <c r="D56" s="327" t="str">
        <f>'WP12 Condensed Sch. Level Costs'!C52</f>
        <v>Metal Halide</v>
      </c>
      <c r="E56" s="41" t="str">
        <f>'WP12 Condensed Sch. Level Costs'!D52</f>
        <v>MH 150</v>
      </c>
      <c r="F56" s="14" t="str">
        <f>'WP12 Condensed Sch. Level Costs'!I52</f>
        <v>No</v>
      </c>
      <c r="G56" s="14">
        <f>'WP12 Condensed Sch. Level Costs'!J52</f>
        <v>2</v>
      </c>
      <c r="H56" s="328">
        <f>'WP12 Condensed Sch. Level Costs'!Q52</f>
        <v>2.2529806535397991</v>
      </c>
      <c r="I56" s="328">
        <f>ROUND('WP12 Condensed Sch. Level Costs'!V52,2)</f>
        <v>0</v>
      </c>
    </row>
    <row r="57" spans="1:9" x14ac:dyDescent="0.2">
      <c r="A57" s="32">
        <f t="shared" si="0"/>
        <v>49</v>
      </c>
      <c r="B57" s="27" t="str">
        <f>'WP12 Condensed Sch. Level Costs'!A53</f>
        <v xml:space="preserve">52E </v>
      </c>
      <c r="C57" s="27"/>
      <c r="D57" s="327" t="str">
        <f>'WP12 Condensed Sch. Level Costs'!C53</f>
        <v>Metal Halide</v>
      </c>
      <c r="E57" s="41" t="str">
        <f>'WP12 Condensed Sch. Level Costs'!D53</f>
        <v>MH 175</v>
      </c>
      <c r="F57" s="14" t="str">
        <f>'WP12 Condensed Sch. Level Costs'!I53</f>
        <v>No</v>
      </c>
      <c r="G57" s="14">
        <f>'WP12 Condensed Sch. Level Costs'!J53</f>
        <v>2</v>
      </c>
      <c r="H57" s="328">
        <f>'WP12 Condensed Sch. Level Costs'!Q53</f>
        <v>2.2529806535397991</v>
      </c>
      <c r="I57" s="328">
        <f>ROUND('WP12 Condensed Sch. Level Costs'!V53,2)</f>
        <v>0</v>
      </c>
    </row>
    <row r="58" spans="1:9" x14ac:dyDescent="0.2">
      <c r="A58" s="32">
        <f t="shared" si="0"/>
        <v>50</v>
      </c>
      <c r="B58" s="27" t="str">
        <f>'WP12 Condensed Sch. Level Costs'!A54</f>
        <v xml:space="preserve">52E </v>
      </c>
      <c r="C58" s="27"/>
      <c r="D58" s="327" t="str">
        <f>'WP12 Condensed Sch. Level Costs'!C54</f>
        <v>Metal Halide</v>
      </c>
      <c r="E58" s="41" t="str">
        <f>'WP12 Condensed Sch. Level Costs'!D54</f>
        <v>MH 250</v>
      </c>
      <c r="F58" s="14" t="str">
        <f>'WP12 Condensed Sch. Level Costs'!I54</f>
        <v>No</v>
      </c>
      <c r="G58" s="14">
        <f>'WP12 Condensed Sch. Level Costs'!J54</f>
        <v>2</v>
      </c>
      <c r="H58" s="328">
        <f>'WP12 Condensed Sch. Level Costs'!Q54</f>
        <v>2.2529806535397991</v>
      </c>
      <c r="I58" s="328">
        <f>ROUND('WP12 Condensed Sch. Level Costs'!V54,2)</f>
        <v>0</v>
      </c>
    </row>
    <row r="59" spans="1:9" x14ac:dyDescent="0.2">
      <c r="A59" s="32">
        <f t="shared" si="0"/>
        <v>51</v>
      </c>
      <c r="B59" s="27" t="str">
        <f>'WP12 Condensed Sch. Level Costs'!A55</f>
        <v xml:space="preserve">52E </v>
      </c>
      <c r="C59" s="27"/>
      <c r="D59" s="327" t="str">
        <f>'WP12 Condensed Sch. Level Costs'!C55</f>
        <v>Metal Halide</v>
      </c>
      <c r="E59" s="41" t="str">
        <f>'WP12 Condensed Sch. Level Costs'!D55</f>
        <v>MH 400</v>
      </c>
      <c r="F59" s="14" t="str">
        <f>'WP12 Condensed Sch. Level Costs'!I55</f>
        <v>No</v>
      </c>
      <c r="G59" s="14">
        <f>'WP12 Condensed Sch. Level Costs'!J55</f>
        <v>2</v>
      </c>
      <c r="H59" s="328">
        <f>'WP12 Condensed Sch. Level Costs'!Q55</f>
        <v>2.2529806535397991</v>
      </c>
      <c r="I59" s="328">
        <f>ROUND('WP12 Condensed Sch. Level Costs'!V55,2)</f>
        <v>0</v>
      </c>
    </row>
    <row r="60" spans="1:9" x14ac:dyDescent="0.2">
      <c r="A60" s="32">
        <f t="shared" si="0"/>
        <v>52</v>
      </c>
      <c r="B60" s="27" t="str">
        <f>'WP12 Condensed Sch. Level Costs'!A56</f>
        <v xml:space="preserve">52E </v>
      </c>
      <c r="C60" s="27"/>
      <c r="D60" s="327" t="str">
        <f>'WP12 Condensed Sch. Level Costs'!C56</f>
        <v>Metal Halide</v>
      </c>
      <c r="E60" s="41" t="str">
        <f>'WP12 Condensed Sch. Level Costs'!D56</f>
        <v>MH 1000</v>
      </c>
      <c r="F60" s="14" t="str">
        <f>'WP12 Condensed Sch. Level Costs'!I56</f>
        <v>No</v>
      </c>
      <c r="G60" s="14">
        <f>'WP12 Condensed Sch. Level Costs'!J56</f>
        <v>2</v>
      </c>
      <c r="H60" s="328">
        <f>'WP12 Condensed Sch. Level Costs'!Q56</f>
        <v>2.2529806535397991</v>
      </c>
      <c r="I60" s="328">
        <f>ROUND('WP12 Condensed Sch. Level Costs'!V56,2)</f>
        <v>0</v>
      </c>
    </row>
    <row r="61" spans="1:9" x14ac:dyDescent="0.2">
      <c r="A61" s="32">
        <f t="shared" si="0"/>
        <v>53</v>
      </c>
      <c r="B61" s="27"/>
      <c r="C61" s="27"/>
      <c r="D61" s="327"/>
      <c r="E61" s="41"/>
      <c r="F61" s="14"/>
      <c r="G61" s="14"/>
      <c r="H61" s="328"/>
      <c r="I61" s="328"/>
    </row>
    <row r="62" spans="1:9" x14ac:dyDescent="0.2">
      <c r="A62" s="32">
        <f t="shared" si="0"/>
        <v>54</v>
      </c>
      <c r="B62" s="27" t="str">
        <f>'WP12 Condensed Sch. Level Costs'!A57</f>
        <v>Sch 53E</v>
      </c>
      <c r="C62" s="27"/>
      <c r="D62" s="327"/>
      <c r="E62" s="41"/>
      <c r="F62" s="14"/>
      <c r="G62" s="14"/>
      <c r="H62" s="328"/>
      <c r="I62" s="328"/>
    </row>
    <row r="63" spans="1:9" x14ac:dyDescent="0.2">
      <c r="A63" s="32">
        <f>A62+1</f>
        <v>55</v>
      </c>
      <c r="B63" s="27" t="str">
        <f>'WP12 Condensed Sch. Level Costs'!A58</f>
        <v>53E - Company Owned</v>
      </c>
      <c r="C63" s="27"/>
      <c r="D63" s="327" t="str">
        <f>'WP12 Condensed Sch. Level Costs'!C58</f>
        <v>Sodium Vapor</v>
      </c>
      <c r="E63" s="41" t="str">
        <f>'WP12 Condensed Sch. Level Costs'!D58</f>
        <v>SV 050</v>
      </c>
      <c r="F63" s="14" t="str">
        <f>'WP12 Condensed Sch. Level Costs'!I58</f>
        <v>Yes</v>
      </c>
      <c r="G63" s="14">
        <f>'WP12 Condensed Sch. Level Costs'!J58</f>
        <v>1</v>
      </c>
      <c r="H63" s="328">
        <f>'WP12 Condensed Sch. Level Costs'!Q58</f>
        <v>2.2529806535397991</v>
      </c>
      <c r="I63" s="328">
        <f>ROUND('WP12 Condensed Sch. Level Costs'!V58,2)</f>
        <v>2.25</v>
      </c>
    </row>
    <row r="64" spans="1:9" x14ac:dyDescent="0.2">
      <c r="A64" s="32">
        <f t="shared" si="0"/>
        <v>56</v>
      </c>
      <c r="B64" s="27" t="str">
        <f>'WP12 Condensed Sch. Level Costs'!A59</f>
        <v>53E - Company Owned</v>
      </c>
      <c r="C64" s="27"/>
      <c r="D64" s="327" t="str">
        <f>'WP12 Condensed Sch. Level Costs'!C59</f>
        <v>Sodium Vapor</v>
      </c>
      <c r="E64" s="41" t="str">
        <f>'WP12 Condensed Sch. Level Costs'!D59</f>
        <v>SV 070</v>
      </c>
      <c r="F64" s="14" t="str">
        <f>'WP12 Condensed Sch. Level Costs'!I59</f>
        <v>Yes</v>
      </c>
      <c r="G64" s="14">
        <f>'WP12 Condensed Sch. Level Costs'!J59</f>
        <v>1</v>
      </c>
      <c r="H64" s="328">
        <f>'WP12 Condensed Sch. Level Costs'!Q59</f>
        <v>2.2529806535397991</v>
      </c>
      <c r="I64" s="328">
        <f>ROUND('WP12 Condensed Sch. Level Costs'!V59,2)</f>
        <v>2.25</v>
      </c>
    </row>
    <row r="65" spans="1:9" x14ac:dyDescent="0.2">
      <c r="A65" s="32">
        <f t="shared" si="0"/>
        <v>57</v>
      </c>
      <c r="B65" s="27" t="str">
        <f>'WP12 Condensed Sch. Level Costs'!A60</f>
        <v>53E - Company Owned</v>
      </c>
      <c r="C65" s="27"/>
      <c r="D65" s="327" t="str">
        <f>'WP12 Condensed Sch. Level Costs'!C60</f>
        <v>Sodium Vapor</v>
      </c>
      <c r="E65" s="41" t="str">
        <f>'WP12 Condensed Sch. Level Costs'!D60</f>
        <v>SV 100</v>
      </c>
      <c r="F65" s="14" t="str">
        <f>'WP12 Condensed Sch. Level Costs'!I60</f>
        <v>Yes</v>
      </c>
      <c r="G65" s="14">
        <f>'WP12 Condensed Sch. Level Costs'!J60</f>
        <v>1</v>
      </c>
      <c r="H65" s="328">
        <f>'WP12 Condensed Sch. Level Costs'!Q60</f>
        <v>2.2529806535397991</v>
      </c>
      <c r="I65" s="328">
        <f>ROUND('WP12 Condensed Sch. Level Costs'!V60,2)</f>
        <v>2.25</v>
      </c>
    </row>
    <row r="66" spans="1:9" x14ac:dyDescent="0.2">
      <c r="A66" s="32">
        <f t="shared" si="0"/>
        <v>58</v>
      </c>
      <c r="B66" s="27" t="str">
        <f>'WP12 Condensed Sch. Level Costs'!A61</f>
        <v>53E - Company Owned</v>
      </c>
      <c r="C66" s="27"/>
      <c r="D66" s="327" t="str">
        <f>'WP12 Condensed Sch. Level Costs'!C61</f>
        <v>Sodium Vapor</v>
      </c>
      <c r="E66" s="41" t="str">
        <f>'WP12 Condensed Sch. Level Costs'!D61</f>
        <v>SV 150</v>
      </c>
      <c r="F66" s="14" t="str">
        <f>'WP12 Condensed Sch. Level Costs'!I61</f>
        <v>Yes</v>
      </c>
      <c r="G66" s="14">
        <f>'WP12 Condensed Sch. Level Costs'!J61</f>
        <v>1</v>
      </c>
      <c r="H66" s="328">
        <f>'WP12 Condensed Sch. Level Costs'!Q61</f>
        <v>2.2529806535397991</v>
      </c>
      <c r="I66" s="328">
        <f>ROUND('WP12 Condensed Sch. Level Costs'!V61,2)</f>
        <v>2.25</v>
      </c>
    </row>
    <row r="67" spans="1:9" x14ac:dyDescent="0.2">
      <c r="A67" s="32">
        <f t="shared" si="0"/>
        <v>59</v>
      </c>
      <c r="B67" s="27" t="str">
        <f>'WP12 Condensed Sch. Level Costs'!A62</f>
        <v>53E - Company Owned</v>
      </c>
      <c r="C67" s="27"/>
      <c r="D67" s="327" t="str">
        <f>'WP12 Condensed Sch. Level Costs'!C62</f>
        <v>Sodium Vapor</v>
      </c>
      <c r="E67" s="41" t="str">
        <f>'WP12 Condensed Sch. Level Costs'!D62</f>
        <v>SV 200</v>
      </c>
      <c r="F67" s="14" t="str">
        <f>'WP12 Condensed Sch. Level Costs'!I62</f>
        <v>Yes</v>
      </c>
      <c r="G67" s="14">
        <f>'WP12 Condensed Sch. Level Costs'!J62</f>
        <v>1</v>
      </c>
      <c r="H67" s="328">
        <f>'WP12 Condensed Sch. Level Costs'!Q62</f>
        <v>2.2529806535397991</v>
      </c>
      <c r="I67" s="328">
        <f>ROUND('WP12 Condensed Sch. Level Costs'!V62,2)</f>
        <v>2.25</v>
      </c>
    </row>
    <row r="68" spans="1:9" x14ac:dyDescent="0.2">
      <c r="A68" s="32">
        <f t="shared" si="0"/>
        <v>60</v>
      </c>
      <c r="B68" s="27" t="str">
        <f>'WP12 Condensed Sch. Level Costs'!A63</f>
        <v>53E - Company Owned</v>
      </c>
      <c r="C68" s="27"/>
      <c r="D68" s="327" t="str">
        <f>'WP12 Condensed Sch. Level Costs'!C63</f>
        <v>Sodium Vapor</v>
      </c>
      <c r="E68" s="41" t="str">
        <f>'WP12 Condensed Sch. Level Costs'!D63</f>
        <v>SV 250</v>
      </c>
      <c r="F68" s="14" t="str">
        <f>'WP12 Condensed Sch. Level Costs'!I63</f>
        <v>Yes</v>
      </c>
      <c r="G68" s="14">
        <f>'WP12 Condensed Sch. Level Costs'!J63</f>
        <v>1</v>
      </c>
      <c r="H68" s="328">
        <f>'WP12 Condensed Sch. Level Costs'!Q63</f>
        <v>2.2529806535397991</v>
      </c>
      <c r="I68" s="328">
        <f>ROUND('WP12 Condensed Sch. Level Costs'!V63,2)</f>
        <v>2.25</v>
      </c>
    </row>
    <row r="69" spans="1:9" x14ac:dyDescent="0.2">
      <c r="A69" s="32">
        <f t="shared" si="0"/>
        <v>61</v>
      </c>
      <c r="B69" s="27" t="str">
        <f>'WP12 Condensed Sch. Level Costs'!A64</f>
        <v>53E - Company Owned</v>
      </c>
      <c r="C69" s="27"/>
      <c r="D69" s="327" t="str">
        <f>'WP12 Condensed Sch. Level Costs'!C64</f>
        <v>Sodium Vapor</v>
      </c>
      <c r="E69" s="41" t="str">
        <f>'WP12 Condensed Sch. Level Costs'!D64</f>
        <v>SV 310</v>
      </c>
      <c r="F69" s="14" t="str">
        <f>'WP12 Condensed Sch. Level Costs'!I64</f>
        <v>Yes</v>
      </c>
      <c r="G69" s="14">
        <f>'WP12 Condensed Sch. Level Costs'!J64</f>
        <v>1</v>
      </c>
      <c r="H69" s="328">
        <f>'WP12 Condensed Sch. Level Costs'!Q64</f>
        <v>2.2529806535397991</v>
      </c>
      <c r="I69" s="328">
        <f>ROUND('WP12 Condensed Sch. Level Costs'!V64,2)</f>
        <v>2.25</v>
      </c>
    </row>
    <row r="70" spans="1:9" x14ac:dyDescent="0.2">
      <c r="A70" s="32">
        <f t="shared" si="0"/>
        <v>62</v>
      </c>
      <c r="B70" s="27" t="str">
        <f>'WP12 Condensed Sch. Level Costs'!A65</f>
        <v>53E - Company Owned</v>
      </c>
      <c r="C70" s="27"/>
      <c r="D70" s="327" t="str">
        <f>'WP12 Condensed Sch. Level Costs'!C65</f>
        <v>Sodium Vapor</v>
      </c>
      <c r="E70" s="41" t="str">
        <f>'WP12 Condensed Sch. Level Costs'!D65</f>
        <v>SV 400</v>
      </c>
      <c r="F70" s="14" t="str">
        <f>'WP12 Condensed Sch. Level Costs'!I65</f>
        <v>Yes</v>
      </c>
      <c r="G70" s="14">
        <f>'WP12 Condensed Sch. Level Costs'!J65</f>
        <v>1</v>
      </c>
      <c r="H70" s="328">
        <f>'WP12 Condensed Sch. Level Costs'!Q65</f>
        <v>2.2529806535397991</v>
      </c>
      <c r="I70" s="328">
        <f>ROUND('WP12 Condensed Sch. Level Costs'!V65,2)</f>
        <v>2.25</v>
      </c>
    </row>
    <row r="71" spans="1:9" x14ac:dyDescent="0.2">
      <c r="A71" s="32">
        <f t="shared" si="0"/>
        <v>63</v>
      </c>
      <c r="B71" s="27" t="str">
        <f>'WP12 Condensed Sch. Level Costs'!A66</f>
        <v>53E - Company Owned</v>
      </c>
      <c r="C71" s="27"/>
      <c r="D71" s="327" t="str">
        <f>'WP12 Condensed Sch. Level Costs'!C66</f>
        <v>Sodium Vapor</v>
      </c>
      <c r="E71" s="41" t="str">
        <f>'WP12 Condensed Sch. Level Costs'!D66</f>
        <v>SV 1000</v>
      </c>
      <c r="F71" s="14" t="str">
        <f>'WP12 Condensed Sch. Level Costs'!I66</f>
        <v>Yes</v>
      </c>
      <c r="G71" s="14">
        <f>'WP12 Condensed Sch. Level Costs'!J66</f>
        <v>1</v>
      </c>
      <c r="H71" s="328">
        <f>'WP12 Condensed Sch. Level Costs'!Q66</f>
        <v>2.2529806535397991</v>
      </c>
      <c r="I71" s="328">
        <f>ROUND('WP12 Condensed Sch. Level Costs'!V66,2)</f>
        <v>2.25</v>
      </c>
    </row>
    <row r="72" spans="1:9" x14ac:dyDescent="0.2">
      <c r="A72" s="32">
        <f t="shared" si="0"/>
        <v>64</v>
      </c>
      <c r="B72" s="27"/>
      <c r="C72" s="27"/>
      <c r="D72" s="327"/>
      <c r="E72" s="41"/>
      <c r="F72" s="14"/>
      <c r="G72" s="14"/>
      <c r="H72" s="328"/>
      <c r="I72" s="328"/>
    </row>
    <row r="73" spans="1:9" x14ac:dyDescent="0.2">
      <c r="A73" s="32">
        <f t="shared" si="0"/>
        <v>65</v>
      </c>
      <c r="B73" s="27" t="str">
        <f>'WP12 Condensed Sch. Level Costs'!A68</f>
        <v>53E - Company Owned</v>
      </c>
      <c r="C73" s="27"/>
      <c r="D73" s="327" t="str">
        <f>'WP12 Condensed Sch. Level Costs'!C68</f>
        <v>Metal Halide</v>
      </c>
      <c r="E73" s="41" t="str">
        <f>'WP12 Condensed Sch. Level Costs'!D68</f>
        <v>MH 070</v>
      </c>
      <c r="F73" s="14" t="str">
        <f>'WP12 Condensed Sch. Level Costs'!I68</f>
        <v>Yes</v>
      </c>
      <c r="G73" s="14">
        <f>'WP12 Condensed Sch. Level Costs'!J68</f>
        <v>2</v>
      </c>
      <c r="H73" s="328">
        <f>'WP12 Condensed Sch. Level Costs'!Q68</f>
        <v>2.2529806535397991</v>
      </c>
      <c r="I73" s="328">
        <f>ROUND('WP12 Condensed Sch. Level Costs'!V68,2)</f>
        <v>4.51</v>
      </c>
    </row>
    <row r="74" spans="1:9" x14ac:dyDescent="0.2">
      <c r="A74" s="32">
        <f t="shared" si="0"/>
        <v>66</v>
      </c>
      <c r="B74" s="27" t="str">
        <f>'WP12 Condensed Sch. Level Costs'!A69</f>
        <v>53E - Company Owned</v>
      </c>
      <c r="C74" s="27"/>
      <c r="D74" s="327" t="str">
        <f>'WP12 Condensed Sch. Level Costs'!C69</f>
        <v>Metal Halide</v>
      </c>
      <c r="E74" s="41" t="str">
        <f>'WP12 Condensed Sch. Level Costs'!D69</f>
        <v>MH 100</v>
      </c>
      <c r="F74" s="14" t="str">
        <f>'WP12 Condensed Sch. Level Costs'!I69</f>
        <v>Yes</v>
      </c>
      <c r="G74" s="14">
        <f>'WP12 Condensed Sch. Level Costs'!J69</f>
        <v>2</v>
      </c>
      <c r="H74" s="328">
        <f>'WP12 Condensed Sch. Level Costs'!Q69</f>
        <v>2.2529806535397991</v>
      </c>
      <c r="I74" s="328">
        <f>ROUND('WP12 Condensed Sch. Level Costs'!V69,2)</f>
        <v>4.51</v>
      </c>
    </row>
    <row r="75" spans="1:9" x14ac:dyDescent="0.2">
      <c r="A75" s="32">
        <f t="shared" si="0"/>
        <v>67</v>
      </c>
      <c r="B75" s="27" t="str">
        <f>'WP12 Condensed Sch. Level Costs'!A70</f>
        <v>53E - Company Owned</v>
      </c>
      <c r="C75" s="27"/>
      <c r="D75" s="327" t="str">
        <f>'WP12 Condensed Sch. Level Costs'!C70</f>
        <v>Metal Halide</v>
      </c>
      <c r="E75" s="41" t="str">
        <f>'WP12 Condensed Sch. Level Costs'!D70</f>
        <v>MH 150</v>
      </c>
      <c r="F75" s="14" t="str">
        <f>'WP12 Condensed Sch. Level Costs'!I70</f>
        <v>Yes</v>
      </c>
      <c r="G75" s="14">
        <f>'WP12 Condensed Sch. Level Costs'!J70</f>
        <v>2</v>
      </c>
      <c r="H75" s="328">
        <f>'WP12 Condensed Sch. Level Costs'!Q70</f>
        <v>2.2529806535397991</v>
      </c>
      <c r="I75" s="328">
        <f>ROUND('WP12 Condensed Sch. Level Costs'!V70,2)</f>
        <v>4.51</v>
      </c>
    </row>
    <row r="76" spans="1:9" x14ac:dyDescent="0.2">
      <c r="A76" s="32">
        <f t="shared" si="0"/>
        <v>68</v>
      </c>
      <c r="B76" s="27" t="str">
        <f>'WP12 Condensed Sch. Level Costs'!A71</f>
        <v>53E - Company Owned</v>
      </c>
      <c r="C76" s="27"/>
      <c r="D76" s="327" t="str">
        <f>'WP12 Condensed Sch. Level Costs'!C71</f>
        <v>Metal Halide</v>
      </c>
      <c r="E76" s="41" t="str">
        <f>'WP12 Condensed Sch. Level Costs'!D71</f>
        <v>MH 250</v>
      </c>
      <c r="F76" s="14" t="str">
        <f>'WP12 Condensed Sch. Level Costs'!I71</f>
        <v>Yes</v>
      </c>
      <c r="G76" s="14">
        <f>'WP12 Condensed Sch. Level Costs'!J71</f>
        <v>2</v>
      </c>
      <c r="H76" s="328">
        <f>'WP12 Condensed Sch. Level Costs'!Q71</f>
        <v>2.2529806535397991</v>
      </c>
      <c r="I76" s="328">
        <f>ROUND('WP12 Condensed Sch. Level Costs'!V71,2)</f>
        <v>4.51</v>
      </c>
    </row>
    <row r="77" spans="1:9" x14ac:dyDescent="0.2">
      <c r="A77" s="32">
        <f t="shared" si="0"/>
        <v>69</v>
      </c>
      <c r="B77" s="27" t="str">
        <f>'WP12 Condensed Sch. Level Costs'!A72</f>
        <v>53E - Company Owned</v>
      </c>
      <c r="C77" s="27"/>
      <c r="D77" s="327" t="str">
        <f>'WP12 Condensed Sch. Level Costs'!C72</f>
        <v>Metal Halide</v>
      </c>
      <c r="E77" s="41" t="str">
        <f>'WP12 Condensed Sch. Level Costs'!D72</f>
        <v>MH 400</v>
      </c>
      <c r="F77" s="14" t="str">
        <f>'WP12 Condensed Sch. Level Costs'!I72</f>
        <v>Yes</v>
      </c>
      <c r="G77" s="14">
        <f>'WP12 Condensed Sch. Level Costs'!J72</f>
        <v>2</v>
      </c>
      <c r="H77" s="328">
        <f>'WP12 Condensed Sch. Level Costs'!Q72</f>
        <v>2.2529806535397991</v>
      </c>
      <c r="I77" s="328">
        <f>ROUND('WP12 Condensed Sch. Level Costs'!V72,2)</f>
        <v>4.51</v>
      </c>
    </row>
    <row r="78" spans="1:9" x14ac:dyDescent="0.2">
      <c r="A78" s="32">
        <f t="shared" si="0"/>
        <v>70</v>
      </c>
      <c r="B78" s="27"/>
      <c r="C78" s="27"/>
      <c r="D78" s="327"/>
      <c r="E78" s="41"/>
      <c r="F78" s="14"/>
      <c r="G78" s="14"/>
      <c r="H78" s="328"/>
      <c r="I78" s="328"/>
    </row>
    <row r="79" spans="1:9" x14ac:dyDescent="0.2">
      <c r="A79" s="32">
        <f t="shared" si="0"/>
        <v>71</v>
      </c>
      <c r="B79" s="27" t="str">
        <f>'WP12 Condensed Sch. Level Costs'!A74</f>
        <v>53E - Company Owned</v>
      </c>
      <c r="C79" s="27"/>
      <c r="D79" s="327" t="str">
        <f>'WP12 Condensed Sch. Level Costs'!C74</f>
        <v>Light Emitting Diode</v>
      </c>
      <c r="E79" s="41" t="str">
        <f>'WP12 Condensed Sch. Level Costs'!D74</f>
        <v>LED 0-030</v>
      </c>
      <c r="F79" s="14" t="str">
        <f>'WP12 Condensed Sch. Level Costs'!I74</f>
        <v>Yes</v>
      </c>
      <c r="G79" s="14">
        <f>'WP12 Condensed Sch. Level Costs'!J74</f>
        <v>0.2</v>
      </c>
      <c r="H79" s="328">
        <f>'WP12 Condensed Sch. Level Costs'!Q74</f>
        <v>2.2529806535397991</v>
      </c>
      <c r="I79" s="328">
        <f>ROUND('WP12 Condensed Sch. Level Costs'!V74,2)</f>
        <v>0.45</v>
      </c>
    </row>
    <row r="80" spans="1:9" x14ac:dyDescent="0.2">
      <c r="A80" s="32">
        <f t="shared" si="0"/>
        <v>72</v>
      </c>
      <c r="B80" s="27" t="str">
        <f>'WP12 Condensed Sch. Level Costs'!A75</f>
        <v>53E - Company Owned</v>
      </c>
      <c r="C80" s="27"/>
      <c r="D80" s="327" t="str">
        <f>'WP12 Condensed Sch. Level Costs'!C75</f>
        <v>Light Emitting Diode</v>
      </c>
      <c r="E80" s="41" t="str">
        <f>'WP12 Condensed Sch. Level Costs'!D75</f>
        <v>LED 030.01-060</v>
      </c>
      <c r="F80" s="14" t="str">
        <f>'WP12 Condensed Sch. Level Costs'!I75</f>
        <v>Yes</v>
      </c>
      <c r="G80" s="14">
        <f>'WP12 Condensed Sch. Level Costs'!J75</f>
        <v>0.2</v>
      </c>
      <c r="H80" s="328">
        <f>'WP12 Condensed Sch. Level Costs'!Q75</f>
        <v>2.2529806535397991</v>
      </c>
      <c r="I80" s="328">
        <f>ROUND('WP12 Condensed Sch. Level Costs'!V75,2)</f>
        <v>0.45</v>
      </c>
    </row>
    <row r="81" spans="1:9" x14ac:dyDescent="0.2">
      <c r="A81" s="32">
        <f t="shared" si="0"/>
        <v>73</v>
      </c>
      <c r="B81" s="27" t="str">
        <f>'WP12 Condensed Sch. Level Costs'!A76</f>
        <v>53E - Company Owned</v>
      </c>
      <c r="C81" s="27"/>
      <c r="D81" s="327" t="str">
        <f>'WP12 Condensed Sch. Level Costs'!C76</f>
        <v>Light Emitting Diode</v>
      </c>
      <c r="E81" s="41" t="str">
        <f>'WP12 Condensed Sch. Level Costs'!D76</f>
        <v>LED 060.01-090</v>
      </c>
      <c r="F81" s="14" t="str">
        <f>'WP12 Condensed Sch. Level Costs'!I76</f>
        <v>Yes</v>
      </c>
      <c r="G81" s="14">
        <f>'WP12 Condensed Sch. Level Costs'!J76</f>
        <v>0.2</v>
      </c>
      <c r="H81" s="328">
        <f>'WP12 Condensed Sch. Level Costs'!Q76</f>
        <v>2.2529806535397991</v>
      </c>
      <c r="I81" s="328">
        <f>ROUND('WP12 Condensed Sch. Level Costs'!V76,2)</f>
        <v>0.45</v>
      </c>
    </row>
    <row r="82" spans="1:9" x14ac:dyDescent="0.2">
      <c r="A82" s="32">
        <f t="shared" si="0"/>
        <v>74</v>
      </c>
      <c r="B82" s="27" t="str">
        <f>'WP12 Condensed Sch. Level Costs'!A77</f>
        <v>53E - Company Owned</v>
      </c>
      <c r="C82" s="27"/>
      <c r="D82" s="327" t="str">
        <f>'WP12 Condensed Sch. Level Costs'!C77</f>
        <v>Light Emitting Diode</v>
      </c>
      <c r="E82" s="41" t="str">
        <f>'WP12 Condensed Sch. Level Costs'!D77</f>
        <v>LED 090.01-120</v>
      </c>
      <c r="F82" s="14" t="str">
        <f>'WP12 Condensed Sch. Level Costs'!I77</f>
        <v>Yes</v>
      </c>
      <c r="G82" s="14">
        <f>'WP12 Condensed Sch. Level Costs'!J77</f>
        <v>0.2</v>
      </c>
      <c r="H82" s="328">
        <f>'WP12 Condensed Sch. Level Costs'!Q77</f>
        <v>2.2529806535397991</v>
      </c>
      <c r="I82" s="328">
        <f>ROUND('WP12 Condensed Sch. Level Costs'!V77,2)</f>
        <v>0.45</v>
      </c>
    </row>
    <row r="83" spans="1:9" x14ac:dyDescent="0.2">
      <c r="A83" s="32">
        <f t="shared" si="0"/>
        <v>75</v>
      </c>
      <c r="B83" s="27" t="str">
        <f>'WP12 Condensed Sch. Level Costs'!A78</f>
        <v>53E - Company Owned</v>
      </c>
      <c r="C83" s="27"/>
      <c r="D83" s="327" t="str">
        <f>'WP12 Condensed Sch. Level Costs'!C78</f>
        <v>Light Emitting Diode</v>
      </c>
      <c r="E83" s="41" t="str">
        <f>'WP12 Condensed Sch. Level Costs'!D78</f>
        <v>LED 120.01-150</v>
      </c>
      <c r="F83" s="14" t="str">
        <f>'WP12 Condensed Sch. Level Costs'!I78</f>
        <v>Yes</v>
      </c>
      <c r="G83" s="14">
        <f>'WP12 Condensed Sch. Level Costs'!J78</f>
        <v>0.2</v>
      </c>
      <c r="H83" s="328">
        <f>'WP12 Condensed Sch. Level Costs'!Q78</f>
        <v>2.2529806535397991</v>
      </c>
      <c r="I83" s="328">
        <f>ROUND('WP12 Condensed Sch. Level Costs'!V78,2)</f>
        <v>0.45</v>
      </c>
    </row>
    <row r="84" spans="1:9" x14ac:dyDescent="0.2">
      <c r="A84" s="32">
        <f t="shared" si="0"/>
        <v>76</v>
      </c>
      <c r="B84" s="27" t="str">
        <f>'WP12 Condensed Sch. Level Costs'!A79</f>
        <v>53E - Company Owned</v>
      </c>
      <c r="C84" s="27"/>
      <c r="D84" s="327" t="str">
        <f>'WP12 Condensed Sch. Level Costs'!C79</f>
        <v>Light Emitting Diode</v>
      </c>
      <c r="E84" s="41" t="str">
        <f>'WP12 Condensed Sch. Level Costs'!D79</f>
        <v>LED 150.01-180</v>
      </c>
      <c r="F84" s="14" t="str">
        <f>'WP12 Condensed Sch. Level Costs'!I79</f>
        <v>Yes</v>
      </c>
      <c r="G84" s="14">
        <f>'WP12 Condensed Sch. Level Costs'!J79</f>
        <v>0.2</v>
      </c>
      <c r="H84" s="328">
        <f>'WP12 Condensed Sch. Level Costs'!Q79</f>
        <v>2.2529806535397991</v>
      </c>
      <c r="I84" s="328">
        <f>ROUND('WP12 Condensed Sch. Level Costs'!V79,2)</f>
        <v>0.45</v>
      </c>
    </row>
    <row r="85" spans="1:9" x14ac:dyDescent="0.2">
      <c r="A85" s="32">
        <f t="shared" si="0"/>
        <v>77</v>
      </c>
      <c r="B85" s="27" t="str">
        <f>'WP12 Condensed Sch. Level Costs'!A80</f>
        <v>53E - Company Owned</v>
      </c>
      <c r="C85" s="27"/>
      <c r="D85" s="327" t="str">
        <f>'WP12 Condensed Sch. Level Costs'!C80</f>
        <v>Light Emitting Diode</v>
      </c>
      <c r="E85" s="41" t="str">
        <f>'WP12 Condensed Sch. Level Costs'!D80</f>
        <v>LED 180.01-210</v>
      </c>
      <c r="F85" s="14" t="str">
        <f>'WP12 Condensed Sch. Level Costs'!I80</f>
        <v>Yes</v>
      </c>
      <c r="G85" s="14">
        <f>'WP12 Condensed Sch. Level Costs'!J80</f>
        <v>0.2</v>
      </c>
      <c r="H85" s="328">
        <f>'WP12 Condensed Sch. Level Costs'!Q80</f>
        <v>2.2529806535397991</v>
      </c>
      <c r="I85" s="328">
        <f>ROUND('WP12 Condensed Sch. Level Costs'!V80,2)</f>
        <v>0.45</v>
      </c>
    </row>
    <row r="86" spans="1:9" x14ac:dyDescent="0.2">
      <c r="A86" s="32">
        <f t="shared" si="0"/>
        <v>78</v>
      </c>
      <c r="B86" s="27" t="str">
        <f>'WP12 Condensed Sch. Level Costs'!A81</f>
        <v>53E - Company Owned</v>
      </c>
      <c r="C86" s="27"/>
      <c r="D86" s="327" t="str">
        <f>'WP12 Condensed Sch. Level Costs'!C81</f>
        <v>Light Emitting Diode</v>
      </c>
      <c r="E86" s="41" t="str">
        <f>'WP12 Condensed Sch. Level Costs'!D81</f>
        <v>LED 210.01-240</v>
      </c>
      <c r="F86" s="14" t="str">
        <f>'WP12 Condensed Sch. Level Costs'!I81</f>
        <v>Yes</v>
      </c>
      <c r="G86" s="14">
        <f>'WP12 Condensed Sch. Level Costs'!J81</f>
        <v>0.2</v>
      </c>
      <c r="H86" s="328">
        <f>'WP12 Condensed Sch. Level Costs'!Q81</f>
        <v>2.2529806535397991</v>
      </c>
      <c r="I86" s="328">
        <f>ROUND('WP12 Condensed Sch. Level Costs'!V81,2)</f>
        <v>0.45</v>
      </c>
    </row>
    <row r="87" spans="1:9" x14ac:dyDescent="0.2">
      <c r="A87" s="32">
        <f t="shared" si="0"/>
        <v>79</v>
      </c>
      <c r="B87" s="27" t="str">
        <f>'WP12 Condensed Sch. Level Costs'!A82</f>
        <v>53E - Company Owned</v>
      </c>
      <c r="C87" s="27"/>
      <c r="D87" s="327" t="str">
        <f>'WP12 Condensed Sch. Level Costs'!C82</f>
        <v>Light Emitting Diode</v>
      </c>
      <c r="E87" s="41" t="str">
        <f>'WP12 Condensed Sch. Level Costs'!D82</f>
        <v>LED 240.01-270</v>
      </c>
      <c r="F87" s="14" t="str">
        <f>'WP12 Condensed Sch. Level Costs'!I82</f>
        <v>Yes</v>
      </c>
      <c r="G87" s="14">
        <f>'WP12 Condensed Sch. Level Costs'!J82</f>
        <v>0.2</v>
      </c>
      <c r="H87" s="328">
        <f>'WP12 Condensed Sch. Level Costs'!Q82</f>
        <v>2.2529806535397991</v>
      </c>
      <c r="I87" s="328">
        <f>ROUND('WP12 Condensed Sch. Level Costs'!V82,2)</f>
        <v>0.45</v>
      </c>
    </row>
    <row r="88" spans="1:9" x14ac:dyDescent="0.2">
      <c r="A88" s="32">
        <f t="shared" si="0"/>
        <v>80</v>
      </c>
      <c r="B88" s="27" t="str">
        <f>'WP12 Condensed Sch. Level Costs'!A83</f>
        <v>53E - Company Owned</v>
      </c>
      <c r="C88" s="27"/>
      <c r="D88" s="327" t="str">
        <f>'WP12 Condensed Sch. Level Costs'!C83</f>
        <v>Light Emitting Diode</v>
      </c>
      <c r="E88" s="41" t="str">
        <f>'WP12 Condensed Sch. Level Costs'!D83</f>
        <v>LED 270.01-300</v>
      </c>
      <c r="F88" s="14" t="str">
        <f>'WP12 Condensed Sch. Level Costs'!I83</f>
        <v>Yes</v>
      </c>
      <c r="G88" s="14">
        <f>'WP12 Condensed Sch. Level Costs'!J83</f>
        <v>0.2</v>
      </c>
      <c r="H88" s="328">
        <f>'WP12 Condensed Sch. Level Costs'!Q83</f>
        <v>2.2529806535397991</v>
      </c>
      <c r="I88" s="328">
        <f>ROUND('WP12 Condensed Sch. Level Costs'!V83,2)</f>
        <v>0.45</v>
      </c>
    </row>
    <row r="89" spans="1:9" x14ac:dyDescent="0.2">
      <c r="A89" s="32">
        <f t="shared" si="0"/>
        <v>81</v>
      </c>
      <c r="B89" s="27"/>
      <c r="C89" s="27"/>
      <c r="D89" s="327"/>
      <c r="E89" s="41"/>
      <c r="F89" s="14"/>
      <c r="G89" s="14"/>
      <c r="H89" s="328"/>
      <c r="I89" s="328"/>
    </row>
    <row r="90" spans="1:9" x14ac:dyDescent="0.2">
      <c r="A90" s="32">
        <f t="shared" si="0"/>
        <v>82</v>
      </c>
      <c r="B90" s="27" t="str">
        <f>'WP12 Condensed Sch. Level Costs'!A85</f>
        <v>53E - Company Owned</v>
      </c>
      <c r="C90" s="327" t="str">
        <f>'WP12 Condensed Sch. Level Costs'!B85</f>
        <v>SMART LIGHT</v>
      </c>
      <c r="D90" s="327" t="str">
        <f>'WP12 Condensed Sch. Level Costs'!C85</f>
        <v>Light Emitting Diode</v>
      </c>
      <c r="E90" s="41" t="str">
        <f>'WP12 Condensed Sch. Level Costs'!D85</f>
        <v>LED 0-030</v>
      </c>
      <c r="F90" s="14" t="str">
        <f>'WP12 Condensed Sch. Level Costs'!I85</f>
        <v>Yes</v>
      </c>
      <c r="G90" s="14">
        <f>'WP12 Condensed Sch. Level Costs'!J85</f>
        <v>0.2</v>
      </c>
      <c r="H90" s="328">
        <f>'WP12 Condensed Sch. Level Costs'!Q85</f>
        <v>2.2529806535397991</v>
      </c>
      <c r="I90" s="339">
        <f>ROUND('WP12 Condensed Sch. Level Costs'!AC85,6)</f>
        <v>8.5828000000000002E-2</v>
      </c>
    </row>
    <row r="91" spans="1:9" x14ac:dyDescent="0.2">
      <c r="A91" s="32">
        <f t="shared" ref="A91:A102" si="1">A90+1</f>
        <v>83</v>
      </c>
      <c r="B91" s="27" t="str">
        <f>'WP12 Condensed Sch. Level Costs'!A86</f>
        <v>53E - Company Owned</v>
      </c>
      <c r="C91" s="327" t="str">
        <f>'WP12 Condensed Sch. Level Costs'!B86</f>
        <v>SMART LIGHT</v>
      </c>
      <c r="D91" s="327" t="str">
        <f>'WP12 Condensed Sch. Level Costs'!C86</f>
        <v>Light Emitting Diode</v>
      </c>
      <c r="E91" s="41" t="str">
        <f>'WP12 Condensed Sch. Level Costs'!D86</f>
        <v>LED 030.01-060</v>
      </c>
      <c r="F91" s="14" t="str">
        <f>'WP12 Condensed Sch. Level Costs'!I86</f>
        <v>Yes</v>
      </c>
      <c r="G91" s="14">
        <f>'WP12 Condensed Sch. Level Costs'!J86</f>
        <v>0.2</v>
      </c>
      <c r="H91" s="328">
        <f>'WP12 Condensed Sch. Level Costs'!Q86</f>
        <v>2.2529806535397991</v>
      </c>
      <c r="I91" s="339">
        <f>ROUND('WP12 Condensed Sch. Level Costs'!AC86,6)</f>
        <v>2.8608999999999999E-2</v>
      </c>
    </row>
    <row r="92" spans="1:9" x14ac:dyDescent="0.2">
      <c r="A92" s="32">
        <f t="shared" si="1"/>
        <v>84</v>
      </c>
      <c r="B92" s="27" t="str">
        <f>'WP12 Condensed Sch. Level Costs'!A87</f>
        <v>53E - Company Owned</v>
      </c>
      <c r="C92" s="327" t="str">
        <f>'WP12 Condensed Sch. Level Costs'!B87</f>
        <v>SMART LIGHT</v>
      </c>
      <c r="D92" s="327" t="str">
        <f>'WP12 Condensed Sch. Level Costs'!C87</f>
        <v>Light Emitting Diode</v>
      </c>
      <c r="E92" s="41" t="str">
        <f>'WP12 Condensed Sch. Level Costs'!D87</f>
        <v>LED 060.01-090</v>
      </c>
      <c r="F92" s="14" t="str">
        <f>'WP12 Condensed Sch. Level Costs'!I87</f>
        <v>Yes</v>
      </c>
      <c r="G92" s="14">
        <f>'WP12 Condensed Sch. Level Costs'!J87</f>
        <v>0.2</v>
      </c>
      <c r="H92" s="328">
        <f>'WP12 Condensed Sch. Level Costs'!Q87</f>
        <v>2.2529806535397991</v>
      </c>
      <c r="I92" s="339">
        <f>ROUND('WP12 Condensed Sch. Level Costs'!AC87,6)</f>
        <v>1.7166000000000001E-2</v>
      </c>
    </row>
    <row r="93" spans="1:9" x14ac:dyDescent="0.2">
      <c r="A93" s="32">
        <f t="shared" si="1"/>
        <v>85</v>
      </c>
      <c r="B93" s="27" t="str">
        <f>'WP12 Condensed Sch. Level Costs'!A88</f>
        <v>53E - Company Owned</v>
      </c>
      <c r="C93" s="327" t="str">
        <f>'WP12 Condensed Sch. Level Costs'!B88</f>
        <v>SMART LIGHT</v>
      </c>
      <c r="D93" s="327" t="str">
        <f>'WP12 Condensed Sch. Level Costs'!C88</f>
        <v>Light Emitting Diode</v>
      </c>
      <c r="E93" s="41" t="str">
        <f>'WP12 Condensed Sch. Level Costs'!D88</f>
        <v>LED 090.01-120</v>
      </c>
      <c r="F93" s="14" t="str">
        <f>'WP12 Condensed Sch. Level Costs'!I88</f>
        <v>Yes</v>
      </c>
      <c r="G93" s="14">
        <f>'WP12 Condensed Sch. Level Costs'!J88</f>
        <v>0.2</v>
      </c>
      <c r="H93" s="328">
        <f>'WP12 Condensed Sch. Level Costs'!Q88</f>
        <v>2.2529806535397991</v>
      </c>
      <c r="I93" s="339">
        <f>ROUND('WP12 Condensed Sch. Level Costs'!AC88,6)</f>
        <v>1.2260999999999999E-2</v>
      </c>
    </row>
    <row r="94" spans="1:9" x14ac:dyDescent="0.2">
      <c r="A94" s="32">
        <f t="shared" si="1"/>
        <v>86</v>
      </c>
      <c r="B94" s="27" t="str">
        <f>'WP12 Condensed Sch. Level Costs'!A89</f>
        <v>53E - Company Owned</v>
      </c>
      <c r="C94" s="327" t="str">
        <f>'WP12 Condensed Sch. Level Costs'!B89</f>
        <v>SMART LIGHT</v>
      </c>
      <c r="D94" s="327" t="str">
        <f>'WP12 Condensed Sch. Level Costs'!C89</f>
        <v>Light Emitting Diode</v>
      </c>
      <c r="E94" s="41" t="str">
        <f>'WP12 Condensed Sch. Level Costs'!D89</f>
        <v>LED 120.01-150</v>
      </c>
      <c r="F94" s="14" t="str">
        <f>'WP12 Condensed Sch. Level Costs'!I89</f>
        <v>Yes</v>
      </c>
      <c r="G94" s="14">
        <f>'WP12 Condensed Sch. Level Costs'!J89</f>
        <v>0.2</v>
      </c>
      <c r="H94" s="328">
        <f>'WP12 Condensed Sch. Level Costs'!Q89</f>
        <v>2.2529806535397991</v>
      </c>
      <c r="I94" s="339">
        <f>ROUND('WP12 Condensed Sch. Level Costs'!AC89,6)</f>
        <v>9.5359999999999993E-3</v>
      </c>
    </row>
    <row r="95" spans="1:9" x14ac:dyDescent="0.2">
      <c r="A95" s="32">
        <f t="shared" si="1"/>
        <v>87</v>
      </c>
      <c r="B95" s="27" t="str">
        <f>'WP12 Condensed Sch. Level Costs'!A90</f>
        <v>53E - Company Owned</v>
      </c>
      <c r="C95" s="327" t="str">
        <f>'WP12 Condensed Sch. Level Costs'!B90</f>
        <v>SMART LIGHT</v>
      </c>
      <c r="D95" s="327" t="str">
        <f>'WP12 Condensed Sch. Level Costs'!C90</f>
        <v>Light Emitting Diode</v>
      </c>
      <c r="E95" s="41" t="str">
        <f>'WP12 Condensed Sch. Level Costs'!D90</f>
        <v>LED 150.01-180</v>
      </c>
      <c r="F95" s="14" t="str">
        <f>'WP12 Condensed Sch. Level Costs'!I90</f>
        <v>Yes</v>
      </c>
      <c r="G95" s="14">
        <f>'WP12 Condensed Sch. Level Costs'!J90</f>
        <v>0.2</v>
      </c>
      <c r="H95" s="328">
        <f>'WP12 Condensed Sch. Level Costs'!Q90</f>
        <v>2.2529806535397991</v>
      </c>
      <c r="I95" s="339">
        <f>ROUND('WP12 Condensed Sch. Level Costs'!AC90,6)</f>
        <v>7.803E-3</v>
      </c>
    </row>
    <row r="96" spans="1:9" x14ac:dyDescent="0.2">
      <c r="A96" s="32">
        <f t="shared" si="1"/>
        <v>88</v>
      </c>
      <c r="B96" s="27" t="str">
        <f>'WP12 Condensed Sch. Level Costs'!A91</f>
        <v>53E - Company Owned</v>
      </c>
      <c r="C96" s="327" t="str">
        <f>'WP12 Condensed Sch. Level Costs'!B91</f>
        <v>SMART LIGHT</v>
      </c>
      <c r="D96" s="327" t="str">
        <f>'WP12 Condensed Sch. Level Costs'!C91</f>
        <v>Light Emitting Diode</v>
      </c>
      <c r="E96" s="41" t="str">
        <f>'WP12 Condensed Sch. Level Costs'!D91</f>
        <v>LED 180.01-210</v>
      </c>
      <c r="F96" s="14" t="str">
        <f>'WP12 Condensed Sch. Level Costs'!I91</f>
        <v>Yes</v>
      </c>
      <c r="G96" s="14">
        <f>'WP12 Condensed Sch. Level Costs'!J91</f>
        <v>0.2</v>
      </c>
      <c r="H96" s="328">
        <f>'WP12 Condensed Sch. Level Costs'!Q91</f>
        <v>2.2529806535397991</v>
      </c>
      <c r="I96" s="339">
        <f>ROUND('WP12 Condensed Sch. Level Costs'!AC91,6)</f>
        <v>6.6020000000000002E-3</v>
      </c>
    </row>
    <row r="97" spans="1:9" x14ac:dyDescent="0.2">
      <c r="A97" s="32">
        <f t="shared" si="1"/>
        <v>89</v>
      </c>
      <c r="B97" s="27" t="str">
        <f>'WP12 Condensed Sch. Level Costs'!A92</f>
        <v>53E - Company Owned</v>
      </c>
      <c r="C97" s="327" t="str">
        <f>'WP12 Condensed Sch. Level Costs'!B92</f>
        <v>SMART LIGHT</v>
      </c>
      <c r="D97" s="327" t="str">
        <f>'WP12 Condensed Sch. Level Costs'!C92</f>
        <v>Light Emitting Diode</v>
      </c>
      <c r="E97" s="41" t="str">
        <f>'WP12 Condensed Sch. Level Costs'!D92</f>
        <v>LED 210.01-240</v>
      </c>
      <c r="F97" s="14" t="str">
        <f>'WP12 Condensed Sch. Level Costs'!I92</f>
        <v>Yes</v>
      </c>
      <c r="G97" s="14">
        <f>'WP12 Condensed Sch. Level Costs'!J92</f>
        <v>0.2</v>
      </c>
      <c r="H97" s="328">
        <f>'WP12 Condensed Sch. Level Costs'!Q92</f>
        <v>2.2529806535397991</v>
      </c>
      <c r="I97" s="339">
        <f>ROUND('WP12 Condensed Sch. Level Costs'!AC92,6)</f>
        <v>5.7219999999999997E-3</v>
      </c>
    </row>
    <row r="98" spans="1:9" x14ac:dyDescent="0.2">
      <c r="A98" s="32">
        <f t="shared" si="1"/>
        <v>90</v>
      </c>
      <c r="B98" s="27" t="str">
        <f>'WP12 Condensed Sch. Level Costs'!A93</f>
        <v>53E - Company Owned</v>
      </c>
      <c r="C98" s="327" t="str">
        <f>'WP12 Condensed Sch. Level Costs'!B93</f>
        <v>SMART LIGHT</v>
      </c>
      <c r="D98" s="327" t="str">
        <f>'WP12 Condensed Sch. Level Costs'!C93</f>
        <v>Light Emitting Diode</v>
      </c>
      <c r="E98" s="41" t="str">
        <f>'WP12 Condensed Sch. Level Costs'!D93</f>
        <v>LED 240.01-270</v>
      </c>
      <c r="F98" s="14" t="str">
        <f>'WP12 Condensed Sch. Level Costs'!I93</f>
        <v>Yes</v>
      </c>
      <c r="G98" s="14">
        <f>'WP12 Condensed Sch. Level Costs'!J93</f>
        <v>0.2</v>
      </c>
      <c r="H98" s="328">
        <f>'WP12 Condensed Sch. Level Costs'!Q93</f>
        <v>2.2529806535397991</v>
      </c>
      <c r="I98" s="339">
        <f>ROUND('WP12 Condensed Sch. Level Costs'!AC93,6)</f>
        <v>5.0489999999999997E-3</v>
      </c>
    </row>
    <row r="99" spans="1:9" x14ac:dyDescent="0.2">
      <c r="A99" s="32">
        <f t="shared" si="1"/>
        <v>91</v>
      </c>
      <c r="B99" s="27" t="str">
        <f>'WP12 Condensed Sch. Level Costs'!A94</f>
        <v>53E - Company Owned</v>
      </c>
      <c r="C99" s="327" t="str">
        <f>'WP12 Condensed Sch. Level Costs'!B94</f>
        <v>SMART LIGHT</v>
      </c>
      <c r="D99" s="327" t="str">
        <f>'WP12 Condensed Sch. Level Costs'!C94</f>
        <v>Light Emitting Diode</v>
      </c>
      <c r="E99" s="41" t="str">
        <f>'WP12 Condensed Sch. Level Costs'!D94</f>
        <v>LED 270.01-300</v>
      </c>
      <c r="F99" s="14" t="str">
        <f>'WP12 Condensed Sch. Level Costs'!I94</f>
        <v>Yes</v>
      </c>
      <c r="G99" s="14">
        <f>'WP12 Condensed Sch. Level Costs'!J94</f>
        <v>0.2</v>
      </c>
      <c r="H99" s="328">
        <f>'WP12 Condensed Sch. Level Costs'!Q94</f>
        <v>2.2529806535397991</v>
      </c>
      <c r="I99" s="339">
        <f>ROUND('WP12 Condensed Sch. Level Costs'!AC94,6)</f>
        <v>4.5170000000000002E-3</v>
      </c>
    </row>
    <row r="100" spans="1:9" x14ac:dyDescent="0.2">
      <c r="A100" s="32">
        <f t="shared" si="1"/>
        <v>92</v>
      </c>
      <c r="B100" s="27"/>
      <c r="C100" s="27"/>
      <c r="D100" s="327"/>
      <c r="E100" s="41"/>
      <c r="F100" s="14"/>
      <c r="G100" s="14"/>
      <c r="H100" s="328"/>
      <c r="I100" s="328"/>
    </row>
    <row r="101" spans="1:9" x14ac:dyDescent="0.2">
      <c r="A101" s="32">
        <f t="shared" si="1"/>
        <v>93</v>
      </c>
      <c r="B101" s="27" t="str">
        <f>'WP12 Condensed Sch. Level Costs'!A96</f>
        <v>53E - Customer Owned</v>
      </c>
      <c r="C101" s="27"/>
      <c r="D101" s="327" t="str">
        <f>'WP12 Condensed Sch. Level Costs'!C96</f>
        <v>Sodium Vapor</v>
      </c>
      <c r="E101" s="41" t="str">
        <f>'WP12 Condensed Sch. Level Costs'!D96</f>
        <v>SV 050</v>
      </c>
      <c r="F101" s="14" t="str">
        <f>'WP12 Condensed Sch. Level Costs'!I96</f>
        <v>Yes</v>
      </c>
      <c r="G101" s="14">
        <f>'WP12 Condensed Sch. Level Costs'!J96</f>
        <v>1</v>
      </c>
      <c r="H101" s="328">
        <f>'WP12 Condensed Sch. Level Costs'!Q96</f>
        <v>2.2529806535397991</v>
      </c>
      <c r="I101" s="328">
        <f>ROUND('WP12 Condensed Sch. Level Costs'!V96,2)</f>
        <v>2.25</v>
      </c>
    </row>
    <row r="102" spans="1:9" x14ac:dyDescent="0.2">
      <c r="A102" s="32">
        <f t="shared" si="1"/>
        <v>94</v>
      </c>
      <c r="B102" s="27" t="str">
        <f>'WP12 Condensed Sch. Level Costs'!A97</f>
        <v>53E - Customer Owned</v>
      </c>
      <c r="C102" s="27"/>
      <c r="D102" s="327" t="str">
        <f>'WP12 Condensed Sch. Level Costs'!C97</f>
        <v>Sodium Vapor</v>
      </c>
      <c r="E102" s="41" t="str">
        <f>'WP12 Condensed Sch. Level Costs'!D97</f>
        <v>SV 070</v>
      </c>
      <c r="F102" s="14" t="str">
        <f>'WP12 Condensed Sch. Level Costs'!I97</f>
        <v>Yes</v>
      </c>
      <c r="G102" s="14">
        <f>'WP12 Condensed Sch. Level Costs'!J97</f>
        <v>1</v>
      </c>
      <c r="H102" s="328">
        <f>'WP12 Condensed Sch. Level Costs'!Q97</f>
        <v>2.2529806535397991</v>
      </c>
      <c r="I102" s="328">
        <f>ROUND('WP12 Condensed Sch. Level Costs'!V97,2)</f>
        <v>2.25</v>
      </c>
    </row>
    <row r="103" spans="1:9" x14ac:dyDescent="0.2">
      <c r="A103" s="32">
        <f t="shared" ref="A103:A168" si="2">A102+1</f>
        <v>95</v>
      </c>
      <c r="B103" s="27" t="str">
        <f>'WP12 Condensed Sch. Level Costs'!A98</f>
        <v>53E - Customer Owned</v>
      </c>
      <c r="C103" s="27"/>
      <c r="D103" s="327" t="str">
        <f>'WP12 Condensed Sch. Level Costs'!C98</f>
        <v>Sodium Vapor</v>
      </c>
      <c r="E103" s="41" t="str">
        <f>'WP12 Condensed Sch. Level Costs'!D98</f>
        <v>SV 100</v>
      </c>
      <c r="F103" s="14" t="str">
        <f>'WP12 Condensed Sch. Level Costs'!I98</f>
        <v>Yes</v>
      </c>
      <c r="G103" s="14">
        <f>'WP12 Condensed Sch. Level Costs'!J98</f>
        <v>1</v>
      </c>
      <c r="H103" s="328">
        <f>'WP12 Condensed Sch. Level Costs'!Q98</f>
        <v>2.2529806535397991</v>
      </c>
      <c r="I103" s="328">
        <f>ROUND('WP12 Condensed Sch. Level Costs'!V98,2)</f>
        <v>2.25</v>
      </c>
    </row>
    <row r="104" spans="1:9" x14ac:dyDescent="0.2">
      <c r="A104" s="32">
        <f t="shared" si="2"/>
        <v>96</v>
      </c>
      <c r="B104" s="27" t="str">
        <f>'WP12 Condensed Sch. Level Costs'!A99</f>
        <v>53E - Customer Owned</v>
      </c>
      <c r="C104" s="27"/>
      <c r="D104" s="327" t="str">
        <f>'WP12 Condensed Sch. Level Costs'!C99</f>
        <v>Sodium Vapor</v>
      </c>
      <c r="E104" s="41" t="str">
        <f>'WP12 Condensed Sch. Level Costs'!D99</f>
        <v>SV 150</v>
      </c>
      <c r="F104" s="14" t="str">
        <f>'WP12 Condensed Sch. Level Costs'!I99</f>
        <v>Yes</v>
      </c>
      <c r="G104" s="14">
        <f>'WP12 Condensed Sch. Level Costs'!J99</f>
        <v>1</v>
      </c>
      <c r="H104" s="328">
        <f>'WP12 Condensed Sch. Level Costs'!Q99</f>
        <v>2.2529806535397991</v>
      </c>
      <c r="I104" s="328">
        <f>ROUND('WP12 Condensed Sch. Level Costs'!V99,2)</f>
        <v>2.25</v>
      </c>
    </row>
    <row r="105" spans="1:9" x14ac:dyDescent="0.2">
      <c r="A105" s="32">
        <f t="shared" si="2"/>
        <v>97</v>
      </c>
      <c r="B105" s="27" t="str">
        <f>'WP12 Condensed Sch. Level Costs'!A100</f>
        <v>53E - Customer Owned</v>
      </c>
      <c r="C105" s="27"/>
      <c r="D105" s="327" t="str">
        <f>'WP12 Condensed Sch. Level Costs'!C100</f>
        <v>Sodium Vapor</v>
      </c>
      <c r="E105" s="41" t="str">
        <f>'WP12 Condensed Sch. Level Costs'!D100</f>
        <v>SV 200</v>
      </c>
      <c r="F105" s="14" t="str">
        <f>'WP12 Condensed Sch. Level Costs'!I100</f>
        <v>Yes</v>
      </c>
      <c r="G105" s="14">
        <f>'WP12 Condensed Sch. Level Costs'!J100</f>
        <v>1</v>
      </c>
      <c r="H105" s="328">
        <f>'WP12 Condensed Sch. Level Costs'!Q100</f>
        <v>2.2529806535397991</v>
      </c>
      <c r="I105" s="328">
        <f>ROUND('WP12 Condensed Sch. Level Costs'!V100,2)</f>
        <v>2.25</v>
      </c>
    </row>
    <row r="106" spans="1:9" x14ac:dyDescent="0.2">
      <c r="A106" s="32">
        <f t="shared" si="2"/>
        <v>98</v>
      </c>
      <c r="B106" s="27" t="str">
        <f>'WP12 Condensed Sch. Level Costs'!A101</f>
        <v>53E - Customer Owned</v>
      </c>
      <c r="C106" s="27"/>
      <c r="D106" s="327" t="str">
        <f>'WP12 Condensed Sch. Level Costs'!C101</f>
        <v>Sodium Vapor</v>
      </c>
      <c r="E106" s="41" t="str">
        <f>'WP12 Condensed Sch. Level Costs'!D101</f>
        <v>SV 250</v>
      </c>
      <c r="F106" s="14" t="str">
        <f>'WP12 Condensed Sch. Level Costs'!I101</f>
        <v>Yes</v>
      </c>
      <c r="G106" s="14">
        <f>'WP12 Condensed Sch. Level Costs'!J101</f>
        <v>1</v>
      </c>
      <c r="H106" s="328">
        <f>'WP12 Condensed Sch. Level Costs'!Q101</f>
        <v>2.2529806535397991</v>
      </c>
      <c r="I106" s="328">
        <f>ROUND('WP12 Condensed Sch. Level Costs'!V101,2)</f>
        <v>2.25</v>
      </c>
    </row>
    <row r="107" spans="1:9" x14ac:dyDescent="0.2">
      <c r="A107" s="32">
        <f t="shared" si="2"/>
        <v>99</v>
      </c>
      <c r="B107" s="27" t="str">
        <f>'WP12 Condensed Sch. Level Costs'!A102</f>
        <v>53E - Customer Owned</v>
      </c>
      <c r="C107" s="27"/>
      <c r="D107" s="327" t="str">
        <f>'WP12 Condensed Sch. Level Costs'!C102</f>
        <v>Sodium Vapor</v>
      </c>
      <c r="E107" s="41" t="str">
        <f>'WP12 Condensed Sch. Level Costs'!D102</f>
        <v>SV 310</v>
      </c>
      <c r="F107" s="14" t="str">
        <f>'WP12 Condensed Sch. Level Costs'!I102</f>
        <v>Yes</v>
      </c>
      <c r="G107" s="14">
        <f>'WP12 Condensed Sch. Level Costs'!J102</f>
        <v>1</v>
      </c>
      <c r="H107" s="328">
        <f>'WP12 Condensed Sch. Level Costs'!Q102</f>
        <v>2.2529806535397991</v>
      </c>
      <c r="I107" s="328">
        <f>ROUND('WP12 Condensed Sch. Level Costs'!V102,2)</f>
        <v>2.25</v>
      </c>
    </row>
    <row r="108" spans="1:9" x14ac:dyDescent="0.2">
      <c r="A108" s="32">
        <f t="shared" si="2"/>
        <v>100</v>
      </c>
      <c r="B108" s="27" t="str">
        <f>'WP12 Condensed Sch. Level Costs'!A103</f>
        <v>53E - Customer Owned</v>
      </c>
      <c r="C108" s="27"/>
      <c r="D108" s="327" t="str">
        <f>'WP12 Condensed Sch. Level Costs'!C103</f>
        <v>Sodium Vapor</v>
      </c>
      <c r="E108" s="41" t="str">
        <f>'WP12 Condensed Sch. Level Costs'!D103</f>
        <v>SV 400</v>
      </c>
      <c r="F108" s="14" t="str">
        <f>'WP12 Condensed Sch. Level Costs'!I103</f>
        <v>Yes</v>
      </c>
      <c r="G108" s="14">
        <f>'WP12 Condensed Sch. Level Costs'!J103</f>
        <v>1</v>
      </c>
      <c r="H108" s="328">
        <f>'WP12 Condensed Sch. Level Costs'!Q103</f>
        <v>2.2529806535397991</v>
      </c>
      <c r="I108" s="328">
        <f>ROUND('WP12 Condensed Sch. Level Costs'!V103,2)</f>
        <v>2.25</v>
      </c>
    </row>
    <row r="109" spans="1:9" x14ac:dyDescent="0.2">
      <c r="A109" s="32">
        <f t="shared" si="2"/>
        <v>101</v>
      </c>
      <c r="B109" s="27" t="str">
        <f>'WP12 Condensed Sch. Level Costs'!A104</f>
        <v>53E - Customer Owned</v>
      </c>
      <c r="C109" s="27"/>
      <c r="D109" s="327" t="str">
        <f>'WP12 Condensed Sch. Level Costs'!C104</f>
        <v>Sodium Vapor</v>
      </c>
      <c r="E109" s="41" t="str">
        <f>'WP12 Condensed Sch. Level Costs'!D104</f>
        <v>SV 1000</v>
      </c>
      <c r="F109" s="14" t="str">
        <f>'WP12 Condensed Sch. Level Costs'!I104</f>
        <v>Yes</v>
      </c>
      <c r="G109" s="14">
        <f>'WP12 Condensed Sch. Level Costs'!J104</f>
        <v>1</v>
      </c>
      <c r="H109" s="328">
        <f>'WP12 Condensed Sch. Level Costs'!Q104</f>
        <v>2.2529806535397991</v>
      </c>
      <c r="I109" s="328">
        <f>ROUND('WP12 Condensed Sch. Level Costs'!V104,2)</f>
        <v>2.25</v>
      </c>
    </row>
    <row r="110" spans="1:9" x14ac:dyDescent="0.2">
      <c r="A110" s="32">
        <f t="shared" si="2"/>
        <v>102</v>
      </c>
      <c r="B110" s="27"/>
      <c r="C110" s="27"/>
      <c r="D110" s="327"/>
      <c r="E110" s="41"/>
      <c r="F110" s="14"/>
      <c r="G110" s="14"/>
      <c r="H110" s="328"/>
      <c r="I110" s="328"/>
    </row>
    <row r="111" spans="1:9" x14ac:dyDescent="0.2">
      <c r="A111" s="32">
        <f t="shared" si="2"/>
        <v>103</v>
      </c>
      <c r="B111" s="27" t="str">
        <f>'WP12 Condensed Sch. Level Costs'!A106</f>
        <v>53E - Customer Owned</v>
      </c>
      <c r="C111" s="27"/>
      <c r="D111" s="327" t="str">
        <f>'WP12 Condensed Sch. Level Costs'!C106</f>
        <v>Metal Halide</v>
      </c>
      <c r="E111" s="41" t="str">
        <f>'WP12 Condensed Sch. Level Costs'!D106</f>
        <v>MH 70</v>
      </c>
      <c r="F111" s="14" t="str">
        <f>'WP12 Condensed Sch. Level Costs'!I106</f>
        <v>Yes</v>
      </c>
      <c r="G111" s="14">
        <f>'WP12 Condensed Sch. Level Costs'!J106</f>
        <v>2</v>
      </c>
      <c r="H111" s="328">
        <f>'WP12 Condensed Sch. Level Costs'!Q106</f>
        <v>2.2529806535397991</v>
      </c>
      <c r="I111" s="328">
        <f>ROUND('WP12 Condensed Sch. Level Costs'!V106,2)</f>
        <v>4.51</v>
      </c>
    </row>
    <row r="112" spans="1:9" x14ac:dyDescent="0.2">
      <c r="A112" s="32">
        <f t="shared" si="2"/>
        <v>104</v>
      </c>
      <c r="B112" s="27" t="str">
        <f>'WP12 Condensed Sch. Level Costs'!A107</f>
        <v>53E - Customer Owned</v>
      </c>
      <c r="C112" s="27"/>
      <c r="D112" s="327" t="str">
        <f>'WP12 Condensed Sch. Level Costs'!C107</f>
        <v>Metal Halide</v>
      </c>
      <c r="E112" s="41" t="str">
        <f>'WP12 Condensed Sch. Level Costs'!D107</f>
        <v>MH 100</v>
      </c>
      <c r="F112" s="14" t="str">
        <f>'WP12 Condensed Sch. Level Costs'!I107</f>
        <v>Yes</v>
      </c>
      <c r="G112" s="14">
        <f>'WP12 Condensed Sch. Level Costs'!J107</f>
        <v>2</v>
      </c>
      <c r="H112" s="328">
        <f>'WP12 Condensed Sch. Level Costs'!Q107</f>
        <v>2.2529806535397991</v>
      </c>
      <c r="I112" s="328">
        <f>ROUND('WP12 Condensed Sch. Level Costs'!V107,2)</f>
        <v>4.51</v>
      </c>
    </row>
    <row r="113" spans="1:9" x14ac:dyDescent="0.2">
      <c r="A113" s="32">
        <f t="shared" si="2"/>
        <v>105</v>
      </c>
      <c r="B113" s="27" t="str">
        <f>'WP12 Condensed Sch. Level Costs'!A108</f>
        <v>53E - Customer Owned</v>
      </c>
      <c r="C113" s="27"/>
      <c r="D113" s="327" t="str">
        <f>'WP12 Condensed Sch. Level Costs'!C108</f>
        <v>Metal Halide</v>
      </c>
      <c r="E113" s="41" t="str">
        <f>'WP12 Condensed Sch. Level Costs'!D108</f>
        <v>MH 150</v>
      </c>
      <c r="F113" s="14" t="str">
        <f>'WP12 Condensed Sch. Level Costs'!I108</f>
        <v>Yes</v>
      </c>
      <c r="G113" s="14">
        <f>'WP12 Condensed Sch. Level Costs'!J108</f>
        <v>2</v>
      </c>
      <c r="H113" s="328">
        <f>'WP12 Condensed Sch. Level Costs'!Q108</f>
        <v>2.2529806535397991</v>
      </c>
      <c r="I113" s="328">
        <f>ROUND('WP12 Condensed Sch. Level Costs'!V108,2)</f>
        <v>4.51</v>
      </c>
    </row>
    <row r="114" spans="1:9" x14ac:dyDescent="0.2">
      <c r="A114" s="32">
        <f t="shared" si="2"/>
        <v>106</v>
      </c>
      <c r="B114" s="27" t="str">
        <f>'WP12 Condensed Sch. Level Costs'!A109</f>
        <v>53E - Customer Owned</v>
      </c>
      <c r="C114" s="27"/>
      <c r="D114" s="327" t="str">
        <f>'WP12 Condensed Sch. Level Costs'!C109</f>
        <v>Metal Halide</v>
      </c>
      <c r="E114" s="41" t="str">
        <f>'WP12 Condensed Sch. Level Costs'!D109</f>
        <v>MH 175</v>
      </c>
      <c r="F114" s="14" t="str">
        <f>'WP12 Condensed Sch. Level Costs'!I109</f>
        <v>Yes</v>
      </c>
      <c r="G114" s="14">
        <f>'WP12 Condensed Sch. Level Costs'!J109</f>
        <v>2</v>
      </c>
      <c r="H114" s="328">
        <f>'WP12 Condensed Sch. Level Costs'!Q109</f>
        <v>2.2529806535397991</v>
      </c>
      <c r="I114" s="328">
        <f>ROUND('WP12 Condensed Sch. Level Costs'!V109,2)</f>
        <v>4.51</v>
      </c>
    </row>
    <row r="115" spans="1:9" x14ac:dyDescent="0.2">
      <c r="A115" s="32">
        <f t="shared" si="2"/>
        <v>107</v>
      </c>
      <c r="B115" s="27" t="str">
        <f>'WP12 Condensed Sch. Level Costs'!A110</f>
        <v>53E - Customer Owned</v>
      </c>
      <c r="C115" s="27"/>
      <c r="D115" s="327" t="str">
        <f>'WP12 Condensed Sch. Level Costs'!C110</f>
        <v>Metal Halide</v>
      </c>
      <c r="E115" s="41" t="str">
        <f>'WP12 Condensed Sch. Level Costs'!D110</f>
        <v>MH 250</v>
      </c>
      <c r="F115" s="14" t="str">
        <f>'WP12 Condensed Sch. Level Costs'!I110</f>
        <v>Yes</v>
      </c>
      <c r="G115" s="14">
        <f>'WP12 Condensed Sch. Level Costs'!J110</f>
        <v>2</v>
      </c>
      <c r="H115" s="328">
        <f>'WP12 Condensed Sch. Level Costs'!Q110</f>
        <v>2.2529806535397991</v>
      </c>
      <c r="I115" s="328">
        <f>ROUND('WP12 Condensed Sch. Level Costs'!V110,2)</f>
        <v>4.51</v>
      </c>
    </row>
    <row r="116" spans="1:9" x14ac:dyDescent="0.2">
      <c r="A116" s="32">
        <f t="shared" si="2"/>
        <v>108</v>
      </c>
      <c r="B116" s="27" t="str">
        <f>'WP12 Condensed Sch. Level Costs'!A111</f>
        <v>53E - Customer Owned</v>
      </c>
      <c r="C116" s="27"/>
      <c r="D116" s="327" t="str">
        <f>'WP12 Condensed Sch. Level Costs'!C111</f>
        <v>Metal Halide</v>
      </c>
      <c r="E116" s="41" t="str">
        <f>'WP12 Condensed Sch. Level Costs'!D111</f>
        <v>MH 400</v>
      </c>
      <c r="F116" s="14" t="str">
        <f>'WP12 Condensed Sch. Level Costs'!I111</f>
        <v>Yes</v>
      </c>
      <c r="G116" s="14">
        <f>'WP12 Condensed Sch. Level Costs'!J111</f>
        <v>2</v>
      </c>
      <c r="H116" s="328">
        <f>'WP12 Condensed Sch. Level Costs'!Q111</f>
        <v>2.2529806535397991</v>
      </c>
      <c r="I116" s="328">
        <f>ROUND('WP12 Condensed Sch. Level Costs'!V111,2)</f>
        <v>4.51</v>
      </c>
    </row>
    <row r="117" spans="1:9" x14ac:dyDescent="0.2">
      <c r="A117" s="32">
        <f t="shared" si="2"/>
        <v>109</v>
      </c>
      <c r="B117" s="27"/>
      <c r="C117" s="27"/>
      <c r="D117" s="327"/>
      <c r="E117" s="41"/>
      <c r="F117" s="14"/>
      <c r="G117" s="14"/>
      <c r="H117" s="328"/>
      <c r="I117" s="328"/>
    </row>
    <row r="118" spans="1:9" x14ac:dyDescent="0.2">
      <c r="A118" s="32">
        <f t="shared" si="2"/>
        <v>110</v>
      </c>
      <c r="B118" s="27" t="str">
        <f>'WP12 Condensed Sch. Level Costs'!A113</f>
        <v>53E - Customer Owned</v>
      </c>
      <c r="C118" s="27"/>
      <c r="D118" s="327" t="str">
        <f>'WP12 Condensed Sch. Level Costs'!C113</f>
        <v>Light Emitting Diode</v>
      </c>
      <c r="E118" s="41" t="str">
        <f>'WP12 Condensed Sch. Level Costs'!D113</f>
        <v>LED 0-030</v>
      </c>
      <c r="F118" s="14" t="str">
        <f>'WP12 Condensed Sch. Level Costs'!I113</f>
        <v>Yes</v>
      </c>
      <c r="G118" s="14">
        <f>'WP12 Condensed Sch. Level Costs'!J113</f>
        <v>0.2</v>
      </c>
      <c r="H118" s="328">
        <f>'WP12 Condensed Sch. Level Costs'!Q113</f>
        <v>2.2529806535397991</v>
      </c>
      <c r="I118" s="328">
        <f>ROUND('WP12 Condensed Sch. Level Costs'!V113,2)</f>
        <v>0.45</v>
      </c>
    </row>
    <row r="119" spans="1:9" x14ac:dyDescent="0.2">
      <c r="A119" s="32">
        <f t="shared" si="2"/>
        <v>111</v>
      </c>
      <c r="B119" s="27" t="str">
        <f>'WP12 Condensed Sch. Level Costs'!A114</f>
        <v>53E - Customer Owned</v>
      </c>
      <c r="C119" s="27"/>
      <c r="D119" s="327" t="str">
        <f>'WP12 Condensed Sch. Level Costs'!C114</f>
        <v>Light Emitting Diode</v>
      </c>
      <c r="E119" s="41" t="str">
        <f>'WP12 Condensed Sch. Level Costs'!D114</f>
        <v>LED 030.01-060</v>
      </c>
      <c r="F119" s="14" t="str">
        <f>'WP12 Condensed Sch. Level Costs'!I114</f>
        <v>Yes</v>
      </c>
      <c r="G119" s="14">
        <f>'WP12 Condensed Sch. Level Costs'!J114</f>
        <v>0.2</v>
      </c>
      <c r="H119" s="328">
        <f>'WP12 Condensed Sch. Level Costs'!Q114</f>
        <v>2.2529806535397991</v>
      </c>
      <c r="I119" s="328">
        <f>ROUND('WP12 Condensed Sch. Level Costs'!V114,2)</f>
        <v>0.45</v>
      </c>
    </row>
    <row r="120" spans="1:9" x14ac:dyDescent="0.2">
      <c r="A120" s="32">
        <f t="shared" si="2"/>
        <v>112</v>
      </c>
      <c r="B120" s="27" t="str">
        <f>'WP12 Condensed Sch. Level Costs'!A115</f>
        <v>53E - Customer Owned</v>
      </c>
      <c r="C120" s="27"/>
      <c r="D120" s="327" t="str">
        <f>'WP12 Condensed Sch. Level Costs'!C115</f>
        <v>Light Emitting Diode</v>
      </c>
      <c r="E120" s="41" t="str">
        <f>'WP12 Condensed Sch. Level Costs'!D115</f>
        <v>LED 060.01-090</v>
      </c>
      <c r="F120" s="14" t="str">
        <f>'WP12 Condensed Sch. Level Costs'!I115</f>
        <v>Yes</v>
      </c>
      <c r="G120" s="14">
        <f>'WP12 Condensed Sch. Level Costs'!J115</f>
        <v>0.2</v>
      </c>
      <c r="H120" s="328">
        <f>'WP12 Condensed Sch. Level Costs'!Q115</f>
        <v>2.2529806535397991</v>
      </c>
      <c r="I120" s="328">
        <f>ROUND('WP12 Condensed Sch. Level Costs'!V115,2)</f>
        <v>0.45</v>
      </c>
    </row>
    <row r="121" spans="1:9" x14ac:dyDescent="0.2">
      <c r="A121" s="32">
        <f t="shared" si="2"/>
        <v>113</v>
      </c>
      <c r="B121" s="27" t="str">
        <f>'WP12 Condensed Sch. Level Costs'!A116</f>
        <v>53E - Customer Owned</v>
      </c>
      <c r="C121" s="27"/>
      <c r="D121" s="327" t="str">
        <f>'WP12 Condensed Sch. Level Costs'!C116</f>
        <v>Light Emitting Diode</v>
      </c>
      <c r="E121" s="41" t="str">
        <f>'WP12 Condensed Sch. Level Costs'!D116</f>
        <v>LED 090.01-120</v>
      </c>
      <c r="F121" s="14" t="str">
        <f>'WP12 Condensed Sch. Level Costs'!I116</f>
        <v>Yes</v>
      </c>
      <c r="G121" s="14">
        <f>'WP12 Condensed Sch. Level Costs'!J116</f>
        <v>0.2</v>
      </c>
      <c r="H121" s="328">
        <f>'WP12 Condensed Sch. Level Costs'!Q116</f>
        <v>2.2529806535397991</v>
      </c>
      <c r="I121" s="328">
        <f>ROUND('WP12 Condensed Sch. Level Costs'!V116,2)</f>
        <v>0.45</v>
      </c>
    </row>
    <row r="122" spans="1:9" x14ac:dyDescent="0.2">
      <c r="A122" s="32">
        <f t="shared" si="2"/>
        <v>114</v>
      </c>
      <c r="B122" s="27" t="str">
        <f>'WP12 Condensed Sch. Level Costs'!A117</f>
        <v>53E - Customer Owned</v>
      </c>
      <c r="C122" s="27"/>
      <c r="D122" s="327" t="str">
        <f>'WP12 Condensed Sch. Level Costs'!C117</f>
        <v>Light Emitting Diode</v>
      </c>
      <c r="E122" s="41" t="str">
        <f>'WP12 Condensed Sch. Level Costs'!D117</f>
        <v>LED 120.01-150</v>
      </c>
      <c r="F122" s="14" t="str">
        <f>'WP12 Condensed Sch. Level Costs'!I117</f>
        <v>Yes</v>
      </c>
      <c r="G122" s="14">
        <f>'WP12 Condensed Sch. Level Costs'!J117</f>
        <v>0.2</v>
      </c>
      <c r="H122" s="328">
        <f>'WP12 Condensed Sch. Level Costs'!Q117</f>
        <v>2.2529806535397991</v>
      </c>
      <c r="I122" s="328">
        <f>ROUND('WP12 Condensed Sch. Level Costs'!V117,2)</f>
        <v>0.45</v>
      </c>
    </row>
    <row r="123" spans="1:9" x14ac:dyDescent="0.2">
      <c r="A123" s="32">
        <f t="shared" si="2"/>
        <v>115</v>
      </c>
      <c r="B123" s="27" t="str">
        <f>'WP12 Condensed Sch. Level Costs'!A118</f>
        <v>53E - Customer Owned</v>
      </c>
      <c r="C123" s="27"/>
      <c r="D123" s="327" t="str">
        <f>'WP12 Condensed Sch. Level Costs'!C118</f>
        <v>Light Emitting Diode</v>
      </c>
      <c r="E123" s="41" t="str">
        <f>'WP12 Condensed Sch. Level Costs'!D118</f>
        <v>LED 150.01-180</v>
      </c>
      <c r="F123" s="14" t="str">
        <f>'WP12 Condensed Sch. Level Costs'!I118</f>
        <v>Yes</v>
      </c>
      <c r="G123" s="14">
        <f>'WP12 Condensed Sch. Level Costs'!J118</f>
        <v>0.2</v>
      </c>
      <c r="H123" s="328">
        <f>'WP12 Condensed Sch. Level Costs'!Q118</f>
        <v>2.2529806535397991</v>
      </c>
      <c r="I123" s="328">
        <f>ROUND('WP12 Condensed Sch. Level Costs'!V118,2)</f>
        <v>0.45</v>
      </c>
    </row>
    <row r="124" spans="1:9" x14ac:dyDescent="0.2">
      <c r="A124" s="32">
        <f t="shared" si="2"/>
        <v>116</v>
      </c>
      <c r="B124" s="27" t="str">
        <f>'WP12 Condensed Sch. Level Costs'!A119</f>
        <v>53E - Customer Owned</v>
      </c>
      <c r="C124" s="27"/>
      <c r="D124" s="327" t="str">
        <f>'WP12 Condensed Sch. Level Costs'!C119</f>
        <v>Light Emitting Diode</v>
      </c>
      <c r="E124" s="41" t="str">
        <f>'WP12 Condensed Sch. Level Costs'!D119</f>
        <v>LED 180.01-210</v>
      </c>
      <c r="F124" s="14" t="str">
        <f>'WP12 Condensed Sch. Level Costs'!I119</f>
        <v>Yes</v>
      </c>
      <c r="G124" s="14">
        <f>'WP12 Condensed Sch. Level Costs'!J119</f>
        <v>0.2</v>
      </c>
      <c r="H124" s="328">
        <f>'WP12 Condensed Sch. Level Costs'!Q119</f>
        <v>2.2529806535397991</v>
      </c>
      <c r="I124" s="328">
        <f>ROUND('WP12 Condensed Sch. Level Costs'!V119,2)</f>
        <v>0.45</v>
      </c>
    </row>
    <row r="125" spans="1:9" x14ac:dyDescent="0.2">
      <c r="A125" s="32">
        <f t="shared" si="2"/>
        <v>117</v>
      </c>
      <c r="B125" s="27" t="str">
        <f>'WP12 Condensed Sch. Level Costs'!A120</f>
        <v>53E - Customer Owned</v>
      </c>
      <c r="C125" s="27"/>
      <c r="D125" s="327" t="str">
        <f>'WP12 Condensed Sch. Level Costs'!C120</f>
        <v>Light Emitting Diode</v>
      </c>
      <c r="E125" s="41" t="str">
        <f>'WP12 Condensed Sch. Level Costs'!D120</f>
        <v>LED 210.01-240</v>
      </c>
      <c r="F125" s="14" t="str">
        <f>'WP12 Condensed Sch. Level Costs'!I120</f>
        <v>Yes</v>
      </c>
      <c r="G125" s="14">
        <f>'WP12 Condensed Sch. Level Costs'!J120</f>
        <v>0.2</v>
      </c>
      <c r="H125" s="328">
        <f>'WP12 Condensed Sch. Level Costs'!Q120</f>
        <v>2.2529806535397991</v>
      </c>
      <c r="I125" s="328">
        <f>ROUND('WP12 Condensed Sch. Level Costs'!V120,2)</f>
        <v>0.45</v>
      </c>
    </row>
    <row r="126" spans="1:9" x14ac:dyDescent="0.2">
      <c r="A126" s="32">
        <f t="shared" si="2"/>
        <v>118</v>
      </c>
      <c r="B126" s="27" t="str">
        <f>'WP12 Condensed Sch. Level Costs'!A121</f>
        <v>53E - Customer Owned</v>
      </c>
      <c r="C126" s="27"/>
      <c r="D126" s="327" t="str">
        <f>'WP12 Condensed Sch. Level Costs'!C121</f>
        <v>Light Emitting Diode</v>
      </c>
      <c r="E126" s="41" t="str">
        <f>'WP12 Condensed Sch. Level Costs'!D121</f>
        <v>LED 240.01-270</v>
      </c>
      <c r="F126" s="14" t="str">
        <f>'WP12 Condensed Sch. Level Costs'!I121</f>
        <v>Yes</v>
      </c>
      <c r="G126" s="14">
        <f>'WP12 Condensed Sch. Level Costs'!J121</f>
        <v>0.2</v>
      </c>
      <c r="H126" s="328">
        <f>'WP12 Condensed Sch. Level Costs'!Q121</f>
        <v>2.2529806535397991</v>
      </c>
      <c r="I126" s="328">
        <f>ROUND('WP12 Condensed Sch. Level Costs'!V121,2)</f>
        <v>0.45</v>
      </c>
    </row>
    <row r="127" spans="1:9" x14ac:dyDescent="0.2">
      <c r="A127" s="32">
        <f t="shared" si="2"/>
        <v>119</v>
      </c>
      <c r="B127" s="27" t="str">
        <f>'WP12 Condensed Sch. Level Costs'!A122</f>
        <v>53E - Customer Owned</v>
      </c>
      <c r="C127" s="27"/>
      <c r="D127" s="327" t="str">
        <f>'WP12 Condensed Sch. Level Costs'!C122</f>
        <v>Light Emitting Diode</v>
      </c>
      <c r="E127" s="41" t="str">
        <f>'WP12 Condensed Sch. Level Costs'!D122</f>
        <v>LED 270.01-300</v>
      </c>
      <c r="F127" s="14" t="str">
        <f>'WP12 Condensed Sch. Level Costs'!I122</f>
        <v>Yes</v>
      </c>
      <c r="G127" s="14">
        <f>'WP12 Condensed Sch. Level Costs'!J122</f>
        <v>0.2</v>
      </c>
      <c r="H127" s="328">
        <f>'WP12 Condensed Sch. Level Costs'!Q122</f>
        <v>2.2529806535397991</v>
      </c>
      <c r="I127" s="328">
        <f>ROUND('WP12 Condensed Sch. Level Costs'!V122,2)</f>
        <v>0.45</v>
      </c>
    </row>
    <row r="128" spans="1:9" x14ac:dyDescent="0.2">
      <c r="A128" s="32">
        <f t="shared" si="2"/>
        <v>120</v>
      </c>
      <c r="B128" s="27"/>
      <c r="C128" s="27"/>
      <c r="D128" s="327"/>
      <c r="E128" s="41"/>
      <c r="F128" s="14"/>
      <c r="G128" s="14"/>
      <c r="H128" s="328"/>
      <c r="I128" s="328"/>
    </row>
    <row r="129" spans="1:9" x14ac:dyDescent="0.2">
      <c r="A129" s="32">
        <f t="shared" si="2"/>
        <v>121</v>
      </c>
      <c r="B129" s="27" t="str">
        <f>'WP12 Condensed Sch. Level Costs'!A123</f>
        <v>Sch 54E</v>
      </c>
      <c r="C129" s="27"/>
      <c r="D129" s="327"/>
      <c r="E129" s="41"/>
      <c r="F129" s="14"/>
      <c r="G129" s="14"/>
      <c r="H129" s="328"/>
      <c r="I129" s="328"/>
    </row>
    <row r="130" spans="1:9" x14ac:dyDescent="0.2">
      <c r="A130" s="32">
        <f t="shared" si="2"/>
        <v>122</v>
      </c>
      <c r="B130" s="27" t="str">
        <f>'WP12 Condensed Sch. Level Costs'!A124</f>
        <v>54E</v>
      </c>
      <c r="C130" s="27"/>
      <c r="D130" s="327" t="str">
        <f>'WP12 Condensed Sch. Level Costs'!C124</f>
        <v>Sodium Vapor</v>
      </c>
      <c r="E130" s="41" t="str">
        <f>'WP12 Condensed Sch. Level Costs'!D124</f>
        <v>SV 050</v>
      </c>
      <c r="F130" s="14" t="str">
        <f>'WP12 Condensed Sch. Level Costs'!I124</f>
        <v>No</v>
      </c>
      <c r="G130" s="14">
        <f>'WP12 Condensed Sch. Level Costs'!J124</f>
        <v>1</v>
      </c>
      <c r="H130" s="328">
        <f>'WP12 Condensed Sch. Level Costs'!Q124</f>
        <v>2.2529806535397991</v>
      </c>
      <c r="I130" s="328">
        <f>ROUND('WP12 Condensed Sch. Level Costs'!V124,2)</f>
        <v>0</v>
      </c>
    </row>
    <row r="131" spans="1:9" x14ac:dyDescent="0.2">
      <c r="A131" s="32">
        <f t="shared" si="2"/>
        <v>123</v>
      </c>
      <c r="B131" s="27" t="str">
        <f>'WP12 Condensed Sch. Level Costs'!A125</f>
        <v>54E</v>
      </c>
      <c r="C131" s="27"/>
      <c r="D131" s="327" t="str">
        <f>'WP12 Condensed Sch. Level Costs'!C125</f>
        <v>Sodium Vapor</v>
      </c>
      <c r="E131" s="41" t="str">
        <f>'WP12 Condensed Sch. Level Costs'!D125</f>
        <v>SV 070</v>
      </c>
      <c r="F131" s="14" t="str">
        <f>'WP12 Condensed Sch. Level Costs'!I125</f>
        <v>No</v>
      </c>
      <c r="G131" s="14">
        <f>'WP12 Condensed Sch. Level Costs'!J125</f>
        <v>1</v>
      </c>
      <c r="H131" s="328">
        <f>'WP12 Condensed Sch. Level Costs'!Q125</f>
        <v>2.2529806535397991</v>
      </c>
      <c r="I131" s="328">
        <f>ROUND('WP12 Condensed Sch. Level Costs'!V125,2)</f>
        <v>0</v>
      </c>
    </row>
    <row r="132" spans="1:9" x14ac:dyDescent="0.2">
      <c r="A132" s="32">
        <f t="shared" si="2"/>
        <v>124</v>
      </c>
      <c r="B132" s="27" t="str">
        <f>'WP12 Condensed Sch. Level Costs'!A126</f>
        <v>54E</v>
      </c>
      <c r="C132" s="27"/>
      <c r="D132" s="327" t="str">
        <f>'WP12 Condensed Sch. Level Costs'!C126</f>
        <v>Sodium Vapor</v>
      </c>
      <c r="E132" s="41" t="str">
        <f>'WP12 Condensed Sch. Level Costs'!D126</f>
        <v>SV 100</v>
      </c>
      <c r="F132" s="14" t="str">
        <f>'WP12 Condensed Sch. Level Costs'!I126</f>
        <v>No</v>
      </c>
      <c r="G132" s="14">
        <f>'WP12 Condensed Sch. Level Costs'!J126</f>
        <v>1</v>
      </c>
      <c r="H132" s="328">
        <f>'WP12 Condensed Sch. Level Costs'!Q126</f>
        <v>2.2529806535397991</v>
      </c>
      <c r="I132" s="328">
        <f>ROUND('WP12 Condensed Sch. Level Costs'!V126,2)</f>
        <v>0</v>
      </c>
    </row>
    <row r="133" spans="1:9" x14ac:dyDescent="0.2">
      <c r="A133" s="32">
        <f t="shared" si="2"/>
        <v>125</v>
      </c>
      <c r="B133" s="27" t="str">
        <f>'WP12 Condensed Sch. Level Costs'!A127</f>
        <v>54E</v>
      </c>
      <c r="C133" s="27"/>
      <c r="D133" s="327" t="str">
        <f>'WP12 Condensed Sch. Level Costs'!C127</f>
        <v>Sodium Vapor</v>
      </c>
      <c r="E133" s="41" t="str">
        <f>'WP12 Condensed Sch. Level Costs'!D127</f>
        <v>SV 150</v>
      </c>
      <c r="F133" s="14" t="str">
        <f>'WP12 Condensed Sch. Level Costs'!I127</f>
        <v>No</v>
      </c>
      <c r="G133" s="14">
        <f>'WP12 Condensed Sch. Level Costs'!J127</f>
        <v>1</v>
      </c>
      <c r="H133" s="328">
        <f>'WP12 Condensed Sch. Level Costs'!Q127</f>
        <v>2.2529806535397991</v>
      </c>
      <c r="I133" s="328">
        <f>ROUND('WP12 Condensed Sch. Level Costs'!V127,2)</f>
        <v>0</v>
      </c>
    </row>
    <row r="134" spans="1:9" x14ac:dyDescent="0.2">
      <c r="A134" s="32">
        <f t="shared" si="2"/>
        <v>126</v>
      </c>
      <c r="B134" s="27" t="str">
        <f>'WP12 Condensed Sch. Level Costs'!A128</f>
        <v>54E</v>
      </c>
      <c r="C134" s="27"/>
      <c r="D134" s="327" t="str">
        <f>'WP12 Condensed Sch. Level Costs'!C128</f>
        <v>Sodium Vapor</v>
      </c>
      <c r="E134" s="41" t="str">
        <f>'WP12 Condensed Sch. Level Costs'!D128</f>
        <v>SV 200</v>
      </c>
      <c r="F134" s="14" t="str">
        <f>'WP12 Condensed Sch. Level Costs'!I128</f>
        <v>No</v>
      </c>
      <c r="G134" s="14">
        <f>'WP12 Condensed Sch. Level Costs'!J128</f>
        <v>1</v>
      </c>
      <c r="H134" s="328">
        <f>'WP12 Condensed Sch. Level Costs'!Q128</f>
        <v>2.2529806535397991</v>
      </c>
      <c r="I134" s="328">
        <f>ROUND('WP12 Condensed Sch. Level Costs'!V128,2)</f>
        <v>0</v>
      </c>
    </row>
    <row r="135" spans="1:9" x14ac:dyDescent="0.2">
      <c r="A135" s="32">
        <f t="shared" si="2"/>
        <v>127</v>
      </c>
      <c r="B135" s="27" t="str">
        <f>'WP12 Condensed Sch. Level Costs'!A129</f>
        <v>54E</v>
      </c>
      <c r="C135" s="27"/>
      <c r="D135" s="327" t="str">
        <f>'WP12 Condensed Sch. Level Costs'!C129</f>
        <v>Sodium Vapor</v>
      </c>
      <c r="E135" s="41" t="str">
        <f>'WP12 Condensed Sch. Level Costs'!D129</f>
        <v>SV 250</v>
      </c>
      <c r="F135" s="14" t="str">
        <f>'WP12 Condensed Sch. Level Costs'!I129</f>
        <v>No</v>
      </c>
      <c r="G135" s="14">
        <f>'WP12 Condensed Sch. Level Costs'!J129</f>
        <v>1</v>
      </c>
      <c r="H135" s="328">
        <f>'WP12 Condensed Sch. Level Costs'!Q129</f>
        <v>2.2529806535397991</v>
      </c>
      <c r="I135" s="328">
        <f>ROUND('WP12 Condensed Sch. Level Costs'!V129,2)</f>
        <v>0</v>
      </c>
    </row>
    <row r="136" spans="1:9" x14ac:dyDescent="0.2">
      <c r="A136" s="32">
        <f t="shared" si="2"/>
        <v>128</v>
      </c>
      <c r="B136" s="27" t="str">
        <f>'WP12 Condensed Sch. Level Costs'!A130</f>
        <v>54E</v>
      </c>
      <c r="C136" s="27"/>
      <c r="D136" s="327" t="str">
        <f>'WP12 Condensed Sch. Level Costs'!C130</f>
        <v>Sodium Vapor</v>
      </c>
      <c r="E136" s="41" t="str">
        <f>'WP12 Condensed Sch. Level Costs'!D130</f>
        <v>SV 310</v>
      </c>
      <c r="F136" s="14" t="str">
        <f>'WP12 Condensed Sch. Level Costs'!I130</f>
        <v>No</v>
      </c>
      <c r="G136" s="14">
        <f>'WP12 Condensed Sch. Level Costs'!J130</f>
        <v>1</v>
      </c>
      <c r="H136" s="328">
        <f>'WP12 Condensed Sch. Level Costs'!Q130</f>
        <v>2.2529806535397991</v>
      </c>
      <c r="I136" s="328">
        <f>ROUND('WP12 Condensed Sch. Level Costs'!V130,2)</f>
        <v>0</v>
      </c>
    </row>
    <row r="137" spans="1:9" x14ac:dyDescent="0.2">
      <c r="A137" s="32">
        <f t="shared" si="2"/>
        <v>129</v>
      </c>
      <c r="B137" s="27" t="str">
        <f>'WP12 Condensed Sch. Level Costs'!A131</f>
        <v>54E</v>
      </c>
      <c r="C137" s="27"/>
      <c r="D137" s="327" t="str">
        <f>'WP12 Condensed Sch. Level Costs'!C131</f>
        <v>Sodium Vapor</v>
      </c>
      <c r="E137" s="41" t="str">
        <f>'WP12 Condensed Sch. Level Costs'!D131</f>
        <v>SV 400</v>
      </c>
      <c r="F137" s="14" t="str">
        <f>'WP12 Condensed Sch. Level Costs'!I131</f>
        <v>No</v>
      </c>
      <c r="G137" s="14">
        <f>'WP12 Condensed Sch. Level Costs'!J131</f>
        <v>1</v>
      </c>
      <c r="H137" s="328">
        <f>'WP12 Condensed Sch. Level Costs'!Q131</f>
        <v>2.2529806535397991</v>
      </c>
      <c r="I137" s="328">
        <f>ROUND('WP12 Condensed Sch. Level Costs'!V131,2)</f>
        <v>0</v>
      </c>
    </row>
    <row r="138" spans="1:9" x14ac:dyDescent="0.2">
      <c r="A138" s="32">
        <f t="shared" si="2"/>
        <v>130</v>
      </c>
      <c r="B138" s="27" t="str">
        <f>'WP12 Condensed Sch. Level Costs'!A132</f>
        <v>54E</v>
      </c>
      <c r="C138" s="27"/>
      <c r="D138" s="327" t="str">
        <f>'WP12 Condensed Sch. Level Costs'!C132</f>
        <v>Sodium Vapor</v>
      </c>
      <c r="E138" s="41" t="str">
        <f>'WP12 Condensed Sch. Level Costs'!D132</f>
        <v>SV 1000</v>
      </c>
      <c r="F138" s="14" t="str">
        <f>'WP12 Condensed Sch. Level Costs'!I132</f>
        <v>No</v>
      </c>
      <c r="G138" s="14">
        <f>'WP12 Condensed Sch. Level Costs'!J132</f>
        <v>1</v>
      </c>
      <c r="H138" s="328">
        <f>'WP12 Condensed Sch. Level Costs'!Q132</f>
        <v>2.2529806535397991</v>
      </c>
      <c r="I138" s="328">
        <f>ROUND('WP12 Condensed Sch. Level Costs'!V132,2)</f>
        <v>0</v>
      </c>
    </row>
    <row r="139" spans="1:9" x14ac:dyDescent="0.2">
      <c r="A139" s="32">
        <f t="shared" si="2"/>
        <v>131</v>
      </c>
      <c r="B139" s="27"/>
      <c r="C139" s="27"/>
      <c r="D139" s="327"/>
      <c r="E139" s="41"/>
      <c r="F139" s="14"/>
      <c r="G139" s="14"/>
      <c r="H139" s="328"/>
      <c r="I139" s="328"/>
    </row>
    <row r="140" spans="1:9" x14ac:dyDescent="0.2">
      <c r="A140" s="32">
        <f t="shared" si="2"/>
        <v>132</v>
      </c>
      <c r="B140" s="27" t="str">
        <f>'WP12 Condensed Sch. Level Costs'!A134</f>
        <v>54E</v>
      </c>
      <c r="C140" s="27"/>
      <c r="D140" s="327" t="str">
        <f>'WP12 Condensed Sch. Level Costs'!C134</f>
        <v>Light Emitting Diode</v>
      </c>
      <c r="E140" s="41" t="str">
        <f>'WP12 Condensed Sch. Level Costs'!D134</f>
        <v>LED 0-030</v>
      </c>
      <c r="F140" s="14" t="str">
        <f>'WP12 Condensed Sch. Level Costs'!I134</f>
        <v>No</v>
      </c>
      <c r="G140" s="14">
        <f>'WP12 Condensed Sch. Level Costs'!J134</f>
        <v>0.2</v>
      </c>
      <c r="H140" s="328">
        <f>'WP12 Condensed Sch. Level Costs'!Q134</f>
        <v>2.2529806535397991</v>
      </c>
      <c r="I140" s="328">
        <f>ROUND('WP12 Condensed Sch. Level Costs'!V134,2)</f>
        <v>0</v>
      </c>
    </row>
    <row r="141" spans="1:9" x14ac:dyDescent="0.2">
      <c r="A141" s="32">
        <f t="shared" si="2"/>
        <v>133</v>
      </c>
      <c r="B141" s="27" t="str">
        <f>'WP12 Condensed Sch. Level Costs'!A135</f>
        <v>54E</v>
      </c>
      <c r="C141" s="27"/>
      <c r="D141" s="327" t="str">
        <f>'WP12 Condensed Sch. Level Costs'!C135</f>
        <v>Light Emitting Diode</v>
      </c>
      <c r="E141" s="41" t="str">
        <f>'WP12 Condensed Sch. Level Costs'!D135</f>
        <v>LED 030.01-060</v>
      </c>
      <c r="F141" s="14" t="str">
        <f>'WP12 Condensed Sch. Level Costs'!I135</f>
        <v>No</v>
      </c>
      <c r="G141" s="14">
        <f>'WP12 Condensed Sch. Level Costs'!J135</f>
        <v>0.2</v>
      </c>
      <c r="H141" s="328">
        <f>'WP12 Condensed Sch. Level Costs'!Q135</f>
        <v>2.2529806535397991</v>
      </c>
      <c r="I141" s="328">
        <f>ROUND('WP12 Condensed Sch. Level Costs'!V135,2)</f>
        <v>0</v>
      </c>
    </row>
    <row r="142" spans="1:9" x14ac:dyDescent="0.2">
      <c r="A142" s="32">
        <f t="shared" si="2"/>
        <v>134</v>
      </c>
      <c r="B142" s="27" t="str">
        <f>'WP12 Condensed Sch. Level Costs'!A136</f>
        <v>54E</v>
      </c>
      <c r="C142" s="27"/>
      <c r="D142" s="327" t="str">
        <f>'WP12 Condensed Sch. Level Costs'!C136</f>
        <v>Light Emitting Diode</v>
      </c>
      <c r="E142" s="41" t="str">
        <f>'WP12 Condensed Sch. Level Costs'!D136</f>
        <v>LED 060.01-090</v>
      </c>
      <c r="F142" s="14" t="str">
        <f>'WP12 Condensed Sch. Level Costs'!I136</f>
        <v>No</v>
      </c>
      <c r="G142" s="14">
        <f>'WP12 Condensed Sch. Level Costs'!J136</f>
        <v>0.2</v>
      </c>
      <c r="H142" s="328">
        <f>'WP12 Condensed Sch. Level Costs'!Q136</f>
        <v>2.2529806535397991</v>
      </c>
      <c r="I142" s="328">
        <f>ROUND('WP12 Condensed Sch. Level Costs'!V136,2)</f>
        <v>0</v>
      </c>
    </row>
    <row r="143" spans="1:9" x14ac:dyDescent="0.2">
      <c r="A143" s="32">
        <f t="shared" si="2"/>
        <v>135</v>
      </c>
      <c r="B143" s="27" t="str">
        <f>'WP12 Condensed Sch. Level Costs'!A137</f>
        <v>54E</v>
      </c>
      <c r="C143" s="27"/>
      <c r="D143" s="327" t="str">
        <f>'WP12 Condensed Sch. Level Costs'!C137</f>
        <v>Light Emitting Diode</v>
      </c>
      <c r="E143" s="41" t="str">
        <f>'WP12 Condensed Sch. Level Costs'!D137</f>
        <v>LED 090.01-120</v>
      </c>
      <c r="F143" s="14" t="str">
        <f>'WP12 Condensed Sch. Level Costs'!I137</f>
        <v>No</v>
      </c>
      <c r="G143" s="14">
        <f>'WP12 Condensed Sch. Level Costs'!J137</f>
        <v>0.2</v>
      </c>
      <c r="H143" s="328">
        <f>'WP12 Condensed Sch. Level Costs'!Q137</f>
        <v>2.2529806535397991</v>
      </c>
      <c r="I143" s="328">
        <f>ROUND('WP12 Condensed Sch. Level Costs'!V137,2)</f>
        <v>0</v>
      </c>
    </row>
    <row r="144" spans="1:9" x14ac:dyDescent="0.2">
      <c r="A144" s="32">
        <f t="shared" si="2"/>
        <v>136</v>
      </c>
      <c r="B144" s="27" t="str">
        <f>'WP12 Condensed Sch. Level Costs'!A138</f>
        <v>54E</v>
      </c>
      <c r="C144" s="27"/>
      <c r="D144" s="327" t="str">
        <f>'WP12 Condensed Sch. Level Costs'!C138</f>
        <v>Light Emitting Diode</v>
      </c>
      <c r="E144" s="41" t="str">
        <f>'WP12 Condensed Sch. Level Costs'!D138</f>
        <v>LED 120.01-150</v>
      </c>
      <c r="F144" s="14" t="str">
        <f>'WP12 Condensed Sch. Level Costs'!I138</f>
        <v>No</v>
      </c>
      <c r="G144" s="14">
        <f>'WP12 Condensed Sch. Level Costs'!J138</f>
        <v>0.2</v>
      </c>
      <c r="H144" s="328">
        <f>'WP12 Condensed Sch. Level Costs'!Q138</f>
        <v>2.2529806535397991</v>
      </c>
      <c r="I144" s="328">
        <f>ROUND('WP12 Condensed Sch. Level Costs'!V138,2)</f>
        <v>0</v>
      </c>
    </row>
    <row r="145" spans="1:9" x14ac:dyDescent="0.2">
      <c r="A145" s="32">
        <f t="shared" si="2"/>
        <v>137</v>
      </c>
      <c r="B145" s="27" t="str">
        <f>'WP12 Condensed Sch. Level Costs'!A139</f>
        <v>54E</v>
      </c>
      <c r="C145" s="27"/>
      <c r="D145" s="327" t="str">
        <f>'WP12 Condensed Sch. Level Costs'!C139</f>
        <v>Light Emitting Diode</v>
      </c>
      <c r="E145" s="41" t="str">
        <f>'WP12 Condensed Sch. Level Costs'!D139</f>
        <v>LED 150.01-180</v>
      </c>
      <c r="F145" s="14" t="str">
        <f>'WP12 Condensed Sch. Level Costs'!I139</f>
        <v>No</v>
      </c>
      <c r="G145" s="14">
        <f>'WP12 Condensed Sch. Level Costs'!J139</f>
        <v>0.2</v>
      </c>
      <c r="H145" s="328">
        <f>'WP12 Condensed Sch. Level Costs'!Q139</f>
        <v>2.2529806535397991</v>
      </c>
      <c r="I145" s="328">
        <f>ROUND('WP12 Condensed Sch. Level Costs'!V139,2)</f>
        <v>0</v>
      </c>
    </row>
    <row r="146" spans="1:9" x14ac:dyDescent="0.2">
      <c r="A146" s="32">
        <f t="shared" si="2"/>
        <v>138</v>
      </c>
      <c r="B146" s="27" t="str">
        <f>'WP12 Condensed Sch. Level Costs'!A140</f>
        <v>54E</v>
      </c>
      <c r="C146" s="27"/>
      <c r="D146" s="327" t="str">
        <f>'WP12 Condensed Sch. Level Costs'!C140</f>
        <v>Light Emitting Diode</v>
      </c>
      <c r="E146" s="41" t="str">
        <f>'WP12 Condensed Sch. Level Costs'!D140</f>
        <v>LED 180.01-210</v>
      </c>
      <c r="F146" s="14" t="str">
        <f>'WP12 Condensed Sch. Level Costs'!I140</f>
        <v>No</v>
      </c>
      <c r="G146" s="14">
        <f>'WP12 Condensed Sch. Level Costs'!J140</f>
        <v>0.2</v>
      </c>
      <c r="H146" s="328">
        <f>'WP12 Condensed Sch. Level Costs'!Q140</f>
        <v>2.2529806535397991</v>
      </c>
      <c r="I146" s="328">
        <f>ROUND('WP12 Condensed Sch. Level Costs'!V140,2)</f>
        <v>0</v>
      </c>
    </row>
    <row r="147" spans="1:9" x14ac:dyDescent="0.2">
      <c r="A147" s="32">
        <f t="shared" si="2"/>
        <v>139</v>
      </c>
      <c r="B147" s="27" t="str">
        <f>'WP12 Condensed Sch. Level Costs'!A141</f>
        <v>54E</v>
      </c>
      <c r="C147" s="27"/>
      <c r="D147" s="327" t="str">
        <f>'WP12 Condensed Sch. Level Costs'!C141</f>
        <v>Light Emitting Diode</v>
      </c>
      <c r="E147" s="41" t="str">
        <f>'WP12 Condensed Sch. Level Costs'!D141</f>
        <v>LED 210.01-240</v>
      </c>
      <c r="F147" s="14" t="str">
        <f>'WP12 Condensed Sch. Level Costs'!I141</f>
        <v>No</v>
      </c>
      <c r="G147" s="14">
        <f>'WP12 Condensed Sch. Level Costs'!J141</f>
        <v>0.2</v>
      </c>
      <c r="H147" s="328">
        <f>'WP12 Condensed Sch. Level Costs'!Q141</f>
        <v>2.2529806535397991</v>
      </c>
      <c r="I147" s="328">
        <f>ROUND('WP12 Condensed Sch. Level Costs'!V141,2)</f>
        <v>0</v>
      </c>
    </row>
    <row r="148" spans="1:9" x14ac:dyDescent="0.2">
      <c r="A148" s="32">
        <f t="shared" si="2"/>
        <v>140</v>
      </c>
      <c r="B148" s="27" t="str">
        <f>'WP12 Condensed Sch. Level Costs'!A142</f>
        <v>54E</v>
      </c>
      <c r="C148" s="27"/>
      <c r="D148" s="327" t="str">
        <f>'WP12 Condensed Sch. Level Costs'!C142</f>
        <v>Light Emitting Diode</v>
      </c>
      <c r="E148" s="41" t="str">
        <f>'WP12 Condensed Sch. Level Costs'!D142</f>
        <v>LED 240.01-270</v>
      </c>
      <c r="F148" s="14" t="str">
        <f>'WP12 Condensed Sch. Level Costs'!I142</f>
        <v>No</v>
      </c>
      <c r="G148" s="14">
        <f>'WP12 Condensed Sch. Level Costs'!J142</f>
        <v>0.2</v>
      </c>
      <c r="H148" s="328">
        <f>'WP12 Condensed Sch. Level Costs'!Q142</f>
        <v>2.2529806535397991</v>
      </c>
      <c r="I148" s="328">
        <f>ROUND('WP12 Condensed Sch. Level Costs'!V142,2)</f>
        <v>0</v>
      </c>
    </row>
    <row r="149" spans="1:9" x14ac:dyDescent="0.2">
      <c r="A149" s="32">
        <f t="shared" si="2"/>
        <v>141</v>
      </c>
      <c r="B149" s="27" t="str">
        <f>'WP12 Condensed Sch. Level Costs'!A143</f>
        <v>54E</v>
      </c>
      <c r="C149" s="27"/>
      <c r="D149" s="327" t="str">
        <f>'WP12 Condensed Sch. Level Costs'!C143</f>
        <v>Light Emitting Diode</v>
      </c>
      <c r="E149" s="41" t="str">
        <f>'WP12 Condensed Sch. Level Costs'!D143</f>
        <v>LED 270.01-300</v>
      </c>
      <c r="F149" s="14" t="str">
        <f>'WP12 Condensed Sch. Level Costs'!I143</f>
        <v>No</v>
      </c>
      <c r="G149" s="14">
        <f>'WP12 Condensed Sch. Level Costs'!J143</f>
        <v>0.2</v>
      </c>
      <c r="H149" s="328">
        <f>'WP12 Condensed Sch. Level Costs'!Q143</f>
        <v>2.2529806535397991</v>
      </c>
      <c r="I149" s="328">
        <f>ROUND('WP12 Condensed Sch. Level Costs'!V143,2)</f>
        <v>0</v>
      </c>
    </row>
    <row r="150" spans="1:9" x14ac:dyDescent="0.2">
      <c r="A150" s="32">
        <f t="shared" si="2"/>
        <v>142</v>
      </c>
      <c r="B150" s="27"/>
      <c r="C150" s="27"/>
      <c r="D150" s="327"/>
      <c r="E150" s="41"/>
      <c r="F150" s="14"/>
      <c r="G150" s="14"/>
      <c r="H150" s="328"/>
      <c r="I150" s="328"/>
    </row>
    <row r="151" spans="1:9" x14ac:dyDescent="0.2">
      <c r="A151" s="32">
        <f t="shared" si="2"/>
        <v>143</v>
      </c>
      <c r="B151" s="27" t="str">
        <f>'WP12 Condensed Sch. Level Costs'!A144</f>
        <v>Sch 55 &amp; 56</v>
      </c>
      <c r="C151" s="27"/>
      <c r="D151" s="327"/>
      <c r="E151" s="41"/>
      <c r="F151" s="14"/>
      <c r="G151" s="14"/>
      <c r="H151" s="328"/>
      <c r="I151" s="328"/>
    </row>
    <row r="152" spans="1:9" x14ac:dyDescent="0.2">
      <c r="A152" s="32">
        <f t="shared" si="2"/>
        <v>144</v>
      </c>
      <c r="B152" s="27" t="str">
        <f>'WP12 Condensed Sch. Level Costs'!A145</f>
        <v>55E &amp; 56E</v>
      </c>
      <c r="C152" s="27"/>
      <c r="D152" s="327" t="str">
        <f>'WP12 Condensed Sch. Level Costs'!C145</f>
        <v>Sodium Vapor</v>
      </c>
      <c r="E152" s="41" t="str">
        <f>'WP12 Condensed Sch. Level Costs'!D145</f>
        <v>SV 070</v>
      </c>
      <c r="F152" s="14" t="str">
        <f>'WP12 Condensed Sch. Level Costs'!I145</f>
        <v>Yes</v>
      </c>
      <c r="G152" s="14">
        <f>'WP12 Condensed Sch. Level Costs'!J145</f>
        <v>1</v>
      </c>
      <c r="H152" s="328">
        <f>'WP12 Condensed Sch. Level Costs'!Q145</f>
        <v>2.2529806535397991</v>
      </c>
      <c r="I152" s="328">
        <f>ROUND('WP12 Condensed Sch. Level Costs'!V145,2)</f>
        <v>2.25</v>
      </c>
    </row>
    <row r="153" spans="1:9" x14ac:dyDescent="0.2">
      <c r="A153" s="32">
        <f t="shared" si="2"/>
        <v>145</v>
      </c>
      <c r="B153" s="27" t="str">
        <f>'WP12 Condensed Sch. Level Costs'!A146</f>
        <v>55E &amp; 56E</v>
      </c>
      <c r="C153" s="27"/>
      <c r="D153" s="327" t="str">
        <f>'WP12 Condensed Sch. Level Costs'!C146</f>
        <v>Sodium Vapor</v>
      </c>
      <c r="E153" s="41" t="str">
        <f>'WP12 Condensed Sch. Level Costs'!D146</f>
        <v>SV 100</v>
      </c>
      <c r="F153" s="14" t="str">
        <f>'WP12 Condensed Sch. Level Costs'!I146</f>
        <v>Yes</v>
      </c>
      <c r="G153" s="14">
        <f>'WP12 Condensed Sch. Level Costs'!J146</f>
        <v>1</v>
      </c>
      <c r="H153" s="328">
        <f>'WP12 Condensed Sch. Level Costs'!Q146</f>
        <v>2.2529806535397991</v>
      </c>
      <c r="I153" s="328">
        <f>ROUND('WP12 Condensed Sch. Level Costs'!V146,2)</f>
        <v>2.25</v>
      </c>
    </row>
    <row r="154" spans="1:9" x14ac:dyDescent="0.2">
      <c r="A154" s="32">
        <f t="shared" si="2"/>
        <v>146</v>
      </c>
      <c r="B154" s="27" t="str">
        <f>'WP12 Condensed Sch. Level Costs'!A147</f>
        <v>55E &amp; 56E</v>
      </c>
      <c r="C154" s="27"/>
      <c r="D154" s="327" t="str">
        <f>'WP12 Condensed Sch. Level Costs'!C147</f>
        <v>Sodium Vapor</v>
      </c>
      <c r="E154" s="41" t="str">
        <f>'WP12 Condensed Sch. Level Costs'!D147</f>
        <v>SV 150</v>
      </c>
      <c r="F154" s="14" t="str">
        <f>'WP12 Condensed Sch. Level Costs'!I147</f>
        <v>Yes</v>
      </c>
      <c r="G154" s="14">
        <f>'WP12 Condensed Sch. Level Costs'!J147</f>
        <v>1</v>
      </c>
      <c r="H154" s="328">
        <f>'WP12 Condensed Sch. Level Costs'!Q147</f>
        <v>2.2529806535397991</v>
      </c>
      <c r="I154" s="328">
        <f>ROUND('WP12 Condensed Sch. Level Costs'!V147,2)</f>
        <v>2.25</v>
      </c>
    </row>
    <row r="155" spans="1:9" x14ac:dyDescent="0.2">
      <c r="A155" s="32">
        <f t="shared" si="2"/>
        <v>147</v>
      </c>
      <c r="B155" s="27" t="str">
        <f>'WP12 Condensed Sch. Level Costs'!A148</f>
        <v>55E &amp; 56E</v>
      </c>
      <c r="C155" s="27"/>
      <c r="D155" s="327" t="str">
        <f>'WP12 Condensed Sch. Level Costs'!C148</f>
        <v>Sodium Vapor</v>
      </c>
      <c r="E155" s="41" t="str">
        <f>'WP12 Condensed Sch. Level Costs'!D148</f>
        <v>SV 200</v>
      </c>
      <c r="F155" s="14" t="str">
        <f>'WP12 Condensed Sch. Level Costs'!I148</f>
        <v>Yes</v>
      </c>
      <c r="G155" s="14">
        <f>'WP12 Condensed Sch. Level Costs'!J148</f>
        <v>1</v>
      </c>
      <c r="H155" s="328">
        <f>'WP12 Condensed Sch. Level Costs'!Q148</f>
        <v>2.2529806535397991</v>
      </c>
      <c r="I155" s="328">
        <f>ROUND('WP12 Condensed Sch. Level Costs'!V148,2)</f>
        <v>2.25</v>
      </c>
    </row>
    <row r="156" spans="1:9" x14ac:dyDescent="0.2">
      <c r="A156" s="32">
        <f t="shared" si="2"/>
        <v>148</v>
      </c>
      <c r="B156" s="27" t="str">
        <f>'WP12 Condensed Sch. Level Costs'!A149</f>
        <v>55E &amp; 56E</v>
      </c>
      <c r="C156" s="27"/>
      <c r="D156" s="327" t="str">
        <f>'WP12 Condensed Sch. Level Costs'!C149</f>
        <v>Sodium Vapor</v>
      </c>
      <c r="E156" s="41" t="str">
        <f>'WP12 Condensed Sch. Level Costs'!D149</f>
        <v>SV 250</v>
      </c>
      <c r="F156" s="14" t="str">
        <f>'WP12 Condensed Sch. Level Costs'!I149</f>
        <v>Yes</v>
      </c>
      <c r="G156" s="14">
        <f>'WP12 Condensed Sch. Level Costs'!J149</f>
        <v>1</v>
      </c>
      <c r="H156" s="328">
        <f>'WP12 Condensed Sch. Level Costs'!Q149</f>
        <v>2.2529806535397991</v>
      </c>
      <c r="I156" s="328">
        <f>ROUND('WP12 Condensed Sch. Level Costs'!V149,2)</f>
        <v>2.25</v>
      </c>
    </row>
    <row r="157" spans="1:9" x14ac:dyDescent="0.2">
      <c r="A157" s="32">
        <f t="shared" si="2"/>
        <v>149</v>
      </c>
      <c r="B157" s="27" t="str">
        <f>'WP12 Condensed Sch. Level Costs'!A150</f>
        <v>55E &amp; 56E</v>
      </c>
      <c r="C157" s="27"/>
      <c r="D157" s="327" t="str">
        <f>'WP12 Condensed Sch. Level Costs'!C150</f>
        <v>Sodium Vapor</v>
      </c>
      <c r="E157" s="41" t="str">
        <f>'WP12 Condensed Sch. Level Costs'!D150</f>
        <v>SV 400</v>
      </c>
      <c r="F157" s="14" t="str">
        <f>'WP12 Condensed Sch. Level Costs'!I150</f>
        <v>Yes</v>
      </c>
      <c r="G157" s="14">
        <f>'WP12 Condensed Sch. Level Costs'!J150</f>
        <v>1</v>
      </c>
      <c r="H157" s="328">
        <f>'WP12 Condensed Sch. Level Costs'!Q150</f>
        <v>2.2529806535397991</v>
      </c>
      <c r="I157" s="328">
        <f>ROUND('WP12 Condensed Sch. Level Costs'!V150,2)</f>
        <v>2.25</v>
      </c>
    </row>
    <row r="158" spans="1:9" x14ac:dyDescent="0.2">
      <c r="A158" s="32">
        <f t="shared" si="2"/>
        <v>150</v>
      </c>
      <c r="B158" s="27"/>
      <c r="C158" s="27"/>
      <c r="D158" s="327"/>
      <c r="E158" s="41"/>
      <c r="F158" s="14"/>
      <c r="G158" s="14"/>
      <c r="H158" s="328"/>
      <c r="I158" s="328"/>
    </row>
    <row r="159" spans="1:9" x14ac:dyDescent="0.2">
      <c r="A159" s="32">
        <f t="shared" si="2"/>
        <v>151</v>
      </c>
      <c r="B159" s="27" t="str">
        <f>'WP12 Condensed Sch. Level Costs'!A152</f>
        <v>55E &amp; 56E</v>
      </c>
      <c r="C159" s="27"/>
      <c r="D159" s="327" t="str">
        <f>'WP12 Condensed Sch. Level Costs'!C152</f>
        <v>Metal Halide</v>
      </c>
      <c r="E159" s="41" t="str">
        <f>'WP12 Condensed Sch. Level Costs'!D152</f>
        <v>MH 250</v>
      </c>
      <c r="F159" s="14" t="str">
        <f>'WP12 Condensed Sch. Level Costs'!I152</f>
        <v>Yes</v>
      </c>
      <c r="G159" s="14">
        <f>'WP12 Condensed Sch. Level Costs'!J152</f>
        <v>2</v>
      </c>
      <c r="H159" s="328">
        <f>'WP12 Condensed Sch. Level Costs'!Q152</f>
        <v>2.2529806535397991</v>
      </c>
      <c r="I159" s="328">
        <f>ROUND('WP12 Condensed Sch. Level Costs'!V152,2)</f>
        <v>4.51</v>
      </c>
    </row>
    <row r="160" spans="1:9" x14ac:dyDescent="0.2">
      <c r="A160" s="32">
        <f t="shared" si="2"/>
        <v>152</v>
      </c>
      <c r="B160" s="27"/>
      <c r="C160" s="27"/>
      <c r="D160" s="327"/>
      <c r="E160" s="41"/>
      <c r="F160" s="14"/>
      <c r="G160" s="14"/>
      <c r="H160" s="328"/>
      <c r="I160" s="328"/>
    </row>
    <row r="161" spans="1:9" x14ac:dyDescent="0.2">
      <c r="A161" s="32">
        <f t="shared" si="2"/>
        <v>153</v>
      </c>
      <c r="B161" s="27" t="str">
        <f>'WP12 Condensed Sch. Level Costs'!A154</f>
        <v>55E &amp; 56E</v>
      </c>
      <c r="C161" s="27"/>
      <c r="D161" s="327" t="str">
        <f>'WP12 Condensed Sch. Level Costs'!C154</f>
        <v>Light Emitting Diode</v>
      </c>
      <c r="E161" s="41" t="str">
        <f>'WP12 Condensed Sch. Level Costs'!D154</f>
        <v>LED 0-030</v>
      </c>
      <c r="F161" s="14" t="str">
        <f>'WP12 Condensed Sch. Level Costs'!I154</f>
        <v>Yes</v>
      </c>
      <c r="G161" s="14">
        <f>'WP12 Condensed Sch. Level Costs'!J154</f>
        <v>0.2</v>
      </c>
      <c r="H161" s="328">
        <f>'WP12 Condensed Sch. Level Costs'!Q154</f>
        <v>2.2529806535397991</v>
      </c>
      <c r="I161" s="328">
        <f>ROUND('WP12 Condensed Sch. Level Costs'!V154,2)</f>
        <v>0.45</v>
      </c>
    </row>
    <row r="162" spans="1:9" x14ac:dyDescent="0.2">
      <c r="A162" s="32">
        <f t="shared" si="2"/>
        <v>154</v>
      </c>
      <c r="B162" s="27" t="str">
        <f>'WP12 Condensed Sch. Level Costs'!A155</f>
        <v>55E &amp; 56E</v>
      </c>
      <c r="C162" s="27"/>
      <c r="D162" s="327" t="str">
        <f>'WP12 Condensed Sch. Level Costs'!C155</f>
        <v>Light Emitting Diode</v>
      </c>
      <c r="E162" s="41" t="str">
        <f>'WP12 Condensed Sch. Level Costs'!D155</f>
        <v>LED 030.01-060</v>
      </c>
      <c r="F162" s="14" t="str">
        <f>'WP12 Condensed Sch. Level Costs'!I155</f>
        <v>Yes</v>
      </c>
      <c r="G162" s="14">
        <f>'WP12 Condensed Sch. Level Costs'!J155</f>
        <v>0.2</v>
      </c>
      <c r="H162" s="328">
        <f>'WP12 Condensed Sch. Level Costs'!Q155</f>
        <v>2.2529806535397991</v>
      </c>
      <c r="I162" s="328">
        <f>ROUND('WP12 Condensed Sch. Level Costs'!V155,2)</f>
        <v>0.45</v>
      </c>
    </row>
    <row r="163" spans="1:9" x14ac:dyDescent="0.2">
      <c r="A163" s="32">
        <f t="shared" si="2"/>
        <v>155</v>
      </c>
      <c r="B163" s="27" t="str">
        <f>'WP12 Condensed Sch. Level Costs'!A156</f>
        <v>55E &amp; 56E</v>
      </c>
      <c r="C163" s="27"/>
      <c r="D163" s="327" t="str">
        <f>'WP12 Condensed Sch. Level Costs'!C156</f>
        <v>Light Emitting Diode</v>
      </c>
      <c r="E163" s="41" t="str">
        <f>'WP12 Condensed Sch. Level Costs'!D156</f>
        <v>LED 060.01-090</v>
      </c>
      <c r="F163" s="14" t="str">
        <f>'WP12 Condensed Sch. Level Costs'!I156</f>
        <v>Yes</v>
      </c>
      <c r="G163" s="14">
        <f>'WP12 Condensed Sch. Level Costs'!J156</f>
        <v>0.2</v>
      </c>
      <c r="H163" s="328">
        <f>'WP12 Condensed Sch. Level Costs'!Q156</f>
        <v>2.2529806535397991</v>
      </c>
      <c r="I163" s="328">
        <f>ROUND('WP12 Condensed Sch. Level Costs'!V156,2)</f>
        <v>0.45</v>
      </c>
    </row>
    <row r="164" spans="1:9" x14ac:dyDescent="0.2">
      <c r="A164" s="32">
        <f t="shared" si="2"/>
        <v>156</v>
      </c>
      <c r="B164" s="27" t="str">
        <f>'WP12 Condensed Sch. Level Costs'!A157</f>
        <v>55E &amp; 56E</v>
      </c>
      <c r="C164" s="27"/>
      <c r="D164" s="327" t="str">
        <f>'WP12 Condensed Sch. Level Costs'!C157</f>
        <v>Light Emitting Diode</v>
      </c>
      <c r="E164" s="41" t="str">
        <f>'WP12 Condensed Sch. Level Costs'!D157</f>
        <v>LED 090.01-120</v>
      </c>
      <c r="F164" s="14" t="str">
        <f>'WP12 Condensed Sch. Level Costs'!I157</f>
        <v>Yes</v>
      </c>
      <c r="G164" s="14">
        <f>'WP12 Condensed Sch. Level Costs'!J157</f>
        <v>0.2</v>
      </c>
      <c r="H164" s="328">
        <f>'WP12 Condensed Sch. Level Costs'!Q157</f>
        <v>2.2529806535397991</v>
      </c>
      <c r="I164" s="328">
        <f>ROUND('WP12 Condensed Sch. Level Costs'!V157,2)</f>
        <v>0.45</v>
      </c>
    </row>
    <row r="165" spans="1:9" x14ac:dyDescent="0.2">
      <c r="A165" s="32">
        <f t="shared" si="2"/>
        <v>157</v>
      </c>
      <c r="B165" s="27" t="str">
        <f>'WP12 Condensed Sch. Level Costs'!A158</f>
        <v>55E &amp; 56E</v>
      </c>
      <c r="C165" s="27"/>
      <c r="D165" s="327" t="str">
        <f>'WP12 Condensed Sch. Level Costs'!C158</f>
        <v>Light Emitting Diode</v>
      </c>
      <c r="E165" s="41" t="str">
        <f>'WP12 Condensed Sch. Level Costs'!D158</f>
        <v>LED 120.01-150</v>
      </c>
      <c r="F165" s="14" t="str">
        <f>'WP12 Condensed Sch. Level Costs'!I158</f>
        <v>Yes</v>
      </c>
      <c r="G165" s="14">
        <f>'WP12 Condensed Sch. Level Costs'!J158</f>
        <v>0.2</v>
      </c>
      <c r="H165" s="328">
        <f>'WP12 Condensed Sch. Level Costs'!Q158</f>
        <v>2.2529806535397991</v>
      </c>
      <c r="I165" s="328">
        <f>ROUND('WP12 Condensed Sch. Level Costs'!V158,2)</f>
        <v>0.45</v>
      </c>
    </row>
    <row r="166" spans="1:9" x14ac:dyDescent="0.2">
      <c r="A166" s="32">
        <f t="shared" si="2"/>
        <v>158</v>
      </c>
      <c r="B166" s="27" t="str">
        <f>'WP12 Condensed Sch. Level Costs'!A159</f>
        <v>55E &amp; 56E</v>
      </c>
      <c r="C166" s="27"/>
      <c r="D166" s="327" t="str">
        <f>'WP12 Condensed Sch. Level Costs'!C159</f>
        <v>Light Emitting Diode</v>
      </c>
      <c r="E166" s="41" t="str">
        <f>'WP12 Condensed Sch. Level Costs'!D159</f>
        <v>LED 150.01-180</v>
      </c>
      <c r="F166" s="14" t="str">
        <f>'WP12 Condensed Sch. Level Costs'!I159</f>
        <v>Yes</v>
      </c>
      <c r="G166" s="14">
        <f>'WP12 Condensed Sch. Level Costs'!J159</f>
        <v>0.2</v>
      </c>
      <c r="H166" s="328">
        <f>'WP12 Condensed Sch. Level Costs'!Q159</f>
        <v>2.2529806535397991</v>
      </c>
      <c r="I166" s="328">
        <f>ROUND('WP12 Condensed Sch. Level Costs'!V159,2)</f>
        <v>0.45</v>
      </c>
    </row>
    <row r="167" spans="1:9" x14ac:dyDescent="0.2">
      <c r="A167" s="32">
        <f t="shared" si="2"/>
        <v>159</v>
      </c>
      <c r="B167" s="27" t="str">
        <f>'WP12 Condensed Sch. Level Costs'!A160</f>
        <v>55E &amp; 56E</v>
      </c>
      <c r="C167" s="27"/>
      <c r="D167" s="327" t="str">
        <f>'WP12 Condensed Sch. Level Costs'!C160</f>
        <v>Light Emitting Diode</v>
      </c>
      <c r="E167" s="41" t="str">
        <f>'WP12 Condensed Sch. Level Costs'!D160</f>
        <v>LED 180.01-210</v>
      </c>
      <c r="F167" s="14" t="str">
        <f>'WP12 Condensed Sch. Level Costs'!I160</f>
        <v>Yes</v>
      </c>
      <c r="G167" s="14">
        <f>'WP12 Condensed Sch. Level Costs'!J160</f>
        <v>0.2</v>
      </c>
      <c r="H167" s="328">
        <f>'WP12 Condensed Sch. Level Costs'!Q160</f>
        <v>2.2529806535397991</v>
      </c>
      <c r="I167" s="328">
        <f>ROUND('WP12 Condensed Sch. Level Costs'!V160,2)</f>
        <v>0.45</v>
      </c>
    </row>
    <row r="168" spans="1:9" x14ac:dyDescent="0.2">
      <c r="A168" s="32">
        <f t="shared" si="2"/>
        <v>160</v>
      </c>
      <c r="B168" s="27" t="str">
        <f>'WP12 Condensed Sch. Level Costs'!A161</f>
        <v>55E &amp; 56E</v>
      </c>
      <c r="C168" s="27"/>
      <c r="D168" s="327" t="str">
        <f>'WP12 Condensed Sch. Level Costs'!C161</f>
        <v>Light Emitting Diode</v>
      </c>
      <c r="E168" s="41" t="str">
        <f>'WP12 Condensed Sch. Level Costs'!D161</f>
        <v>LED 210.01-240</v>
      </c>
      <c r="F168" s="14" t="str">
        <f>'WP12 Condensed Sch. Level Costs'!I161</f>
        <v>Yes</v>
      </c>
      <c r="G168" s="14">
        <f>'WP12 Condensed Sch. Level Costs'!J161</f>
        <v>0.2</v>
      </c>
      <c r="H168" s="328">
        <f>'WP12 Condensed Sch. Level Costs'!Q161</f>
        <v>2.2529806535397991</v>
      </c>
      <c r="I168" s="328">
        <f>ROUND('WP12 Condensed Sch. Level Costs'!V161,2)</f>
        <v>0.45</v>
      </c>
    </row>
    <row r="169" spans="1:9" x14ac:dyDescent="0.2">
      <c r="A169" s="32">
        <f t="shared" ref="A169:A217" si="3">A168+1</f>
        <v>161</v>
      </c>
      <c r="B169" s="27" t="str">
        <f>'WP12 Condensed Sch. Level Costs'!A162</f>
        <v>55E &amp; 56E</v>
      </c>
      <c r="C169" s="27"/>
      <c r="D169" s="327" t="str">
        <f>'WP12 Condensed Sch. Level Costs'!C162</f>
        <v>Light Emitting Diode</v>
      </c>
      <c r="E169" s="41" t="str">
        <f>'WP12 Condensed Sch. Level Costs'!D162</f>
        <v>LED 240.01-270</v>
      </c>
      <c r="F169" s="14" t="str">
        <f>'WP12 Condensed Sch. Level Costs'!I162</f>
        <v>Yes</v>
      </c>
      <c r="G169" s="14">
        <f>'WP12 Condensed Sch. Level Costs'!J162</f>
        <v>0.2</v>
      </c>
      <c r="H169" s="328">
        <f>'WP12 Condensed Sch. Level Costs'!Q162</f>
        <v>2.2529806535397991</v>
      </c>
      <c r="I169" s="328">
        <f>ROUND('WP12 Condensed Sch. Level Costs'!V162,2)</f>
        <v>0.45</v>
      </c>
    </row>
    <row r="170" spans="1:9" x14ac:dyDescent="0.2">
      <c r="A170" s="32">
        <f t="shared" si="3"/>
        <v>162</v>
      </c>
      <c r="B170" s="27" t="str">
        <f>'WP12 Condensed Sch. Level Costs'!A163</f>
        <v>55E &amp; 56E</v>
      </c>
      <c r="C170" s="27"/>
      <c r="D170" s="327" t="str">
        <f>'WP12 Condensed Sch. Level Costs'!C163</f>
        <v>Light Emitting Diode</v>
      </c>
      <c r="E170" s="41" t="str">
        <f>'WP12 Condensed Sch. Level Costs'!D163</f>
        <v>LED 270.01-300</v>
      </c>
      <c r="F170" s="14" t="str">
        <f>'WP12 Condensed Sch. Level Costs'!I163</f>
        <v>Yes</v>
      </c>
      <c r="G170" s="14">
        <f>'WP12 Condensed Sch. Level Costs'!J163</f>
        <v>0.2</v>
      </c>
      <c r="H170" s="328">
        <f>'WP12 Condensed Sch. Level Costs'!Q163</f>
        <v>2.2529806535397991</v>
      </c>
      <c r="I170" s="328">
        <f>ROUND('WP12 Condensed Sch. Level Costs'!V163,2)</f>
        <v>0.45</v>
      </c>
    </row>
    <row r="171" spans="1:9" x14ac:dyDescent="0.2">
      <c r="A171" s="32">
        <f t="shared" si="3"/>
        <v>163</v>
      </c>
      <c r="B171" s="27"/>
      <c r="C171" s="27"/>
      <c r="D171" s="327"/>
      <c r="E171" s="41"/>
      <c r="F171" s="14"/>
      <c r="G171" s="14"/>
      <c r="H171" s="328"/>
      <c r="I171" s="328"/>
    </row>
    <row r="172" spans="1:9" x14ac:dyDescent="0.2">
      <c r="A172" s="32">
        <f t="shared" si="3"/>
        <v>164</v>
      </c>
      <c r="B172" s="27" t="str">
        <f>'WP12 Condensed Sch. Level Costs'!A164</f>
        <v>Sch 58 &amp; 59</v>
      </c>
      <c r="C172" s="27"/>
      <c r="D172" s="327"/>
      <c r="E172" s="41"/>
      <c r="F172" s="14"/>
      <c r="G172" s="14"/>
      <c r="H172" s="328"/>
      <c r="I172" s="328"/>
    </row>
    <row r="173" spans="1:9" x14ac:dyDescent="0.2">
      <c r="A173" s="32">
        <f t="shared" si="3"/>
        <v>165</v>
      </c>
      <c r="B173" s="27" t="str">
        <f>'WP12 Condensed Sch. Level Costs'!A165</f>
        <v>58E &amp; 59E</v>
      </c>
      <c r="C173" s="27"/>
      <c r="D173" s="327" t="str">
        <f>'WP12 Condensed Sch. Level Costs'!C165</f>
        <v>Sodium Vapor</v>
      </c>
      <c r="E173" s="41" t="str">
        <f>'WP12 Condensed Sch. Level Costs'!D165</f>
        <v>DSV 070</v>
      </c>
      <c r="F173" s="14" t="str">
        <f>'WP12 Condensed Sch. Level Costs'!I165</f>
        <v>Yes</v>
      </c>
      <c r="G173" s="14">
        <f>'WP12 Condensed Sch. Level Costs'!J165</f>
        <v>1</v>
      </c>
      <c r="H173" s="328">
        <f>'WP12 Condensed Sch. Level Costs'!Q165</f>
        <v>2.2529806535397991</v>
      </c>
      <c r="I173" s="328">
        <f>ROUND('WP12 Condensed Sch. Level Costs'!V165,2)</f>
        <v>2.25</v>
      </c>
    </row>
    <row r="174" spans="1:9" x14ac:dyDescent="0.2">
      <c r="A174" s="32">
        <f t="shared" si="3"/>
        <v>166</v>
      </c>
      <c r="B174" s="27" t="str">
        <f>'WP12 Condensed Sch. Level Costs'!A166</f>
        <v>58E &amp; 59E</v>
      </c>
      <c r="C174" s="27"/>
      <c r="D174" s="327" t="str">
        <f>'WP12 Condensed Sch. Level Costs'!C166</f>
        <v>Sodium Vapor</v>
      </c>
      <c r="E174" s="41" t="str">
        <f>'WP12 Condensed Sch. Level Costs'!D166</f>
        <v>DSV 100</v>
      </c>
      <c r="F174" s="14" t="str">
        <f>'WP12 Condensed Sch. Level Costs'!I166</f>
        <v>Yes</v>
      </c>
      <c r="G174" s="14">
        <f>'WP12 Condensed Sch. Level Costs'!J166</f>
        <v>1</v>
      </c>
      <c r="H174" s="328">
        <f>'WP12 Condensed Sch. Level Costs'!Q166</f>
        <v>2.2529806535397991</v>
      </c>
      <c r="I174" s="328">
        <f>ROUND('WP12 Condensed Sch. Level Costs'!V166,2)</f>
        <v>2.25</v>
      </c>
    </row>
    <row r="175" spans="1:9" x14ac:dyDescent="0.2">
      <c r="A175" s="32">
        <f t="shared" si="3"/>
        <v>167</v>
      </c>
      <c r="B175" s="27" t="str">
        <f>'WP12 Condensed Sch. Level Costs'!A167</f>
        <v>58E &amp; 59E</v>
      </c>
      <c r="C175" s="27"/>
      <c r="D175" s="327" t="str">
        <f>'WP12 Condensed Sch. Level Costs'!C167</f>
        <v>Sodium Vapor</v>
      </c>
      <c r="E175" s="41" t="str">
        <f>'WP12 Condensed Sch. Level Costs'!D167</f>
        <v>DSV 150</v>
      </c>
      <c r="F175" s="14" t="str">
        <f>'WP12 Condensed Sch. Level Costs'!I167</f>
        <v>Yes</v>
      </c>
      <c r="G175" s="14">
        <f>'WP12 Condensed Sch. Level Costs'!J167</f>
        <v>1</v>
      </c>
      <c r="H175" s="328">
        <f>'WP12 Condensed Sch. Level Costs'!Q167</f>
        <v>2.2529806535397991</v>
      </c>
      <c r="I175" s="328">
        <f>ROUND('WP12 Condensed Sch. Level Costs'!V167,2)</f>
        <v>2.25</v>
      </c>
    </row>
    <row r="176" spans="1:9" x14ac:dyDescent="0.2">
      <c r="A176" s="32">
        <f t="shared" si="3"/>
        <v>168</v>
      </c>
      <c r="B176" s="27" t="str">
        <f>'WP12 Condensed Sch. Level Costs'!A168</f>
        <v>58E &amp; 59E</v>
      </c>
      <c r="C176" s="27"/>
      <c r="D176" s="327" t="str">
        <f>'WP12 Condensed Sch. Level Costs'!C168</f>
        <v>Sodium Vapor</v>
      </c>
      <c r="E176" s="41" t="str">
        <f>'WP12 Condensed Sch. Level Costs'!D168</f>
        <v>DSV 200</v>
      </c>
      <c r="F176" s="14" t="str">
        <f>'WP12 Condensed Sch. Level Costs'!I168</f>
        <v>Yes</v>
      </c>
      <c r="G176" s="14">
        <f>'WP12 Condensed Sch. Level Costs'!J168</f>
        <v>1</v>
      </c>
      <c r="H176" s="328">
        <f>'WP12 Condensed Sch. Level Costs'!Q168</f>
        <v>2.2529806535397991</v>
      </c>
      <c r="I176" s="328">
        <f>ROUND('WP12 Condensed Sch. Level Costs'!V168,2)</f>
        <v>2.25</v>
      </c>
    </row>
    <row r="177" spans="1:9" x14ac:dyDescent="0.2">
      <c r="A177" s="32">
        <f t="shared" si="3"/>
        <v>169</v>
      </c>
      <c r="B177" s="27" t="str">
        <f>'WP12 Condensed Sch. Level Costs'!A169</f>
        <v>58E &amp; 59E</v>
      </c>
      <c r="C177" s="27"/>
      <c r="D177" s="327" t="str">
        <f>'WP12 Condensed Sch. Level Costs'!C169</f>
        <v>Sodium Vapor</v>
      </c>
      <c r="E177" s="41" t="str">
        <f>'WP12 Condensed Sch. Level Costs'!D169</f>
        <v>DSV 250</v>
      </c>
      <c r="F177" s="14" t="str">
        <f>'WP12 Condensed Sch. Level Costs'!I169</f>
        <v>Yes</v>
      </c>
      <c r="G177" s="14">
        <f>'WP12 Condensed Sch. Level Costs'!J169</f>
        <v>1</v>
      </c>
      <c r="H177" s="328">
        <f>'WP12 Condensed Sch. Level Costs'!Q169</f>
        <v>2.2529806535397991</v>
      </c>
      <c r="I177" s="328">
        <f>ROUND('WP12 Condensed Sch. Level Costs'!V169,2)</f>
        <v>2.25</v>
      </c>
    </row>
    <row r="178" spans="1:9" x14ac:dyDescent="0.2">
      <c r="A178" s="32">
        <f t="shared" si="3"/>
        <v>170</v>
      </c>
      <c r="B178" s="27" t="str">
        <f>'WP12 Condensed Sch. Level Costs'!A170</f>
        <v>58E &amp; 59E</v>
      </c>
      <c r="C178" s="27"/>
      <c r="D178" s="327" t="str">
        <f>'WP12 Condensed Sch. Level Costs'!C170</f>
        <v>Sodium Vapor</v>
      </c>
      <c r="E178" s="41" t="str">
        <f>'WP12 Condensed Sch. Level Costs'!D170</f>
        <v>DSV 400</v>
      </c>
      <c r="F178" s="14" t="str">
        <f>'WP12 Condensed Sch. Level Costs'!I170</f>
        <v>Yes</v>
      </c>
      <c r="G178" s="14">
        <f>'WP12 Condensed Sch. Level Costs'!J170</f>
        <v>1</v>
      </c>
      <c r="H178" s="328">
        <f>'WP12 Condensed Sch. Level Costs'!Q170</f>
        <v>2.2529806535397991</v>
      </c>
      <c r="I178" s="328">
        <f>ROUND('WP12 Condensed Sch. Level Costs'!V170,2)</f>
        <v>2.25</v>
      </c>
    </row>
    <row r="179" spans="1:9" x14ac:dyDescent="0.2">
      <c r="A179" s="32">
        <f t="shared" si="3"/>
        <v>171</v>
      </c>
      <c r="B179" s="27"/>
      <c r="C179" s="27"/>
      <c r="D179" s="327"/>
      <c r="E179" s="41"/>
      <c r="F179" s="14"/>
      <c r="G179" s="14"/>
      <c r="H179" s="328"/>
      <c r="I179" s="328"/>
    </row>
    <row r="180" spans="1:9" x14ac:dyDescent="0.2">
      <c r="A180" s="32">
        <f t="shared" si="3"/>
        <v>172</v>
      </c>
      <c r="B180" s="27" t="str">
        <f>'WP12 Condensed Sch. Level Costs'!A172</f>
        <v>58E &amp; 59E</v>
      </c>
      <c r="C180" s="27"/>
      <c r="D180" s="327" t="str">
        <f>'WP12 Condensed Sch. Level Costs'!C172</f>
        <v>Sodium Vapor</v>
      </c>
      <c r="E180" s="41" t="str">
        <f>'WP12 Condensed Sch. Level Costs'!D172</f>
        <v>HSV 100</v>
      </c>
      <c r="F180" s="14" t="str">
        <f>'WP12 Condensed Sch. Level Costs'!I172</f>
        <v>Yes</v>
      </c>
      <c r="G180" s="14">
        <f>'WP12 Condensed Sch. Level Costs'!J172</f>
        <v>1</v>
      </c>
      <c r="H180" s="328">
        <f>'WP12 Condensed Sch. Level Costs'!Q172</f>
        <v>2.2529806535397991</v>
      </c>
      <c r="I180" s="328">
        <f>ROUND('WP12 Condensed Sch. Level Costs'!V172,2)</f>
        <v>2.25</v>
      </c>
    </row>
    <row r="181" spans="1:9" x14ac:dyDescent="0.2">
      <c r="A181" s="32">
        <f t="shared" si="3"/>
        <v>173</v>
      </c>
      <c r="B181" s="27" t="str">
        <f>'WP12 Condensed Sch. Level Costs'!A173</f>
        <v>58E &amp; 59E</v>
      </c>
      <c r="C181" s="27"/>
      <c r="D181" s="327" t="str">
        <f>'WP12 Condensed Sch. Level Costs'!C173</f>
        <v>Sodium Vapor</v>
      </c>
      <c r="E181" s="41" t="str">
        <f>'WP12 Condensed Sch. Level Costs'!D173</f>
        <v>HSV 150</v>
      </c>
      <c r="F181" s="14" t="str">
        <f>'WP12 Condensed Sch. Level Costs'!I173</f>
        <v>Yes</v>
      </c>
      <c r="G181" s="14">
        <f>'WP12 Condensed Sch. Level Costs'!J173</f>
        <v>1</v>
      </c>
      <c r="H181" s="328">
        <f>'WP12 Condensed Sch. Level Costs'!Q173</f>
        <v>2.2529806535397991</v>
      </c>
      <c r="I181" s="328">
        <f>ROUND('WP12 Condensed Sch. Level Costs'!V173,2)</f>
        <v>2.25</v>
      </c>
    </row>
    <row r="182" spans="1:9" x14ac:dyDescent="0.2">
      <c r="A182" s="32">
        <f t="shared" si="3"/>
        <v>174</v>
      </c>
      <c r="B182" s="27" t="str">
        <f>'WP12 Condensed Sch. Level Costs'!A174</f>
        <v>58E &amp; 59E</v>
      </c>
      <c r="C182" s="27"/>
      <c r="D182" s="327" t="str">
        <f>'WP12 Condensed Sch. Level Costs'!C174</f>
        <v>Sodium Vapor</v>
      </c>
      <c r="E182" s="41" t="str">
        <f>'WP12 Condensed Sch. Level Costs'!D174</f>
        <v>HSV 200</v>
      </c>
      <c r="F182" s="14" t="str">
        <f>'WP12 Condensed Sch. Level Costs'!I174</f>
        <v>Yes</v>
      </c>
      <c r="G182" s="14">
        <f>'WP12 Condensed Sch. Level Costs'!J174</f>
        <v>1</v>
      </c>
      <c r="H182" s="328">
        <f>'WP12 Condensed Sch. Level Costs'!Q174</f>
        <v>2.2529806535397991</v>
      </c>
      <c r="I182" s="328">
        <f>ROUND('WP12 Condensed Sch. Level Costs'!V174,2)</f>
        <v>2.25</v>
      </c>
    </row>
    <row r="183" spans="1:9" x14ac:dyDescent="0.2">
      <c r="A183" s="32">
        <f t="shared" si="3"/>
        <v>175</v>
      </c>
      <c r="B183" s="27" t="str">
        <f>'WP12 Condensed Sch. Level Costs'!A175</f>
        <v>58E &amp; 59E</v>
      </c>
      <c r="C183" s="27"/>
      <c r="D183" s="327" t="str">
        <f>'WP12 Condensed Sch. Level Costs'!C175</f>
        <v>Sodium Vapor</v>
      </c>
      <c r="E183" s="41" t="str">
        <f>'WP12 Condensed Sch. Level Costs'!D175</f>
        <v>HSV 250</v>
      </c>
      <c r="F183" s="14" t="str">
        <f>'WP12 Condensed Sch. Level Costs'!I175</f>
        <v>Yes</v>
      </c>
      <c r="G183" s="14">
        <f>'WP12 Condensed Sch. Level Costs'!J175</f>
        <v>1</v>
      </c>
      <c r="H183" s="328">
        <f>'WP12 Condensed Sch. Level Costs'!Q175</f>
        <v>2.2529806535397991</v>
      </c>
      <c r="I183" s="328">
        <f>ROUND('WP12 Condensed Sch. Level Costs'!V175,2)</f>
        <v>2.25</v>
      </c>
    </row>
    <row r="184" spans="1:9" x14ac:dyDescent="0.2">
      <c r="A184" s="32">
        <f t="shared" si="3"/>
        <v>176</v>
      </c>
      <c r="B184" s="27" t="str">
        <f>'WP12 Condensed Sch. Level Costs'!A176</f>
        <v>58E &amp; 59E</v>
      </c>
      <c r="C184" s="27"/>
      <c r="D184" s="327" t="str">
        <f>'WP12 Condensed Sch. Level Costs'!C176</f>
        <v>Sodium Vapor</v>
      </c>
      <c r="E184" s="41" t="str">
        <f>'WP12 Condensed Sch. Level Costs'!D176</f>
        <v>HSV 400</v>
      </c>
      <c r="F184" s="14" t="str">
        <f>'WP12 Condensed Sch. Level Costs'!I176</f>
        <v>Yes</v>
      </c>
      <c r="G184" s="14">
        <f>'WP12 Condensed Sch. Level Costs'!J176</f>
        <v>1</v>
      </c>
      <c r="H184" s="328">
        <f>'WP12 Condensed Sch. Level Costs'!Q176</f>
        <v>2.2529806535397991</v>
      </c>
      <c r="I184" s="328">
        <f>ROUND('WP12 Condensed Sch. Level Costs'!V176,2)</f>
        <v>2.25</v>
      </c>
    </row>
    <row r="185" spans="1:9" x14ac:dyDescent="0.2">
      <c r="A185" s="32">
        <f t="shared" si="3"/>
        <v>177</v>
      </c>
      <c r="B185" s="27"/>
      <c r="C185" s="27"/>
      <c r="D185" s="327"/>
      <c r="E185" s="41"/>
      <c r="F185" s="14"/>
      <c r="G185" s="14"/>
      <c r="H185" s="328"/>
      <c r="I185" s="328"/>
    </row>
    <row r="186" spans="1:9" x14ac:dyDescent="0.2">
      <c r="A186" s="32">
        <f t="shared" si="3"/>
        <v>178</v>
      </c>
      <c r="B186" s="27" t="str">
        <f>'WP12 Condensed Sch. Level Costs'!A178</f>
        <v>58E &amp; 59E</v>
      </c>
      <c r="C186" s="27"/>
      <c r="D186" s="327" t="str">
        <f>'WP12 Condensed Sch. Level Costs'!C178</f>
        <v>Metal Halide</v>
      </c>
      <c r="E186" s="41" t="str">
        <f>'WP12 Condensed Sch. Level Costs'!D178</f>
        <v>DMH 175</v>
      </c>
      <c r="F186" s="14" t="str">
        <f>'WP12 Condensed Sch. Level Costs'!I178</f>
        <v>Yes</v>
      </c>
      <c r="G186" s="14">
        <f>'WP12 Condensed Sch. Level Costs'!J178</f>
        <v>2</v>
      </c>
      <c r="H186" s="328">
        <f>'WP12 Condensed Sch. Level Costs'!Q178</f>
        <v>2.2529806535397991</v>
      </c>
      <c r="I186" s="328">
        <f>ROUND('WP12 Condensed Sch. Level Costs'!V178,2)</f>
        <v>4.51</v>
      </c>
    </row>
    <row r="187" spans="1:9" x14ac:dyDescent="0.2">
      <c r="A187" s="32">
        <f t="shared" si="3"/>
        <v>179</v>
      </c>
      <c r="B187" s="27" t="str">
        <f>'WP12 Condensed Sch. Level Costs'!A179</f>
        <v>58E &amp; 59E</v>
      </c>
      <c r="C187" s="27"/>
      <c r="D187" s="327" t="str">
        <f>'WP12 Condensed Sch. Level Costs'!C179</f>
        <v>Metal Halide</v>
      </c>
      <c r="E187" s="41" t="str">
        <f>'WP12 Condensed Sch. Level Costs'!D179</f>
        <v>DMH 250</v>
      </c>
      <c r="F187" s="14" t="str">
        <f>'WP12 Condensed Sch. Level Costs'!I179</f>
        <v>Yes</v>
      </c>
      <c r="G187" s="14">
        <f>'WP12 Condensed Sch. Level Costs'!J179</f>
        <v>2</v>
      </c>
      <c r="H187" s="328">
        <f>'WP12 Condensed Sch. Level Costs'!Q179</f>
        <v>2.2529806535397991</v>
      </c>
      <c r="I187" s="328">
        <f>ROUND('WP12 Condensed Sch. Level Costs'!V179,2)</f>
        <v>4.51</v>
      </c>
    </row>
    <row r="188" spans="1:9" x14ac:dyDescent="0.2">
      <c r="A188" s="32">
        <f t="shared" si="3"/>
        <v>180</v>
      </c>
      <c r="B188" s="27" t="str">
        <f>'WP12 Condensed Sch. Level Costs'!A180</f>
        <v>58E &amp; 59E</v>
      </c>
      <c r="C188" s="27"/>
      <c r="D188" s="327" t="str">
        <f>'WP12 Condensed Sch. Level Costs'!C180</f>
        <v>Metal Halide</v>
      </c>
      <c r="E188" s="41" t="str">
        <f>'WP12 Condensed Sch. Level Costs'!D180</f>
        <v>DMH 400</v>
      </c>
      <c r="F188" s="14" t="str">
        <f>'WP12 Condensed Sch. Level Costs'!I180</f>
        <v>Yes</v>
      </c>
      <c r="G188" s="14">
        <f>'WP12 Condensed Sch. Level Costs'!J180</f>
        <v>2</v>
      </c>
      <c r="H188" s="328">
        <f>'WP12 Condensed Sch. Level Costs'!Q180</f>
        <v>2.2529806535397991</v>
      </c>
      <c r="I188" s="328">
        <f>ROUND('WP12 Condensed Sch. Level Costs'!V180,2)</f>
        <v>4.51</v>
      </c>
    </row>
    <row r="189" spans="1:9" x14ac:dyDescent="0.2">
      <c r="A189" s="32">
        <f t="shared" si="3"/>
        <v>181</v>
      </c>
      <c r="B189" s="27" t="str">
        <f>'WP12 Condensed Sch. Level Costs'!A181</f>
        <v>58E &amp; 59E</v>
      </c>
      <c r="C189" s="27"/>
      <c r="D189" s="327" t="str">
        <f>'WP12 Condensed Sch. Level Costs'!C181</f>
        <v>Metal Halide</v>
      </c>
      <c r="E189" s="41" t="str">
        <f>'WP12 Condensed Sch. Level Costs'!D181</f>
        <v>DMH 1000</v>
      </c>
      <c r="F189" s="14" t="str">
        <f>'WP12 Condensed Sch. Level Costs'!I181</f>
        <v>Yes</v>
      </c>
      <c r="G189" s="14">
        <f>'WP12 Condensed Sch. Level Costs'!J181</f>
        <v>2</v>
      </c>
      <c r="H189" s="328">
        <f>'WP12 Condensed Sch. Level Costs'!Q181</f>
        <v>2.2529806535397991</v>
      </c>
      <c r="I189" s="328">
        <f>ROUND('WP12 Condensed Sch. Level Costs'!V181,2)</f>
        <v>4.51</v>
      </c>
    </row>
    <row r="190" spans="1:9" x14ac:dyDescent="0.2">
      <c r="A190" s="32">
        <f t="shared" si="3"/>
        <v>182</v>
      </c>
      <c r="B190" s="27"/>
      <c r="C190" s="27"/>
      <c r="D190" s="327"/>
      <c r="E190" s="41"/>
      <c r="F190" s="14"/>
      <c r="G190" s="14"/>
      <c r="H190" s="328"/>
      <c r="I190" s="328"/>
    </row>
    <row r="191" spans="1:9" x14ac:dyDescent="0.2">
      <c r="A191" s="32">
        <f t="shared" si="3"/>
        <v>183</v>
      </c>
      <c r="B191" s="27" t="str">
        <f>'WP12 Condensed Sch. Level Costs'!A183</f>
        <v>58E &amp; 59E</v>
      </c>
      <c r="C191" s="27"/>
      <c r="D191" s="327" t="str">
        <f>'WP12 Condensed Sch. Level Costs'!C183</f>
        <v>Metal Halide</v>
      </c>
      <c r="E191" s="41" t="str">
        <f>'WP12 Condensed Sch. Level Costs'!D183</f>
        <v>HMH 250</v>
      </c>
      <c r="F191" s="14" t="str">
        <f>'WP12 Condensed Sch. Level Costs'!I183</f>
        <v>Yes</v>
      </c>
      <c r="G191" s="14">
        <f>'WP12 Condensed Sch. Level Costs'!J183</f>
        <v>2</v>
      </c>
      <c r="H191" s="328">
        <f>'WP12 Condensed Sch. Level Costs'!Q183</f>
        <v>2.2529806535397991</v>
      </c>
      <c r="I191" s="328">
        <f>ROUND('WP12 Condensed Sch. Level Costs'!V183,2)</f>
        <v>4.51</v>
      </c>
    </row>
    <row r="192" spans="1:9" x14ac:dyDescent="0.2">
      <c r="A192" s="32">
        <f t="shared" si="3"/>
        <v>184</v>
      </c>
      <c r="B192" s="27" t="str">
        <f>'WP12 Condensed Sch. Level Costs'!A184</f>
        <v>58E &amp; 59E</v>
      </c>
      <c r="C192" s="27"/>
      <c r="D192" s="327" t="str">
        <f>'WP12 Condensed Sch. Level Costs'!C184</f>
        <v>Metal Halide</v>
      </c>
      <c r="E192" s="41" t="str">
        <f>'WP12 Condensed Sch. Level Costs'!D184</f>
        <v>HMH 400</v>
      </c>
      <c r="F192" s="14" t="str">
        <f>'WP12 Condensed Sch. Level Costs'!I184</f>
        <v>Yes</v>
      </c>
      <c r="G192" s="14">
        <f>'WP12 Condensed Sch. Level Costs'!J184</f>
        <v>2</v>
      </c>
      <c r="H192" s="328">
        <f>'WP12 Condensed Sch. Level Costs'!Q184</f>
        <v>2.2529806535397991</v>
      </c>
      <c r="I192" s="328">
        <f>ROUND('WP12 Condensed Sch. Level Costs'!V184,2)</f>
        <v>4.51</v>
      </c>
    </row>
    <row r="193" spans="1:9" x14ac:dyDescent="0.2">
      <c r="A193" s="32">
        <f t="shared" si="3"/>
        <v>185</v>
      </c>
      <c r="B193" s="27"/>
      <c r="C193" s="27"/>
      <c r="D193" s="327"/>
      <c r="E193" s="41"/>
      <c r="F193" s="14"/>
      <c r="G193" s="14"/>
      <c r="H193" s="328"/>
      <c r="I193" s="328"/>
    </row>
    <row r="194" spans="1:9" x14ac:dyDescent="0.2">
      <c r="A194" s="32">
        <f t="shared" si="3"/>
        <v>186</v>
      </c>
      <c r="B194" s="27" t="str">
        <f>'WP12 Condensed Sch. Level Costs'!A186</f>
        <v>58E &amp; 59E</v>
      </c>
      <c r="C194" s="27"/>
      <c r="D194" s="327" t="str">
        <f>'WP12 Condensed Sch. Level Costs'!C186</f>
        <v>Light Emitting Diode</v>
      </c>
      <c r="E194" s="41" t="str">
        <f>'WP12 Condensed Sch. Level Costs'!D186</f>
        <v>LED 0-030</v>
      </c>
      <c r="F194" s="14" t="str">
        <f>'WP12 Condensed Sch. Level Costs'!I186</f>
        <v>Yes</v>
      </c>
      <c r="G194" s="14">
        <f>'WP12 Condensed Sch. Level Costs'!J186</f>
        <v>0.2</v>
      </c>
      <c r="H194" s="328">
        <f>'WP12 Condensed Sch. Level Costs'!Q186</f>
        <v>2.2529806535397991</v>
      </c>
      <c r="I194" s="328">
        <f>ROUND('WP12 Condensed Sch. Level Costs'!V186,2)</f>
        <v>0.45</v>
      </c>
    </row>
    <row r="195" spans="1:9" x14ac:dyDescent="0.2">
      <c r="A195" s="32">
        <f t="shared" si="3"/>
        <v>187</v>
      </c>
      <c r="B195" s="27" t="str">
        <f>'WP12 Condensed Sch. Level Costs'!A187</f>
        <v>58E &amp; 59E</v>
      </c>
      <c r="C195" s="27"/>
      <c r="D195" s="327" t="str">
        <f>'WP12 Condensed Sch. Level Costs'!C187</f>
        <v>Light Emitting Diode</v>
      </c>
      <c r="E195" s="41" t="str">
        <f>'WP12 Condensed Sch. Level Costs'!D187</f>
        <v>LED 030.01-060</v>
      </c>
      <c r="F195" s="14" t="str">
        <f>'WP12 Condensed Sch. Level Costs'!I187</f>
        <v>Yes</v>
      </c>
      <c r="G195" s="14">
        <f>'WP12 Condensed Sch. Level Costs'!J187</f>
        <v>0.2</v>
      </c>
      <c r="H195" s="328">
        <f>'WP12 Condensed Sch. Level Costs'!Q187</f>
        <v>2.2529806535397991</v>
      </c>
      <c r="I195" s="328">
        <f>ROUND('WP12 Condensed Sch. Level Costs'!V187,2)</f>
        <v>0.45</v>
      </c>
    </row>
    <row r="196" spans="1:9" x14ac:dyDescent="0.2">
      <c r="A196" s="32">
        <f t="shared" si="3"/>
        <v>188</v>
      </c>
      <c r="B196" s="27" t="str">
        <f>'WP12 Condensed Sch. Level Costs'!A188</f>
        <v>58E &amp; 59E</v>
      </c>
      <c r="C196" s="27"/>
      <c r="D196" s="327" t="str">
        <f>'WP12 Condensed Sch. Level Costs'!C188</f>
        <v>Light Emitting Diode</v>
      </c>
      <c r="E196" s="41" t="str">
        <f>'WP12 Condensed Sch. Level Costs'!D188</f>
        <v>LED 060.01-090</v>
      </c>
      <c r="F196" s="14" t="str">
        <f>'WP12 Condensed Sch. Level Costs'!I188</f>
        <v>Yes</v>
      </c>
      <c r="G196" s="14">
        <f>'WP12 Condensed Sch. Level Costs'!J188</f>
        <v>0.2</v>
      </c>
      <c r="H196" s="328">
        <f>'WP12 Condensed Sch. Level Costs'!Q188</f>
        <v>2.2529806535397991</v>
      </c>
      <c r="I196" s="328">
        <f>ROUND('WP12 Condensed Sch. Level Costs'!V188,2)</f>
        <v>0.45</v>
      </c>
    </row>
    <row r="197" spans="1:9" x14ac:dyDescent="0.2">
      <c r="A197" s="32">
        <f t="shared" si="3"/>
        <v>189</v>
      </c>
      <c r="B197" s="27" t="str">
        <f>'WP12 Condensed Sch. Level Costs'!A189</f>
        <v>58E &amp; 59E</v>
      </c>
      <c r="C197" s="27"/>
      <c r="D197" s="327" t="str">
        <f>'WP12 Condensed Sch. Level Costs'!C189</f>
        <v>Light Emitting Diode</v>
      </c>
      <c r="E197" s="41" t="str">
        <f>'WP12 Condensed Sch. Level Costs'!D189</f>
        <v>LED 090.01-120</v>
      </c>
      <c r="F197" s="14" t="str">
        <f>'WP12 Condensed Sch. Level Costs'!I189</f>
        <v>Yes</v>
      </c>
      <c r="G197" s="14">
        <f>'WP12 Condensed Sch. Level Costs'!J189</f>
        <v>0.2</v>
      </c>
      <c r="H197" s="328">
        <f>'WP12 Condensed Sch. Level Costs'!Q189</f>
        <v>2.2529806535397991</v>
      </c>
      <c r="I197" s="328">
        <f>ROUND('WP12 Condensed Sch. Level Costs'!V189,2)</f>
        <v>0.45</v>
      </c>
    </row>
    <row r="198" spans="1:9" x14ac:dyDescent="0.2">
      <c r="A198" s="32">
        <f t="shared" si="3"/>
        <v>190</v>
      </c>
      <c r="B198" s="27" t="str">
        <f>'WP12 Condensed Sch. Level Costs'!A190</f>
        <v>58E &amp; 59E</v>
      </c>
      <c r="C198" s="27"/>
      <c r="D198" s="327" t="str">
        <f>'WP12 Condensed Sch. Level Costs'!C190</f>
        <v>Light Emitting Diode</v>
      </c>
      <c r="E198" s="41" t="str">
        <f>'WP12 Condensed Sch. Level Costs'!D190</f>
        <v>LED 120.01-150</v>
      </c>
      <c r="F198" s="14" t="str">
        <f>'WP12 Condensed Sch. Level Costs'!I190</f>
        <v>Yes</v>
      </c>
      <c r="G198" s="14">
        <f>'WP12 Condensed Sch. Level Costs'!J190</f>
        <v>0.2</v>
      </c>
      <c r="H198" s="328">
        <f>'WP12 Condensed Sch. Level Costs'!Q190</f>
        <v>2.2529806535397991</v>
      </c>
      <c r="I198" s="328">
        <f>ROUND('WP12 Condensed Sch. Level Costs'!V190,2)</f>
        <v>0.45</v>
      </c>
    </row>
    <row r="199" spans="1:9" x14ac:dyDescent="0.2">
      <c r="A199" s="32">
        <f t="shared" si="3"/>
        <v>191</v>
      </c>
      <c r="B199" s="27" t="str">
        <f>'WP12 Condensed Sch. Level Costs'!A191</f>
        <v>58E &amp; 59E</v>
      </c>
      <c r="C199" s="27"/>
      <c r="D199" s="327" t="str">
        <f>'WP12 Condensed Sch. Level Costs'!C191</f>
        <v>Light Emitting Diode</v>
      </c>
      <c r="E199" s="41" t="str">
        <f>'WP12 Condensed Sch. Level Costs'!D191</f>
        <v>LED 150.01-180</v>
      </c>
      <c r="F199" s="14" t="str">
        <f>'WP12 Condensed Sch. Level Costs'!I191</f>
        <v>Yes</v>
      </c>
      <c r="G199" s="14">
        <f>'WP12 Condensed Sch. Level Costs'!J191</f>
        <v>0.2</v>
      </c>
      <c r="H199" s="328">
        <f>'WP12 Condensed Sch. Level Costs'!Q191</f>
        <v>2.2529806535397991</v>
      </c>
      <c r="I199" s="328">
        <f>ROUND('WP12 Condensed Sch. Level Costs'!V191,2)</f>
        <v>0.45</v>
      </c>
    </row>
    <row r="200" spans="1:9" x14ac:dyDescent="0.2">
      <c r="A200" s="32">
        <f t="shared" si="3"/>
        <v>192</v>
      </c>
      <c r="B200" s="27" t="str">
        <f>'WP12 Condensed Sch. Level Costs'!A192</f>
        <v>58E &amp; 59E</v>
      </c>
      <c r="C200" s="27"/>
      <c r="D200" s="327" t="str">
        <f>'WP12 Condensed Sch. Level Costs'!C192</f>
        <v>Light Emitting Diode</v>
      </c>
      <c r="E200" s="41" t="str">
        <f>'WP12 Condensed Sch. Level Costs'!D192</f>
        <v>LED 180.01-210</v>
      </c>
      <c r="F200" s="14" t="str">
        <f>'WP12 Condensed Sch. Level Costs'!I192</f>
        <v>Yes</v>
      </c>
      <c r="G200" s="14">
        <f>'WP12 Condensed Sch. Level Costs'!J192</f>
        <v>0.2</v>
      </c>
      <c r="H200" s="328">
        <f>'WP12 Condensed Sch. Level Costs'!Q192</f>
        <v>2.2529806535397991</v>
      </c>
      <c r="I200" s="328">
        <f>ROUND('WP12 Condensed Sch. Level Costs'!V192,2)</f>
        <v>0.45</v>
      </c>
    </row>
    <row r="201" spans="1:9" x14ac:dyDescent="0.2">
      <c r="A201" s="32">
        <f t="shared" si="3"/>
        <v>193</v>
      </c>
      <c r="B201" s="27" t="str">
        <f>'WP12 Condensed Sch. Level Costs'!A193</f>
        <v>58E &amp; 59E</v>
      </c>
      <c r="C201" s="27"/>
      <c r="D201" s="327" t="str">
        <f>'WP12 Condensed Sch. Level Costs'!C193</f>
        <v>Light Emitting Diode</v>
      </c>
      <c r="E201" s="41" t="str">
        <f>'WP12 Condensed Sch. Level Costs'!D193</f>
        <v>LED 210.01-240</v>
      </c>
      <c r="F201" s="14" t="str">
        <f>'WP12 Condensed Sch. Level Costs'!I193</f>
        <v>Yes</v>
      </c>
      <c r="G201" s="14">
        <f>'WP12 Condensed Sch. Level Costs'!J193</f>
        <v>0.2</v>
      </c>
      <c r="H201" s="328">
        <f>'WP12 Condensed Sch. Level Costs'!Q193</f>
        <v>2.2529806535397991</v>
      </c>
      <c r="I201" s="328">
        <f>ROUND('WP12 Condensed Sch. Level Costs'!V193,2)</f>
        <v>0.45</v>
      </c>
    </row>
    <row r="202" spans="1:9" x14ac:dyDescent="0.2">
      <c r="A202" s="32">
        <f t="shared" si="3"/>
        <v>194</v>
      </c>
      <c r="B202" s="27" t="str">
        <f>'WP12 Condensed Sch. Level Costs'!A194</f>
        <v>58E &amp; 59E</v>
      </c>
      <c r="C202" s="27"/>
      <c r="D202" s="327" t="str">
        <f>'WP12 Condensed Sch. Level Costs'!C194</f>
        <v>Light Emitting Diode</v>
      </c>
      <c r="E202" s="41" t="str">
        <f>'WP12 Condensed Sch. Level Costs'!D194</f>
        <v>LED 240.01-270</v>
      </c>
      <c r="F202" s="14" t="str">
        <f>'WP12 Condensed Sch. Level Costs'!I194</f>
        <v>Yes</v>
      </c>
      <c r="G202" s="14">
        <f>'WP12 Condensed Sch. Level Costs'!J194</f>
        <v>0.2</v>
      </c>
      <c r="H202" s="328">
        <f>'WP12 Condensed Sch. Level Costs'!Q194</f>
        <v>2.2529806535397991</v>
      </c>
      <c r="I202" s="328">
        <f>ROUND('WP12 Condensed Sch. Level Costs'!V194,2)</f>
        <v>0.45</v>
      </c>
    </row>
    <row r="203" spans="1:9" x14ac:dyDescent="0.2">
      <c r="A203" s="32">
        <f t="shared" si="3"/>
        <v>195</v>
      </c>
      <c r="B203" s="27" t="str">
        <f>'WP12 Condensed Sch. Level Costs'!A195</f>
        <v>58E &amp; 59E</v>
      </c>
      <c r="C203" s="27"/>
      <c r="D203" s="327" t="str">
        <f>'WP12 Condensed Sch. Level Costs'!C195</f>
        <v>Light Emitting Diode</v>
      </c>
      <c r="E203" s="41" t="str">
        <f>'WP12 Condensed Sch. Level Costs'!D195</f>
        <v>LED 270.01-300</v>
      </c>
      <c r="F203" s="14" t="str">
        <f>'WP12 Condensed Sch. Level Costs'!I195</f>
        <v>Yes</v>
      </c>
      <c r="G203" s="14">
        <f>'WP12 Condensed Sch. Level Costs'!J195</f>
        <v>0.2</v>
      </c>
      <c r="H203" s="328">
        <f>'WP12 Condensed Sch. Level Costs'!Q195</f>
        <v>2.2529806535397991</v>
      </c>
      <c r="I203" s="328">
        <f>ROUND('WP12 Condensed Sch. Level Costs'!V195,2)</f>
        <v>0.45</v>
      </c>
    </row>
    <row r="204" spans="1:9" x14ac:dyDescent="0.2">
      <c r="A204" s="32">
        <f t="shared" si="3"/>
        <v>196</v>
      </c>
      <c r="B204" s="27" t="str">
        <f>'WP12 Condensed Sch. Level Costs'!A196</f>
        <v>58E &amp; 59E</v>
      </c>
      <c r="C204" s="27"/>
      <c r="D204" s="327" t="str">
        <f>'WP12 Condensed Sch. Level Costs'!C196</f>
        <v>Light Emitting Diode</v>
      </c>
      <c r="E204" s="41" t="str">
        <f>'WP12 Condensed Sch. Level Costs'!D196</f>
        <v>LED 300.01-400</v>
      </c>
      <c r="F204" s="14" t="str">
        <f>'WP12 Condensed Sch. Level Costs'!I196</f>
        <v>Yes</v>
      </c>
      <c r="G204" s="14">
        <f>'WP12 Condensed Sch. Level Costs'!J196</f>
        <v>0.2</v>
      </c>
      <c r="H204" s="328">
        <f>'WP12 Condensed Sch. Level Costs'!Q196</f>
        <v>2.2529806535397991</v>
      </c>
      <c r="I204" s="328">
        <f>ROUND('WP12 Condensed Sch. Level Costs'!V196,2)</f>
        <v>0.45</v>
      </c>
    </row>
    <row r="205" spans="1:9" x14ac:dyDescent="0.2">
      <c r="A205" s="32">
        <f t="shared" si="3"/>
        <v>197</v>
      </c>
      <c r="B205" s="27" t="str">
        <f>'WP12 Condensed Sch. Level Costs'!A197</f>
        <v>58E &amp; 59E</v>
      </c>
      <c r="C205" s="27"/>
      <c r="D205" s="327" t="str">
        <f>'WP12 Condensed Sch. Level Costs'!C197</f>
        <v>Light Emitting Diode</v>
      </c>
      <c r="E205" s="41" t="str">
        <f>'WP12 Condensed Sch. Level Costs'!D197</f>
        <v>LED 400.01-500</v>
      </c>
      <c r="F205" s="14" t="str">
        <f>'WP12 Condensed Sch. Level Costs'!I197</f>
        <v>Yes</v>
      </c>
      <c r="G205" s="14">
        <f>'WP12 Condensed Sch. Level Costs'!J197</f>
        <v>0.2</v>
      </c>
      <c r="H205" s="328">
        <f>'WP12 Condensed Sch. Level Costs'!Q197</f>
        <v>2.2529806535397991</v>
      </c>
      <c r="I205" s="328">
        <f>ROUND('WP12 Condensed Sch. Level Costs'!V197,2)</f>
        <v>0.45</v>
      </c>
    </row>
    <row r="206" spans="1:9" x14ac:dyDescent="0.2">
      <c r="A206" s="32">
        <f t="shared" si="3"/>
        <v>198</v>
      </c>
      <c r="B206" s="27" t="str">
        <f>'WP12 Condensed Sch. Level Costs'!A198</f>
        <v>58E &amp; 59E</v>
      </c>
      <c r="C206" s="27"/>
      <c r="D206" s="327" t="str">
        <f>'WP12 Condensed Sch. Level Costs'!C198</f>
        <v>Light Emitting Diode</v>
      </c>
      <c r="E206" s="41" t="str">
        <f>'WP12 Condensed Sch. Level Costs'!D198</f>
        <v>LED 500.01-600</v>
      </c>
      <c r="F206" s="14" t="str">
        <f>'WP12 Condensed Sch. Level Costs'!I198</f>
        <v>Yes</v>
      </c>
      <c r="G206" s="14">
        <f>'WP12 Condensed Sch. Level Costs'!J198</f>
        <v>0.2</v>
      </c>
      <c r="H206" s="328">
        <f>'WP12 Condensed Sch. Level Costs'!Q198</f>
        <v>2.2529806535397991</v>
      </c>
      <c r="I206" s="328">
        <f>ROUND('WP12 Condensed Sch. Level Costs'!V198,2)</f>
        <v>0.45</v>
      </c>
    </row>
    <row r="207" spans="1:9" x14ac:dyDescent="0.2">
      <c r="A207" s="32">
        <f t="shared" si="3"/>
        <v>199</v>
      </c>
      <c r="B207" s="27" t="str">
        <f>'WP12 Condensed Sch. Level Costs'!A199</f>
        <v>58E &amp; 59E</v>
      </c>
      <c r="C207" s="27"/>
      <c r="D207" s="327" t="str">
        <f>'WP12 Condensed Sch. Level Costs'!C199</f>
        <v>Light Emitting Diode</v>
      </c>
      <c r="E207" s="41" t="str">
        <f>'WP12 Condensed Sch. Level Costs'!D199</f>
        <v>LED 600.01-700</v>
      </c>
      <c r="F207" s="14" t="str">
        <f>'WP12 Condensed Sch. Level Costs'!I199</f>
        <v>Yes</v>
      </c>
      <c r="G207" s="14">
        <f>'WP12 Condensed Sch. Level Costs'!J199</f>
        <v>0.2</v>
      </c>
      <c r="H207" s="328">
        <f>'WP12 Condensed Sch. Level Costs'!Q199</f>
        <v>2.2529806535397991</v>
      </c>
      <c r="I207" s="328">
        <f>ROUND('WP12 Condensed Sch. Level Costs'!V199,2)</f>
        <v>0.45</v>
      </c>
    </row>
    <row r="208" spans="1:9" x14ac:dyDescent="0.2">
      <c r="A208" s="32">
        <f t="shared" si="3"/>
        <v>200</v>
      </c>
      <c r="B208" s="27" t="str">
        <f>'WP12 Condensed Sch. Level Costs'!A200</f>
        <v>58E &amp; 59E</v>
      </c>
      <c r="C208" s="27"/>
      <c r="D208" s="327" t="str">
        <f>'WP12 Condensed Sch. Level Costs'!C200</f>
        <v>Light Emitting Diode</v>
      </c>
      <c r="E208" s="41" t="str">
        <f>'WP12 Condensed Sch. Level Costs'!D200</f>
        <v>LED 700.01-800</v>
      </c>
      <c r="F208" s="14" t="str">
        <f>'WP12 Condensed Sch. Level Costs'!I200</f>
        <v>Yes</v>
      </c>
      <c r="G208" s="14">
        <f>'WP12 Condensed Sch. Level Costs'!J200</f>
        <v>0.2</v>
      </c>
      <c r="H208" s="328">
        <f>'WP12 Condensed Sch. Level Costs'!Q200</f>
        <v>2.2529806535397991</v>
      </c>
      <c r="I208" s="328">
        <f>ROUND('WP12 Condensed Sch. Level Costs'!V200,2)</f>
        <v>0.45</v>
      </c>
    </row>
    <row r="209" spans="1:9" x14ac:dyDescent="0.2">
      <c r="A209" s="32">
        <f t="shared" si="3"/>
        <v>201</v>
      </c>
      <c r="B209" s="27" t="str">
        <f>'WP12 Condensed Sch. Level Costs'!A201</f>
        <v>58E &amp; 59E</v>
      </c>
      <c r="C209" s="27"/>
      <c r="D209" s="327" t="str">
        <f>'WP12 Condensed Sch. Level Costs'!C201</f>
        <v>Light Emitting Diode</v>
      </c>
      <c r="E209" s="41" t="str">
        <f>'WP12 Condensed Sch. Level Costs'!D201</f>
        <v>LED 800.01-900</v>
      </c>
      <c r="F209" s="14" t="str">
        <f>'WP12 Condensed Sch. Level Costs'!I201</f>
        <v>Yes</v>
      </c>
      <c r="G209" s="14">
        <f>'WP12 Condensed Sch. Level Costs'!J201</f>
        <v>0.2</v>
      </c>
      <c r="H209" s="328">
        <f>'WP12 Condensed Sch. Level Costs'!Q201</f>
        <v>2.2529806535397991</v>
      </c>
      <c r="I209" s="328">
        <f>ROUND('WP12 Condensed Sch. Level Costs'!V201,2)</f>
        <v>0.45</v>
      </c>
    </row>
    <row r="210" spans="1:9" x14ac:dyDescent="0.2">
      <c r="A210" s="32">
        <f t="shared" si="3"/>
        <v>202</v>
      </c>
      <c r="B210" s="27"/>
      <c r="C210" s="27"/>
      <c r="D210" s="327"/>
      <c r="E210" s="41"/>
      <c r="F210" s="14"/>
      <c r="G210" s="14"/>
      <c r="H210" s="328"/>
      <c r="I210" s="328"/>
    </row>
    <row r="211" spans="1:9" x14ac:dyDescent="0.2">
      <c r="A211" s="32">
        <f t="shared" si="3"/>
        <v>203</v>
      </c>
      <c r="B211" s="27" t="str">
        <f>'WP12 Condensed Sch. Level Costs'!A202</f>
        <v>Sch 57</v>
      </c>
      <c r="C211" s="27"/>
      <c r="D211" s="327"/>
      <c r="E211" s="41"/>
      <c r="F211" s="14"/>
      <c r="G211" s="14"/>
      <c r="H211" s="328"/>
      <c r="I211" s="328"/>
    </row>
    <row r="212" spans="1:9" x14ac:dyDescent="0.2">
      <c r="A212" s="32">
        <f t="shared" si="3"/>
        <v>204</v>
      </c>
      <c r="B212" s="27" t="str">
        <f>'WP12 Condensed Sch. Level Costs'!A203</f>
        <v>57E</v>
      </c>
      <c r="C212" s="27"/>
      <c r="D212" s="327" t="str">
        <f>'WP12 Condensed Sch. Level Costs'!C203</f>
        <v>Per W charge</v>
      </c>
      <c r="E212" s="341">
        <f>'WP12 Condensed Sch. Level Costs'!E203</f>
        <v>935514.08333333337</v>
      </c>
      <c r="F212" s="14" t="str">
        <f>'WP12 Condensed Sch. Level Costs'!I203</f>
        <v>No</v>
      </c>
      <c r="G212" s="14">
        <f>'WP12 Condensed Sch. Level Costs'!J203</f>
        <v>0</v>
      </c>
      <c r="H212" s="328">
        <f>'WP12 Condensed Sch. Level Costs'!Q203</f>
        <v>2.2529806535397991</v>
      </c>
      <c r="I212" s="328">
        <f>ROUND('WP12 Condensed Sch. Level Costs'!V203,2)</f>
        <v>0</v>
      </c>
    </row>
    <row r="213" spans="1:9" x14ac:dyDescent="0.2">
      <c r="A213" s="32">
        <f t="shared" si="3"/>
        <v>205</v>
      </c>
      <c r="B213" s="27"/>
      <c r="C213" s="27"/>
      <c r="D213" s="327"/>
      <c r="E213" s="41"/>
      <c r="F213" s="14"/>
      <c r="G213" s="14"/>
      <c r="H213" s="328"/>
      <c r="I213" s="328"/>
    </row>
    <row r="214" spans="1:9" x14ac:dyDescent="0.2">
      <c r="A214" s="32">
        <f t="shared" si="3"/>
        <v>206</v>
      </c>
      <c r="B214" s="27" t="str">
        <f>'WP12 Condensed Sch. Level Costs'!A205</f>
        <v>55 &amp; 56</v>
      </c>
      <c r="C214" s="27"/>
      <c r="D214" s="327" t="str">
        <f>'WP12 Condensed Sch. Level Costs'!C205</f>
        <v>Pole</v>
      </c>
      <c r="E214" s="41" t="str">
        <f>'WP12 Condensed Sch. Level Costs'!D205</f>
        <v>Old</v>
      </c>
      <c r="F214" s="14" t="str">
        <f>'WP12 Condensed Sch. Level Costs'!I205</f>
        <v>Yes</v>
      </c>
      <c r="G214" s="14">
        <f>'WP12 Condensed Sch. Level Costs'!J205</f>
        <v>1</v>
      </c>
      <c r="H214" s="328">
        <f>'WP12 Condensed Sch. Level Costs'!Q205</f>
        <v>2.2529806535397991</v>
      </c>
      <c r="I214" s="328">
        <f>ROUND('WP12 Condensed Sch. Level Costs'!V205,2)</f>
        <v>2.25</v>
      </c>
    </row>
    <row r="215" spans="1:9" x14ac:dyDescent="0.2">
      <c r="A215" s="32">
        <f t="shared" si="3"/>
        <v>207</v>
      </c>
      <c r="B215" s="27" t="str">
        <f>'WP12 Condensed Sch. Level Costs'!A206</f>
        <v>55 &amp; 56</v>
      </c>
      <c r="C215" s="27"/>
      <c r="D215" s="327" t="str">
        <f>'WP12 Condensed Sch. Level Costs'!C206</f>
        <v>Pole</v>
      </c>
      <c r="E215" s="41" t="str">
        <f>'WP12 Condensed Sch. Level Costs'!D206</f>
        <v>New</v>
      </c>
      <c r="F215" s="14" t="str">
        <f>'WP12 Condensed Sch. Level Costs'!I206</f>
        <v>Yes</v>
      </c>
      <c r="G215" s="14">
        <f>'WP12 Condensed Sch. Level Costs'!J206</f>
        <v>1</v>
      </c>
      <c r="H215" s="328">
        <f>'WP12 Condensed Sch. Level Costs'!Q206</f>
        <v>2.2529806535397991</v>
      </c>
      <c r="I215" s="328">
        <f>ROUND('WP12 Condensed Sch. Level Costs'!V206,2)</f>
        <v>2.25</v>
      </c>
    </row>
    <row r="216" spans="1:9" x14ac:dyDescent="0.2">
      <c r="A216" s="32">
        <f t="shared" si="3"/>
        <v>208</v>
      </c>
      <c r="B216" s="27"/>
      <c r="C216" s="27"/>
      <c r="D216" s="327"/>
      <c r="E216" s="41"/>
      <c r="F216" s="14"/>
      <c r="G216" s="14"/>
      <c r="H216" s="328"/>
      <c r="I216" s="328"/>
    </row>
    <row r="217" spans="1:9" x14ac:dyDescent="0.2">
      <c r="A217" s="32">
        <f t="shared" si="3"/>
        <v>209</v>
      </c>
      <c r="B217" s="27" t="str">
        <f>'WP12 Condensed Sch. Level Costs'!A208</f>
        <v>58 &amp; 59</v>
      </c>
      <c r="C217" s="27"/>
      <c r="D217" s="327" t="str">
        <f>'WP12 Condensed Sch. Level Costs'!C208</f>
        <v>Pole</v>
      </c>
      <c r="E217" s="41" t="str">
        <f>'WP12 Condensed Sch. Level Costs'!D208</f>
        <v>New</v>
      </c>
      <c r="F217" s="14" t="str">
        <f>'WP12 Condensed Sch. Level Costs'!I208</f>
        <v>Yes</v>
      </c>
      <c r="G217" s="14">
        <f>'WP12 Condensed Sch. Level Costs'!J208</f>
        <v>1</v>
      </c>
      <c r="H217" s="328">
        <f>'WP12 Condensed Sch. Level Costs'!Q208</f>
        <v>2.2529806535397991</v>
      </c>
      <c r="I217" s="328">
        <f>ROUND('WP12 Condensed Sch. Level Costs'!V208,2)</f>
        <v>2.25</v>
      </c>
    </row>
    <row r="218" spans="1:9" x14ac:dyDescent="0.2">
      <c r="B218" s="27"/>
      <c r="C218" s="27"/>
      <c r="D218" s="327"/>
      <c r="E218" s="41"/>
      <c r="F218" s="14"/>
      <c r="G218" s="14"/>
      <c r="H218" s="328"/>
      <c r="I218" s="328"/>
    </row>
    <row r="219" spans="1:9" x14ac:dyDescent="0.2">
      <c r="B219" s="27"/>
      <c r="C219" s="27"/>
      <c r="D219" s="327"/>
      <c r="E219" s="41"/>
      <c r="F219" s="14"/>
      <c r="G219" s="14"/>
      <c r="H219" s="328"/>
      <c r="I219" s="328"/>
    </row>
    <row r="220" spans="1:9" x14ac:dyDescent="0.2">
      <c r="B220" s="27"/>
      <c r="C220" s="27"/>
      <c r="D220" s="327"/>
      <c r="E220" s="41"/>
      <c r="F220" s="14"/>
      <c r="G220" s="14"/>
      <c r="H220" s="328"/>
      <c r="I220" s="328"/>
    </row>
    <row r="221" spans="1:9" x14ac:dyDescent="0.2">
      <c r="B221" s="27"/>
      <c r="C221" s="27"/>
      <c r="D221" s="327"/>
      <c r="E221" s="41"/>
      <c r="F221" s="14"/>
      <c r="G221" s="14"/>
      <c r="H221" s="328"/>
      <c r="I221" s="328"/>
    </row>
    <row r="222" spans="1:9" x14ac:dyDescent="0.2">
      <c r="B222" s="27"/>
      <c r="C222" s="27"/>
      <c r="D222" s="327"/>
      <c r="E222" s="41"/>
      <c r="F222" s="14"/>
      <c r="G222" s="14"/>
      <c r="H222" s="328"/>
      <c r="I222" s="328"/>
    </row>
    <row r="223" spans="1:9" x14ac:dyDescent="0.2">
      <c r="B223" s="27"/>
      <c r="C223" s="27"/>
      <c r="D223" s="327"/>
      <c r="E223" s="41"/>
      <c r="F223" s="14"/>
      <c r="G223" s="14"/>
      <c r="H223" s="328"/>
      <c r="I223" s="328"/>
    </row>
    <row r="224" spans="1:9" x14ac:dyDescent="0.2">
      <c r="B224" s="27"/>
      <c r="C224" s="27"/>
      <c r="D224" s="327"/>
      <c r="E224" s="41"/>
      <c r="F224" s="14"/>
      <c r="G224" s="14"/>
      <c r="H224" s="328"/>
      <c r="I224" s="328"/>
    </row>
    <row r="226" spans="2:3" x14ac:dyDescent="0.2">
      <c r="B226" s="20"/>
      <c r="C226" s="20"/>
    </row>
    <row r="228" spans="2:3" x14ac:dyDescent="0.2">
      <c r="B228" s="20"/>
      <c r="C228" s="20"/>
    </row>
    <row r="229" spans="2:3" x14ac:dyDescent="0.2">
      <c r="B229" s="20"/>
      <c r="C229" s="2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29"/>
  <sheetViews>
    <sheetView zoomScaleNormal="100" zoomScaleSheetLayoutView="55" workbookViewId="0">
      <pane ySplit="8" topLeftCell="A9" activePane="bottomLeft" state="frozen"/>
      <selection activeCell="D32" sqref="D32"/>
      <selection pane="bottomLeft" activeCell="D32" sqref="D32"/>
    </sheetView>
  </sheetViews>
  <sheetFormatPr defaultColWidth="9.109375" defaultRowHeight="10.199999999999999" x14ac:dyDescent="0.2"/>
  <cols>
    <col min="1" max="1" width="5.44140625" style="32" customWidth="1"/>
    <col min="2" max="2" width="20.5546875" style="19" bestFit="1" customWidth="1"/>
    <col min="3" max="3" width="10.6640625" style="19" bestFit="1" customWidth="1"/>
    <col min="4" max="4" width="16.88671875" style="19" bestFit="1" customWidth="1"/>
    <col min="5" max="5" width="12" style="19" bestFit="1" customWidth="1"/>
    <col min="6" max="6" width="9.88671875" style="19" bestFit="1" customWidth="1"/>
    <col min="7" max="7" width="12" style="19" bestFit="1" customWidth="1"/>
    <col min="8" max="8" width="11.6640625" style="19" bestFit="1" customWidth="1"/>
    <col min="9" max="9" width="9" style="19" bestFit="1" customWidth="1"/>
    <col min="10" max="16384" width="9.109375" style="19"/>
  </cols>
  <sheetData>
    <row r="1" spans="1:9" s="251" customFormat="1" x14ac:dyDescent="0.2">
      <c r="A1" s="736" t="str">
        <f>'O&amp;M Charge'!A1:I1</f>
        <v>Puget Sound Energy</v>
      </c>
      <c r="B1" s="736"/>
      <c r="C1" s="736"/>
      <c r="D1" s="736"/>
      <c r="E1" s="736"/>
      <c r="F1" s="736"/>
      <c r="G1" s="736"/>
      <c r="H1" s="736"/>
      <c r="I1" s="736"/>
    </row>
    <row r="2" spans="1:9" s="251" customFormat="1" x14ac:dyDescent="0.2">
      <c r="A2" s="736" t="s">
        <v>462</v>
      </c>
      <c r="B2" s="736"/>
      <c r="C2" s="736"/>
      <c r="D2" s="736"/>
      <c r="E2" s="736"/>
      <c r="F2" s="736"/>
      <c r="G2" s="736"/>
      <c r="H2" s="736"/>
      <c r="I2" s="736"/>
    </row>
    <row r="3" spans="1:9" s="251" customFormat="1" x14ac:dyDescent="0.2">
      <c r="A3" s="736" t="str">
        <f>'O&amp;M Charge'!A3:I3</f>
        <v>2022 General Rate Case (GRC)</v>
      </c>
      <c r="B3" s="736"/>
      <c r="C3" s="736"/>
      <c r="D3" s="736"/>
      <c r="E3" s="736"/>
      <c r="F3" s="736"/>
      <c r="G3" s="736"/>
      <c r="H3" s="736"/>
      <c r="I3" s="736"/>
    </row>
    <row r="4" spans="1:9" s="251" customFormat="1" x14ac:dyDescent="0.2">
      <c r="A4" s="736" t="str">
        <f>'O&amp;M Charge'!A4:I4</f>
        <v>Test Year Ending June 30, 2021</v>
      </c>
      <c r="B4" s="736"/>
      <c r="C4" s="736"/>
      <c r="D4" s="736"/>
      <c r="E4" s="736"/>
      <c r="F4" s="736"/>
      <c r="G4" s="736"/>
      <c r="H4" s="736"/>
      <c r="I4" s="736"/>
    </row>
    <row r="5" spans="1:9" s="251" customFormat="1" x14ac:dyDescent="0.2">
      <c r="A5" s="257"/>
    </row>
    <row r="6" spans="1:9" s="251" customFormat="1" ht="30.6" x14ac:dyDescent="0.2">
      <c r="A6" s="285" t="s">
        <v>1</v>
      </c>
      <c r="B6" s="285" t="s">
        <v>53</v>
      </c>
      <c r="C6" s="285"/>
      <c r="D6" s="285" t="s">
        <v>67</v>
      </c>
      <c r="E6" s="285" t="s">
        <v>160</v>
      </c>
      <c r="F6" s="285" t="s">
        <v>408</v>
      </c>
      <c r="G6" s="285" t="s">
        <v>389</v>
      </c>
      <c r="H6" s="285" t="s">
        <v>452</v>
      </c>
      <c r="I6" s="285" t="s">
        <v>469</v>
      </c>
    </row>
    <row r="7" spans="1:9" x14ac:dyDescent="0.2">
      <c r="B7" s="14" t="s">
        <v>3</v>
      </c>
      <c r="C7" s="14"/>
      <c r="D7" s="14" t="s">
        <v>4</v>
      </c>
      <c r="E7" s="21" t="s">
        <v>5</v>
      </c>
      <c r="F7" s="21" t="s">
        <v>6</v>
      </c>
      <c r="G7" s="21" t="s">
        <v>390</v>
      </c>
      <c r="H7" s="21" t="s">
        <v>21</v>
      </c>
      <c r="I7" s="21" t="s">
        <v>8</v>
      </c>
    </row>
    <row r="8" spans="1:9" ht="20.399999999999999" x14ac:dyDescent="0.2">
      <c r="A8" s="32" t="s">
        <v>396</v>
      </c>
      <c r="B8" s="14"/>
      <c r="C8" s="14"/>
      <c r="D8" s="14"/>
      <c r="E8" s="21"/>
      <c r="F8" s="16" t="s">
        <v>397</v>
      </c>
      <c r="G8" s="16" t="s">
        <v>397</v>
      </c>
      <c r="H8" s="16" t="s">
        <v>397</v>
      </c>
      <c r="I8" s="16" t="s">
        <v>397</v>
      </c>
    </row>
    <row r="9" spans="1:9" x14ac:dyDescent="0.2">
      <c r="A9" s="32">
        <v>1</v>
      </c>
      <c r="B9" s="27" t="str">
        <f>'WP12 Condensed Sch. Level Costs'!A7</f>
        <v>Sch 50E</v>
      </c>
      <c r="C9" s="27"/>
      <c r="F9" s="14"/>
      <c r="G9" s="14"/>
      <c r="H9" s="14"/>
      <c r="I9" s="14"/>
    </row>
    <row r="10" spans="1:9" x14ac:dyDescent="0.2">
      <c r="A10" s="32">
        <f>A9+1</f>
        <v>2</v>
      </c>
      <c r="B10" s="27">
        <f>'WP12 Condensed Sch. Level Costs'!A8</f>
        <v>3</v>
      </c>
      <c r="C10" s="27"/>
      <c r="D10" s="327" t="str">
        <f>'WP12 Condensed Sch. Level Costs'!C8</f>
        <v>Compact Fluorescent</v>
      </c>
      <c r="E10" s="41" t="str">
        <f>'WP12 Condensed Sch. Level Costs'!D8</f>
        <v>CF 22</v>
      </c>
      <c r="F10" s="14">
        <f>4200/12</f>
        <v>350</v>
      </c>
      <c r="G10" s="14">
        <f>'WP12 Condensed Sch. Level Costs'!O8</f>
        <v>7.7</v>
      </c>
      <c r="H10" s="342">
        <f>'WP12 Condensed Sch. Level Costs'!R8</f>
        <v>1.9131568994526543E-2</v>
      </c>
      <c r="I10" s="328">
        <f>ROUND('WP12 Condensed Sch. Level Costs'!W8,2)</f>
        <v>0.15</v>
      </c>
    </row>
    <row r="11" spans="1:9" x14ac:dyDescent="0.2">
      <c r="A11" s="32">
        <f t="shared" ref="A11:A90" si="0">A10+1</f>
        <v>3</v>
      </c>
      <c r="B11" s="27"/>
      <c r="C11" s="27"/>
      <c r="D11" s="327"/>
      <c r="E11" s="41"/>
      <c r="F11" s="14"/>
      <c r="G11" s="14"/>
      <c r="H11" s="342"/>
      <c r="I11" s="328"/>
    </row>
    <row r="12" spans="1:9" x14ac:dyDescent="0.2">
      <c r="A12" s="32">
        <f t="shared" si="0"/>
        <v>4</v>
      </c>
      <c r="B12" s="27" t="str">
        <f>'WP12 Condensed Sch. Level Costs'!A10</f>
        <v>50E-A</v>
      </c>
      <c r="C12" s="27"/>
      <c r="D12" s="327" t="str">
        <f>'WP12 Condensed Sch. Level Costs'!C10</f>
        <v>Mercury Vapor</v>
      </c>
      <c r="E12" s="41" t="str">
        <f>'WP12 Condensed Sch. Level Costs'!D10</f>
        <v>MV 100</v>
      </c>
      <c r="F12" s="14">
        <f t="shared" ref="F12:F101" si="1">4200/12</f>
        <v>350</v>
      </c>
      <c r="G12" s="14">
        <f>'WP12 Condensed Sch. Level Costs'!O10</f>
        <v>35</v>
      </c>
      <c r="H12" s="342">
        <f>'WP12 Condensed Sch. Level Costs'!R10</f>
        <v>1.9131568994526543E-2</v>
      </c>
      <c r="I12" s="328">
        <f>ROUND('WP12 Condensed Sch. Level Costs'!W10,2)</f>
        <v>0.67</v>
      </c>
    </row>
    <row r="13" spans="1:9" x14ac:dyDescent="0.2">
      <c r="A13" s="32">
        <f t="shared" si="0"/>
        <v>5</v>
      </c>
      <c r="B13" s="27" t="str">
        <f>'WP12 Condensed Sch. Level Costs'!A11</f>
        <v>50E-A</v>
      </c>
      <c r="C13" s="27"/>
      <c r="D13" s="327" t="str">
        <f>'WP12 Condensed Sch. Level Costs'!C11</f>
        <v>Mercury Vapor</v>
      </c>
      <c r="E13" s="41" t="str">
        <f>'WP12 Condensed Sch. Level Costs'!D11</f>
        <v>MV 175</v>
      </c>
      <c r="F13" s="14">
        <f t="shared" si="1"/>
        <v>350</v>
      </c>
      <c r="G13" s="14">
        <f>'WP12 Condensed Sch. Level Costs'!O11</f>
        <v>61.25</v>
      </c>
      <c r="H13" s="342">
        <f>'WP12 Condensed Sch. Level Costs'!R11</f>
        <v>1.9131568994526543E-2</v>
      </c>
      <c r="I13" s="328">
        <f>ROUND('WP12 Condensed Sch. Level Costs'!W11,2)</f>
        <v>1.17</v>
      </c>
    </row>
    <row r="14" spans="1:9" x14ac:dyDescent="0.2">
      <c r="A14" s="32">
        <f t="shared" si="0"/>
        <v>6</v>
      </c>
      <c r="B14" s="27" t="str">
        <f>'WP12 Condensed Sch. Level Costs'!A12</f>
        <v>50E-A</v>
      </c>
      <c r="C14" s="27"/>
      <c r="D14" s="327" t="str">
        <f>'WP12 Condensed Sch. Level Costs'!C12</f>
        <v>Mercury Vapor</v>
      </c>
      <c r="E14" s="41" t="str">
        <f>'WP12 Condensed Sch. Level Costs'!D12</f>
        <v>MV 400</v>
      </c>
      <c r="F14" s="14">
        <f t="shared" si="1"/>
        <v>350</v>
      </c>
      <c r="G14" s="14">
        <f>'WP12 Condensed Sch. Level Costs'!O12</f>
        <v>140</v>
      </c>
      <c r="H14" s="342">
        <f>'WP12 Condensed Sch. Level Costs'!R12</f>
        <v>1.9131568994526543E-2</v>
      </c>
      <c r="I14" s="328">
        <f>ROUND('WP12 Condensed Sch. Level Costs'!W12,2)</f>
        <v>2.68</v>
      </c>
    </row>
    <row r="15" spans="1:9" x14ac:dyDescent="0.2">
      <c r="A15" s="32">
        <f t="shared" si="0"/>
        <v>7</v>
      </c>
      <c r="B15" s="27"/>
      <c r="C15" s="27"/>
      <c r="D15" s="327"/>
      <c r="E15" s="41"/>
      <c r="F15" s="14"/>
      <c r="G15" s="14"/>
      <c r="H15" s="342"/>
      <c r="I15" s="328"/>
    </row>
    <row r="16" spans="1:9" x14ac:dyDescent="0.2">
      <c r="A16" s="32">
        <f t="shared" si="0"/>
        <v>8</v>
      </c>
      <c r="B16" s="27" t="str">
        <f>'WP12 Condensed Sch. Level Costs'!A14</f>
        <v>50E-B</v>
      </c>
      <c r="C16" s="27"/>
      <c r="D16" s="327" t="str">
        <f>'WP12 Condensed Sch. Level Costs'!C14</f>
        <v>Mercury Vapor</v>
      </c>
      <c r="E16" s="41" t="str">
        <f>'WP12 Condensed Sch. Level Costs'!D14</f>
        <v>MV 100</v>
      </c>
      <c r="F16" s="14">
        <f t="shared" si="1"/>
        <v>350</v>
      </c>
      <c r="G16" s="14">
        <f>'WP12 Condensed Sch. Level Costs'!O14</f>
        <v>35</v>
      </c>
      <c r="H16" s="342">
        <f>'WP12 Condensed Sch. Level Costs'!R14</f>
        <v>1.9131568994526543E-2</v>
      </c>
      <c r="I16" s="328">
        <f>ROUND('WP12 Condensed Sch. Level Costs'!W14,2)</f>
        <v>0.67</v>
      </c>
    </row>
    <row r="17" spans="1:9" x14ac:dyDescent="0.2">
      <c r="A17" s="32">
        <f t="shared" si="0"/>
        <v>9</v>
      </c>
      <c r="B17" s="27" t="str">
        <f>'WP12 Condensed Sch. Level Costs'!A15</f>
        <v>50E-B</v>
      </c>
      <c r="C17" s="27"/>
      <c r="D17" s="327" t="str">
        <f>'WP12 Condensed Sch. Level Costs'!C15</f>
        <v>Mercury Vapor</v>
      </c>
      <c r="E17" s="41" t="str">
        <f>'WP12 Condensed Sch. Level Costs'!D15</f>
        <v>MV 175</v>
      </c>
      <c r="F17" s="14">
        <f t="shared" si="1"/>
        <v>350</v>
      </c>
      <c r="G17" s="14">
        <f>'WP12 Condensed Sch. Level Costs'!O15</f>
        <v>61.25</v>
      </c>
      <c r="H17" s="342">
        <f>'WP12 Condensed Sch. Level Costs'!R15</f>
        <v>1.9131568994526543E-2</v>
      </c>
      <c r="I17" s="328">
        <f>ROUND('WP12 Condensed Sch. Level Costs'!W15,2)</f>
        <v>1.17</v>
      </c>
    </row>
    <row r="18" spans="1:9" x14ac:dyDescent="0.2">
      <c r="A18" s="32">
        <f t="shared" si="0"/>
        <v>10</v>
      </c>
      <c r="B18" s="27" t="str">
        <f>'WP12 Condensed Sch. Level Costs'!A16</f>
        <v>50E-B</v>
      </c>
      <c r="C18" s="27"/>
      <c r="D18" s="327" t="str">
        <f>'WP12 Condensed Sch. Level Costs'!C16</f>
        <v>Mercury Vapor</v>
      </c>
      <c r="E18" s="41" t="str">
        <f>'WP12 Condensed Sch. Level Costs'!D16</f>
        <v>MV 400</v>
      </c>
      <c r="F18" s="14">
        <f t="shared" si="1"/>
        <v>350</v>
      </c>
      <c r="G18" s="14">
        <f>'WP12 Condensed Sch. Level Costs'!O16</f>
        <v>140</v>
      </c>
      <c r="H18" s="342">
        <f>'WP12 Condensed Sch. Level Costs'!R16</f>
        <v>1.9131568994526543E-2</v>
      </c>
      <c r="I18" s="328">
        <f>ROUND('WP12 Condensed Sch. Level Costs'!W16,2)</f>
        <v>2.68</v>
      </c>
    </row>
    <row r="19" spans="1:9" x14ac:dyDescent="0.2">
      <c r="A19" s="32">
        <f t="shared" si="0"/>
        <v>11</v>
      </c>
      <c r="B19" s="27" t="str">
        <f>'WP12 Condensed Sch. Level Costs'!A17</f>
        <v>50E-B</v>
      </c>
      <c r="C19" s="27"/>
      <c r="D19" s="327" t="str">
        <f>'WP12 Condensed Sch. Level Costs'!C17</f>
        <v>Mercury Vapor</v>
      </c>
      <c r="E19" s="41" t="str">
        <f>'WP12 Condensed Sch. Level Costs'!D17</f>
        <v>MV 700</v>
      </c>
      <c r="F19" s="14">
        <f t="shared" si="1"/>
        <v>350</v>
      </c>
      <c r="G19" s="14">
        <f>'WP12 Condensed Sch. Level Costs'!O17</f>
        <v>245</v>
      </c>
      <c r="H19" s="342">
        <f>'WP12 Condensed Sch. Level Costs'!R17</f>
        <v>1.9131568994526543E-2</v>
      </c>
      <c r="I19" s="328">
        <f>ROUND('WP12 Condensed Sch. Level Costs'!W17,2)</f>
        <v>4.6900000000000004</v>
      </c>
    </row>
    <row r="20" spans="1:9" x14ac:dyDescent="0.2">
      <c r="A20" s="32">
        <f t="shared" si="0"/>
        <v>12</v>
      </c>
      <c r="B20" s="27"/>
      <c r="C20" s="27"/>
      <c r="D20" s="327"/>
      <c r="E20" s="41"/>
      <c r="F20" s="14"/>
      <c r="G20" s="14"/>
      <c r="H20" s="342"/>
      <c r="I20" s="328"/>
    </row>
    <row r="21" spans="1:9" x14ac:dyDescent="0.2">
      <c r="A21" s="32">
        <f t="shared" si="0"/>
        <v>13</v>
      </c>
      <c r="B21" s="27" t="str">
        <f>'WP12 Condensed Sch. Level Costs'!A18</f>
        <v>Sch 51E</v>
      </c>
      <c r="C21" s="27"/>
      <c r="D21" s="327"/>
      <c r="E21" s="41"/>
      <c r="F21" s="14"/>
      <c r="G21" s="14"/>
      <c r="H21" s="342"/>
      <c r="I21" s="328"/>
    </row>
    <row r="22" spans="1:9" x14ac:dyDescent="0.2">
      <c r="A22" s="32">
        <f t="shared" si="0"/>
        <v>14</v>
      </c>
      <c r="B22" s="27" t="str">
        <f>'WP12 Condensed Sch. Level Costs'!A19</f>
        <v>51E</v>
      </c>
      <c r="C22" s="27"/>
      <c r="D22" s="327" t="str">
        <f>'WP12 Condensed Sch. Level Costs'!C19</f>
        <v>Light Emitting Diode</v>
      </c>
      <c r="E22" s="41" t="str">
        <f>'WP12 Condensed Sch. Level Costs'!D19</f>
        <v>LED 0-030</v>
      </c>
      <c r="F22" s="14">
        <f t="shared" si="1"/>
        <v>350</v>
      </c>
      <c r="G22" s="14">
        <f>'WP12 Condensed Sch. Level Costs'!O19</f>
        <v>5.25</v>
      </c>
      <c r="H22" s="342">
        <f>'WP12 Condensed Sch. Level Costs'!R19</f>
        <v>1.9131568994526543E-2</v>
      </c>
      <c r="I22" s="328">
        <f>ROUND('WP12 Condensed Sch. Level Costs'!W19,2)</f>
        <v>0.1</v>
      </c>
    </row>
    <row r="23" spans="1:9" x14ac:dyDescent="0.2">
      <c r="A23" s="32">
        <f t="shared" si="0"/>
        <v>15</v>
      </c>
      <c r="B23" s="27" t="str">
        <f>'WP12 Condensed Sch. Level Costs'!A20</f>
        <v>51E</v>
      </c>
      <c r="C23" s="27"/>
      <c r="D23" s="327" t="str">
        <f>'WP12 Condensed Sch. Level Costs'!C20</f>
        <v>Light Emitting Diode</v>
      </c>
      <c r="E23" s="41" t="str">
        <f>'WP12 Condensed Sch. Level Costs'!D20</f>
        <v>LED 030.01-060</v>
      </c>
      <c r="F23" s="14">
        <f t="shared" si="1"/>
        <v>350</v>
      </c>
      <c r="G23" s="14">
        <f>'WP12 Condensed Sch. Level Costs'!O20</f>
        <v>15.75</v>
      </c>
      <c r="H23" s="342">
        <f>'WP12 Condensed Sch. Level Costs'!R20</f>
        <v>1.9131568994526543E-2</v>
      </c>
      <c r="I23" s="328">
        <f>ROUND('WP12 Condensed Sch. Level Costs'!W20,2)</f>
        <v>0.3</v>
      </c>
    </row>
    <row r="24" spans="1:9" x14ac:dyDescent="0.2">
      <c r="A24" s="32">
        <f t="shared" si="0"/>
        <v>16</v>
      </c>
      <c r="B24" s="27" t="str">
        <f>'WP12 Condensed Sch. Level Costs'!A21</f>
        <v>51E</v>
      </c>
      <c r="C24" s="27"/>
      <c r="D24" s="327" t="str">
        <f>'WP12 Condensed Sch. Level Costs'!C21</f>
        <v>Light Emitting Diode</v>
      </c>
      <c r="E24" s="41" t="str">
        <f>'WP12 Condensed Sch. Level Costs'!D21</f>
        <v>LED 060.01-090</v>
      </c>
      <c r="F24" s="14">
        <f t="shared" si="1"/>
        <v>350</v>
      </c>
      <c r="G24" s="14">
        <f>'WP12 Condensed Sch. Level Costs'!O21</f>
        <v>26.25</v>
      </c>
      <c r="H24" s="342">
        <f>'WP12 Condensed Sch. Level Costs'!R21</f>
        <v>1.9131568994526543E-2</v>
      </c>
      <c r="I24" s="328">
        <f>ROUND('WP12 Condensed Sch. Level Costs'!W21,2)</f>
        <v>0.5</v>
      </c>
    </row>
    <row r="25" spans="1:9" x14ac:dyDescent="0.2">
      <c r="A25" s="32">
        <f t="shared" si="0"/>
        <v>17</v>
      </c>
      <c r="B25" s="27" t="str">
        <f>'WP12 Condensed Sch. Level Costs'!A22</f>
        <v>51E</v>
      </c>
      <c r="C25" s="27"/>
      <c r="D25" s="327" t="str">
        <f>'WP12 Condensed Sch. Level Costs'!C22</f>
        <v>Light Emitting Diode</v>
      </c>
      <c r="E25" s="41" t="str">
        <f>'WP12 Condensed Sch. Level Costs'!D22</f>
        <v>LED 090.01-120</v>
      </c>
      <c r="F25" s="14">
        <f t="shared" si="1"/>
        <v>350</v>
      </c>
      <c r="G25" s="14">
        <f>'WP12 Condensed Sch. Level Costs'!O22</f>
        <v>36.75</v>
      </c>
      <c r="H25" s="342">
        <f>'WP12 Condensed Sch. Level Costs'!R22</f>
        <v>1.9131568994526543E-2</v>
      </c>
      <c r="I25" s="328">
        <f>ROUND('WP12 Condensed Sch. Level Costs'!W22,2)</f>
        <v>0.7</v>
      </c>
    </row>
    <row r="26" spans="1:9" x14ac:dyDescent="0.2">
      <c r="A26" s="32">
        <f t="shared" si="0"/>
        <v>18</v>
      </c>
      <c r="B26" s="27" t="str">
        <f>'WP12 Condensed Sch. Level Costs'!A23</f>
        <v>51E</v>
      </c>
      <c r="C26" s="27"/>
      <c r="D26" s="327" t="str">
        <f>'WP12 Condensed Sch. Level Costs'!C23</f>
        <v>Light Emitting Diode</v>
      </c>
      <c r="E26" s="41" t="str">
        <f>'WP12 Condensed Sch. Level Costs'!D23</f>
        <v>LED 120.01-150</v>
      </c>
      <c r="F26" s="14">
        <f t="shared" si="1"/>
        <v>350</v>
      </c>
      <c r="G26" s="14">
        <f>'WP12 Condensed Sch. Level Costs'!O23</f>
        <v>47.25</v>
      </c>
      <c r="H26" s="342">
        <f>'WP12 Condensed Sch. Level Costs'!R23</f>
        <v>1.9131568994526543E-2</v>
      </c>
      <c r="I26" s="328">
        <f>ROUND('WP12 Condensed Sch. Level Costs'!W23,2)</f>
        <v>0.9</v>
      </c>
    </row>
    <row r="27" spans="1:9" x14ac:dyDescent="0.2">
      <c r="A27" s="32">
        <f t="shared" si="0"/>
        <v>19</v>
      </c>
      <c r="B27" s="27" t="str">
        <f>'WP12 Condensed Sch. Level Costs'!A24</f>
        <v>51E</v>
      </c>
      <c r="C27" s="27"/>
      <c r="D27" s="327" t="str">
        <f>'WP12 Condensed Sch. Level Costs'!C24</f>
        <v>Light Emitting Diode</v>
      </c>
      <c r="E27" s="41" t="str">
        <f>'WP12 Condensed Sch. Level Costs'!D24</f>
        <v>LED 150.01-180</v>
      </c>
      <c r="F27" s="14">
        <f t="shared" si="1"/>
        <v>350</v>
      </c>
      <c r="G27" s="14">
        <f>'WP12 Condensed Sch. Level Costs'!O24</f>
        <v>57.75</v>
      </c>
      <c r="H27" s="342">
        <f>'WP12 Condensed Sch. Level Costs'!R24</f>
        <v>1.9131568994526543E-2</v>
      </c>
      <c r="I27" s="328">
        <f>ROUND('WP12 Condensed Sch. Level Costs'!W24,2)</f>
        <v>1.1000000000000001</v>
      </c>
    </row>
    <row r="28" spans="1:9" x14ac:dyDescent="0.2">
      <c r="A28" s="32">
        <f t="shared" si="0"/>
        <v>20</v>
      </c>
      <c r="B28" s="27" t="str">
        <f>'WP12 Condensed Sch. Level Costs'!A25</f>
        <v>51E</v>
      </c>
      <c r="C28" s="27"/>
      <c r="D28" s="327" t="str">
        <f>'WP12 Condensed Sch. Level Costs'!C25</f>
        <v>Light Emitting Diode</v>
      </c>
      <c r="E28" s="41" t="str">
        <f>'WP12 Condensed Sch. Level Costs'!D25</f>
        <v>LED 180.01-210</v>
      </c>
      <c r="F28" s="14">
        <f t="shared" si="1"/>
        <v>350</v>
      </c>
      <c r="G28" s="14">
        <f>'WP12 Condensed Sch. Level Costs'!O25</f>
        <v>68.25</v>
      </c>
      <c r="H28" s="342">
        <f>'WP12 Condensed Sch. Level Costs'!R25</f>
        <v>1.9131568994526543E-2</v>
      </c>
      <c r="I28" s="328">
        <f>ROUND('WP12 Condensed Sch. Level Costs'!W25,2)</f>
        <v>1.31</v>
      </c>
    </row>
    <row r="29" spans="1:9" x14ac:dyDescent="0.2">
      <c r="A29" s="32">
        <f t="shared" si="0"/>
        <v>21</v>
      </c>
      <c r="B29" s="27" t="str">
        <f>'WP12 Condensed Sch. Level Costs'!A26</f>
        <v>51E</v>
      </c>
      <c r="C29" s="27"/>
      <c r="D29" s="327" t="str">
        <f>'WP12 Condensed Sch. Level Costs'!C26</f>
        <v>Light Emitting Diode</v>
      </c>
      <c r="E29" s="41" t="str">
        <f>'WP12 Condensed Sch. Level Costs'!D26</f>
        <v>LED 210.01-240</v>
      </c>
      <c r="F29" s="14">
        <f t="shared" si="1"/>
        <v>350</v>
      </c>
      <c r="G29" s="14">
        <f>'WP12 Condensed Sch. Level Costs'!O26</f>
        <v>78.75</v>
      </c>
      <c r="H29" s="342">
        <f>'WP12 Condensed Sch. Level Costs'!R26</f>
        <v>1.9131568994526543E-2</v>
      </c>
      <c r="I29" s="328">
        <f>ROUND('WP12 Condensed Sch. Level Costs'!W26,2)</f>
        <v>1.51</v>
      </c>
    </row>
    <row r="30" spans="1:9" x14ac:dyDescent="0.2">
      <c r="A30" s="32">
        <f t="shared" si="0"/>
        <v>22</v>
      </c>
      <c r="B30" s="27" t="str">
        <f>'WP12 Condensed Sch. Level Costs'!A27</f>
        <v>51E</v>
      </c>
      <c r="C30" s="27"/>
      <c r="D30" s="327" t="str">
        <f>'WP12 Condensed Sch. Level Costs'!C27</f>
        <v>Light Emitting Diode</v>
      </c>
      <c r="E30" s="41" t="str">
        <f>'WP12 Condensed Sch. Level Costs'!D27</f>
        <v>LED 240.01-270</v>
      </c>
      <c r="F30" s="14">
        <f t="shared" si="1"/>
        <v>350</v>
      </c>
      <c r="G30" s="14">
        <f>'WP12 Condensed Sch. Level Costs'!O27</f>
        <v>89.25</v>
      </c>
      <c r="H30" s="342">
        <f>'WP12 Condensed Sch. Level Costs'!R27</f>
        <v>1.9131568994526543E-2</v>
      </c>
      <c r="I30" s="328">
        <f>ROUND('WP12 Condensed Sch. Level Costs'!W27,2)</f>
        <v>1.71</v>
      </c>
    </row>
    <row r="31" spans="1:9" x14ac:dyDescent="0.2">
      <c r="A31" s="32">
        <f t="shared" si="0"/>
        <v>23</v>
      </c>
      <c r="B31" s="27" t="str">
        <f>'WP12 Condensed Sch. Level Costs'!A28</f>
        <v>51E</v>
      </c>
      <c r="C31" s="27"/>
      <c r="D31" s="327" t="str">
        <f>'WP12 Condensed Sch. Level Costs'!C28</f>
        <v>Light Emitting Diode</v>
      </c>
      <c r="E31" s="41" t="str">
        <f>'WP12 Condensed Sch. Level Costs'!D28</f>
        <v>LED 270.01-300</v>
      </c>
      <c r="F31" s="14">
        <f t="shared" si="1"/>
        <v>350</v>
      </c>
      <c r="G31" s="14">
        <f>'WP12 Condensed Sch. Level Costs'!O28</f>
        <v>99.75</v>
      </c>
      <c r="H31" s="342">
        <f>'WP12 Condensed Sch. Level Costs'!R28</f>
        <v>1.9131568994526543E-2</v>
      </c>
      <c r="I31" s="328">
        <f>ROUND('WP12 Condensed Sch. Level Costs'!W28,2)</f>
        <v>1.91</v>
      </c>
    </row>
    <row r="32" spans="1:9" x14ac:dyDescent="0.2">
      <c r="A32" s="32">
        <f t="shared" si="0"/>
        <v>24</v>
      </c>
      <c r="B32" s="27"/>
      <c r="C32" s="27"/>
      <c r="D32" s="327"/>
      <c r="E32" s="41"/>
      <c r="F32" s="14"/>
      <c r="G32" s="14"/>
      <c r="H32" s="342"/>
      <c r="I32" s="328"/>
    </row>
    <row r="33" spans="1:9" x14ac:dyDescent="0.2">
      <c r="A33" s="32">
        <f t="shared" si="0"/>
        <v>25</v>
      </c>
      <c r="B33" s="27" t="str">
        <f>'WP12 Condensed Sch. Level Costs'!A30</f>
        <v>51E</v>
      </c>
      <c r="C33" s="327" t="str">
        <f>'WP12 Condensed Sch. Level Costs'!B30</f>
        <v>SMART LIGHT</v>
      </c>
      <c r="D33" s="327" t="str">
        <f>'WP12 Condensed Sch. Level Costs'!C30</f>
        <v>Light Emitting Diode</v>
      </c>
      <c r="E33" s="41" t="str">
        <f>'WP12 Condensed Sch. Level Costs'!D30</f>
        <v>LED 0-030</v>
      </c>
      <c r="F33" s="14">
        <f t="shared" si="1"/>
        <v>350</v>
      </c>
      <c r="G33" s="14">
        <f>'WP12 Condensed Sch. Level Costs'!O30</f>
        <v>5.25</v>
      </c>
      <c r="H33" s="342">
        <f>'WP12 Condensed Sch. Level Costs'!R30</f>
        <v>1.9131568994526543E-2</v>
      </c>
      <c r="I33" s="339">
        <f>ROUND('WP12 Condensed Sch. Level Costs'!AD30,6)</f>
        <v>1.9132E-2</v>
      </c>
    </row>
    <row r="34" spans="1:9" x14ac:dyDescent="0.2">
      <c r="A34" s="32">
        <f t="shared" si="0"/>
        <v>26</v>
      </c>
      <c r="B34" s="27" t="str">
        <f>'WP12 Condensed Sch. Level Costs'!A31</f>
        <v>51E</v>
      </c>
      <c r="C34" s="327" t="str">
        <f>'WP12 Condensed Sch. Level Costs'!B31</f>
        <v>SMART LIGHT</v>
      </c>
      <c r="D34" s="327" t="str">
        <f>'WP12 Condensed Sch. Level Costs'!C31</f>
        <v>Light Emitting Diode</v>
      </c>
      <c r="E34" s="41" t="str">
        <f>'WP12 Condensed Sch. Level Costs'!D31</f>
        <v>LED 030.01-060</v>
      </c>
      <c r="F34" s="14">
        <f t="shared" si="1"/>
        <v>350</v>
      </c>
      <c r="G34" s="14">
        <f>'WP12 Condensed Sch. Level Costs'!O31</f>
        <v>15.75</v>
      </c>
      <c r="H34" s="342">
        <f>'WP12 Condensed Sch. Level Costs'!R31</f>
        <v>1.9131568994526543E-2</v>
      </c>
      <c r="I34" s="339">
        <f>ROUND('WP12 Condensed Sch. Level Costs'!AD31,6)</f>
        <v>1.9132E-2</v>
      </c>
    </row>
    <row r="35" spans="1:9" x14ac:dyDescent="0.2">
      <c r="A35" s="32">
        <f t="shared" si="0"/>
        <v>27</v>
      </c>
      <c r="B35" s="27" t="str">
        <f>'WP12 Condensed Sch. Level Costs'!A32</f>
        <v>51E</v>
      </c>
      <c r="C35" s="327" t="str">
        <f>'WP12 Condensed Sch. Level Costs'!B32</f>
        <v>SMART LIGHT</v>
      </c>
      <c r="D35" s="327" t="str">
        <f>'WP12 Condensed Sch. Level Costs'!C32</f>
        <v>Light Emitting Diode</v>
      </c>
      <c r="E35" s="41" t="str">
        <f>'WP12 Condensed Sch. Level Costs'!D32</f>
        <v>LED 060.01-090</v>
      </c>
      <c r="F35" s="14">
        <f t="shared" si="1"/>
        <v>350</v>
      </c>
      <c r="G35" s="14">
        <f>'WP12 Condensed Sch. Level Costs'!O32</f>
        <v>26.25</v>
      </c>
      <c r="H35" s="342">
        <f>'WP12 Condensed Sch. Level Costs'!R32</f>
        <v>1.9131568994526543E-2</v>
      </c>
      <c r="I35" s="339">
        <f>ROUND('WP12 Condensed Sch. Level Costs'!AD32,6)</f>
        <v>1.9132E-2</v>
      </c>
    </row>
    <row r="36" spans="1:9" x14ac:dyDescent="0.2">
      <c r="A36" s="32">
        <f t="shared" si="0"/>
        <v>28</v>
      </c>
      <c r="B36" s="27" t="str">
        <f>'WP12 Condensed Sch. Level Costs'!A33</f>
        <v>51E</v>
      </c>
      <c r="C36" s="327" t="str">
        <f>'WP12 Condensed Sch. Level Costs'!B33</f>
        <v>SMART LIGHT</v>
      </c>
      <c r="D36" s="327" t="str">
        <f>'WP12 Condensed Sch. Level Costs'!C33</f>
        <v>Light Emitting Diode</v>
      </c>
      <c r="E36" s="41" t="str">
        <f>'WP12 Condensed Sch. Level Costs'!D33</f>
        <v>LED 090.01-120</v>
      </c>
      <c r="F36" s="14">
        <f t="shared" si="1"/>
        <v>350</v>
      </c>
      <c r="G36" s="14">
        <f>'WP12 Condensed Sch. Level Costs'!O33</f>
        <v>36.75</v>
      </c>
      <c r="H36" s="342">
        <f>'WP12 Condensed Sch. Level Costs'!R33</f>
        <v>1.9131568994526543E-2</v>
      </c>
      <c r="I36" s="339">
        <f>ROUND('WP12 Condensed Sch. Level Costs'!AD33,6)</f>
        <v>1.9132E-2</v>
      </c>
    </row>
    <row r="37" spans="1:9" x14ac:dyDescent="0.2">
      <c r="A37" s="32">
        <f t="shared" si="0"/>
        <v>29</v>
      </c>
      <c r="B37" s="27" t="str">
        <f>'WP12 Condensed Sch. Level Costs'!A34</f>
        <v>51E</v>
      </c>
      <c r="C37" s="327" t="str">
        <f>'WP12 Condensed Sch. Level Costs'!B34</f>
        <v>SMART LIGHT</v>
      </c>
      <c r="D37" s="327" t="str">
        <f>'WP12 Condensed Sch. Level Costs'!C34</f>
        <v>Light Emitting Diode</v>
      </c>
      <c r="E37" s="41" t="str">
        <f>'WP12 Condensed Sch. Level Costs'!D34</f>
        <v>LED 120.01-150</v>
      </c>
      <c r="F37" s="14">
        <f t="shared" si="1"/>
        <v>350</v>
      </c>
      <c r="G37" s="14">
        <f>'WP12 Condensed Sch. Level Costs'!O34</f>
        <v>47.25</v>
      </c>
      <c r="H37" s="342">
        <f>'WP12 Condensed Sch. Level Costs'!R34</f>
        <v>1.9131568994526543E-2</v>
      </c>
      <c r="I37" s="339">
        <f>ROUND('WP12 Condensed Sch. Level Costs'!AD34,6)</f>
        <v>1.9132E-2</v>
      </c>
    </row>
    <row r="38" spans="1:9" x14ac:dyDescent="0.2">
      <c r="A38" s="32">
        <f t="shared" si="0"/>
        <v>30</v>
      </c>
      <c r="B38" s="27" t="str">
        <f>'WP12 Condensed Sch. Level Costs'!A35</f>
        <v>51E</v>
      </c>
      <c r="C38" s="327" t="str">
        <f>'WP12 Condensed Sch. Level Costs'!B35</f>
        <v>SMART LIGHT</v>
      </c>
      <c r="D38" s="327" t="str">
        <f>'WP12 Condensed Sch. Level Costs'!C35</f>
        <v>Light Emitting Diode</v>
      </c>
      <c r="E38" s="41" t="str">
        <f>'WP12 Condensed Sch. Level Costs'!D35</f>
        <v>LED 150.01-180</v>
      </c>
      <c r="F38" s="14">
        <f t="shared" si="1"/>
        <v>350</v>
      </c>
      <c r="G38" s="14">
        <f>'WP12 Condensed Sch. Level Costs'!O35</f>
        <v>57.75</v>
      </c>
      <c r="H38" s="342">
        <f>'WP12 Condensed Sch. Level Costs'!R35</f>
        <v>1.9131568994526543E-2</v>
      </c>
      <c r="I38" s="339">
        <f>ROUND('WP12 Condensed Sch. Level Costs'!AD35,6)</f>
        <v>1.9132E-2</v>
      </c>
    </row>
    <row r="39" spans="1:9" x14ac:dyDescent="0.2">
      <c r="A39" s="32">
        <f t="shared" si="0"/>
        <v>31</v>
      </c>
      <c r="B39" s="27" t="str">
        <f>'WP12 Condensed Sch. Level Costs'!A36</f>
        <v>51E</v>
      </c>
      <c r="C39" s="327" t="str">
        <f>'WP12 Condensed Sch. Level Costs'!B36</f>
        <v>SMART LIGHT</v>
      </c>
      <c r="D39" s="327" t="str">
        <f>'WP12 Condensed Sch. Level Costs'!C36</f>
        <v>Light Emitting Diode</v>
      </c>
      <c r="E39" s="41" t="str">
        <f>'WP12 Condensed Sch. Level Costs'!D36</f>
        <v>LED 180.01-210</v>
      </c>
      <c r="F39" s="14">
        <f t="shared" si="1"/>
        <v>350</v>
      </c>
      <c r="G39" s="14">
        <f>'WP12 Condensed Sch. Level Costs'!O36</f>
        <v>68.25</v>
      </c>
      <c r="H39" s="342">
        <f>'WP12 Condensed Sch. Level Costs'!R36</f>
        <v>1.9131568994526543E-2</v>
      </c>
      <c r="I39" s="339">
        <f>ROUND('WP12 Condensed Sch. Level Costs'!AD36,6)</f>
        <v>1.9132E-2</v>
      </c>
    </row>
    <row r="40" spans="1:9" x14ac:dyDescent="0.2">
      <c r="A40" s="32">
        <f t="shared" si="0"/>
        <v>32</v>
      </c>
      <c r="B40" s="27" t="str">
        <f>'WP12 Condensed Sch. Level Costs'!A37</f>
        <v>51E</v>
      </c>
      <c r="C40" s="327" t="str">
        <f>'WP12 Condensed Sch. Level Costs'!B37</f>
        <v>SMART LIGHT</v>
      </c>
      <c r="D40" s="327" t="str">
        <f>'WP12 Condensed Sch. Level Costs'!C37</f>
        <v>Light Emitting Diode</v>
      </c>
      <c r="E40" s="41" t="str">
        <f>'WP12 Condensed Sch. Level Costs'!D37</f>
        <v>LED 210.01-240</v>
      </c>
      <c r="F40" s="14">
        <f t="shared" si="1"/>
        <v>350</v>
      </c>
      <c r="G40" s="14">
        <f>'WP12 Condensed Sch. Level Costs'!O37</f>
        <v>78.75</v>
      </c>
      <c r="H40" s="342">
        <f>'WP12 Condensed Sch. Level Costs'!R37</f>
        <v>1.9131568994526543E-2</v>
      </c>
      <c r="I40" s="339">
        <f>ROUND('WP12 Condensed Sch. Level Costs'!AD37,6)</f>
        <v>1.9132E-2</v>
      </c>
    </row>
    <row r="41" spans="1:9" x14ac:dyDescent="0.2">
      <c r="A41" s="32">
        <f t="shared" si="0"/>
        <v>33</v>
      </c>
      <c r="B41" s="27" t="str">
        <f>'WP12 Condensed Sch. Level Costs'!A38</f>
        <v>51E</v>
      </c>
      <c r="C41" s="327" t="str">
        <f>'WP12 Condensed Sch. Level Costs'!B38</f>
        <v>SMART LIGHT</v>
      </c>
      <c r="D41" s="327" t="str">
        <f>'WP12 Condensed Sch. Level Costs'!C38</f>
        <v>Light Emitting Diode</v>
      </c>
      <c r="E41" s="41" t="str">
        <f>'WP12 Condensed Sch. Level Costs'!D38</f>
        <v>LED 240.01-270</v>
      </c>
      <c r="F41" s="14">
        <f t="shared" si="1"/>
        <v>350</v>
      </c>
      <c r="G41" s="14">
        <f>'WP12 Condensed Sch. Level Costs'!O38</f>
        <v>89.25</v>
      </c>
      <c r="H41" s="342">
        <f>'WP12 Condensed Sch. Level Costs'!R38</f>
        <v>1.9131568994526543E-2</v>
      </c>
      <c r="I41" s="339">
        <f>ROUND('WP12 Condensed Sch. Level Costs'!AD38,6)</f>
        <v>1.9132E-2</v>
      </c>
    </row>
    <row r="42" spans="1:9" x14ac:dyDescent="0.2">
      <c r="A42" s="32">
        <f t="shared" si="0"/>
        <v>34</v>
      </c>
      <c r="B42" s="27" t="str">
        <f>'WP12 Condensed Sch. Level Costs'!A39</f>
        <v>51E</v>
      </c>
      <c r="C42" s="327" t="str">
        <f>'WP12 Condensed Sch. Level Costs'!B39</f>
        <v>SMART LIGHT</v>
      </c>
      <c r="D42" s="327" t="str">
        <f>'WP12 Condensed Sch. Level Costs'!C39</f>
        <v>Light Emitting Diode</v>
      </c>
      <c r="E42" s="41" t="str">
        <f>'WP12 Condensed Sch. Level Costs'!D39</f>
        <v>LED 270.01-300</v>
      </c>
      <c r="F42" s="14">
        <f t="shared" si="1"/>
        <v>350</v>
      </c>
      <c r="G42" s="14">
        <f>'WP12 Condensed Sch. Level Costs'!O39</f>
        <v>99.75</v>
      </c>
      <c r="H42" s="342">
        <f>'WP12 Condensed Sch. Level Costs'!R39</f>
        <v>1.9131568994526543E-2</v>
      </c>
      <c r="I42" s="339">
        <f>ROUND('WP12 Condensed Sch. Level Costs'!AD39,6)</f>
        <v>1.9132E-2</v>
      </c>
    </row>
    <row r="43" spans="1:9" x14ac:dyDescent="0.2">
      <c r="A43" s="32">
        <f t="shared" si="0"/>
        <v>35</v>
      </c>
      <c r="B43" s="27"/>
      <c r="C43" s="27"/>
      <c r="D43" s="327"/>
      <c r="E43" s="41"/>
      <c r="F43" s="14"/>
      <c r="G43" s="14"/>
      <c r="H43" s="342"/>
      <c r="I43" s="328"/>
    </row>
    <row r="44" spans="1:9" x14ac:dyDescent="0.2">
      <c r="A44" s="32">
        <f>A32+1</f>
        <v>25</v>
      </c>
      <c r="B44" s="27" t="str">
        <f>'WP12 Condensed Sch. Level Costs'!A40</f>
        <v>Sch 52E</v>
      </c>
      <c r="C44" s="27"/>
      <c r="D44" s="327"/>
      <c r="E44" s="41"/>
      <c r="F44" s="14"/>
      <c r="G44" s="14"/>
      <c r="H44" s="342"/>
      <c r="I44" s="328"/>
    </row>
    <row r="45" spans="1:9" x14ac:dyDescent="0.2">
      <c r="A45" s="32">
        <f t="shared" si="0"/>
        <v>26</v>
      </c>
      <c r="B45" s="27" t="str">
        <f>'WP12 Condensed Sch. Level Costs'!A41</f>
        <v xml:space="preserve">52E </v>
      </c>
      <c r="C45" s="27"/>
      <c r="D45" s="327" t="str">
        <f>'WP12 Condensed Sch. Level Costs'!C41</f>
        <v>Sodium Vapor</v>
      </c>
      <c r="E45" s="41" t="str">
        <f>'WP12 Condensed Sch. Level Costs'!D41</f>
        <v>SV 50</v>
      </c>
      <c r="F45" s="14">
        <f t="shared" si="1"/>
        <v>350</v>
      </c>
      <c r="G45" s="14">
        <f>'WP12 Condensed Sch. Level Costs'!O41</f>
        <v>17.5</v>
      </c>
      <c r="H45" s="342">
        <f>'WP12 Condensed Sch. Level Costs'!R41</f>
        <v>1.9131568994526543E-2</v>
      </c>
      <c r="I45" s="328">
        <f>ROUND('WP12 Condensed Sch. Level Costs'!W41,2)</f>
        <v>0.33</v>
      </c>
    </row>
    <row r="46" spans="1:9" x14ac:dyDescent="0.2">
      <c r="A46" s="32">
        <f t="shared" si="0"/>
        <v>27</v>
      </c>
      <c r="B46" s="27" t="str">
        <f>'WP12 Condensed Sch. Level Costs'!A42</f>
        <v xml:space="preserve">52E </v>
      </c>
      <c r="C46" s="27"/>
      <c r="D46" s="327" t="str">
        <f>'WP12 Condensed Sch. Level Costs'!C42</f>
        <v>Sodium Vapor</v>
      </c>
      <c r="E46" s="41" t="str">
        <f>'WP12 Condensed Sch. Level Costs'!D42</f>
        <v>SV 070</v>
      </c>
      <c r="F46" s="14">
        <f t="shared" si="1"/>
        <v>350</v>
      </c>
      <c r="G46" s="14">
        <f>'WP12 Condensed Sch. Level Costs'!O42</f>
        <v>24.5</v>
      </c>
      <c r="H46" s="342">
        <f>'WP12 Condensed Sch. Level Costs'!R42</f>
        <v>1.9131568994526543E-2</v>
      </c>
      <c r="I46" s="328">
        <f>ROUND('WP12 Condensed Sch. Level Costs'!W42,2)</f>
        <v>0.47</v>
      </c>
    </row>
    <row r="47" spans="1:9" x14ac:dyDescent="0.2">
      <c r="A47" s="32">
        <f t="shared" si="0"/>
        <v>28</v>
      </c>
      <c r="B47" s="27" t="str">
        <f>'WP12 Condensed Sch. Level Costs'!A43</f>
        <v xml:space="preserve">52E </v>
      </c>
      <c r="C47" s="27"/>
      <c r="D47" s="327" t="str">
        <f>'WP12 Condensed Sch. Level Costs'!C43</f>
        <v>Sodium Vapor</v>
      </c>
      <c r="E47" s="41" t="str">
        <f>'WP12 Condensed Sch. Level Costs'!D43</f>
        <v>SV 100</v>
      </c>
      <c r="F47" s="14">
        <f t="shared" si="1"/>
        <v>350</v>
      </c>
      <c r="G47" s="14">
        <f>'WP12 Condensed Sch. Level Costs'!O43</f>
        <v>35</v>
      </c>
      <c r="H47" s="342">
        <f>'WP12 Condensed Sch. Level Costs'!R43</f>
        <v>1.9131568994526543E-2</v>
      </c>
      <c r="I47" s="328">
        <f>ROUND('WP12 Condensed Sch. Level Costs'!W43,2)</f>
        <v>0.67</v>
      </c>
    </row>
    <row r="48" spans="1:9" x14ac:dyDescent="0.2">
      <c r="A48" s="32">
        <f t="shared" si="0"/>
        <v>29</v>
      </c>
      <c r="B48" s="27" t="str">
        <f>'WP12 Condensed Sch. Level Costs'!A44</f>
        <v xml:space="preserve">52E </v>
      </c>
      <c r="C48" s="27"/>
      <c r="D48" s="327" t="str">
        <f>'WP12 Condensed Sch. Level Costs'!C44</f>
        <v>Sodium Vapor</v>
      </c>
      <c r="E48" s="41" t="str">
        <f>'WP12 Condensed Sch. Level Costs'!D44</f>
        <v>SV 150</v>
      </c>
      <c r="F48" s="14">
        <f t="shared" si="1"/>
        <v>350</v>
      </c>
      <c r="G48" s="14">
        <f>'WP12 Condensed Sch. Level Costs'!O44</f>
        <v>52.5</v>
      </c>
      <c r="H48" s="342">
        <f>'WP12 Condensed Sch. Level Costs'!R44</f>
        <v>1.9131568994526543E-2</v>
      </c>
      <c r="I48" s="328">
        <f>ROUND('WP12 Condensed Sch. Level Costs'!W44,2)</f>
        <v>1</v>
      </c>
    </row>
    <row r="49" spans="1:9" x14ac:dyDescent="0.2">
      <c r="A49" s="32">
        <f t="shared" si="0"/>
        <v>30</v>
      </c>
      <c r="B49" s="27" t="str">
        <f>'WP12 Condensed Sch. Level Costs'!A45</f>
        <v xml:space="preserve">52E </v>
      </c>
      <c r="C49" s="27"/>
      <c r="D49" s="327" t="str">
        <f>'WP12 Condensed Sch. Level Costs'!C45</f>
        <v>Sodium Vapor</v>
      </c>
      <c r="E49" s="41" t="str">
        <f>'WP12 Condensed Sch. Level Costs'!D45</f>
        <v>SV 200</v>
      </c>
      <c r="F49" s="14">
        <f t="shared" si="1"/>
        <v>350</v>
      </c>
      <c r="G49" s="14">
        <f>'WP12 Condensed Sch. Level Costs'!O45</f>
        <v>70</v>
      </c>
      <c r="H49" s="342">
        <f>'WP12 Condensed Sch. Level Costs'!R45</f>
        <v>1.9131568994526543E-2</v>
      </c>
      <c r="I49" s="328">
        <f>ROUND('WP12 Condensed Sch. Level Costs'!W45,2)</f>
        <v>1.34</v>
      </c>
    </row>
    <row r="50" spans="1:9" x14ac:dyDescent="0.2">
      <c r="A50" s="32">
        <f t="shared" si="0"/>
        <v>31</v>
      </c>
      <c r="B50" s="27" t="str">
        <f>'WP12 Condensed Sch. Level Costs'!A46</f>
        <v xml:space="preserve">52E </v>
      </c>
      <c r="C50" s="27"/>
      <c r="D50" s="327" t="str">
        <f>'WP12 Condensed Sch. Level Costs'!C46</f>
        <v>Sodium Vapor</v>
      </c>
      <c r="E50" s="41" t="str">
        <f>'WP12 Condensed Sch. Level Costs'!D46</f>
        <v>SV 250</v>
      </c>
      <c r="F50" s="14">
        <f t="shared" si="1"/>
        <v>350</v>
      </c>
      <c r="G50" s="14">
        <f>'WP12 Condensed Sch. Level Costs'!O46</f>
        <v>87.5</v>
      </c>
      <c r="H50" s="342">
        <f>'WP12 Condensed Sch. Level Costs'!R46</f>
        <v>1.9131568994526543E-2</v>
      </c>
      <c r="I50" s="328">
        <f>ROUND('WP12 Condensed Sch. Level Costs'!W46,2)</f>
        <v>1.67</v>
      </c>
    </row>
    <row r="51" spans="1:9" x14ac:dyDescent="0.2">
      <c r="A51" s="32">
        <f t="shared" si="0"/>
        <v>32</v>
      </c>
      <c r="B51" s="27" t="str">
        <f>'WP12 Condensed Sch. Level Costs'!A47</f>
        <v xml:space="preserve">52E </v>
      </c>
      <c r="C51" s="27"/>
      <c r="D51" s="327" t="str">
        <f>'WP12 Condensed Sch. Level Costs'!C47</f>
        <v>Sodium Vapor</v>
      </c>
      <c r="E51" s="41" t="str">
        <f>'WP12 Condensed Sch. Level Costs'!D47</f>
        <v>SV 310</v>
      </c>
      <c r="F51" s="14">
        <f t="shared" si="1"/>
        <v>350</v>
      </c>
      <c r="G51" s="14">
        <f>'WP12 Condensed Sch. Level Costs'!O47</f>
        <v>108.5</v>
      </c>
      <c r="H51" s="342">
        <f>'WP12 Condensed Sch. Level Costs'!R47</f>
        <v>1.9131568994526543E-2</v>
      </c>
      <c r="I51" s="328">
        <f>ROUND('WP12 Condensed Sch. Level Costs'!W47,2)</f>
        <v>2.08</v>
      </c>
    </row>
    <row r="52" spans="1:9" x14ac:dyDescent="0.2">
      <c r="A52" s="32">
        <f t="shared" si="0"/>
        <v>33</v>
      </c>
      <c r="B52" s="27" t="str">
        <f>'WP12 Condensed Sch. Level Costs'!A48</f>
        <v xml:space="preserve">52E </v>
      </c>
      <c r="C52" s="27"/>
      <c r="D52" s="327" t="str">
        <f>'WP12 Condensed Sch. Level Costs'!C48</f>
        <v>Sodium Vapor</v>
      </c>
      <c r="E52" s="41" t="str">
        <f>'WP12 Condensed Sch. Level Costs'!D48</f>
        <v>SV 400</v>
      </c>
      <c r="F52" s="14">
        <f t="shared" si="1"/>
        <v>350</v>
      </c>
      <c r="G52" s="14">
        <f>'WP12 Condensed Sch. Level Costs'!O48</f>
        <v>140</v>
      </c>
      <c r="H52" s="342">
        <f>'WP12 Condensed Sch. Level Costs'!R48</f>
        <v>1.9131568994526543E-2</v>
      </c>
      <c r="I52" s="328">
        <f>ROUND('WP12 Condensed Sch. Level Costs'!W48,2)</f>
        <v>2.68</v>
      </c>
    </row>
    <row r="53" spans="1:9" x14ac:dyDescent="0.2">
      <c r="A53" s="32">
        <f t="shared" si="0"/>
        <v>34</v>
      </c>
      <c r="B53" s="27"/>
      <c r="C53" s="27"/>
      <c r="D53" s="327"/>
      <c r="E53" s="41"/>
      <c r="F53" s="14"/>
      <c r="G53" s="14"/>
      <c r="H53" s="342"/>
      <c r="I53" s="328"/>
    </row>
    <row r="54" spans="1:9" x14ac:dyDescent="0.2">
      <c r="A54" s="32">
        <f t="shared" si="0"/>
        <v>35</v>
      </c>
      <c r="B54" s="27" t="str">
        <f>'WP12 Condensed Sch. Level Costs'!A50</f>
        <v xml:space="preserve">52E </v>
      </c>
      <c r="C54" s="27"/>
      <c r="D54" s="327" t="str">
        <f>'WP12 Condensed Sch. Level Costs'!C50</f>
        <v>Metal Halide</v>
      </c>
      <c r="E54" s="41" t="str">
        <f>'WP12 Condensed Sch. Level Costs'!D50</f>
        <v>MH 070</v>
      </c>
      <c r="F54" s="14">
        <f t="shared" si="1"/>
        <v>350</v>
      </c>
      <c r="G54" s="14">
        <f>'WP12 Condensed Sch. Level Costs'!O50</f>
        <v>24.5</v>
      </c>
      <c r="H54" s="342">
        <f>'WP12 Condensed Sch. Level Costs'!R50</f>
        <v>1.9131568994526543E-2</v>
      </c>
      <c r="I54" s="328">
        <f>ROUND('WP12 Condensed Sch. Level Costs'!W50,2)</f>
        <v>0.47</v>
      </c>
    </row>
    <row r="55" spans="1:9" x14ac:dyDescent="0.2">
      <c r="A55" s="32">
        <f t="shared" si="0"/>
        <v>36</v>
      </c>
      <c r="B55" s="27" t="str">
        <f>'WP12 Condensed Sch. Level Costs'!A51</f>
        <v xml:space="preserve">52E </v>
      </c>
      <c r="C55" s="27"/>
      <c r="D55" s="327" t="str">
        <f>'WP12 Condensed Sch. Level Costs'!C51</f>
        <v>Metal Halide</v>
      </c>
      <c r="E55" s="41" t="str">
        <f>'WP12 Condensed Sch. Level Costs'!D51</f>
        <v>MH 100</v>
      </c>
      <c r="F55" s="14">
        <f t="shared" si="1"/>
        <v>350</v>
      </c>
      <c r="G55" s="14">
        <f>'WP12 Condensed Sch. Level Costs'!O51</f>
        <v>35</v>
      </c>
      <c r="H55" s="342">
        <f>'WP12 Condensed Sch. Level Costs'!R51</f>
        <v>1.9131568994526543E-2</v>
      </c>
      <c r="I55" s="328">
        <f>ROUND('WP12 Condensed Sch. Level Costs'!W51,2)</f>
        <v>0.67</v>
      </c>
    </row>
    <row r="56" spans="1:9" x14ac:dyDescent="0.2">
      <c r="A56" s="32">
        <f t="shared" si="0"/>
        <v>37</v>
      </c>
      <c r="B56" s="27" t="str">
        <f>'WP12 Condensed Sch. Level Costs'!A52</f>
        <v xml:space="preserve">52E </v>
      </c>
      <c r="C56" s="27"/>
      <c r="D56" s="327" t="str">
        <f>'WP12 Condensed Sch. Level Costs'!C52</f>
        <v>Metal Halide</v>
      </c>
      <c r="E56" s="41" t="str">
        <f>'WP12 Condensed Sch. Level Costs'!D52</f>
        <v>MH 150</v>
      </c>
      <c r="F56" s="14">
        <f t="shared" si="1"/>
        <v>350</v>
      </c>
      <c r="G56" s="14">
        <f>'WP12 Condensed Sch. Level Costs'!O52</f>
        <v>52.5</v>
      </c>
      <c r="H56" s="342">
        <f>'WP12 Condensed Sch. Level Costs'!R52</f>
        <v>1.9131568994526543E-2</v>
      </c>
      <c r="I56" s="328">
        <f>ROUND('WP12 Condensed Sch. Level Costs'!W52,2)</f>
        <v>1</v>
      </c>
    </row>
    <row r="57" spans="1:9" x14ac:dyDescent="0.2">
      <c r="A57" s="32">
        <f t="shared" si="0"/>
        <v>38</v>
      </c>
      <c r="B57" s="27" t="str">
        <f>'WP12 Condensed Sch. Level Costs'!A53</f>
        <v xml:space="preserve">52E </v>
      </c>
      <c r="C57" s="27"/>
      <c r="D57" s="327" t="str">
        <f>'WP12 Condensed Sch. Level Costs'!C53</f>
        <v>Metal Halide</v>
      </c>
      <c r="E57" s="41" t="str">
        <f>'WP12 Condensed Sch. Level Costs'!D53</f>
        <v>MH 175</v>
      </c>
      <c r="F57" s="14">
        <f t="shared" si="1"/>
        <v>350</v>
      </c>
      <c r="G57" s="14">
        <f>'WP12 Condensed Sch. Level Costs'!O53</f>
        <v>61.25</v>
      </c>
      <c r="H57" s="342">
        <f>'WP12 Condensed Sch. Level Costs'!R53</f>
        <v>1.9131568994526543E-2</v>
      </c>
      <c r="I57" s="328">
        <f>ROUND('WP12 Condensed Sch. Level Costs'!W53,2)</f>
        <v>1.17</v>
      </c>
    </row>
    <row r="58" spans="1:9" x14ac:dyDescent="0.2">
      <c r="A58" s="32">
        <f t="shared" si="0"/>
        <v>39</v>
      </c>
      <c r="B58" s="27" t="str">
        <f>'WP12 Condensed Sch. Level Costs'!A54</f>
        <v xml:space="preserve">52E </v>
      </c>
      <c r="C58" s="27"/>
      <c r="D58" s="327" t="str">
        <f>'WP12 Condensed Sch. Level Costs'!C54</f>
        <v>Metal Halide</v>
      </c>
      <c r="E58" s="41" t="str">
        <f>'WP12 Condensed Sch. Level Costs'!D54</f>
        <v>MH 250</v>
      </c>
      <c r="F58" s="14">
        <f t="shared" si="1"/>
        <v>350</v>
      </c>
      <c r="G58" s="14">
        <f>'WP12 Condensed Sch. Level Costs'!O54</f>
        <v>87.5</v>
      </c>
      <c r="H58" s="342">
        <f>'WP12 Condensed Sch. Level Costs'!R54</f>
        <v>1.9131568994526543E-2</v>
      </c>
      <c r="I58" s="328">
        <f>ROUND('WP12 Condensed Sch. Level Costs'!W54,2)</f>
        <v>1.67</v>
      </c>
    </row>
    <row r="59" spans="1:9" x14ac:dyDescent="0.2">
      <c r="A59" s="32">
        <f t="shared" si="0"/>
        <v>40</v>
      </c>
      <c r="B59" s="27" t="str">
        <f>'WP12 Condensed Sch. Level Costs'!A55</f>
        <v xml:space="preserve">52E </v>
      </c>
      <c r="C59" s="27"/>
      <c r="D59" s="327" t="str">
        <f>'WP12 Condensed Sch. Level Costs'!C55</f>
        <v>Metal Halide</v>
      </c>
      <c r="E59" s="41" t="str">
        <f>'WP12 Condensed Sch. Level Costs'!D55</f>
        <v>MH 400</v>
      </c>
      <c r="F59" s="14">
        <f t="shared" si="1"/>
        <v>350</v>
      </c>
      <c r="G59" s="14">
        <f>'WP12 Condensed Sch. Level Costs'!O55</f>
        <v>140</v>
      </c>
      <c r="H59" s="342">
        <f>'WP12 Condensed Sch. Level Costs'!R55</f>
        <v>1.9131568994526543E-2</v>
      </c>
      <c r="I59" s="328">
        <f>ROUND('WP12 Condensed Sch. Level Costs'!W55,2)</f>
        <v>2.68</v>
      </c>
    </row>
    <row r="60" spans="1:9" x14ac:dyDescent="0.2">
      <c r="A60" s="32">
        <f t="shared" si="0"/>
        <v>41</v>
      </c>
      <c r="B60" s="27" t="str">
        <f>'WP12 Condensed Sch. Level Costs'!A56</f>
        <v xml:space="preserve">52E </v>
      </c>
      <c r="C60" s="27"/>
      <c r="D60" s="327" t="str">
        <f>'WP12 Condensed Sch. Level Costs'!C56</f>
        <v>Metal Halide</v>
      </c>
      <c r="E60" s="41" t="str">
        <f>'WP12 Condensed Sch. Level Costs'!D56</f>
        <v>MH 1000</v>
      </c>
      <c r="F60" s="14">
        <f t="shared" si="1"/>
        <v>350</v>
      </c>
      <c r="G60" s="14">
        <f>'WP12 Condensed Sch. Level Costs'!O56</f>
        <v>350</v>
      </c>
      <c r="H60" s="342">
        <f>'WP12 Condensed Sch. Level Costs'!R56</f>
        <v>1.9131568994526543E-2</v>
      </c>
      <c r="I60" s="328">
        <f>ROUND('WP12 Condensed Sch. Level Costs'!W56,2)</f>
        <v>6.7</v>
      </c>
    </row>
    <row r="61" spans="1:9" x14ac:dyDescent="0.2">
      <c r="A61" s="32">
        <f t="shared" si="0"/>
        <v>42</v>
      </c>
      <c r="B61" s="27"/>
      <c r="C61" s="27"/>
      <c r="D61" s="327"/>
      <c r="E61" s="41"/>
      <c r="F61" s="14"/>
      <c r="G61" s="14"/>
      <c r="H61" s="342"/>
      <c r="I61" s="328"/>
    </row>
    <row r="62" spans="1:9" x14ac:dyDescent="0.2">
      <c r="A62" s="32">
        <f t="shared" si="0"/>
        <v>43</v>
      </c>
      <c r="B62" s="27" t="str">
        <f>'WP12 Condensed Sch. Level Costs'!A57</f>
        <v>Sch 53E</v>
      </c>
      <c r="C62" s="27"/>
      <c r="D62" s="327"/>
      <c r="E62" s="41"/>
      <c r="F62" s="14"/>
      <c r="G62" s="14"/>
      <c r="H62" s="342"/>
      <c r="I62" s="328"/>
    </row>
    <row r="63" spans="1:9" x14ac:dyDescent="0.2">
      <c r="A63" s="32">
        <f t="shared" si="0"/>
        <v>44</v>
      </c>
      <c r="B63" s="27" t="str">
        <f>'WP12 Condensed Sch. Level Costs'!A58</f>
        <v>53E - Company Owned</v>
      </c>
      <c r="C63" s="27"/>
      <c r="D63" s="327" t="str">
        <f>'WP12 Condensed Sch. Level Costs'!C58</f>
        <v>Sodium Vapor</v>
      </c>
      <c r="E63" s="41" t="str">
        <f>'WP12 Condensed Sch. Level Costs'!D58</f>
        <v>SV 050</v>
      </c>
      <c r="F63" s="14">
        <f t="shared" si="1"/>
        <v>350</v>
      </c>
      <c r="G63" s="14">
        <f>'WP12 Condensed Sch. Level Costs'!O58</f>
        <v>17.5</v>
      </c>
      <c r="H63" s="342">
        <f>'WP12 Condensed Sch. Level Costs'!R58</f>
        <v>1.9131568994526543E-2</v>
      </c>
      <c r="I63" s="328">
        <f>ROUND('WP12 Condensed Sch. Level Costs'!W58,2)</f>
        <v>0.33</v>
      </c>
    </row>
    <row r="64" spans="1:9" x14ac:dyDescent="0.2">
      <c r="A64" s="32">
        <f t="shared" si="0"/>
        <v>45</v>
      </c>
      <c r="B64" s="27" t="str">
        <f>'WP12 Condensed Sch. Level Costs'!A59</f>
        <v>53E - Company Owned</v>
      </c>
      <c r="C64" s="27"/>
      <c r="D64" s="327" t="str">
        <f>'WP12 Condensed Sch. Level Costs'!C59</f>
        <v>Sodium Vapor</v>
      </c>
      <c r="E64" s="41" t="str">
        <f>'WP12 Condensed Sch. Level Costs'!D59</f>
        <v>SV 070</v>
      </c>
      <c r="F64" s="14">
        <f t="shared" si="1"/>
        <v>350</v>
      </c>
      <c r="G64" s="14">
        <f>'WP12 Condensed Sch. Level Costs'!O59</f>
        <v>24.5</v>
      </c>
      <c r="H64" s="342">
        <f>'WP12 Condensed Sch. Level Costs'!R59</f>
        <v>1.9131568994526543E-2</v>
      </c>
      <c r="I64" s="328">
        <f>ROUND('WP12 Condensed Sch. Level Costs'!W59,2)</f>
        <v>0.47</v>
      </c>
    </row>
    <row r="65" spans="1:9" x14ac:dyDescent="0.2">
      <c r="A65" s="32">
        <f t="shared" si="0"/>
        <v>46</v>
      </c>
      <c r="B65" s="27" t="str">
        <f>'WP12 Condensed Sch. Level Costs'!A60</f>
        <v>53E - Company Owned</v>
      </c>
      <c r="C65" s="27"/>
      <c r="D65" s="327" t="str">
        <f>'WP12 Condensed Sch. Level Costs'!C60</f>
        <v>Sodium Vapor</v>
      </c>
      <c r="E65" s="41" t="str">
        <f>'WP12 Condensed Sch. Level Costs'!D60</f>
        <v>SV 100</v>
      </c>
      <c r="F65" s="14">
        <f t="shared" si="1"/>
        <v>350</v>
      </c>
      <c r="G65" s="14">
        <f>'WP12 Condensed Sch. Level Costs'!O60</f>
        <v>35</v>
      </c>
      <c r="H65" s="342">
        <f>'WP12 Condensed Sch. Level Costs'!R60</f>
        <v>1.9131568994526543E-2</v>
      </c>
      <c r="I65" s="328">
        <f>ROUND('WP12 Condensed Sch. Level Costs'!W60,2)</f>
        <v>0.67</v>
      </c>
    </row>
    <row r="66" spans="1:9" x14ac:dyDescent="0.2">
      <c r="A66" s="32">
        <f t="shared" si="0"/>
        <v>47</v>
      </c>
      <c r="B66" s="27" t="str">
        <f>'WP12 Condensed Sch. Level Costs'!A61</f>
        <v>53E - Company Owned</v>
      </c>
      <c r="C66" s="27"/>
      <c r="D66" s="327" t="str">
        <f>'WP12 Condensed Sch. Level Costs'!C61</f>
        <v>Sodium Vapor</v>
      </c>
      <c r="E66" s="41" t="str">
        <f>'WP12 Condensed Sch. Level Costs'!D61</f>
        <v>SV 150</v>
      </c>
      <c r="F66" s="14">
        <f t="shared" si="1"/>
        <v>350</v>
      </c>
      <c r="G66" s="14">
        <f>'WP12 Condensed Sch. Level Costs'!O61</f>
        <v>52.5</v>
      </c>
      <c r="H66" s="342">
        <f>'WP12 Condensed Sch. Level Costs'!R61</f>
        <v>1.9131568994526543E-2</v>
      </c>
      <c r="I66" s="328">
        <f>ROUND('WP12 Condensed Sch. Level Costs'!W61,2)</f>
        <v>1</v>
      </c>
    </row>
    <row r="67" spans="1:9" x14ac:dyDescent="0.2">
      <c r="A67" s="32">
        <f t="shared" si="0"/>
        <v>48</v>
      </c>
      <c r="B67" s="27" t="str">
        <f>'WP12 Condensed Sch. Level Costs'!A62</f>
        <v>53E - Company Owned</v>
      </c>
      <c r="C67" s="27"/>
      <c r="D67" s="327" t="str">
        <f>'WP12 Condensed Sch. Level Costs'!C62</f>
        <v>Sodium Vapor</v>
      </c>
      <c r="E67" s="41" t="str">
        <f>'WP12 Condensed Sch. Level Costs'!D62</f>
        <v>SV 200</v>
      </c>
      <c r="F67" s="14">
        <f t="shared" si="1"/>
        <v>350</v>
      </c>
      <c r="G67" s="14">
        <f>'WP12 Condensed Sch. Level Costs'!O62</f>
        <v>70</v>
      </c>
      <c r="H67" s="342">
        <f>'WP12 Condensed Sch. Level Costs'!R62</f>
        <v>1.9131568994526543E-2</v>
      </c>
      <c r="I67" s="328">
        <f>ROUND('WP12 Condensed Sch. Level Costs'!W62,2)</f>
        <v>1.34</v>
      </c>
    </row>
    <row r="68" spans="1:9" x14ac:dyDescent="0.2">
      <c r="A68" s="32">
        <f t="shared" si="0"/>
        <v>49</v>
      </c>
      <c r="B68" s="27" t="str">
        <f>'WP12 Condensed Sch. Level Costs'!A63</f>
        <v>53E - Company Owned</v>
      </c>
      <c r="C68" s="27"/>
      <c r="D68" s="327" t="str">
        <f>'WP12 Condensed Sch. Level Costs'!C63</f>
        <v>Sodium Vapor</v>
      </c>
      <c r="E68" s="41" t="str">
        <f>'WP12 Condensed Sch. Level Costs'!D63</f>
        <v>SV 250</v>
      </c>
      <c r="F68" s="14">
        <f t="shared" si="1"/>
        <v>350</v>
      </c>
      <c r="G68" s="14">
        <f>'WP12 Condensed Sch. Level Costs'!O63</f>
        <v>87.5</v>
      </c>
      <c r="H68" s="342">
        <f>'WP12 Condensed Sch. Level Costs'!R63</f>
        <v>1.9131568994526543E-2</v>
      </c>
      <c r="I68" s="328">
        <f>ROUND('WP12 Condensed Sch. Level Costs'!W63,2)</f>
        <v>1.67</v>
      </c>
    </row>
    <row r="69" spans="1:9" x14ac:dyDescent="0.2">
      <c r="A69" s="32">
        <f t="shared" si="0"/>
        <v>50</v>
      </c>
      <c r="B69" s="27" t="str">
        <f>'WP12 Condensed Sch. Level Costs'!A64</f>
        <v>53E - Company Owned</v>
      </c>
      <c r="C69" s="27"/>
      <c r="D69" s="327" t="str">
        <f>'WP12 Condensed Sch. Level Costs'!C64</f>
        <v>Sodium Vapor</v>
      </c>
      <c r="E69" s="41" t="str">
        <f>'WP12 Condensed Sch. Level Costs'!D64</f>
        <v>SV 310</v>
      </c>
      <c r="F69" s="14">
        <f t="shared" si="1"/>
        <v>350</v>
      </c>
      <c r="G69" s="14">
        <f>'WP12 Condensed Sch. Level Costs'!O64</f>
        <v>108.5</v>
      </c>
      <c r="H69" s="342">
        <f>'WP12 Condensed Sch. Level Costs'!R64</f>
        <v>1.9131568994526543E-2</v>
      </c>
      <c r="I69" s="328">
        <f>ROUND('WP12 Condensed Sch. Level Costs'!W64,2)</f>
        <v>2.08</v>
      </c>
    </row>
    <row r="70" spans="1:9" x14ac:dyDescent="0.2">
      <c r="A70" s="32">
        <f t="shared" si="0"/>
        <v>51</v>
      </c>
      <c r="B70" s="27" t="str">
        <f>'WP12 Condensed Sch. Level Costs'!A65</f>
        <v>53E - Company Owned</v>
      </c>
      <c r="C70" s="27"/>
      <c r="D70" s="327" t="str">
        <f>'WP12 Condensed Sch. Level Costs'!C65</f>
        <v>Sodium Vapor</v>
      </c>
      <c r="E70" s="41" t="str">
        <f>'WP12 Condensed Sch. Level Costs'!D65</f>
        <v>SV 400</v>
      </c>
      <c r="F70" s="14">
        <f t="shared" si="1"/>
        <v>350</v>
      </c>
      <c r="G70" s="14">
        <f>'WP12 Condensed Sch. Level Costs'!O65</f>
        <v>140</v>
      </c>
      <c r="H70" s="342">
        <f>'WP12 Condensed Sch. Level Costs'!R65</f>
        <v>1.9131568994526543E-2</v>
      </c>
      <c r="I70" s="328">
        <f>ROUND('WP12 Condensed Sch. Level Costs'!W65,2)</f>
        <v>2.68</v>
      </c>
    </row>
    <row r="71" spans="1:9" x14ac:dyDescent="0.2">
      <c r="A71" s="32">
        <f t="shared" si="0"/>
        <v>52</v>
      </c>
      <c r="B71" s="27" t="str">
        <f>'WP12 Condensed Sch. Level Costs'!A66</f>
        <v>53E - Company Owned</v>
      </c>
      <c r="C71" s="27"/>
      <c r="D71" s="327" t="str">
        <f>'WP12 Condensed Sch. Level Costs'!C66</f>
        <v>Sodium Vapor</v>
      </c>
      <c r="E71" s="41" t="str">
        <f>'WP12 Condensed Sch. Level Costs'!D66</f>
        <v>SV 1000</v>
      </c>
      <c r="F71" s="14">
        <f t="shared" si="1"/>
        <v>350</v>
      </c>
      <c r="G71" s="14">
        <f>'WP12 Condensed Sch. Level Costs'!O66</f>
        <v>350</v>
      </c>
      <c r="H71" s="342">
        <f>'WP12 Condensed Sch. Level Costs'!R66</f>
        <v>1.9131568994526543E-2</v>
      </c>
      <c r="I71" s="328">
        <f>ROUND('WP12 Condensed Sch. Level Costs'!W66,2)</f>
        <v>6.7</v>
      </c>
    </row>
    <row r="72" spans="1:9" x14ac:dyDescent="0.2">
      <c r="A72" s="32">
        <f t="shared" si="0"/>
        <v>53</v>
      </c>
      <c r="B72" s="27"/>
      <c r="C72" s="27"/>
      <c r="D72" s="327"/>
      <c r="E72" s="41"/>
      <c r="F72" s="14"/>
      <c r="G72" s="14"/>
      <c r="H72" s="342"/>
      <c r="I72" s="328"/>
    </row>
    <row r="73" spans="1:9" x14ac:dyDescent="0.2">
      <c r="A73" s="32">
        <f t="shared" si="0"/>
        <v>54</v>
      </c>
      <c r="B73" s="27" t="str">
        <f>'WP12 Condensed Sch. Level Costs'!A68</f>
        <v>53E - Company Owned</v>
      </c>
      <c r="C73" s="27"/>
      <c r="D73" s="327" t="str">
        <f>'WP12 Condensed Sch. Level Costs'!C68</f>
        <v>Metal Halide</v>
      </c>
      <c r="E73" s="41" t="str">
        <f>'WP12 Condensed Sch. Level Costs'!D68</f>
        <v>MH 070</v>
      </c>
      <c r="F73" s="14">
        <f t="shared" si="1"/>
        <v>350</v>
      </c>
      <c r="G73" s="14">
        <f>'WP12 Condensed Sch. Level Costs'!O68</f>
        <v>24.5</v>
      </c>
      <c r="H73" s="342">
        <f>'WP12 Condensed Sch. Level Costs'!R68</f>
        <v>1.9131568994526543E-2</v>
      </c>
      <c r="I73" s="328">
        <f>ROUND('WP12 Condensed Sch. Level Costs'!W68,2)</f>
        <v>0.47</v>
      </c>
    </row>
    <row r="74" spans="1:9" x14ac:dyDescent="0.2">
      <c r="A74" s="32">
        <f t="shared" si="0"/>
        <v>55</v>
      </c>
      <c r="B74" s="27" t="str">
        <f>'WP12 Condensed Sch. Level Costs'!A69</f>
        <v>53E - Company Owned</v>
      </c>
      <c r="C74" s="27"/>
      <c r="D74" s="327" t="str">
        <f>'WP12 Condensed Sch. Level Costs'!C69</f>
        <v>Metal Halide</v>
      </c>
      <c r="E74" s="41" t="str">
        <f>'WP12 Condensed Sch. Level Costs'!D69</f>
        <v>MH 100</v>
      </c>
      <c r="F74" s="14">
        <f t="shared" si="1"/>
        <v>350</v>
      </c>
      <c r="G74" s="14">
        <f>'WP12 Condensed Sch. Level Costs'!O69</f>
        <v>35</v>
      </c>
      <c r="H74" s="342">
        <f>'WP12 Condensed Sch. Level Costs'!R69</f>
        <v>1.9131568994526543E-2</v>
      </c>
      <c r="I74" s="328">
        <f>ROUND('WP12 Condensed Sch. Level Costs'!W69,2)</f>
        <v>0.67</v>
      </c>
    </row>
    <row r="75" spans="1:9" x14ac:dyDescent="0.2">
      <c r="A75" s="32">
        <f t="shared" si="0"/>
        <v>56</v>
      </c>
      <c r="B75" s="27" t="str">
        <f>'WP12 Condensed Sch. Level Costs'!A70</f>
        <v>53E - Company Owned</v>
      </c>
      <c r="C75" s="27"/>
      <c r="D75" s="327" t="str">
        <f>'WP12 Condensed Sch. Level Costs'!C70</f>
        <v>Metal Halide</v>
      </c>
      <c r="E75" s="41" t="str">
        <f>'WP12 Condensed Sch. Level Costs'!D70</f>
        <v>MH 150</v>
      </c>
      <c r="F75" s="14">
        <f t="shared" si="1"/>
        <v>350</v>
      </c>
      <c r="G75" s="14">
        <f>'WP12 Condensed Sch. Level Costs'!O70</f>
        <v>52.5</v>
      </c>
      <c r="H75" s="342">
        <f>'WP12 Condensed Sch. Level Costs'!R70</f>
        <v>1.9131568994526543E-2</v>
      </c>
      <c r="I75" s="328">
        <f>ROUND('WP12 Condensed Sch. Level Costs'!W70,2)</f>
        <v>1</v>
      </c>
    </row>
    <row r="76" spans="1:9" x14ac:dyDescent="0.2">
      <c r="A76" s="32">
        <f t="shared" si="0"/>
        <v>57</v>
      </c>
      <c r="B76" s="27" t="str">
        <f>'WP12 Condensed Sch. Level Costs'!A71</f>
        <v>53E - Company Owned</v>
      </c>
      <c r="C76" s="27"/>
      <c r="D76" s="327" t="str">
        <f>'WP12 Condensed Sch. Level Costs'!C71</f>
        <v>Metal Halide</v>
      </c>
      <c r="E76" s="41" t="str">
        <f>'WP12 Condensed Sch. Level Costs'!D71</f>
        <v>MH 250</v>
      </c>
      <c r="F76" s="14">
        <f t="shared" si="1"/>
        <v>350</v>
      </c>
      <c r="G76" s="14">
        <f>'WP12 Condensed Sch. Level Costs'!O71</f>
        <v>87.5</v>
      </c>
      <c r="H76" s="342">
        <f>'WP12 Condensed Sch. Level Costs'!R71</f>
        <v>1.9131568994526543E-2</v>
      </c>
      <c r="I76" s="328">
        <f>ROUND('WP12 Condensed Sch. Level Costs'!W71,2)</f>
        <v>1.67</v>
      </c>
    </row>
    <row r="77" spans="1:9" x14ac:dyDescent="0.2">
      <c r="A77" s="32">
        <f t="shared" si="0"/>
        <v>58</v>
      </c>
      <c r="B77" s="27" t="str">
        <f>'WP12 Condensed Sch. Level Costs'!A72</f>
        <v>53E - Company Owned</v>
      </c>
      <c r="C77" s="27"/>
      <c r="D77" s="327" t="str">
        <f>'WP12 Condensed Sch. Level Costs'!C72</f>
        <v>Metal Halide</v>
      </c>
      <c r="E77" s="41" t="str">
        <f>'WP12 Condensed Sch. Level Costs'!D72</f>
        <v>MH 400</v>
      </c>
      <c r="F77" s="14">
        <f t="shared" si="1"/>
        <v>350</v>
      </c>
      <c r="G77" s="14">
        <f>'WP12 Condensed Sch. Level Costs'!O72</f>
        <v>140</v>
      </c>
      <c r="H77" s="342">
        <f>'WP12 Condensed Sch. Level Costs'!R72</f>
        <v>1.9131568994526543E-2</v>
      </c>
      <c r="I77" s="328">
        <f>ROUND('WP12 Condensed Sch. Level Costs'!W72,2)</f>
        <v>2.68</v>
      </c>
    </row>
    <row r="78" spans="1:9" x14ac:dyDescent="0.2">
      <c r="A78" s="32">
        <f t="shared" si="0"/>
        <v>59</v>
      </c>
      <c r="B78" s="27"/>
      <c r="C78" s="27"/>
      <c r="D78" s="327"/>
      <c r="E78" s="41"/>
      <c r="F78" s="14"/>
      <c r="G78" s="14"/>
      <c r="H78" s="342"/>
      <c r="I78" s="328"/>
    </row>
    <row r="79" spans="1:9" x14ac:dyDescent="0.2">
      <c r="A79" s="32">
        <f t="shared" si="0"/>
        <v>60</v>
      </c>
      <c r="B79" s="27" t="str">
        <f>'WP12 Condensed Sch. Level Costs'!A74</f>
        <v>53E - Company Owned</v>
      </c>
      <c r="C79" s="27"/>
      <c r="D79" s="327" t="str">
        <f>'WP12 Condensed Sch. Level Costs'!C74</f>
        <v>Light Emitting Diode</v>
      </c>
      <c r="E79" s="41" t="str">
        <f>'WP12 Condensed Sch. Level Costs'!D74</f>
        <v>LED 0-030</v>
      </c>
      <c r="F79" s="14">
        <f t="shared" si="1"/>
        <v>350</v>
      </c>
      <c r="G79" s="14">
        <f>'WP12 Condensed Sch. Level Costs'!O74</f>
        <v>5.25</v>
      </c>
      <c r="H79" s="342">
        <f>'WP12 Condensed Sch. Level Costs'!R74</f>
        <v>1.9131568994526543E-2</v>
      </c>
      <c r="I79" s="328">
        <f>ROUND('WP12 Condensed Sch. Level Costs'!W74,2)</f>
        <v>0.1</v>
      </c>
    </row>
    <row r="80" spans="1:9" x14ac:dyDescent="0.2">
      <c r="A80" s="32">
        <f t="shared" si="0"/>
        <v>61</v>
      </c>
      <c r="B80" s="27" t="str">
        <f>'WP12 Condensed Sch. Level Costs'!A75</f>
        <v>53E - Company Owned</v>
      </c>
      <c r="C80" s="27"/>
      <c r="D80" s="327" t="str">
        <f>'WP12 Condensed Sch. Level Costs'!C75</f>
        <v>Light Emitting Diode</v>
      </c>
      <c r="E80" s="41" t="str">
        <f>'WP12 Condensed Sch. Level Costs'!D75</f>
        <v>LED 030.01-060</v>
      </c>
      <c r="F80" s="14">
        <f t="shared" si="1"/>
        <v>350</v>
      </c>
      <c r="G80" s="14">
        <f>'WP12 Condensed Sch. Level Costs'!O75</f>
        <v>15.75</v>
      </c>
      <c r="H80" s="342">
        <f>'WP12 Condensed Sch. Level Costs'!R75</f>
        <v>1.9131568994526543E-2</v>
      </c>
      <c r="I80" s="328">
        <f>ROUND('WP12 Condensed Sch. Level Costs'!W75,2)</f>
        <v>0.3</v>
      </c>
    </row>
    <row r="81" spans="1:9" x14ac:dyDescent="0.2">
      <c r="A81" s="32">
        <f t="shared" si="0"/>
        <v>62</v>
      </c>
      <c r="B81" s="27" t="str">
        <f>'WP12 Condensed Sch. Level Costs'!A76</f>
        <v>53E - Company Owned</v>
      </c>
      <c r="C81" s="27"/>
      <c r="D81" s="327" t="str">
        <f>'WP12 Condensed Sch. Level Costs'!C76</f>
        <v>Light Emitting Diode</v>
      </c>
      <c r="E81" s="41" t="str">
        <f>'WP12 Condensed Sch. Level Costs'!D76</f>
        <v>LED 060.01-090</v>
      </c>
      <c r="F81" s="14">
        <f t="shared" si="1"/>
        <v>350</v>
      </c>
      <c r="G81" s="14">
        <f>'WP12 Condensed Sch. Level Costs'!O76</f>
        <v>26.25</v>
      </c>
      <c r="H81" s="342">
        <f>'WP12 Condensed Sch. Level Costs'!R76</f>
        <v>1.9131568994526543E-2</v>
      </c>
      <c r="I81" s="328">
        <f>ROUND('WP12 Condensed Sch. Level Costs'!W76,2)</f>
        <v>0.5</v>
      </c>
    </row>
    <row r="82" spans="1:9" x14ac:dyDescent="0.2">
      <c r="A82" s="32">
        <f t="shared" si="0"/>
        <v>63</v>
      </c>
      <c r="B82" s="27" t="str">
        <f>'WP12 Condensed Sch. Level Costs'!A77</f>
        <v>53E - Company Owned</v>
      </c>
      <c r="C82" s="27"/>
      <c r="D82" s="327" t="str">
        <f>'WP12 Condensed Sch. Level Costs'!C77</f>
        <v>Light Emitting Diode</v>
      </c>
      <c r="E82" s="41" t="str">
        <f>'WP12 Condensed Sch. Level Costs'!D77</f>
        <v>LED 090.01-120</v>
      </c>
      <c r="F82" s="14">
        <f t="shared" si="1"/>
        <v>350</v>
      </c>
      <c r="G82" s="14">
        <f>'WP12 Condensed Sch. Level Costs'!O77</f>
        <v>36.75</v>
      </c>
      <c r="H82" s="342">
        <f>'WP12 Condensed Sch. Level Costs'!R77</f>
        <v>1.9131568994526543E-2</v>
      </c>
      <c r="I82" s="328">
        <f>ROUND('WP12 Condensed Sch. Level Costs'!W77,2)</f>
        <v>0.7</v>
      </c>
    </row>
    <row r="83" spans="1:9" x14ac:dyDescent="0.2">
      <c r="A83" s="32">
        <f t="shared" si="0"/>
        <v>64</v>
      </c>
      <c r="B83" s="27" t="str">
        <f>'WP12 Condensed Sch. Level Costs'!A78</f>
        <v>53E - Company Owned</v>
      </c>
      <c r="C83" s="27"/>
      <c r="D83" s="327" t="str">
        <f>'WP12 Condensed Sch. Level Costs'!C78</f>
        <v>Light Emitting Diode</v>
      </c>
      <c r="E83" s="41" t="str">
        <f>'WP12 Condensed Sch. Level Costs'!D78</f>
        <v>LED 120.01-150</v>
      </c>
      <c r="F83" s="14">
        <f t="shared" si="1"/>
        <v>350</v>
      </c>
      <c r="G83" s="14">
        <f>'WP12 Condensed Sch. Level Costs'!O78</f>
        <v>47.25</v>
      </c>
      <c r="H83" s="342">
        <f>'WP12 Condensed Sch. Level Costs'!R78</f>
        <v>1.9131568994526543E-2</v>
      </c>
      <c r="I83" s="328">
        <f>ROUND('WP12 Condensed Sch. Level Costs'!W78,2)</f>
        <v>0.9</v>
      </c>
    </row>
    <row r="84" spans="1:9" x14ac:dyDescent="0.2">
      <c r="A84" s="32">
        <f t="shared" si="0"/>
        <v>65</v>
      </c>
      <c r="B84" s="27" t="str">
        <f>'WP12 Condensed Sch. Level Costs'!A79</f>
        <v>53E - Company Owned</v>
      </c>
      <c r="C84" s="27"/>
      <c r="D84" s="327" t="str">
        <f>'WP12 Condensed Sch. Level Costs'!C79</f>
        <v>Light Emitting Diode</v>
      </c>
      <c r="E84" s="41" t="str">
        <f>'WP12 Condensed Sch. Level Costs'!D79</f>
        <v>LED 150.01-180</v>
      </c>
      <c r="F84" s="14">
        <f t="shared" si="1"/>
        <v>350</v>
      </c>
      <c r="G84" s="14">
        <f>'WP12 Condensed Sch. Level Costs'!O79</f>
        <v>57.75</v>
      </c>
      <c r="H84" s="342">
        <f>'WP12 Condensed Sch. Level Costs'!R79</f>
        <v>1.9131568994526543E-2</v>
      </c>
      <c r="I84" s="328">
        <f>ROUND('WP12 Condensed Sch. Level Costs'!W79,2)</f>
        <v>1.1000000000000001</v>
      </c>
    </row>
    <row r="85" spans="1:9" x14ac:dyDescent="0.2">
      <c r="A85" s="32">
        <f t="shared" si="0"/>
        <v>66</v>
      </c>
      <c r="B85" s="27" t="str">
        <f>'WP12 Condensed Sch. Level Costs'!A80</f>
        <v>53E - Company Owned</v>
      </c>
      <c r="C85" s="27"/>
      <c r="D85" s="327" t="str">
        <f>'WP12 Condensed Sch. Level Costs'!C80</f>
        <v>Light Emitting Diode</v>
      </c>
      <c r="E85" s="41" t="str">
        <f>'WP12 Condensed Sch. Level Costs'!D80</f>
        <v>LED 180.01-210</v>
      </c>
      <c r="F85" s="14">
        <f t="shared" si="1"/>
        <v>350</v>
      </c>
      <c r="G85" s="14">
        <f>'WP12 Condensed Sch. Level Costs'!O80</f>
        <v>68.25</v>
      </c>
      <c r="H85" s="342">
        <f>'WP12 Condensed Sch. Level Costs'!R80</f>
        <v>1.9131568994526543E-2</v>
      </c>
      <c r="I85" s="328">
        <f>ROUND('WP12 Condensed Sch. Level Costs'!W80,2)</f>
        <v>1.31</v>
      </c>
    </row>
    <row r="86" spans="1:9" x14ac:dyDescent="0.2">
      <c r="A86" s="32">
        <f t="shared" si="0"/>
        <v>67</v>
      </c>
      <c r="B86" s="27" t="str">
        <f>'WP12 Condensed Sch. Level Costs'!A81</f>
        <v>53E - Company Owned</v>
      </c>
      <c r="C86" s="27"/>
      <c r="D86" s="327" t="str">
        <f>'WP12 Condensed Sch. Level Costs'!C81</f>
        <v>Light Emitting Diode</v>
      </c>
      <c r="E86" s="41" t="str">
        <f>'WP12 Condensed Sch. Level Costs'!D81</f>
        <v>LED 210.01-240</v>
      </c>
      <c r="F86" s="14">
        <f t="shared" si="1"/>
        <v>350</v>
      </c>
      <c r="G86" s="14">
        <f>'WP12 Condensed Sch. Level Costs'!O81</f>
        <v>78.75</v>
      </c>
      <c r="H86" s="342">
        <f>'WP12 Condensed Sch. Level Costs'!R81</f>
        <v>1.9131568994526543E-2</v>
      </c>
      <c r="I86" s="328">
        <f>ROUND('WP12 Condensed Sch. Level Costs'!W81,2)</f>
        <v>1.51</v>
      </c>
    </row>
    <row r="87" spans="1:9" x14ac:dyDescent="0.2">
      <c r="A87" s="32">
        <f t="shared" si="0"/>
        <v>68</v>
      </c>
      <c r="B87" s="27" t="str">
        <f>'WP12 Condensed Sch. Level Costs'!A82</f>
        <v>53E - Company Owned</v>
      </c>
      <c r="C87" s="27"/>
      <c r="D87" s="327" t="str">
        <f>'WP12 Condensed Sch. Level Costs'!C82</f>
        <v>Light Emitting Diode</v>
      </c>
      <c r="E87" s="41" t="str">
        <f>'WP12 Condensed Sch. Level Costs'!D82</f>
        <v>LED 240.01-270</v>
      </c>
      <c r="F87" s="14">
        <f t="shared" si="1"/>
        <v>350</v>
      </c>
      <c r="G87" s="14">
        <f>'WP12 Condensed Sch. Level Costs'!O82</f>
        <v>89.25</v>
      </c>
      <c r="H87" s="342">
        <f>'WP12 Condensed Sch. Level Costs'!R82</f>
        <v>1.9131568994526543E-2</v>
      </c>
      <c r="I87" s="328">
        <f>ROUND('WP12 Condensed Sch. Level Costs'!W82,2)</f>
        <v>1.71</v>
      </c>
    </row>
    <row r="88" spans="1:9" x14ac:dyDescent="0.2">
      <c r="A88" s="32">
        <f t="shared" si="0"/>
        <v>69</v>
      </c>
      <c r="B88" s="27" t="str">
        <f>'WP12 Condensed Sch. Level Costs'!A83</f>
        <v>53E - Company Owned</v>
      </c>
      <c r="C88" s="27"/>
      <c r="D88" s="327" t="str">
        <f>'WP12 Condensed Sch. Level Costs'!C83</f>
        <v>Light Emitting Diode</v>
      </c>
      <c r="E88" s="41" t="str">
        <f>'WP12 Condensed Sch. Level Costs'!D83</f>
        <v>LED 270.01-300</v>
      </c>
      <c r="F88" s="14">
        <f t="shared" si="1"/>
        <v>350</v>
      </c>
      <c r="G88" s="14">
        <f>'WP12 Condensed Sch. Level Costs'!O83</f>
        <v>99.75</v>
      </c>
      <c r="H88" s="342">
        <f>'WP12 Condensed Sch. Level Costs'!R83</f>
        <v>1.9131568994526543E-2</v>
      </c>
      <c r="I88" s="328">
        <f>ROUND('WP12 Condensed Sch. Level Costs'!W83,2)</f>
        <v>1.91</v>
      </c>
    </row>
    <row r="89" spans="1:9" x14ac:dyDescent="0.2">
      <c r="A89" s="32">
        <f t="shared" si="0"/>
        <v>70</v>
      </c>
      <c r="B89" s="27"/>
      <c r="C89" s="27"/>
      <c r="D89" s="327"/>
      <c r="E89" s="41"/>
      <c r="F89" s="14"/>
      <c r="G89" s="14"/>
      <c r="H89" s="342"/>
      <c r="I89" s="328"/>
    </row>
    <row r="90" spans="1:9" x14ac:dyDescent="0.2">
      <c r="A90" s="32">
        <f t="shared" si="0"/>
        <v>71</v>
      </c>
      <c r="B90" s="27" t="str">
        <f>'WP12 Condensed Sch. Level Costs'!A85</f>
        <v>53E - Company Owned</v>
      </c>
      <c r="C90" s="327" t="str">
        <f>'WP12 Condensed Sch. Level Costs'!B85</f>
        <v>SMART LIGHT</v>
      </c>
      <c r="D90" s="327" t="str">
        <f>'WP12 Condensed Sch. Level Costs'!C85</f>
        <v>Light Emitting Diode</v>
      </c>
      <c r="E90" s="41" t="str">
        <f>'WP12 Condensed Sch. Level Costs'!D85</f>
        <v>LED 0-030</v>
      </c>
      <c r="F90" s="14">
        <f t="shared" si="1"/>
        <v>350</v>
      </c>
      <c r="G90" s="14">
        <f>'WP12 Condensed Sch. Level Costs'!O85</f>
        <v>5.25</v>
      </c>
      <c r="H90" s="342">
        <f>'WP12 Condensed Sch. Level Costs'!R85</f>
        <v>1.9131568994526543E-2</v>
      </c>
      <c r="I90" s="339">
        <f>ROUND('WP12 Condensed Sch. Level Costs'!AD85,6)</f>
        <v>1.9132E-2</v>
      </c>
    </row>
    <row r="91" spans="1:9" x14ac:dyDescent="0.2">
      <c r="A91" s="32">
        <f t="shared" ref="A91:A100" si="2">A90+1</f>
        <v>72</v>
      </c>
      <c r="B91" s="27" t="str">
        <f>'WP12 Condensed Sch. Level Costs'!A86</f>
        <v>53E - Company Owned</v>
      </c>
      <c r="C91" s="327" t="str">
        <f>'WP12 Condensed Sch. Level Costs'!B86</f>
        <v>SMART LIGHT</v>
      </c>
      <c r="D91" s="327" t="str">
        <f>'WP12 Condensed Sch. Level Costs'!C86</f>
        <v>Light Emitting Diode</v>
      </c>
      <c r="E91" s="41" t="str">
        <f>'WP12 Condensed Sch. Level Costs'!D86</f>
        <v>LED 030.01-060</v>
      </c>
      <c r="F91" s="14">
        <f t="shared" si="1"/>
        <v>350</v>
      </c>
      <c r="G91" s="14">
        <f>'WP12 Condensed Sch. Level Costs'!O86</f>
        <v>15.75</v>
      </c>
      <c r="H91" s="342">
        <f>'WP12 Condensed Sch. Level Costs'!R86</f>
        <v>1.9131568994526543E-2</v>
      </c>
      <c r="I91" s="339">
        <f>ROUND('WP12 Condensed Sch. Level Costs'!AD86,6)</f>
        <v>1.9132E-2</v>
      </c>
    </row>
    <row r="92" spans="1:9" x14ac:dyDescent="0.2">
      <c r="A92" s="32">
        <f t="shared" si="2"/>
        <v>73</v>
      </c>
      <c r="B92" s="27" t="str">
        <f>'WP12 Condensed Sch. Level Costs'!A87</f>
        <v>53E - Company Owned</v>
      </c>
      <c r="C92" s="327" t="str">
        <f>'WP12 Condensed Sch. Level Costs'!B87</f>
        <v>SMART LIGHT</v>
      </c>
      <c r="D92" s="327" t="str">
        <f>'WP12 Condensed Sch. Level Costs'!C87</f>
        <v>Light Emitting Diode</v>
      </c>
      <c r="E92" s="41" t="str">
        <f>'WP12 Condensed Sch. Level Costs'!D87</f>
        <v>LED 060.01-090</v>
      </c>
      <c r="F92" s="14">
        <f t="shared" si="1"/>
        <v>350</v>
      </c>
      <c r="G92" s="14">
        <f>'WP12 Condensed Sch. Level Costs'!O87</f>
        <v>26.25</v>
      </c>
      <c r="H92" s="342">
        <f>'WP12 Condensed Sch. Level Costs'!R87</f>
        <v>1.9131568994526543E-2</v>
      </c>
      <c r="I92" s="339">
        <f>ROUND('WP12 Condensed Sch. Level Costs'!AD87,6)</f>
        <v>1.9132E-2</v>
      </c>
    </row>
    <row r="93" spans="1:9" x14ac:dyDescent="0.2">
      <c r="A93" s="32">
        <f t="shared" si="2"/>
        <v>74</v>
      </c>
      <c r="B93" s="27" t="str">
        <f>'WP12 Condensed Sch. Level Costs'!A88</f>
        <v>53E - Company Owned</v>
      </c>
      <c r="C93" s="327" t="str">
        <f>'WP12 Condensed Sch. Level Costs'!B88</f>
        <v>SMART LIGHT</v>
      </c>
      <c r="D93" s="327" t="str">
        <f>'WP12 Condensed Sch. Level Costs'!C88</f>
        <v>Light Emitting Diode</v>
      </c>
      <c r="E93" s="41" t="str">
        <f>'WP12 Condensed Sch. Level Costs'!D88</f>
        <v>LED 090.01-120</v>
      </c>
      <c r="F93" s="14">
        <f t="shared" si="1"/>
        <v>350</v>
      </c>
      <c r="G93" s="14">
        <f>'WP12 Condensed Sch. Level Costs'!O88</f>
        <v>36.75</v>
      </c>
      <c r="H93" s="342">
        <f>'WP12 Condensed Sch. Level Costs'!R88</f>
        <v>1.9131568994526543E-2</v>
      </c>
      <c r="I93" s="339">
        <f>ROUND('WP12 Condensed Sch. Level Costs'!AD88,6)</f>
        <v>1.9132E-2</v>
      </c>
    </row>
    <row r="94" spans="1:9" x14ac:dyDescent="0.2">
      <c r="A94" s="32">
        <f t="shared" si="2"/>
        <v>75</v>
      </c>
      <c r="B94" s="27" t="str">
        <f>'WP12 Condensed Sch. Level Costs'!A89</f>
        <v>53E - Company Owned</v>
      </c>
      <c r="C94" s="327" t="str">
        <f>'WP12 Condensed Sch. Level Costs'!B89</f>
        <v>SMART LIGHT</v>
      </c>
      <c r="D94" s="327" t="str">
        <f>'WP12 Condensed Sch. Level Costs'!C89</f>
        <v>Light Emitting Diode</v>
      </c>
      <c r="E94" s="41" t="str">
        <f>'WP12 Condensed Sch. Level Costs'!D89</f>
        <v>LED 120.01-150</v>
      </c>
      <c r="F94" s="14">
        <f t="shared" si="1"/>
        <v>350</v>
      </c>
      <c r="G94" s="14">
        <f>'WP12 Condensed Sch. Level Costs'!O89</f>
        <v>47.25</v>
      </c>
      <c r="H94" s="342">
        <f>'WP12 Condensed Sch. Level Costs'!R89</f>
        <v>1.9131568994526543E-2</v>
      </c>
      <c r="I94" s="339">
        <f>ROUND('WP12 Condensed Sch. Level Costs'!AD89,6)</f>
        <v>1.9132E-2</v>
      </c>
    </row>
    <row r="95" spans="1:9" x14ac:dyDescent="0.2">
      <c r="A95" s="32">
        <f t="shared" si="2"/>
        <v>76</v>
      </c>
      <c r="B95" s="27" t="str">
        <f>'WP12 Condensed Sch. Level Costs'!A90</f>
        <v>53E - Company Owned</v>
      </c>
      <c r="C95" s="327" t="str">
        <f>'WP12 Condensed Sch. Level Costs'!B90</f>
        <v>SMART LIGHT</v>
      </c>
      <c r="D95" s="327" t="str">
        <f>'WP12 Condensed Sch. Level Costs'!C90</f>
        <v>Light Emitting Diode</v>
      </c>
      <c r="E95" s="41" t="str">
        <f>'WP12 Condensed Sch. Level Costs'!D90</f>
        <v>LED 150.01-180</v>
      </c>
      <c r="F95" s="14">
        <f t="shared" si="1"/>
        <v>350</v>
      </c>
      <c r="G95" s="14">
        <f>'WP12 Condensed Sch. Level Costs'!O90</f>
        <v>57.75</v>
      </c>
      <c r="H95" s="342">
        <f>'WP12 Condensed Sch. Level Costs'!R90</f>
        <v>1.9131568994526543E-2</v>
      </c>
      <c r="I95" s="339">
        <f>ROUND('WP12 Condensed Sch. Level Costs'!AD90,6)</f>
        <v>1.9132E-2</v>
      </c>
    </row>
    <row r="96" spans="1:9" x14ac:dyDescent="0.2">
      <c r="A96" s="32">
        <f t="shared" si="2"/>
        <v>77</v>
      </c>
      <c r="B96" s="27" t="str">
        <f>'WP12 Condensed Sch. Level Costs'!A91</f>
        <v>53E - Company Owned</v>
      </c>
      <c r="C96" s="327" t="str">
        <f>'WP12 Condensed Sch. Level Costs'!B91</f>
        <v>SMART LIGHT</v>
      </c>
      <c r="D96" s="327" t="str">
        <f>'WP12 Condensed Sch. Level Costs'!C91</f>
        <v>Light Emitting Diode</v>
      </c>
      <c r="E96" s="41" t="str">
        <f>'WP12 Condensed Sch. Level Costs'!D91</f>
        <v>LED 180.01-210</v>
      </c>
      <c r="F96" s="14">
        <f t="shared" si="1"/>
        <v>350</v>
      </c>
      <c r="G96" s="14">
        <f>'WP12 Condensed Sch. Level Costs'!O91</f>
        <v>68.25</v>
      </c>
      <c r="H96" s="342">
        <f>'WP12 Condensed Sch. Level Costs'!R91</f>
        <v>1.9131568994526543E-2</v>
      </c>
      <c r="I96" s="339">
        <f>ROUND('WP12 Condensed Sch. Level Costs'!AD91,6)</f>
        <v>1.9132E-2</v>
      </c>
    </row>
    <row r="97" spans="1:9" x14ac:dyDescent="0.2">
      <c r="A97" s="32">
        <f t="shared" si="2"/>
        <v>78</v>
      </c>
      <c r="B97" s="27" t="str">
        <f>'WP12 Condensed Sch. Level Costs'!A92</f>
        <v>53E - Company Owned</v>
      </c>
      <c r="C97" s="327" t="str">
        <f>'WP12 Condensed Sch. Level Costs'!B92</f>
        <v>SMART LIGHT</v>
      </c>
      <c r="D97" s="327" t="str">
        <f>'WP12 Condensed Sch. Level Costs'!C92</f>
        <v>Light Emitting Diode</v>
      </c>
      <c r="E97" s="41" t="str">
        <f>'WP12 Condensed Sch. Level Costs'!D92</f>
        <v>LED 210.01-240</v>
      </c>
      <c r="F97" s="14">
        <f t="shared" si="1"/>
        <v>350</v>
      </c>
      <c r="G97" s="14">
        <f>'WP12 Condensed Sch. Level Costs'!O92</f>
        <v>78.75</v>
      </c>
      <c r="H97" s="342">
        <f>'WP12 Condensed Sch. Level Costs'!R92</f>
        <v>1.9131568994526543E-2</v>
      </c>
      <c r="I97" s="339">
        <f>ROUND('WP12 Condensed Sch. Level Costs'!AD92,6)</f>
        <v>1.9132E-2</v>
      </c>
    </row>
    <row r="98" spans="1:9" x14ac:dyDescent="0.2">
      <c r="A98" s="32">
        <f t="shared" si="2"/>
        <v>79</v>
      </c>
      <c r="B98" s="27" t="str">
        <f>'WP12 Condensed Sch. Level Costs'!A93</f>
        <v>53E - Company Owned</v>
      </c>
      <c r="C98" s="327" t="str">
        <f>'WP12 Condensed Sch. Level Costs'!B93</f>
        <v>SMART LIGHT</v>
      </c>
      <c r="D98" s="327" t="str">
        <f>'WP12 Condensed Sch. Level Costs'!C93</f>
        <v>Light Emitting Diode</v>
      </c>
      <c r="E98" s="41" t="str">
        <f>'WP12 Condensed Sch. Level Costs'!D93</f>
        <v>LED 240.01-270</v>
      </c>
      <c r="F98" s="14">
        <f t="shared" si="1"/>
        <v>350</v>
      </c>
      <c r="G98" s="14">
        <f>'WP12 Condensed Sch. Level Costs'!O93</f>
        <v>89.25</v>
      </c>
      <c r="H98" s="342">
        <f>'WP12 Condensed Sch. Level Costs'!R93</f>
        <v>1.9131568994526543E-2</v>
      </c>
      <c r="I98" s="339">
        <f>ROUND('WP12 Condensed Sch. Level Costs'!AD93,6)</f>
        <v>1.9132E-2</v>
      </c>
    </row>
    <row r="99" spans="1:9" x14ac:dyDescent="0.2">
      <c r="A99" s="32">
        <f t="shared" si="2"/>
        <v>80</v>
      </c>
      <c r="B99" s="27" t="str">
        <f>'WP12 Condensed Sch. Level Costs'!A94</f>
        <v>53E - Company Owned</v>
      </c>
      <c r="C99" s="327" t="str">
        <f>'WP12 Condensed Sch. Level Costs'!B94</f>
        <v>SMART LIGHT</v>
      </c>
      <c r="D99" s="327" t="str">
        <f>'WP12 Condensed Sch. Level Costs'!C94</f>
        <v>Light Emitting Diode</v>
      </c>
      <c r="E99" s="41" t="str">
        <f>'WP12 Condensed Sch. Level Costs'!D94</f>
        <v>LED 270.01-300</v>
      </c>
      <c r="F99" s="14">
        <f t="shared" si="1"/>
        <v>350</v>
      </c>
      <c r="G99" s="14">
        <f>'WP12 Condensed Sch. Level Costs'!O94</f>
        <v>99.75</v>
      </c>
      <c r="H99" s="342">
        <f>'WP12 Condensed Sch. Level Costs'!R94</f>
        <v>1.9131568994526543E-2</v>
      </c>
      <c r="I99" s="339">
        <f>ROUND('WP12 Condensed Sch. Level Costs'!AD94,6)</f>
        <v>1.9132E-2</v>
      </c>
    </row>
    <row r="100" spans="1:9" x14ac:dyDescent="0.2">
      <c r="A100" s="32">
        <f t="shared" si="2"/>
        <v>81</v>
      </c>
      <c r="B100" s="27"/>
      <c r="C100" s="27"/>
      <c r="D100" s="327"/>
      <c r="E100" s="41"/>
      <c r="F100" s="14"/>
      <c r="G100" s="14"/>
      <c r="H100" s="342"/>
      <c r="I100" s="328"/>
    </row>
    <row r="101" spans="1:9" x14ac:dyDescent="0.2">
      <c r="A101" s="32">
        <f>A89+1</f>
        <v>71</v>
      </c>
      <c r="B101" s="27" t="str">
        <f>'WP12 Condensed Sch. Level Costs'!A96</f>
        <v>53E - Customer Owned</v>
      </c>
      <c r="C101" s="27"/>
      <c r="D101" s="327" t="str">
        <f>'WP12 Condensed Sch. Level Costs'!C96</f>
        <v>Sodium Vapor</v>
      </c>
      <c r="E101" s="41" t="str">
        <f>'WP12 Condensed Sch. Level Costs'!D96</f>
        <v>SV 050</v>
      </c>
      <c r="F101" s="14">
        <f t="shared" si="1"/>
        <v>350</v>
      </c>
      <c r="G101" s="14">
        <f>'WP12 Condensed Sch. Level Costs'!O96</f>
        <v>17.5</v>
      </c>
      <c r="H101" s="342">
        <f>'WP12 Condensed Sch. Level Costs'!R96</f>
        <v>1.9131568994526543E-2</v>
      </c>
      <c r="I101" s="328">
        <f>ROUND('WP12 Condensed Sch. Level Costs'!W96,2)</f>
        <v>0.33</v>
      </c>
    </row>
    <row r="102" spans="1:9" x14ac:dyDescent="0.2">
      <c r="A102" s="32">
        <f t="shared" ref="A102:A168" si="3">A101+1</f>
        <v>72</v>
      </c>
      <c r="B102" s="27" t="str">
        <f>'WP12 Condensed Sch. Level Costs'!A97</f>
        <v>53E - Customer Owned</v>
      </c>
      <c r="C102" s="27"/>
      <c r="D102" s="327" t="str">
        <f>'WP12 Condensed Sch. Level Costs'!C97</f>
        <v>Sodium Vapor</v>
      </c>
      <c r="E102" s="41" t="str">
        <f>'WP12 Condensed Sch. Level Costs'!D97</f>
        <v>SV 070</v>
      </c>
      <c r="F102" s="14">
        <f t="shared" ref="F102:F170" si="4">4200/12</f>
        <v>350</v>
      </c>
      <c r="G102" s="14">
        <f>'WP12 Condensed Sch. Level Costs'!O97</f>
        <v>24.5</v>
      </c>
      <c r="H102" s="342">
        <f>'WP12 Condensed Sch. Level Costs'!R97</f>
        <v>1.9131568994526543E-2</v>
      </c>
      <c r="I102" s="328">
        <f>ROUND('WP12 Condensed Sch. Level Costs'!W97,2)</f>
        <v>0.47</v>
      </c>
    </row>
    <row r="103" spans="1:9" x14ac:dyDescent="0.2">
      <c r="A103" s="32">
        <f t="shared" si="3"/>
        <v>73</v>
      </c>
      <c r="B103" s="27" t="str">
        <f>'WP12 Condensed Sch. Level Costs'!A98</f>
        <v>53E - Customer Owned</v>
      </c>
      <c r="C103" s="27"/>
      <c r="D103" s="327" t="str">
        <f>'WP12 Condensed Sch. Level Costs'!C98</f>
        <v>Sodium Vapor</v>
      </c>
      <c r="E103" s="41" t="str">
        <f>'WP12 Condensed Sch. Level Costs'!D98</f>
        <v>SV 100</v>
      </c>
      <c r="F103" s="14">
        <f t="shared" si="4"/>
        <v>350</v>
      </c>
      <c r="G103" s="14">
        <f>'WP12 Condensed Sch. Level Costs'!O98</f>
        <v>35</v>
      </c>
      <c r="H103" s="342">
        <f>'WP12 Condensed Sch. Level Costs'!R98</f>
        <v>1.9131568994526543E-2</v>
      </c>
      <c r="I103" s="328">
        <f>ROUND('WP12 Condensed Sch. Level Costs'!W98,2)</f>
        <v>0.67</v>
      </c>
    </row>
    <row r="104" spans="1:9" x14ac:dyDescent="0.2">
      <c r="A104" s="32">
        <f t="shared" si="3"/>
        <v>74</v>
      </c>
      <c r="B104" s="27" t="str">
        <f>'WP12 Condensed Sch. Level Costs'!A99</f>
        <v>53E - Customer Owned</v>
      </c>
      <c r="C104" s="27"/>
      <c r="D104" s="327" t="str">
        <f>'WP12 Condensed Sch. Level Costs'!C99</f>
        <v>Sodium Vapor</v>
      </c>
      <c r="E104" s="41" t="str">
        <f>'WP12 Condensed Sch. Level Costs'!D99</f>
        <v>SV 150</v>
      </c>
      <c r="F104" s="14">
        <f t="shared" si="4"/>
        <v>350</v>
      </c>
      <c r="G104" s="14">
        <f>'WP12 Condensed Sch. Level Costs'!O99</f>
        <v>52.5</v>
      </c>
      <c r="H104" s="342">
        <f>'WP12 Condensed Sch. Level Costs'!R99</f>
        <v>1.9131568994526543E-2</v>
      </c>
      <c r="I104" s="328">
        <f>ROUND('WP12 Condensed Sch. Level Costs'!W99,2)</f>
        <v>1</v>
      </c>
    </row>
    <row r="105" spans="1:9" x14ac:dyDescent="0.2">
      <c r="A105" s="32">
        <f t="shared" si="3"/>
        <v>75</v>
      </c>
      <c r="B105" s="27" t="str">
        <f>'WP12 Condensed Sch. Level Costs'!A100</f>
        <v>53E - Customer Owned</v>
      </c>
      <c r="C105" s="27"/>
      <c r="D105" s="327" t="str">
        <f>'WP12 Condensed Sch. Level Costs'!C100</f>
        <v>Sodium Vapor</v>
      </c>
      <c r="E105" s="41" t="str">
        <f>'WP12 Condensed Sch. Level Costs'!D100</f>
        <v>SV 200</v>
      </c>
      <c r="F105" s="14">
        <f t="shared" si="4"/>
        <v>350</v>
      </c>
      <c r="G105" s="14">
        <f>'WP12 Condensed Sch. Level Costs'!O100</f>
        <v>70</v>
      </c>
      <c r="H105" s="342">
        <f>'WP12 Condensed Sch. Level Costs'!R100</f>
        <v>1.9131568994526543E-2</v>
      </c>
      <c r="I105" s="328">
        <f>ROUND('WP12 Condensed Sch. Level Costs'!W100,2)</f>
        <v>1.34</v>
      </c>
    </row>
    <row r="106" spans="1:9" x14ac:dyDescent="0.2">
      <c r="A106" s="32">
        <f t="shared" si="3"/>
        <v>76</v>
      </c>
      <c r="B106" s="27" t="str">
        <f>'WP12 Condensed Sch. Level Costs'!A101</f>
        <v>53E - Customer Owned</v>
      </c>
      <c r="C106" s="27"/>
      <c r="D106" s="327" t="str">
        <f>'WP12 Condensed Sch. Level Costs'!C101</f>
        <v>Sodium Vapor</v>
      </c>
      <c r="E106" s="41" t="str">
        <f>'WP12 Condensed Sch. Level Costs'!D101</f>
        <v>SV 250</v>
      </c>
      <c r="F106" s="14">
        <f t="shared" si="4"/>
        <v>350</v>
      </c>
      <c r="G106" s="14">
        <f>'WP12 Condensed Sch. Level Costs'!O101</f>
        <v>87.5</v>
      </c>
      <c r="H106" s="342">
        <f>'WP12 Condensed Sch. Level Costs'!R101</f>
        <v>1.9131568994526543E-2</v>
      </c>
      <c r="I106" s="328">
        <f>ROUND('WP12 Condensed Sch. Level Costs'!W101,2)</f>
        <v>1.67</v>
      </c>
    </row>
    <row r="107" spans="1:9" x14ac:dyDescent="0.2">
      <c r="A107" s="32">
        <f t="shared" si="3"/>
        <v>77</v>
      </c>
      <c r="B107" s="27" t="str">
        <f>'WP12 Condensed Sch. Level Costs'!A102</f>
        <v>53E - Customer Owned</v>
      </c>
      <c r="C107" s="27"/>
      <c r="D107" s="327" t="str">
        <f>'WP12 Condensed Sch. Level Costs'!C102</f>
        <v>Sodium Vapor</v>
      </c>
      <c r="E107" s="41" t="str">
        <f>'WP12 Condensed Sch. Level Costs'!D102</f>
        <v>SV 310</v>
      </c>
      <c r="F107" s="14">
        <f t="shared" si="4"/>
        <v>350</v>
      </c>
      <c r="G107" s="14">
        <f>'WP12 Condensed Sch. Level Costs'!O102</f>
        <v>108.5</v>
      </c>
      <c r="H107" s="342">
        <f>'WP12 Condensed Sch. Level Costs'!R102</f>
        <v>1.9131568994526543E-2</v>
      </c>
      <c r="I107" s="328">
        <f>ROUND('WP12 Condensed Sch. Level Costs'!W102,2)</f>
        <v>2.08</v>
      </c>
    </row>
    <row r="108" spans="1:9" x14ac:dyDescent="0.2">
      <c r="A108" s="32">
        <f t="shared" si="3"/>
        <v>78</v>
      </c>
      <c r="B108" s="27" t="str">
        <f>'WP12 Condensed Sch. Level Costs'!A103</f>
        <v>53E - Customer Owned</v>
      </c>
      <c r="C108" s="27"/>
      <c r="D108" s="327" t="str">
        <f>'WP12 Condensed Sch. Level Costs'!C103</f>
        <v>Sodium Vapor</v>
      </c>
      <c r="E108" s="41" t="str">
        <f>'WP12 Condensed Sch. Level Costs'!D103</f>
        <v>SV 400</v>
      </c>
      <c r="F108" s="14">
        <f t="shared" si="4"/>
        <v>350</v>
      </c>
      <c r="G108" s="14">
        <f>'WP12 Condensed Sch. Level Costs'!O103</f>
        <v>140</v>
      </c>
      <c r="H108" s="342">
        <f>'WP12 Condensed Sch. Level Costs'!R103</f>
        <v>1.9131568994526543E-2</v>
      </c>
      <c r="I108" s="328">
        <f>ROUND('WP12 Condensed Sch. Level Costs'!W103,2)</f>
        <v>2.68</v>
      </c>
    </row>
    <row r="109" spans="1:9" x14ac:dyDescent="0.2">
      <c r="A109" s="32">
        <f t="shared" si="3"/>
        <v>79</v>
      </c>
      <c r="B109" s="27" t="str">
        <f>'WP12 Condensed Sch. Level Costs'!A104</f>
        <v>53E - Customer Owned</v>
      </c>
      <c r="C109" s="27"/>
      <c r="D109" s="327" t="str">
        <f>'WP12 Condensed Sch. Level Costs'!C104</f>
        <v>Sodium Vapor</v>
      </c>
      <c r="E109" s="41" t="str">
        <f>'WP12 Condensed Sch. Level Costs'!D104</f>
        <v>SV 1000</v>
      </c>
      <c r="F109" s="14">
        <f t="shared" si="4"/>
        <v>350</v>
      </c>
      <c r="G109" s="14">
        <f>'WP12 Condensed Sch. Level Costs'!O104</f>
        <v>350</v>
      </c>
      <c r="H109" s="342">
        <f>'WP12 Condensed Sch. Level Costs'!R104</f>
        <v>1.9131568994526543E-2</v>
      </c>
      <c r="I109" s="328">
        <f>ROUND('WP12 Condensed Sch. Level Costs'!W104,2)</f>
        <v>6.7</v>
      </c>
    </row>
    <row r="110" spans="1:9" x14ac:dyDescent="0.2">
      <c r="A110" s="32">
        <f t="shared" si="3"/>
        <v>80</v>
      </c>
      <c r="B110" s="27"/>
      <c r="C110" s="27"/>
      <c r="D110" s="327"/>
      <c r="E110" s="41"/>
      <c r="F110" s="14"/>
      <c r="G110" s="14"/>
      <c r="H110" s="342"/>
      <c r="I110" s="328"/>
    </row>
    <row r="111" spans="1:9" x14ac:dyDescent="0.2">
      <c r="A111" s="32">
        <f t="shared" si="3"/>
        <v>81</v>
      </c>
      <c r="B111" s="27" t="str">
        <f>'WP12 Condensed Sch. Level Costs'!A106</f>
        <v>53E - Customer Owned</v>
      </c>
      <c r="C111" s="27"/>
      <c r="D111" s="327" t="str">
        <f>'WP12 Condensed Sch. Level Costs'!C106</f>
        <v>Metal Halide</v>
      </c>
      <c r="E111" s="41" t="str">
        <f>'WP12 Condensed Sch. Level Costs'!D106</f>
        <v>MH 70</v>
      </c>
      <c r="F111" s="14">
        <f t="shared" si="4"/>
        <v>350</v>
      </c>
      <c r="G111" s="14">
        <f>'WP12 Condensed Sch. Level Costs'!O106</f>
        <v>24.5</v>
      </c>
      <c r="H111" s="342">
        <f>'WP12 Condensed Sch. Level Costs'!R106</f>
        <v>1.9131568994526543E-2</v>
      </c>
      <c r="I111" s="328">
        <f>ROUND('WP12 Condensed Sch. Level Costs'!W106,2)</f>
        <v>0.47</v>
      </c>
    </row>
    <row r="112" spans="1:9" x14ac:dyDescent="0.2">
      <c r="A112" s="32">
        <f t="shared" si="3"/>
        <v>82</v>
      </c>
      <c r="B112" s="27" t="str">
        <f>'WP12 Condensed Sch. Level Costs'!A107</f>
        <v>53E - Customer Owned</v>
      </c>
      <c r="C112" s="27"/>
      <c r="D112" s="327" t="str">
        <f>'WP12 Condensed Sch. Level Costs'!C107</f>
        <v>Metal Halide</v>
      </c>
      <c r="E112" s="41" t="str">
        <f>'WP12 Condensed Sch. Level Costs'!D107</f>
        <v>MH 100</v>
      </c>
      <c r="F112" s="14">
        <f t="shared" si="4"/>
        <v>350</v>
      </c>
      <c r="G112" s="14">
        <f>'WP12 Condensed Sch. Level Costs'!O107</f>
        <v>35</v>
      </c>
      <c r="H112" s="342">
        <f>'WP12 Condensed Sch. Level Costs'!R107</f>
        <v>1.9131568994526543E-2</v>
      </c>
      <c r="I112" s="328">
        <f>ROUND('WP12 Condensed Sch. Level Costs'!W107,2)</f>
        <v>0.67</v>
      </c>
    </row>
    <row r="113" spans="1:9" x14ac:dyDescent="0.2">
      <c r="A113" s="32">
        <f t="shared" si="3"/>
        <v>83</v>
      </c>
      <c r="B113" s="27" t="str">
        <f>'WP12 Condensed Sch. Level Costs'!A108</f>
        <v>53E - Customer Owned</v>
      </c>
      <c r="C113" s="27"/>
      <c r="D113" s="327" t="str">
        <f>'WP12 Condensed Sch. Level Costs'!C108</f>
        <v>Metal Halide</v>
      </c>
      <c r="E113" s="41" t="str">
        <f>'WP12 Condensed Sch. Level Costs'!D108</f>
        <v>MH 150</v>
      </c>
      <c r="F113" s="14">
        <f t="shared" si="4"/>
        <v>350</v>
      </c>
      <c r="G113" s="14">
        <f>'WP12 Condensed Sch. Level Costs'!O108</f>
        <v>52.5</v>
      </c>
      <c r="H113" s="342">
        <f>'WP12 Condensed Sch. Level Costs'!R108</f>
        <v>1.9131568994526543E-2</v>
      </c>
      <c r="I113" s="328">
        <f>ROUND('WP12 Condensed Sch. Level Costs'!W108,2)</f>
        <v>1</v>
      </c>
    </row>
    <row r="114" spans="1:9" x14ac:dyDescent="0.2">
      <c r="A114" s="32">
        <f t="shared" si="3"/>
        <v>84</v>
      </c>
      <c r="B114" s="27" t="str">
        <f>'WP12 Condensed Sch. Level Costs'!A109</f>
        <v>53E - Customer Owned</v>
      </c>
      <c r="C114" s="27"/>
      <c r="D114" s="327" t="str">
        <f>'WP12 Condensed Sch. Level Costs'!C109</f>
        <v>Metal Halide</v>
      </c>
      <c r="E114" s="41" t="str">
        <f>'WP12 Condensed Sch. Level Costs'!D109</f>
        <v>MH 175</v>
      </c>
      <c r="F114" s="14">
        <f t="shared" si="4"/>
        <v>350</v>
      </c>
      <c r="G114" s="14">
        <f>'WP12 Condensed Sch. Level Costs'!O109</f>
        <v>61.25</v>
      </c>
      <c r="H114" s="342">
        <f>'WP12 Condensed Sch. Level Costs'!R109</f>
        <v>1.9131568994526543E-2</v>
      </c>
      <c r="I114" s="328">
        <f>ROUND('WP12 Condensed Sch. Level Costs'!W109,2)</f>
        <v>1.17</v>
      </c>
    </row>
    <row r="115" spans="1:9" x14ac:dyDescent="0.2">
      <c r="A115" s="32">
        <f t="shared" si="3"/>
        <v>85</v>
      </c>
      <c r="B115" s="27" t="str">
        <f>'WP12 Condensed Sch. Level Costs'!A110</f>
        <v>53E - Customer Owned</v>
      </c>
      <c r="C115" s="27"/>
      <c r="D115" s="327" t="str">
        <f>'WP12 Condensed Sch. Level Costs'!C110</f>
        <v>Metal Halide</v>
      </c>
      <c r="E115" s="41" t="str">
        <f>'WP12 Condensed Sch. Level Costs'!D110</f>
        <v>MH 250</v>
      </c>
      <c r="F115" s="14">
        <f t="shared" si="4"/>
        <v>350</v>
      </c>
      <c r="G115" s="14">
        <f>'WP12 Condensed Sch. Level Costs'!O110</f>
        <v>87.5</v>
      </c>
      <c r="H115" s="342">
        <f>'WP12 Condensed Sch. Level Costs'!R110</f>
        <v>1.9131568994526543E-2</v>
      </c>
      <c r="I115" s="328">
        <f>ROUND('WP12 Condensed Sch. Level Costs'!W110,2)</f>
        <v>1.67</v>
      </c>
    </row>
    <row r="116" spans="1:9" x14ac:dyDescent="0.2">
      <c r="A116" s="32">
        <f t="shared" si="3"/>
        <v>86</v>
      </c>
      <c r="B116" s="27" t="str">
        <f>'WP12 Condensed Sch. Level Costs'!A111</f>
        <v>53E - Customer Owned</v>
      </c>
      <c r="C116" s="27"/>
      <c r="D116" s="327" t="str">
        <f>'WP12 Condensed Sch. Level Costs'!C111</f>
        <v>Metal Halide</v>
      </c>
      <c r="E116" s="41" t="str">
        <f>'WP12 Condensed Sch. Level Costs'!D111</f>
        <v>MH 400</v>
      </c>
      <c r="F116" s="14">
        <f t="shared" si="4"/>
        <v>350</v>
      </c>
      <c r="G116" s="14">
        <f>'WP12 Condensed Sch. Level Costs'!O111</f>
        <v>140</v>
      </c>
      <c r="H116" s="342">
        <f>'WP12 Condensed Sch. Level Costs'!R111</f>
        <v>1.9131568994526543E-2</v>
      </c>
      <c r="I116" s="328">
        <f>ROUND('WP12 Condensed Sch. Level Costs'!W111,2)</f>
        <v>2.68</v>
      </c>
    </row>
    <row r="117" spans="1:9" x14ac:dyDescent="0.2">
      <c r="A117" s="32">
        <f t="shared" si="3"/>
        <v>87</v>
      </c>
      <c r="B117" s="27"/>
      <c r="C117" s="27"/>
      <c r="D117" s="327"/>
      <c r="E117" s="41"/>
      <c r="F117" s="14"/>
      <c r="G117" s="14"/>
      <c r="H117" s="342"/>
      <c r="I117" s="328"/>
    </row>
    <row r="118" spans="1:9" x14ac:dyDescent="0.2">
      <c r="A118" s="32">
        <f t="shared" si="3"/>
        <v>88</v>
      </c>
      <c r="B118" s="27" t="str">
        <f>'WP12 Condensed Sch. Level Costs'!A113</f>
        <v>53E - Customer Owned</v>
      </c>
      <c r="C118" s="27"/>
      <c r="D118" s="327" t="str">
        <f>'WP12 Condensed Sch. Level Costs'!C113</f>
        <v>Light Emitting Diode</v>
      </c>
      <c r="E118" s="41" t="str">
        <f>'WP12 Condensed Sch. Level Costs'!D113</f>
        <v>LED 0-030</v>
      </c>
      <c r="F118" s="14">
        <f t="shared" si="4"/>
        <v>350</v>
      </c>
      <c r="G118" s="14">
        <f>'WP12 Condensed Sch. Level Costs'!O113</f>
        <v>5.25</v>
      </c>
      <c r="H118" s="342">
        <f>'WP12 Condensed Sch. Level Costs'!R113</f>
        <v>1.9131568994526543E-2</v>
      </c>
      <c r="I118" s="328">
        <f>ROUND('WP12 Condensed Sch. Level Costs'!W113,2)</f>
        <v>0.1</v>
      </c>
    </row>
    <row r="119" spans="1:9" x14ac:dyDescent="0.2">
      <c r="A119" s="32">
        <f t="shared" si="3"/>
        <v>89</v>
      </c>
      <c r="B119" s="27" t="str">
        <f>'WP12 Condensed Sch. Level Costs'!A114</f>
        <v>53E - Customer Owned</v>
      </c>
      <c r="C119" s="27"/>
      <c r="D119" s="327" t="str">
        <f>'WP12 Condensed Sch. Level Costs'!C114</f>
        <v>Light Emitting Diode</v>
      </c>
      <c r="E119" s="41" t="str">
        <f>'WP12 Condensed Sch. Level Costs'!D114</f>
        <v>LED 030.01-060</v>
      </c>
      <c r="F119" s="14">
        <f t="shared" si="4"/>
        <v>350</v>
      </c>
      <c r="G119" s="14">
        <f>'WP12 Condensed Sch. Level Costs'!O114</f>
        <v>15.75</v>
      </c>
      <c r="H119" s="342">
        <f>'WP12 Condensed Sch. Level Costs'!R114</f>
        <v>1.9131568994526543E-2</v>
      </c>
      <c r="I119" s="328">
        <f>ROUND('WP12 Condensed Sch. Level Costs'!W114,2)</f>
        <v>0.3</v>
      </c>
    </row>
    <row r="120" spans="1:9" x14ac:dyDescent="0.2">
      <c r="A120" s="32">
        <f t="shared" si="3"/>
        <v>90</v>
      </c>
      <c r="B120" s="27" t="str">
        <f>'WP12 Condensed Sch. Level Costs'!A115</f>
        <v>53E - Customer Owned</v>
      </c>
      <c r="C120" s="27"/>
      <c r="D120" s="327" t="str">
        <f>'WP12 Condensed Sch. Level Costs'!C115</f>
        <v>Light Emitting Diode</v>
      </c>
      <c r="E120" s="41" t="str">
        <f>'WP12 Condensed Sch. Level Costs'!D115</f>
        <v>LED 060.01-090</v>
      </c>
      <c r="F120" s="14">
        <f t="shared" si="4"/>
        <v>350</v>
      </c>
      <c r="G120" s="14">
        <f>'WP12 Condensed Sch. Level Costs'!O115</f>
        <v>26.25</v>
      </c>
      <c r="H120" s="342">
        <f>'WP12 Condensed Sch. Level Costs'!R115</f>
        <v>1.9131568994526543E-2</v>
      </c>
      <c r="I120" s="328">
        <f>ROUND('WP12 Condensed Sch. Level Costs'!W115,2)</f>
        <v>0.5</v>
      </c>
    </row>
    <row r="121" spans="1:9" x14ac:dyDescent="0.2">
      <c r="A121" s="32">
        <f t="shared" si="3"/>
        <v>91</v>
      </c>
      <c r="B121" s="27" t="str">
        <f>'WP12 Condensed Sch. Level Costs'!A116</f>
        <v>53E - Customer Owned</v>
      </c>
      <c r="C121" s="27"/>
      <c r="D121" s="327" t="str">
        <f>'WP12 Condensed Sch. Level Costs'!C116</f>
        <v>Light Emitting Diode</v>
      </c>
      <c r="E121" s="41" t="str">
        <f>'WP12 Condensed Sch. Level Costs'!D116</f>
        <v>LED 090.01-120</v>
      </c>
      <c r="F121" s="14">
        <f t="shared" si="4"/>
        <v>350</v>
      </c>
      <c r="G121" s="14">
        <f>'WP12 Condensed Sch. Level Costs'!O116</f>
        <v>36.75</v>
      </c>
      <c r="H121" s="342">
        <f>'WP12 Condensed Sch. Level Costs'!R116</f>
        <v>1.9131568994526543E-2</v>
      </c>
      <c r="I121" s="328">
        <f>ROUND('WP12 Condensed Sch. Level Costs'!W116,2)</f>
        <v>0.7</v>
      </c>
    </row>
    <row r="122" spans="1:9" x14ac:dyDescent="0.2">
      <c r="A122" s="32">
        <f t="shared" si="3"/>
        <v>92</v>
      </c>
      <c r="B122" s="27" t="str">
        <f>'WP12 Condensed Sch. Level Costs'!A117</f>
        <v>53E - Customer Owned</v>
      </c>
      <c r="C122" s="27"/>
      <c r="D122" s="327" t="str">
        <f>'WP12 Condensed Sch. Level Costs'!C117</f>
        <v>Light Emitting Diode</v>
      </c>
      <c r="E122" s="41" t="str">
        <f>'WP12 Condensed Sch. Level Costs'!D117</f>
        <v>LED 120.01-150</v>
      </c>
      <c r="F122" s="14">
        <f t="shared" si="4"/>
        <v>350</v>
      </c>
      <c r="G122" s="14">
        <f>'WP12 Condensed Sch. Level Costs'!O117</f>
        <v>47.25</v>
      </c>
      <c r="H122" s="342">
        <f>'WP12 Condensed Sch. Level Costs'!R117</f>
        <v>1.9131568994526543E-2</v>
      </c>
      <c r="I122" s="328">
        <f>ROUND('WP12 Condensed Sch. Level Costs'!W117,2)</f>
        <v>0.9</v>
      </c>
    </row>
    <row r="123" spans="1:9" x14ac:dyDescent="0.2">
      <c r="A123" s="32">
        <f t="shared" si="3"/>
        <v>93</v>
      </c>
      <c r="B123" s="27" t="str">
        <f>'WP12 Condensed Sch. Level Costs'!A118</f>
        <v>53E - Customer Owned</v>
      </c>
      <c r="C123" s="27"/>
      <c r="D123" s="327" t="str">
        <f>'WP12 Condensed Sch. Level Costs'!C118</f>
        <v>Light Emitting Diode</v>
      </c>
      <c r="E123" s="41" t="str">
        <f>'WP12 Condensed Sch. Level Costs'!D118</f>
        <v>LED 150.01-180</v>
      </c>
      <c r="F123" s="14">
        <f t="shared" si="4"/>
        <v>350</v>
      </c>
      <c r="G123" s="14">
        <f>'WP12 Condensed Sch. Level Costs'!O118</f>
        <v>57.75</v>
      </c>
      <c r="H123" s="342">
        <f>'WP12 Condensed Sch. Level Costs'!R118</f>
        <v>1.9131568994526543E-2</v>
      </c>
      <c r="I123" s="328">
        <f>ROUND('WP12 Condensed Sch. Level Costs'!W118,2)</f>
        <v>1.1000000000000001</v>
      </c>
    </row>
    <row r="124" spans="1:9" x14ac:dyDescent="0.2">
      <c r="A124" s="32">
        <f t="shared" si="3"/>
        <v>94</v>
      </c>
      <c r="B124" s="27" t="str">
        <f>'WP12 Condensed Sch. Level Costs'!A119</f>
        <v>53E - Customer Owned</v>
      </c>
      <c r="C124" s="27"/>
      <c r="D124" s="327" t="str">
        <f>'WP12 Condensed Sch. Level Costs'!C119</f>
        <v>Light Emitting Diode</v>
      </c>
      <c r="E124" s="41" t="str">
        <f>'WP12 Condensed Sch. Level Costs'!D119</f>
        <v>LED 180.01-210</v>
      </c>
      <c r="F124" s="14">
        <f t="shared" si="4"/>
        <v>350</v>
      </c>
      <c r="G124" s="14">
        <f>'WP12 Condensed Sch. Level Costs'!O119</f>
        <v>68.25</v>
      </c>
      <c r="H124" s="342">
        <f>'WP12 Condensed Sch. Level Costs'!R119</f>
        <v>1.9131568994526543E-2</v>
      </c>
      <c r="I124" s="328">
        <f>ROUND('WP12 Condensed Sch. Level Costs'!W119,2)</f>
        <v>1.31</v>
      </c>
    </row>
    <row r="125" spans="1:9" x14ac:dyDescent="0.2">
      <c r="A125" s="32">
        <f t="shared" si="3"/>
        <v>95</v>
      </c>
      <c r="B125" s="27" t="str">
        <f>'WP12 Condensed Sch. Level Costs'!A120</f>
        <v>53E - Customer Owned</v>
      </c>
      <c r="C125" s="27"/>
      <c r="D125" s="327" t="str">
        <f>'WP12 Condensed Sch. Level Costs'!C120</f>
        <v>Light Emitting Diode</v>
      </c>
      <c r="E125" s="41" t="str">
        <f>'WP12 Condensed Sch. Level Costs'!D120</f>
        <v>LED 210.01-240</v>
      </c>
      <c r="F125" s="14">
        <f t="shared" si="4"/>
        <v>350</v>
      </c>
      <c r="G125" s="14">
        <f>'WP12 Condensed Sch. Level Costs'!O120</f>
        <v>78.75</v>
      </c>
      <c r="H125" s="342">
        <f>'WP12 Condensed Sch. Level Costs'!R120</f>
        <v>1.9131568994526543E-2</v>
      </c>
      <c r="I125" s="328">
        <f>ROUND('WP12 Condensed Sch. Level Costs'!W120,2)</f>
        <v>1.51</v>
      </c>
    </row>
    <row r="126" spans="1:9" x14ac:dyDescent="0.2">
      <c r="A126" s="32">
        <f t="shared" si="3"/>
        <v>96</v>
      </c>
      <c r="B126" s="27" t="str">
        <f>'WP12 Condensed Sch. Level Costs'!A121</f>
        <v>53E - Customer Owned</v>
      </c>
      <c r="C126" s="27"/>
      <c r="D126" s="327" t="str">
        <f>'WP12 Condensed Sch. Level Costs'!C121</f>
        <v>Light Emitting Diode</v>
      </c>
      <c r="E126" s="41" t="str">
        <f>'WP12 Condensed Sch. Level Costs'!D121</f>
        <v>LED 240.01-270</v>
      </c>
      <c r="F126" s="14">
        <f t="shared" si="4"/>
        <v>350</v>
      </c>
      <c r="G126" s="14">
        <f>'WP12 Condensed Sch. Level Costs'!O121</f>
        <v>89.25</v>
      </c>
      <c r="H126" s="342">
        <f>'WP12 Condensed Sch. Level Costs'!R121</f>
        <v>1.9131568994526543E-2</v>
      </c>
      <c r="I126" s="328">
        <f>ROUND('WP12 Condensed Sch. Level Costs'!W121,2)</f>
        <v>1.71</v>
      </c>
    </row>
    <row r="127" spans="1:9" x14ac:dyDescent="0.2">
      <c r="A127" s="32">
        <f t="shared" si="3"/>
        <v>97</v>
      </c>
      <c r="B127" s="27" t="str">
        <f>'WP12 Condensed Sch. Level Costs'!A122</f>
        <v>53E - Customer Owned</v>
      </c>
      <c r="C127" s="27"/>
      <c r="D127" s="327" t="str">
        <f>'WP12 Condensed Sch. Level Costs'!C122</f>
        <v>Light Emitting Diode</v>
      </c>
      <c r="E127" s="41" t="str">
        <f>'WP12 Condensed Sch. Level Costs'!D122</f>
        <v>LED 270.01-300</v>
      </c>
      <c r="F127" s="14">
        <f t="shared" si="4"/>
        <v>350</v>
      </c>
      <c r="G127" s="14">
        <f>'WP12 Condensed Sch. Level Costs'!O122</f>
        <v>99.75</v>
      </c>
      <c r="H127" s="342">
        <f>'WP12 Condensed Sch. Level Costs'!R122</f>
        <v>1.9131568994526543E-2</v>
      </c>
      <c r="I127" s="328">
        <f>ROUND('WP12 Condensed Sch. Level Costs'!W122,2)</f>
        <v>1.91</v>
      </c>
    </row>
    <row r="128" spans="1:9" x14ac:dyDescent="0.2">
      <c r="A128" s="32">
        <f t="shared" si="3"/>
        <v>98</v>
      </c>
      <c r="B128" s="27"/>
      <c r="C128" s="27"/>
      <c r="D128" s="327"/>
      <c r="E128" s="41"/>
      <c r="F128" s="14"/>
      <c r="G128" s="14"/>
      <c r="H128" s="342"/>
      <c r="I128" s="328"/>
    </row>
    <row r="129" spans="1:9" x14ac:dyDescent="0.2">
      <c r="A129" s="32">
        <f t="shared" si="3"/>
        <v>99</v>
      </c>
      <c r="B129" s="27" t="str">
        <f>'WP12 Condensed Sch. Level Costs'!A123</f>
        <v>Sch 54E</v>
      </c>
      <c r="C129" s="27"/>
      <c r="D129" s="327"/>
      <c r="E129" s="41"/>
      <c r="F129" s="14"/>
      <c r="G129" s="14"/>
      <c r="H129" s="342"/>
      <c r="I129" s="328"/>
    </row>
    <row r="130" spans="1:9" x14ac:dyDescent="0.2">
      <c r="A130" s="32">
        <f t="shared" si="3"/>
        <v>100</v>
      </c>
      <c r="B130" s="27" t="str">
        <f>'WP12 Condensed Sch. Level Costs'!A124</f>
        <v>54E</v>
      </c>
      <c r="C130" s="27"/>
      <c r="D130" s="327" t="str">
        <f>'WP12 Condensed Sch. Level Costs'!C124</f>
        <v>Sodium Vapor</v>
      </c>
      <c r="E130" s="41" t="str">
        <f>'WP12 Condensed Sch. Level Costs'!D124</f>
        <v>SV 050</v>
      </c>
      <c r="F130" s="14">
        <f t="shared" si="4"/>
        <v>350</v>
      </c>
      <c r="G130" s="14">
        <f>'WP12 Condensed Sch. Level Costs'!O124</f>
        <v>17.5</v>
      </c>
      <c r="H130" s="342">
        <f>'WP12 Condensed Sch. Level Costs'!R124</f>
        <v>1.9131568994526543E-2</v>
      </c>
      <c r="I130" s="328">
        <f>ROUND('WP12 Condensed Sch. Level Costs'!W124,2)</f>
        <v>0.33</v>
      </c>
    </row>
    <row r="131" spans="1:9" x14ac:dyDescent="0.2">
      <c r="A131" s="32">
        <f t="shared" si="3"/>
        <v>101</v>
      </c>
      <c r="B131" s="27" t="str">
        <f>'WP12 Condensed Sch. Level Costs'!A125</f>
        <v>54E</v>
      </c>
      <c r="C131" s="27"/>
      <c r="D131" s="327" t="str">
        <f>'WP12 Condensed Sch. Level Costs'!C125</f>
        <v>Sodium Vapor</v>
      </c>
      <c r="E131" s="41" t="str">
        <f>'WP12 Condensed Sch. Level Costs'!D125</f>
        <v>SV 070</v>
      </c>
      <c r="F131" s="14">
        <f t="shared" si="4"/>
        <v>350</v>
      </c>
      <c r="G131" s="14">
        <f>'WP12 Condensed Sch. Level Costs'!O125</f>
        <v>24.5</v>
      </c>
      <c r="H131" s="342">
        <f>'WP12 Condensed Sch. Level Costs'!R125</f>
        <v>1.9131568994526543E-2</v>
      </c>
      <c r="I131" s="328">
        <f>ROUND('WP12 Condensed Sch. Level Costs'!W125,2)</f>
        <v>0.47</v>
      </c>
    </row>
    <row r="132" spans="1:9" x14ac:dyDescent="0.2">
      <c r="A132" s="32">
        <f t="shared" si="3"/>
        <v>102</v>
      </c>
      <c r="B132" s="27" t="str">
        <f>'WP12 Condensed Sch. Level Costs'!A126</f>
        <v>54E</v>
      </c>
      <c r="C132" s="27"/>
      <c r="D132" s="327" t="str">
        <f>'WP12 Condensed Sch. Level Costs'!C126</f>
        <v>Sodium Vapor</v>
      </c>
      <c r="E132" s="41" t="str">
        <f>'WP12 Condensed Sch. Level Costs'!D126</f>
        <v>SV 100</v>
      </c>
      <c r="F132" s="14">
        <f t="shared" si="4"/>
        <v>350</v>
      </c>
      <c r="G132" s="14">
        <f>'WP12 Condensed Sch. Level Costs'!O126</f>
        <v>35</v>
      </c>
      <c r="H132" s="342">
        <f>'WP12 Condensed Sch. Level Costs'!R126</f>
        <v>1.9131568994526543E-2</v>
      </c>
      <c r="I132" s="328">
        <f>ROUND('WP12 Condensed Sch. Level Costs'!W126,2)</f>
        <v>0.67</v>
      </c>
    </row>
    <row r="133" spans="1:9" x14ac:dyDescent="0.2">
      <c r="A133" s="32">
        <f t="shared" si="3"/>
        <v>103</v>
      </c>
      <c r="B133" s="27" t="str">
        <f>'WP12 Condensed Sch. Level Costs'!A127</f>
        <v>54E</v>
      </c>
      <c r="C133" s="27"/>
      <c r="D133" s="327" t="str">
        <f>'WP12 Condensed Sch. Level Costs'!C127</f>
        <v>Sodium Vapor</v>
      </c>
      <c r="E133" s="41" t="str">
        <f>'WP12 Condensed Sch. Level Costs'!D127</f>
        <v>SV 150</v>
      </c>
      <c r="F133" s="14">
        <f t="shared" si="4"/>
        <v>350</v>
      </c>
      <c r="G133" s="14">
        <f>'WP12 Condensed Sch. Level Costs'!O127</f>
        <v>52.5</v>
      </c>
      <c r="H133" s="342">
        <f>'WP12 Condensed Sch. Level Costs'!R127</f>
        <v>1.9131568994526543E-2</v>
      </c>
      <c r="I133" s="328">
        <f>ROUND('WP12 Condensed Sch. Level Costs'!W127,2)</f>
        <v>1</v>
      </c>
    </row>
    <row r="134" spans="1:9" x14ac:dyDescent="0.2">
      <c r="A134" s="32">
        <f t="shared" si="3"/>
        <v>104</v>
      </c>
      <c r="B134" s="27" t="str">
        <f>'WP12 Condensed Sch. Level Costs'!A128</f>
        <v>54E</v>
      </c>
      <c r="C134" s="27"/>
      <c r="D134" s="327" t="str">
        <f>'WP12 Condensed Sch. Level Costs'!C128</f>
        <v>Sodium Vapor</v>
      </c>
      <c r="E134" s="41" t="str">
        <f>'WP12 Condensed Sch. Level Costs'!D128</f>
        <v>SV 200</v>
      </c>
      <c r="F134" s="14">
        <f t="shared" si="4"/>
        <v>350</v>
      </c>
      <c r="G134" s="14">
        <f>'WP12 Condensed Sch. Level Costs'!O128</f>
        <v>70</v>
      </c>
      <c r="H134" s="342">
        <f>'WP12 Condensed Sch. Level Costs'!R128</f>
        <v>1.9131568994526543E-2</v>
      </c>
      <c r="I134" s="328">
        <f>ROUND('WP12 Condensed Sch. Level Costs'!W128,2)</f>
        <v>1.34</v>
      </c>
    </row>
    <row r="135" spans="1:9" x14ac:dyDescent="0.2">
      <c r="A135" s="32">
        <f t="shared" si="3"/>
        <v>105</v>
      </c>
      <c r="B135" s="27" t="str">
        <f>'WP12 Condensed Sch. Level Costs'!A129</f>
        <v>54E</v>
      </c>
      <c r="C135" s="27"/>
      <c r="D135" s="327" t="str">
        <f>'WP12 Condensed Sch. Level Costs'!C129</f>
        <v>Sodium Vapor</v>
      </c>
      <c r="E135" s="41" t="str">
        <f>'WP12 Condensed Sch. Level Costs'!D129</f>
        <v>SV 250</v>
      </c>
      <c r="F135" s="14">
        <f t="shared" si="4"/>
        <v>350</v>
      </c>
      <c r="G135" s="14">
        <f>'WP12 Condensed Sch. Level Costs'!O129</f>
        <v>87.5</v>
      </c>
      <c r="H135" s="342">
        <f>'WP12 Condensed Sch. Level Costs'!R129</f>
        <v>1.9131568994526543E-2</v>
      </c>
      <c r="I135" s="328">
        <f>ROUND('WP12 Condensed Sch. Level Costs'!W129,2)</f>
        <v>1.67</v>
      </c>
    </row>
    <row r="136" spans="1:9" x14ac:dyDescent="0.2">
      <c r="A136" s="32">
        <f t="shared" si="3"/>
        <v>106</v>
      </c>
      <c r="B136" s="27" t="str">
        <f>'WP12 Condensed Sch. Level Costs'!A130</f>
        <v>54E</v>
      </c>
      <c r="C136" s="27"/>
      <c r="D136" s="327" t="str">
        <f>'WP12 Condensed Sch. Level Costs'!C130</f>
        <v>Sodium Vapor</v>
      </c>
      <c r="E136" s="41" t="str">
        <f>'WP12 Condensed Sch. Level Costs'!D130</f>
        <v>SV 310</v>
      </c>
      <c r="F136" s="14">
        <f t="shared" si="4"/>
        <v>350</v>
      </c>
      <c r="G136" s="14">
        <f>'WP12 Condensed Sch. Level Costs'!O130</f>
        <v>108.5</v>
      </c>
      <c r="H136" s="342">
        <f>'WP12 Condensed Sch. Level Costs'!R130</f>
        <v>1.9131568994526543E-2</v>
      </c>
      <c r="I136" s="328">
        <f>ROUND('WP12 Condensed Sch. Level Costs'!W130,2)</f>
        <v>2.08</v>
      </c>
    </row>
    <row r="137" spans="1:9" x14ac:dyDescent="0.2">
      <c r="A137" s="32">
        <f t="shared" si="3"/>
        <v>107</v>
      </c>
      <c r="B137" s="27" t="str">
        <f>'WP12 Condensed Sch. Level Costs'!A131</f>
        <v>54E</v>
      </c>
      <c r="C137" s="27"/>
      <c r="D137" s="327" t="str">
        <f>'WP12 Condensed Sch. Level Costs'!C131</f>
        <v>Sodium Vapor</v>
      </c>
      <c r="E137" s="41" t="str">
        <f>'WP12 Condensed Sch. Level Costs'!D131</f>
        <v>SV 400</v>
      </c>
      <c r="F137" s="14">
        <f t="shared" si="4"/>
        <v>350</v>
      </c>
      <c r="G137" s="14">
        <f>'WP12 Condensed Sch. Level Costs'!O131</f>
        <v>140</v>
      </c>
      <c r="H137" s="342">
        <f>'WP12 Condensed Sch. Level Costs'!R131</f>
        <v>1.9131568994526543E-2</v>
      </c>
      <c r="I137" s="328">
        <f>ROUND('WP12 Condensed Sch. Level Costs'!W131,2)</f>
        <v>2.68</v>
      </c>
    </row>
    <row r="138" spans="1:9" x14ac:dyDescent="0.2">
      <c r="A138" s="32">
        <f t="shared" si="3"/>
        <v>108</v>
      </c>
      <c r="B138" s="27" t="str">
        <f>'WP12 Condensed Sch. Level Costs'!A132</f>
        <v>54E</v>
      </c>
      <c r="C138" s="27"/>
      <c r="D138" s="327" t="str">
        <f>'WP12 Condensed Sch. Level Costs'!C132</f>
        <v>Sodium Vapor</v>
      </c>
      <c r="E138" s="41" t="str">
        <f>'WP12 Condensed Sch. Level Costs'!D132</f>
        <v>SV 1000</v>
      </c>
      <c r="F138" s="14">
        <f t="shared" si="4"/>
        <v>350</v>
      </c>
      <c r="G138" s="14">
        <f>'WP12 Condensed Sch. Level Costs'!O132</f>
        <v>350</v>
      </c>
      <c r="H138" s="342">
        <f>'WP12 Condensed Sch. Level Costs'!R132</f>
        <v>1.9131568994526543E-2</v>
      </c>
      <c r="I138" s="328">
        <f>ROUND('WP12 Condensed Sch. Level Costs'!W132,2)</f>
        <v>6.7</v>
      </c>
    </row>
    <row r="139" spans="1:9" x14ac:dyDescent="0.2">
      <c r="A139" s="32">
        <f t="shared" si="3"/>
        <v>109</v>
      </c>
      <c r="B139" s="27"/>
      <c r="C139" s="27"/>
      <c r="D139" s="327"/>
      <c r="E139" s="41"/>
      <c r="F139" s="14"/>
      <c r="G139" s="14"/>
      <c r="H139" s="342"/>
      <c r="I139" s="328"/>
    </row>
    <row r="140" spans="1:9" x14ac:dyDescent="0.2">
      <c r="A140" s="32">
        <f t="shared" si="3"/>
        <v>110</v>
      </c>
      <c r="B140" s="27" t="str">
        <f>'WP12 Condensed Sch. Level Costs'!A134</f>
        <v>54E</v>
      </c>
      <c r="C140" s="27"/>
      <c r="D140" s="327" t="str">
        <f>'WP12 Condensed Sch. Level Costs'!C134</f>
        <v>Light Emitting Diode</v>
      </c>
      <c r="E140" s="41" t="str">
        <f>'WP12 Condensed Sch. Level Costs'!D134</f>
        <v>LED 0-030</v>
      </c>
      <c r="F140" s="14">
        <f t="shared" si="4"/>
        <v>350</v>
      </c>
      <c r="G140" s="14">
        <f>'WP12 Condensed Sch. Level Costs'!O134</f>
        <v>5.25</v>
      </c>
      <c r="H140" s="342">
        <f>'WP12 Condensed Sch. Level Costs'!R134</f>
        <v>1.9131568994526543E-2</v>
      </c>
      <c r="I140" s="328">
        <f>ROUND('WP12 Condensed Sch. Level Costs'!W134,2)</f>
        <v>0.1</v>
      </c>
    </row>
    <row r="141" spans="1:9" x14ac:dyDescent="0.2">
      <c r="A141" s="32">
        <f t="shared" si="3"/>
        <v>111</v>
      </c>
      <c r="B141" s="27" t="str">
        <f>'WP12 Condensed Sch. Level Costs'!A135</f>
        <v>54E</v>
      </c>
      <c r="C141" s="27"/>
      <c r="D141" s="327" t="str">
        <f>'WP12 Condensed Sch. Level Costs'!C135</f>
        <v>Light Emitting Diode</v>
      </c>
      <c r="E141" s="41" t="str">
        <f>'WP12 Condensed Sch. Level Costs'!D135</f>
        <v>LED 030.01-060</v>
      </c>
      <c r="F141" s="14">
        <f t="shared" si="4"/>
        <v>350</v>
      </c>
      <c r="G141" s="14">
        <f>'WP12 Condensed Sch. Level Costs'!O135</f>
        <v>15.75</v>
      </c>
      <c r="H141" s="342">
        <f>'WP12 Condensed Sch. Level Costs'!R135</f>
        <v>1.9131568994526543E-2</v>
      </c>
      <c r="I141" s="328">
        <f>ROUND('WP12 Condensed Sch. Level Costs'!W135,2)</f>
        <v>0.3</v>
      </c>
    </row>
    <row r="142" spans="1:9" x14ac:dyDescent="0.2">
      <c r="A142" s="32">
        <f t="shared" si="3"/>
        <v>112</v>
      </c>
      <c r="B142" s="27" t="str">
        <f>'WP12 Condensed Sch. Level Costs'!A136</f>
        <v>54E</v>
      </c>
      <c r="C142" s="27"/>
      <c r="D142" s="327" t="str">
        <f>'WP12 Condensed Sch. Level Costs'!C136</f>
        <v>Light Emitting Diode</v>
      </c>
      <c r="E142" s="41" t="str">
        <f>'WP12 Condensed Sch. Level Costs'!D136</f>
        <v>LED 060.01-090</v>
      </c>
      <c r="F142" s="14">
        <f t="shared" si="4"/>
        <v>350</v>
      </c>
      <c r="G142" s="14">
        <f>'WP12 Condensed Sch. Level Costs'!O136</f>
        <v>26.25</v>
      </c>
      <c r="H142" s="342">
        <f>'WP12 Condensed Sch. Level Costs'!R136</f>
        <v>1.9131568994526543E-2</v>
      </c>
      <c r="I142" s="328">
        <f>ROUND('WP12 Condensed Sch. Level Costs'!W136,2)</f>
        <v>0.5</v>
      </c>
    </row>
    <row r="143" spans="1:9" x14ac:dyDescent="0.2">
      <c r="A143" s="32">
        <f t="shared" si="3"/>
        <v>113</v>
      </c>
      <c r="B143" s="27" t="str">
        <f>'WP12 Condensed Sch. Level Costs'!A137</f>
        <v>54E</v>
      </c>
      <c r="C143" s="27"/>
      <c r="D143" s="327" t="str">
        <f>'WP12 Condensed Sch. Level Costs'!C137</f>
        <v>Light Emitting Diode</v>
      </c>
      <c r="E143" s="41" t="str">
        <f>'WP12 Condensed Sch. Level Costs'!D137</f>
        <v>LED 090.01-120</v>
      </c>
      <c r="F143" s="14">
        <f t="shared" si="4"/>
        <v>350</v>
      </c>
      <c r="G143" s="14">
        <f>'WP12 Condensed Sch. Level Costs'!O137</f>
        <v>36.75</v>
      </c>
      <c r="H143" s="342">
        <f>'WP12 Condensed Sch. Level Costs'!R137</f>
        <v>1.9131568994526543E-2</v>
      </c>
      <c r="I143" s="328">
        <f>ROUND('WP12 Condensed Sch. Level Costs'!W137,2)</f>
        <v>0.7</v>
      </c>
    </row>
    <row r="144" spans="1:9" x14ac:dyDescent="0.2">
      <c r="A144" s="32">
        <f t="shared" si="3"/>
        <v>114</v>
      </c>
      <c r="B144" s="27" t="str">
        <f>'WP12 Condensed Sch. Level Costs'!A138</f>
        <v>54E</v>
      </c>
      <c r="C144" s="27"/>
      <c r="D144" s="327" t="str">
        <f>'WP12 Condensed Sch. Level Costs'!C138</f>
        <v>Light Emitting Diode</v>
      </c>
      <c r="E144" s="41" t="str">
        <f>'WP12 Condensed Sch. Level Costs'!D138</f>
        <v>LED 120.01-150</v>
      </c>
      <c r="F144" s="14">
        <f t="shared" si="4"/>
        <v>350</v>
      </c>
      <c r="G144" s="14">
        <f>'WP12 Condensed Sch. Level Costs'!O138</f>
        <v>47.25</v>
      </c>
      <c r="H144" s="342">
        <f>'WP12 Condensed Sch. Level Costs'!R138</f>
        <v>1.9131568994526543E-2</v>
      </c>
      <c r="I144" s="328">
        <f>ROUND('WP12 Condensed Sch. Level Costs'!W138,2)</f>
        <v>0.9</v>
      </c>
    </row>
    <row r="145" spans="1:9" x14ac:dyDescent="0.2">
      <c r="A145" s="32">
        <f t="shared" si="3"/>
        <v>115</v>
      </c>
      <c r="B145" s="27" t="str">
        <f>'WP12 Condensed Sch. Level Costs'!A139</f>
        <v>54E</v>
      </c>
      <c r="C145" s="27"/>
      <c r="D145" s="327" t="str">
        <f>'WP12 Condensed Sch. Level Costs'!C139</f>
        <v>Light Emitting Diode</v>
      </c>
      <c r="E145" s="41" t="str">
        <f>'WP12 Condensed Sch. Level Costs'!D139</f>
        <v>LED 150.01-180</v>
      </c>
      <c r="F145" s="14">
        <f t="shared" si="4"/>
        <v>350</v>
      </c>
      <c r="G145" s="14">
        <f>'WP12 Condensed Sch. Level Costs'!O139</f>
        <v>57.75</v>
      </c>
      <c r="H145" s="342">
        <f>'WP12 Condensed Sch. Level Costs'!R139</f>
        <v>1.9131568994526543E-2</v>
      </c>
      <c r="I145" s="328">
        <f>ROUND('WP12 Condensed Sch. Level Costs'!W139,2)</f>
        <v>1.1000000000000001</v>
      </c>
    </row>
    <row r="146" spans="1:9" x14ac:dyDescent="0.2">
      <c r="A146" s="32">
        <f t="shared" si="3"/>
        <v>116</v>
      </c>
      <c r="B146" s="27" t="str">
        <f>'WP12 Condensed Sch. Level Costs'!A140</f>
        <v>54E</v>
      </c>
      <c r="C146" s="27"/>
      <c r="D146" s="327" t="str">
        <f>'WP12 Condensed Sch. Level Costs'!C140</f>
        <v>Light Emitting Diode</v>
      </c>
      <c r="E146" s="41" t="str">
        <f>'WP12 Condensed Sch. Level Costs'!D140</f>
        <v>LED 180.01-210</v>
      </c>
      <c r="F146" s="14">
        <f t="shared" si="4"/>
        <v>350</v>
      </c>
      <c r="G146" s="14">
        <f>'WP12 Condensed Sch. Level Costs'!O140</f>
        <v>68.25</v>
      </c>
      <c r="H146" s="342">
        <f>'WP12 Condensed Sch. Level Costs'!R140</f>
        <v>1.9131568994526543E-2</v>
      </c>
      <c r="I146" s="328">
        <f>ROUND('WP12 Condensed Sch. Level Costs'!W140,2)</f>
        <v>1.31</v>
      </c>
    </row>
    <row r="147" spans="1:9" x14ac:dyDescent="0.2">
      <c r="A147" s="32">
        <f t="shared" si="3"/>
        <v>117</v>
      </c>
      <c r="B147" s="27" t="str">
        <f>'WP12 Condensed Sch. Level Costs'!A141</f>
        <v>54E</v>
      </c>
      <c r="C147" s="27"/>
      <c r="D147" s="327" t="str">
        <f>'WP12 Condensed Sch. Level Costs'!C141</f>
        <v>Light Emitting Diode</v>
      </c>
      <c r="E147" s="41" t="str">
        <f>'WP12 Condensed Sch. Level Costs'!D141</f>
        <v>LED 210.01-240</v>
      </c>
      <c r="F147" s="14">
        <f t="shared" si="4"/>
        <v>350</v>
      </c>
      <c r="G147" s="14">
        <f>'WP12 Condensed Sch. Level Costs'!O141</f>
        <v>78.75</v>
      </c>
      <c r="H147" s="342">
        <f>'WP12 Condensed Sch. Level Costs'!R141</f>
        <v>1.9131568994526543E-2</v>
      </c>
      <c r="I147" s="328">
        <f>ROUND('WP12 Condensed Sch. Level Costs'!W141,2)</f>
        <v>1.51</v>
      </c>
    </row>
    <row r="148" spans="1:9" x14ac:dyDescent="0.2">
      <c r="A148" s="32">
        <f t="shared" si="3"/>
        <v>118</v>
      </c>
      <c r="B148" s="27" t="str">
        <f>'WP12 Condensed Sch. Level Costs'!A142</f>
        <v>54E</v>
      </c>
      <c r="C148" s="27"/>
      <c r="D148" s="327" t="str">
        <f>'WP12 Condensed Sch. Level Costs'!C142</f>
        <v>Light Emitting Diode</v>
      </c>
      <c r="E148" s="41" t="str">
        <f>'WP12 Condensed Sch. Level Costs'!D142</f>
        <v>LED 240.01-270</v>
      </c>
      <c r="F148" s="14">
        <f t="shared" si="4"/>
        <v>350</v>
      </c>
      <c r="G148" s="14">
        <f>'WP12 Condensed Sch. Level Costs'!O142</f>
        <v>89.25</v>
      </c>
      <c r="H148" s="342">
        <f>'WP12 Condensed Sch. Level Costs'!R142</f>
        <v>1.9131568994526543E-2</v>
      </c>
      <c r="I148" s="328">
        <f>ROUND('WP12 Condensed Sch. Level Costs'!W142,2)</f>
        <v>1.71</v>
      </c>
    </row>
    <row r="149" spans="1:9" x14ac:dyDescent="0.2">
      <c r="A149" s="32">
        <f t="shared" si="3"/>
        <v>119</v>
      </c>
      <c r="B149" s="27" t="str">
        <f>'WP12 Condensed Sch. Level Costs'!A143</f>
        <v>54E</v>
      </c>
      <c r="C149" s="27"/>
      <c r="D149" s="327" t="str">
        <f>'WP12 Condensed Sch. Level Costs'!C143</f>
        <v>Light Emitting Diode</v>
      </c>
      <c r="E149" s="41" t="str">
        <f>'WP12 Condensed Sch. Level Costs'!D143</f>
        <v>LED 270.01-300</v>
      </c>
      <c r="F149" s="14">
        <f t="shared" si="4"/>
        <v>350</v>
      </c>
      <c r="G149" s="14">
        <f>'WP12 Condensed Sch. Level Costs'!O143</f>
        <v>99.75</v>
      </c>
      <c r="H149" s="342">
        <f>'WP12 Condensed Sch. Level Costs'!R143</f>
        <v>1.9131568994526543E-2</v>
      </c>
      <c r="I149" s="328">
        <f>ROUND('WP12 Condensed Sch. Level Costs'!W143,2)</f>
        <v>1.91</v>
      </c>
    </row>
    <row r="150" spans="1:9" x14ac:dyDescent="0.2">
      <c r="A150" s="32">
        <f t="shared" si="3"/>
        <v>120</v>
      </c>
      <c r="B150" s="27"/>
      <c r="C150" s="27"/>
      <c r="D150" s="327"/>
      <c r="E150" s="41"/>
      <c r="F150" s="14"/>
      <c r="G150" s="14"/>
      <c r="H150" s="342"/>
      <c r="I150" s="328"/>
    </row>
    <row r="151" spans="1:9" x14ac:dyDescent="0.2">
      <c r="A151" s="32">
        <f t="shared" si="3"/>
        <v>121</v>
      </c>
      <c r="B151" s="27" t="str">
        <f>'WP12 Condensed Sch. Level Costs'!A144</f>
        <v>Sch 55 &amp; 56</v>
      </c>
      <c r="C151" s="27"/>
      <c r="D151" s="327"/>
      <c r="E151" s="41"/>
      <c r="F151" s="14"/>
      <c r="G151" s="14"/>
      <c r="H151" s="342"/>
      <c r="I151" s="328"/>
    </row>
    <row r="152" spans="1:9" x14ac:dyDescent="0.2">
      <c r="A152" s="32">
        <f t="shared" si="3"/>
        <v>122</v>
      </c>
      <c r="B152" s="27" t="str">
        <f>'WP12 Condensed Sch. Level Costs'!A145</f>
        <v>55E &amp; 56E</v>
      </c>
      <c r="C152" s="27"/>
      <c r="D152" s="327" t="str">
        <f>'WP12 Condensed Sch. Level Costs'!C145</f>
        <v>Sodium Vapor</v>
      </c>
      <c r="E152" s="41" t="str">
        <f>'WP12 Condensed Sch. Level Costs'!D145</f>
        <v>SV 070</v>
      </c>
      <c r="F152" s="14">
        <f t="shared" si="4"/>
        <v>350</v>
      </c>
      <c r="G152" s="14">
        <f>'WP12 Condensed Sch. Level Costs'!O145</f>
        <v>24.5</v>
      </c>
      <c r="H152" s="342">
        <f>'WP12 Condensed Sch. Level Costs'!R145</f>
        <v>1.9131568994526543E-2</v>
      </c>
      <c r="I152" s="328">
        <f>ROUND('WP12 Condensed Sch. Level Costs'!W145,2)</f>
        <v>0.47</v>
      </c>
    </row>
    <row r="153" spans="1:9" x14ac:dyDescent="0.2">
      <c r="A153" s="32">
        <f t="shared" si="3"/>
        <v>123</v>
      </c>
      <c r="B153" s="27" t="str">
        <f>'WP12 Condensed Sch. Level Costs'!A146</f>
        <v>55E &amp; 56E</v>
      </c>
      <c r="C153" s="27"/>
      <c r="D153" s="327" t="str">
        <f>'WP12 Condensed Sch. Level Costs'!C146</f>
        <v>Sodium Vapor</v>
      </c>
      <c r="E153" s="41" t="str">
        <f>'WP12 Condensed Sch. Level Costs'!D146</f>
        <v>SV 100</v>
      </c>
      <c r="F153" s="14">
        <f t="shared" si="4"/>
        <v>350</v>
      </c>
      <c r="G153" s="14">
        <f>'WP12 Condensed Sch. Level Costs'!O146</f>
        <v>35</v>
      </c>
      <c r="H153" s="342">
        <f>'WP12 Condensed Sch. Level Costs'!R146</f>
        <v>1.9131568994526543E-2</v>
      </c>
      <c r="I153" s="328">
        <f>ROUND('WP12 Condensed Sch. Level Costs'!W146,2)</f>
        <v>0.67</v>
      </c>
    </row>
    <row r="154" spans="1:9" x14ac:dyDescent="0.2">
      <c r="A154" s="32">
        <f t="shared" si="3"/>
        <v>124</v>
      </c>
      <c r="B154" s="27" t="str">
        <f>'WP12 Condensed Sch. Level Costs'!A147</f>
        <v>55E &amp; 56E</v>
      </c>
      <c r="C154" s="27"/>
      <c r="D154" s="327" t="str">
        <f>'WP12 Condensed Sch. Level Costs'!C147</f>
        <v>Sodium Vapor</v>
      </c>
      <c r="E154" s="41" t="str">
        <f>'WP12 Condensed Sch. Level Costs'!D147</f>
        <v>SV 150</v>
      </c>
      <c r="F154" s="14">
        <f t="shared" si="4"/>
        <v>350</v>
      </c>
      <c r="G154" s="14">
        <f>'WP12 Condensed Sch. Level Costs'!O147</f>
        <v>52.5</v>
      </c>
      <c r="H154" s="342">
        <f>'WP12 Condensed Sch. Level Costs'!R147</f>
        <v>1.9131568994526543E-2</v>
      </c>
      <c r="I154" s="328">
        <f>ROUND('WP12 Condensed Sch. Level Costs'!W147,2)</f>
        <v>1</v>
      </c>
    </row>
    <row r="155" spans="1:9" x14ac:dyDescent="0.2">
      <c r="A155" s="32">
        <f t="shared" si="3"/>
        <v>125</v>
      </c>
      <c r="B155" s="27" t="str">
        <f>'WP12 Condensed Sch. Level Costs'!A148</f>
        <v>55E &amp; 56E</v>
      </c>
      <c r="C155" s="27"/>
      <c r="D155" s="327" t="str">
        <f>'WP12 Condensed Sch. Level Costs'!C148</f>
        <v>Sodium Vapor</v>
      </c>
      <c r="E155" s="41" t="str">
        <f>'WP12 Condensed Sch. Level Costs'!D148</f>
        <v>SV 200</v>
      </c>
      <c r="F155" s="14">
        <f t="shared" si="4"/>
        <v>350</v>
      </c>
      <c r="G155" s="14">
        <f>'WP12 Condensed Sch. Level Costs'!O148</f>
        <v>70</v>
      </c>
      <c r="H155" s="342">
        <f>'WP12 Condensed Sch. Level Costs'!R148</f>
        <v>1.9131568994526543E-2</v>
      </c>
      <c r="I155" s="328">
        <f>ROUND('WP12 Condensed Sch. Level Costs'!W148,2)</f>
        <v>1.34</v>
      </c>
    </row>
    <row r="156" spans="1:9" x14ac:dyDescent="0.2">
      <c r="A156" s="32">
        <f t="shared" si="3"/>
        <v>126</v>
      </c>
      <c r="B156" s="27" t="str">
        <f>'WP12 Condensed Sch. Level Costs'!A149</f>
        <v>55E &amp; 56E</v>
      </c>
      <c r="C156" s="27"/>
      <c r="D156" s="327" t="str">
        <f>'WP12 Condensed Sch. Level Costs'!C149</f>
        <v>Sodium Vapor</v>
      </c>
      <c r="E156" s="41" t="str">
        <f>'WP12 Condensed Sch. Level Costs'!D149</f>
        <v>SV 250</v>
      </c>
      <c r="F156" s="14">
        <f t="shared" si="4"/>
        <v>350</v>
      </c>
      <c r="G156" s="14">
        <f>'WP12 Condensed Sch. Level Costs'!O149</f>
        <v>87.5</v>
      </c>
      <c r="H156" s="342">
        <f>'WP12 Condensed Sch. Level Costs'!R149</f>
        <v>1.9131568994526543E-2</v>
      </c>
      <c r="I156" s="328">
        <f>ROUND('WP12 Condensed Sch. Level Costs'!W149,2)</f>
        <v>1.67</v>
      </c>
    </row>
    <row r="157" spans="1:9" x14ac:dyDescent="0.2">
      <c r="A157" s="32">
        <f t="shared" si="3"/>
        <v>127</v>
      </c>
      <c r="B157" s="27" t="str">
        <f>'WP12 Condensed Sch. Level Costs'!A150</f>
        <v>55E &amp; 56E</v>
      </c>
      <c r="C157" s="27"/>
      <c r="D157" s="327" t="str">
        <f>'WP12 Condensed Sch. Level Costs'!C150</f>
        <v>Sodium Vapor</v>
      </c>
      <c r="E157" s="41" t="str">
        <f>'WP12 Condensed Sch. Level Costs'!D150</f>
        <v>SV 400</v>
      </c>
      <c r="F157" s="14">
        <f t="shared" si="4"/>
        <v>350</v>
      </c>
      <c r="G157" s="14">
        <f>'WP12 Condensed Sch. Level Costs'!O150</f>
        <v>140</v>
      </c>
      <c r="H157" s="342">
        <f>'WP12 Condensed Sch. Level Costs'!R150</f>
        <v>1.9131568994526543E-2</v>
      </c>
      <c r="I157" s="328">
        <f>ROUND('WP12 Condensed Sch. Level Costs'!W150,2)</f>
        <v>2.68</v>
      </c>
    </row>
    <row r="158" spans="1:9" x14ac:dyDescent="0.2">
      <c r="A158" s="32">
        <f t="shared" si="3"/>
        <v>128</v>
      </c>
      <c r="B158" s="27"/>
      <c r="C158" s="27"/>
      <c r="D158" s="327"/>
      <c r="E158" s="41"/>
      <c r="F158" s="14"/>
      <c r="G158" s="14"/>
      <c r="H158" s="342"/>
      <c r="I158" s="328"/>
    </row>
    <row r="159" spans="1:9" x14ac:dyDescent="0.2">
      <c r="A159" s="32">
        <f t="shared" si="3"/>
        <v>129</v>
      </c>
      <c r="B159" s="27" t="str">
        <f>'WP12 Condensed Sch. Level Costs'!A152</f>
        <v>55E &amp; 56E</v>
      </c>
      <c r="C159" s="27"/>
      <c r="D159" s="327" t="str">
        <f>'WP12 Condensed Sch. Level Costs'!C152</f>
        <v>Metal Halide</v>
      </c>
      <c r="E159" s="41" t="str">
        <f>'WP12 Condensed Sch. Level Costs'!D152</f>
        <v>MH 250</v>
      </c>
      <c r="F159" s="14">
        <f t="shared" si="4"/>
        <v>350</v>
      </c>
      <c r="G159" s="14">
        <f>'WP12 Condensed Sch. Level Costs'!O152</f>
        <v>87.5</v>
      </c>
      <c r="H159" s="342">
        <f>'WP12 Condensed Sch. Level Costs'!R152</f>
        <v>1.9131568994526543E-2</v>
      </c>
      <c r="I159" s="328">
        <f>ROUND('WP12 Condensed Sch. Level Costs'!W152,2)</f>
        <v>1.67</v>
      </c>
    </row>
    <row r="160" spans="1:9" x14ac:dyDescent="0.2">
      <c r="A160" s="32">
        <f t="shared" si="3"/>
        <v>130</v>
      </c>
      <c r="B160" s="27"/>
      <c r="C160" s="27"/>
      <c r="D160" s="327"/>
      <c r="E160" s="41"/>
      <c r="F160" s="14"/>
      <c r="G160" s="14"/>
      <c r="H160" s="342"/>
      <c r="I160" s="328"/>
    </row>
    <row r="161" spans="1:9" x14ac:dyDescent="0.2">
      <c r="A161" s="32">
        <f t="shared" si="3"/>
        <v>131</v>
      </c>
      <c r="B161" s="27" t="str">
        <f>'WP12 Condensed Sch. Level Costs'!A154</f>
        <v>55E &amp; 56E</v>
      </c>
      <c r="C161" s="27"/>
      <c r="D161" s="327" t="str">
        <f>'WP12 Condensed Sch. Level Costs'!C154</f>
        <v>Light Emitting Diode</v>
      </c>
      <c r="E161" s="41" t="str">
        <f>'WP12 Condensed Sch. Level Costs'!D154</f>
        <v>LED 0-030</v>
      </c>
      <c r="F161" s="14">
        <f t="shared" si="4"/>
        <v>350</v>
      </c>
      <c r="G161" s="14">
        <f>'WP12 Condensed Sch. Level Costs'!O154</f>
        <v>5.25</v>
      </c>
      <c r="H161" s="342">
        <f>'WP12 Condensed Sch. Level Costs'!R154</f>
        <v>1.9131568994526543E-2</v>
      </c>
      <c r="I161" s="328">
        <f>ROUND('WP12 Condensed Sch. Level Costs'!W154,2)</f>
        <v>0.1</v>
      </c>
    </row>
    <row r="162" spans="1:9" x14ac:dyDescent="0.2">
      <c r="A162" s="32">
        <f t="shared" si="3"/>
        <v>132</v>
      </c>
      <c r="B162" s="27" t="str">
        <f>'WP12 Condensed Sch. Level Costs'!A155</f>
        <v>55E &amp; 56E</v>
      </c>
      <c r="C162" s="27"/>
      <c r="D162" s="327" t="str">
        <f>'WP12 Condensed Sch. Level Costs'!C155</f>
        <v>Light Emitting Diode</v>
      </c>
      <c r="E162" s="41" t="str">
        <f>'WP12 Condensed Sch. Level Costs'!D155</f>
        <v>LED 030.01-060</v>
      </c>
      <c r="F162" s="14">
        <f t="shared" si="4"/>
        <v>350</v>
      </c>
      <c r="G162" s="14">
        <f>'WP12 Condensed Sch. Level Costs'!O155</f>
        <v>15.75</v>
      </c>
      <c r="H162" s="342">
        <f>'WP12 Condensed Sch. Level Costs'!R155</f>
        <v>1.9131568994526543E-2</v>
      </c>
      <c r="I162" s="328">
        <f>ROUND('WP12 Condensed Sch. Level Costs'!W155,2)</f>
        <v>0.3</v>
      </c>
    </row>
    <row r="163" spans="1:9" x14ac:dyDescent="0.2">
      <c r="A163" s="32">
        <f t="shared" si="3"/>
        <v>133</v>
      </c>
      <c r="B163" s="27" t="str">
        <f>'WP12 Condensed Sch. Level Costs'!A156</f>
        <v>55E &amp; 56E</v>
      </c>
      <c r="C163" s="27"/>
      <c r="D163" s="327" t="str">
        <f>'WP12 Condensed Sch. Level Costs'!C156</f>
        <v>Light Emitting Diode</v>
      </c>
      <c r="E163" s="41" t="str">
        <f>'WP12 Condensed Sch. Level Costs'!D156</f>
        <v>LED 060.01-090</v>
      </c>
      <c r="F163" s="14">
        <f t="shared" si="4"/>
        <v>350</v>
      </c>
      <c r="G163" s="14">
        <f>'WP12 Condensed Sch. Level Costs'!O156</f>
        <v>26.25</v>
      </c>
      <c r="H163" s="342">
        <f>'WP12 Condensed Sch. Level Costs'!R156</f>
        <v>1.9131568994526543E-2</v>
      </c>
      <c r="I163" s="328">
        <f>ROUND('WP12 Condensed Sch. Level Costs'!W156,2)</f>
        <v>0.5</v>
      </c>
    </row>
    <row r="164" spans="1:9" x14ac:dyDescent="0.2">
      <c r="A164" s="32">
        <f t="shared" si="3"/>
        <v>134</v>
      </c>
      <c r="B164" s="27" t="str">
        <f>'WP12 Condensed Sch. Level Costs'!A157</f>
        <v>55E &amp; 56E</v>
      </c>
      <c r="C164" s="27"/>
      <c r="D164" s="327" t="str">
        <f>'WP12 Condensed Sch. Level Costs'!C157</f>
        <v>Light Emitting Diode</v>
      </c>
      <c r="E164" s="41" t="str">
        <f>'WP12 Condensed Sch. Level Costs'!D157</f>
        <v>LED 090.01-120</v>
      </c>
      <c r="F164" s="14">
        <f t="shared" si="4"/>
        <v>350</v>
      </c>
      <c r="G164" s="14">
        <f>'WP12 Condensed Sch. Level Costs'!O157</f>
        <v>36.75</v>
      </c>
      <c r="H164" s="342">
        <f>'WP12 Condensed Sch. Level Costs'!R157</f>
        <v>1.9131568994526543E-2</v>
      </c>
      <c r="I164" s="328">
        <f>ROUND('WP12 Condensed Sch. Level Costs'!W157,2)</f>
        <v>0.7</v>
      </c>
    </row>
    <row r="165" spans="1:9" x14ac:dyDescent="0.2">
      <c r="A165" s="32">
        <f t="shared" si="3"/>
        <v>135</v>
      </c>
      <c r="B165" s="27" t="str">
        <f>'WP12 Condensed Sch. Level Costs'!A158</f>
        <v>55E &amp; 56E</v>
      </c>
      <c r="C165" s="27"/>
      <c r="D165" s="327" t="str">
        <f>'WP12 Condensed Sch. Level Costs'!C158</f>
        <v>Light Emitting Diode</v>
      </c>
      <c r="E165" s="41" t="str">
        <f>'WP12 Condensed Sch. Level Costs'!D158</f>
        <v>LED 120.01-150</v>
      </c>
      <c r="F165" s="14">
        <f t="shared" si="4"/>
        <v>350</v>
      </c>
      <c r="G165" s="14">
        <f>'WP12 Condensed Sch. Level Costs'!O158</f>
        <v>47.25</v>
      </c>
      <c r="H165" s="342">
        <f>'WP12 Condensed Sch. Level Costs'!R158</f>
        <v>1.9131568994526543E-2</v>
      </c>
      <c r="I165" s="328">
        <f>ROUND('WP12 Condensed Sch. Level Costs'!W158,2)</f>
        <v>0.9</v>
      </c>
    </row>
    <row r="166" spans="1:9" x14ac:dyDescent="0.2">
      <c r="A166" s="32">
        <f t="shared" si="3"/>
        <v>136</v>
      </c>
      <c r="B166" s="27" t="str">
        <f>'WP12 Condensed Sch. Level Costs'!A159</f>
        <v>55E &amp; 56E</v>
      </c>
      <c r="C166" s="27"/>
      <c r="D166" s="327" t="str">
        <f>'WP12 Condensed Sch. Level Costs'!C159</f>
        <v>Light Emitting Diode</v>
      </c>
      <c r="E166" s="41" t="str">
        <f>'WP12 Condensed Sch. Level Costs'!D159</f>
        <v>LED 150.01-180</v>
      </c>
      <c r="F166" s="14">
        <f t="shared" si="4"/>
        <v>350</v>
      </c>
      <c r="G166" s="14">
        <f>'WP12 Condensed Sch. Level Costs'!O159</f>
        <v>57.75</v>
      </c>
      <c r="H166" s="342">
        <f>'WP12 Condensed Sch. Level Costs'!R159</f>
        <v>1.9131568994526543E-2</v>
      </c>
      <c r="I166" s="328">
        <f>ROUND('WP12 Condensed Sch. Level Costs'!W159,2)</f>
        <v>1.1000000000000001</v>
      </c>
    </row>
    <row r="167" spans="1:9" x14ac:dyDescent="0.2">
      <c r="A167" s="32">
        <f t="shared" si="3"/>
        <v>137</v>
      </c>
      <c r="B167" s="27" t="str">
        <f>'WP12 Condensed Sch. Level Costs'!A160</f>
        <v>55E &amp; 56E</v>
      </c>
      <c r="C167" s="27"/>
      <c r="D167" s="327" t="str">
        <f>'WP12 Condensed Sch. Level Costs'!C160</f>
        <v>Light Emitting Diode</v>
      </c>
      <c r="E167" s="41" t="str">
        <f>'WP12 Condensed Sch. Level Costs'!D160</f>
        <v>LED 180.01-210</v>
      </c>
      <c r="F167" s="14">
        <f t="shared" si="4"/>
        <v>350</v>
      </c>
      <c r="G167" s="14">
        <f>'WP12 Condensed Sch. Level Costs'!O160</f>
        <v>68.25</v>
      </c>
      <c r="H167" s="342">
        <f>'WP12 Condensed Sch. Level Costs'!R160</f>
        <v>1.9131568994526543E-2</v>
      </c>
      <c r="I167" s="328">
        <f>ROUND('WP12 Condensed Sch. Level Costs'!W160,2)</f>
        <v>1.31</v>
      </c>
    </row>
    <row r="168" spans="1:9" x14ac:dyDescent="0.2">
      <c r="A168" s="32">
        <f t="shared" si="3"/>
        <v>138</v>
      </c>
      <c r="B168" s="27" t="str">
        <f>'WP12 Condensed Sch. Level Costs'!A161</f>
        <v>55E &amp; 56E</v>
      </c>
      <c r="C168" s="27"/>
      <c r="D168" s="327" t="str">
        <f>'WP12 Condensed Sch. Level Costs'!C161</f>
        <v>Light Emitting Diode</v>
      </c>
      <c r="E168" s="41" t="str">
        <f>'WP12 Condensed Sch. Level Costs'!D161</f>
        <v>LED 210.01-240</v>
      </c>
      <c r="F168" s="14">
        <f t="shared" si="4"/>
        <v>350</v>
      </c>
      <c r="G168" s="14">
        <f>'WP12 Condensed Sch. Level Costs'!O161</f>
        <v>78.75</v>
      </c>
      <c r="H168" s="342">
        <f>'WP12 Condensed Sch. Level Costs'!R161</f>
        <v>1.9131568994526543E-2</v>
      </c>
      <c r="I168" s="328">
        <f>ROUND('WP12 Condensed Sch. Level Costs'!W161,2)</f>
        <v>1.51</v>
      </c>
    </row>
    <row r="169" spans="1:9" x14ac:dyDescent="0.2">
      <c r="A169" s="32">
        <f t="shared" ref="A169:A217" si="5">A168+1</f>
        <v>139</v>
      </c>
      <c r="B169" s="27" t="str">
        <f>'WP12 Condensed Sch. Level Costs'!A162</f>
        <v>55E &amp; 56E</v>
      </c>
      <c r="C169" s="27"/>
      <c r="D169" s="327" t="str">
        <f>'WP12 Condensed Sch. Level Costs'!C162</f>
        <v>Light Emitting Diode</v>
      </c>
      <c r="E169" s="41" t="str">
        <f>'WP12 Condensed Sch. Level Costs'!D162</f>
        <v>LED 240.01-270</v>
      </c>
      <c r="F169" s="14">
        <f t="shared" si="4"/>
        <v>350</v>
      </c>
      <c r="G169" s="14">
        <f>'WP12 Condensed Sch. Level Costs'!O162</f>
        <v>89.25</v>
      </c>
      <c r="H169" s="342">
        <f>'WP12 Condensed Sch. Level Costs'!R162</f>
        <v>1.9131568994526543E-2</v>
      </c>
      <c r="I169" s="328">
        <f>ROUND('WP12 Condensed Sch. Level Costs'!W162,2)</f>
        <v>1.71</v>
      </c>
    </row>
    <row r="170" spans="1:9" x14ac:dyDescent="0.2">
      <c r="A170" s="32">
        <f t="shared" si="5"/>
        <v>140</v>
      </c>
      <c r="B170" s="27" t="str">
        <f>'WP12 Condensed Sch. Level Costs'!A163</f>
        <v>55E &amp; 56E</v>
      </c>
      <c r="C170" s="27"/>
      <c r="D170" s="327" t="str">
        <f>'WP12 Condensed Sch. Level Costs'!C163</f>
        <v>Light Emitting Diode</v>
      </c>
      <c r="E170" s="41" t="str">
        <f>'WP12 Condensed Sch. Level Costs'!D163</f>
        <v>LED 270.01-300</v>
      </c>
      <c r="F170" s="14">
        <f t="shared" si="4"/>
        <v>350</v>
      </c>
      <c r="G170" s="14">
        <f>'WP12 Condensed Sch. Level Costs'!O163</f>
        <v>99.75</v>
      </c>
      <c r="H170" s="342">
        <f>'WP12 Condensed Sch. Level Costs'!R163</f>
        <v>1.9131568994526543E-2</v>
      </c>
      <c r="I170" s="328">
        <f>ROUND('WP12 Condensed Sch. Level Costs'!W163,2)</f>
        <v>1.91</v>
      </c>
    </row>
    <row r="171" spans="1:9" x14ac:dyDescent="0.2">
      <c r="A171" s="32">
        <f t="shared" si="5"/>
        <v>141</v>
      </c>
      <c r="B171" s="27"/>
      <c r="C171" s="27"/>
      <c r="D171" s="327"/>
      <c r="E171" s="41"/>
      <c r="F171" s="14"/>
      <c r="G171" s="14"/>
      <c r="H171" s="342"/>
      <c r="I171" s="328"/>
    </row>
    <row r="172" spans="1:9" x14ac:dyDescent="0.2">
      <c r="A172" s="32">
        <f t="shared" si="5"/>
        <v>142</v>
      </c>
      <c r="B172" s="27" t="str">
        <f>'WP12 Condensed Sch. Level Costs'!A164</f>
        <v>Sch 58 &amp; 59</v>
      </c>
      <c r="C172" s="27"/>
      <c r="D172" s="327"/>
      <c r="E172" s="41"/>
      <c r="F172" s="14"/>
      <c r="G172" s="14"/>
      <c r="H172" s="342"/>
      <c r="I172" s="328"/>
    </row>
    <row r="173" spans="1:9" x14ac:dyDescent="0.2">
      <c r="A173" s="32">
        <f t="shared" si="5"/>
        <v>143</v>
      </c>
      <c r="B173" s="27" t="str">
        <f>'WP12 Condensed Sch. Level Costs'!A165</f>
        <v>58E &amp; 59E</v>
      </c>
      <c r="C173" s="27"/>
      <c r="D173" s="327" t="str">
        <f>'WP12 Condensed Sch. Level Costs'!C165</f>
        <v>Sodium Vapor</v>
      </c>
      <c r="E173" s="41" t="str">
        <f>'WP12 Condensed Sch. Level Costs'!D165</f>
        <v>DSV 070</v>
      </c>
      <c r="F173" s="14">
        <f t="shared" ref="F173:F209" si="6">4200/12</f>
        <v>350</v>
      </c>
      <c r="G173" s="14">
        <f>'WP12 Condensed Sch. Level Costs'!O165</f>
        <v>24.5</v>
      </c>
      <c r="H173" s="342">
        <f>'WP12 Condensed Sch. Level Costs'!R165</f>
        <v>1.9131568994526543E-2</v>
      </c>
      <c r="I173" s="328">
        <f>ROUND('WP12 Condensed Sch. Level Costs'!W165,2)</f>
        <v>0.47</v>
      </c>
    </row>
    <row r="174" spans="1:9" x14ac:dyDescent="0.2">
      <c r="A174" s="32">
        <f t="shared" si="5"/>
        <v>144</v>
      </c>
      <c r="B174" s="27" t="str">
        <f>'WP12 Condensed Sch. Level Costs'!A166</f>
        <v>58E &amp; 59E</v>
      </c>
      <c r="C174" s="27"/>
      <c r="D174" s="327" t="str">
        <f>'WP12 Condensed Sch. Level Costs'!C166</f>
        <v>Sodium Vapor</v>
      </c>
      <c r="E174" s="41" t="str">
        <f>'WP12 Condensed Sch. Level Costs'!D166</f>
        <v>DSV 100</v>
      </c>
      <c r="F174" s="14">
        <f t="shared" si="6"/>
        <v>350</v>
      </c>
      <c r="G174" s="14">
        <f>'WP12 Condensed Sch. Level Costs'!O166</f>
        <v>35</v>
      </c>
      <c r="H174" s="342">
        <f>'WP12 Condensed Sch. Level Costs'!R166</f>
        <v>1.9131568994526543E-2</v>
      </c>
      <c r="I174" s="328">
        <f>ROUND('WP12 Condensed Sch. Level Costs'!W166,2)</f>
        <v>0.67</v>
      </c>
    </row>
    <row r="175" spans="1:9" x14ac:dyDescent="0.2">
      <c r="A175" s="32">
        <f t="shared" si="5"/>
        <v>145</v>
      </c>
      <c r="B175" s="27" t="str">
        <f>'WP12 Condensed Sch. Level Costs'!A167</f>
        <v>58E &amp; 59E</v>
      </c>
      <c r="C175" s="27"/>
      <c r="D175" s="327" t="str">
        <f>'WP12 Condensed Sch. Level Costs'!C167</f>
        <v>Sodium Vapor</v>
      </c>
      <c r="E175" s="41" t="str">
        <f>'WP12 Condensed Sch. Level Costs'!D167</f>
        <v>DSV 150</v>
      </c>
      <c r="F175" s="14">
        <f t="shared" si="6"/>
        <v>350</v>
      </c>
      <c r="G175" s="14">
        <f>'WP12 Condensed Sch. Level Costs'!O167</f>
        <v>52.5</v>
      </c>
      <c r="H175" s="342">
        <f>'WP12 Condensed Sch. Level Costs'!R167</f>
        <v>1.9131568994526543E-2</v>
      </c>
      <c r="I175" s="328">
        <f>ROUND('WP12 Condensed Sch. Level Costs'!W167,2)</f>
        <v>1</v>
      </c>
    </row>
    <row r="176" spans="1:9" x14ac:dyDescent="0.2">
      <c r="A176" s="32">
        <f t="shared" si="5"/>
        <v>146</v>
      </c>
      <c r="B176" s="27" t="str">
        <f>'WP12 Condensed Sch. Level Costs'!A168</f>
        <v>58E &amp; 59E</v>
      </c>
      <c r="C176" s="27"/>
      <c r="D176" s="327" t="str">
        <f>'WP12 Condensed Sch. Level Costs'!C168</f>
        <v>Sodium Vapor</v>
      </c>
      <c r="E176" s="41" t="str">
        <f>'WP12 Condensed Sch. Level Costs'!D168</f>
        <v>DSV 200</v>
      </c>
      <c r="F176" s="14">
        <f t="shared" si="6"/>
        <v>350</v>
      </c>
      <c r="G176" s="14">
        <f>'WP12 Condensed Sch. Level Costs'!O168</f>
        <v>70</v>
      </c>
      <c r="H176" s="342">
        <f>'WP12 Condensed Sch. Level Costs'!R168</f>
        <v>1.9131568994526543E-2</v>
      </c>
      <c r="I176" s="328">
        <f>ROUND('WP12 Condensed Sch. Level Costs'!W168,2)</f>
        <v>1.34</v>
      </c>
    </row>
    <row r="177" spans="1:9" x14ac:dyDescent="0.2">
      <c r="A177" s="32">
        <f t="shared" si="5"/>
        <v>147</v>
      </c>
      <c r="B177" s="27" t="str">
        <f>'WP12 Condensed Sch. Level Costs'!A169</f>
        <v>58E &amp; 59E</v>
      </c>
      <c r="C177" s="27"/>
      <c r="D177" s="327" t="str">
        <f>'WP12 Condensed Sch. Level Costs'!C169</f>
        <v>Sodium Vapor</v>
      </c>
      <c r="E177" s="41" t="str">
        <f>'WP12 Condensed Sch. Level Costs'!D169</f>
        <v>DSV 250</v>
      </c>
      <c r="F177" s="14">
        <f t="shared" si="6"/>
        <v>350</v>
      </c>
      <c r="G177" s="14">
        <f>'WP12 Condensed Sch. Level Costs'!O169</f>
        <v>87.5</v>
      </c>
      <c r="H177" s="342">
        <f>'WP12 Condensed Sch. Level Costs'!R169</f>
        <v>1.9131568994526543E-2</v>
      </c>
      <c r="I177" s="328">
        <f>ROUND('WP12 Condensed Sch. Level Costs'!W169,2)</f>
        <v>1.67</v>
      </c>
    </row>
    <row r="178" spans="1:9" x14ac:dyDescent="0.2">
      <c r="A178" s="32">
        <f t="shared" si="5"/>
        <v>148</v>
      </c>
      <c r="B178" s="27" t="str">
        <f>'WP12 Condensed Sch. Level Costs'!A170</f>
        <v>58E &amp; 59E</v>
      </c>
      <c r="C178" s="27"/>
      <c r="D178" s="327" t="str">
        <f>'WP12 Condensed Sch. Level Costs'!C170</f>
        <v>Sodium Vapor</v>
      </c>
      <c r="E178" s="41" t="str">
        <f>'WP12 Condensed Sch. Level Costs'!D170</f>
        <v>DSV 400</v>
      </c>
      <c r="F178" s="14">
        <f t="shared" si="6"/>
        <v>350</v>
      </c>
      <c r="G178" s="14">
        <f>'WP12 Condensed Sch. Level Costs'!O170</f>
        <v>140</v>
      </c>
      <c r="H178" s="342">
        <f>'WP12 Condensed Sch. Level Costs'!R170</f>
        <v>1.9131568994526543E-2</v>
      </c>
      <c r="I178" s="328">
        <f>ROUND('WP12 Condensed Sch. Level Costs'!W170,2)</f>
        <v>2.68</v>
      </c>
    </row>
    <row r="179" spans="1:9" x14ac:dyDescent="0.2">
      <c r="A179" s="32">
        <f t="shared" si="5"/>
        <v>149</v>
      </c>
      <c r="B179" s="27"/>
      <c r="C179" s="27"/>
      <c r="D179" s="327"/>
      <c r="E179" s="41"/>
      <c r="F179" s="14"/>
      <c r="G179" s="14"/>
      <c r="H179" s="342"/>
      <c r="I179" s="328"/>
    </row>
    <row r="180" spans="1:9" x14ac:dyDescent="0.2">
      <c r="A180" s="32">
        <f t="shared" si="5"/>
        <v>150</v>
      </c>
      <c r="B180" s="27" t="str">
        <f>'WP12 Condensed Sch. Level Costs'!A172</f>
        <v>58E &amp; 59E</v>
      </c>
      <c r="C180" s="27"/>
      <c r="D180" s="327" t="str">
        <f>'WP12 Condensed Sch. Level Costs'!C172</f>
        <v>Sodium Vapor</v>
      </c>
      <c r="E180" s="41" t="str">
        <f>'WP12 Condensed Sch. Level Costs'!D172</f>
        <v>HSV 100</v>
      </c>
      <c r="F180" s="14">
        <f t="shared" si="6"/>
        <v>350</v>
      </c>
      <c r="G180" s="14">
        <f>'WP12 Condensed Sch. Level Costs'!O172</f>
        <v>35</v>
      </c>
      <c r="H180" s="342">
        <f>'WP12 Condensed Sch. Level Costs'!R172</f>
        <v>1.9131568994526543E-2</v>
      </c>
      <c r="I180" s="328">
        <f>ROUND('WP12 Condensed Sch. Level Costs'!W172,2)</f>
        <v>0.67</v>
      </c>
    </row>
    <row r="181" spans="1:9" x14ac:dyDescent="0.2">
      <c r="A181" s="32">
        <f t="shared" si="5"/>
        <v>151</v>
      </c>
      <c r="B181" s="27" t="str">
        <f>'WP12 Condensed Sch. Level Costs'!A173</f>
        <v>58E &amp; 59E</v>
      </c>
      <c r="C181" s="27"/>
      <c r="D181" s="327" t="str">
        <f>'WP12 Condensed Sch. Level Costs'!C173</f>
        <v>Sodium Vapor</v>
      </c>
      <c r="E181" s="41" t="str">
        <f>'WP12 Condensed Sch. Level Costs'!D173</f>
        <v>HSV 150</v>
      </c>
      <c r="F181" s="14">
        <f t="shared" si="6"/>
        <v>350</v>
      </c>
      <c r="G181" s="14">
        <f>'WP12 Condensed Sch. Level Costs'!O173</f>
        <v>52.5</v>
      </c>
      <c r="H181" s="342">
        <f>'WP12 Condensed Sch. Level Costs'!R173</f>
        <v>1.9131568994526543E-2</v>
      </c>
      <c r="I181" s="328">
        <f>ROUND('WP12 Condensed Sch. Level Costs'!W173,2)</f>
        <v>1</v>
      </c>
    </row>
    <row r="182" spans="1:9" x14ac:dyDescent="0.2">
      <c r="A182" s="32">
        <f t="shared" si="5"/>
        <v>152</v>
      </c>
      <c r="B182" s="27" t="str">
        <f>'WP12 Condensed Sch. Level Costs'!A174</f>
        <v>58E &amp; 59E</v>
      </c>
      <c r="C182" s="27"/>
      <c r="D182" s="327" t="str">
        <f>'WP12 Condensed Sch. Level Costs'!C174</f>
        <v>Sodium Vapor</v>
      </c>
      <c r="E182" s="41" t="str">
        <f>'WP12 Condensed Sch. Level Costs'!D174</f>
        <v>HSV 200</v>
      </c>
      <c r="F182" s="14">
        <f t="shared" si="6"/>
        <v>350</v>
      </c>
      <c r="G182" s="14">
        <f>'WP12 Condensed Sch. Level Costs'!O174</f>
        <v>70</v>
      </c>
      <c r="H182" s="342">
        <f>'WP12 Condensed Sch. Level Costs'!R174</f>
        <v>1.9131568994526543E-2</v>
      </c>
      <c r="I182" s="328">
        <f>ROUND('WP12 Condensed Sch. Level Costs'!W174,2)</f>
        <v>1.34</v>
      </c>
    </row>
    <row r="183" spans="1:9" x14ac:dyDescent="0.2">
      <c r="A183" s="32">
        <f t="shared" si="5"/>
        <v>153</v>
      </c>
      <c r="B183" s="27" t="str">
        <f>'WP12 Condensed Sch. Level Costs'!A175</f>
        <v>58E &amp; 59E</v>
      </c>
      <c r="C183" s="27"/>
      <c r="D183" s="327" t="str">
        <f>'WP12 Condensed Sch. Level Costs'!C175</f>
        <v>Sodium Vapor</v>
      </c>
      <c r="E183" s="41" t="str">
        <f>'WP12 Condensed Sch. Level Costs'!D175</f>
        <v>HSV 250</v>
      </c>
      <c r="F183" s="14">
        <f t="shared" si="6"/>
        <v>350</v>
      </c>
      <c r="G183" s="14">
        <f>'WP12 Condensed Sch. Level Costs'!O175</f>
        <v>87.5</v>
      </c>
      <c r="H183" s="342">
        <f>'WP12 Condensed Sch. Level Costs'!R175</f>
        <v>1.9131568994526543E-2</v>
      </c>
      <c r="I183" s="328">
        <f>ROUND('WP12 Condensed Sch. Level Costs'!W175,2)</f>
        <v>1.67</v>
      </c>
    </row>
    <row r="184" spans="1:9" x14ac:dyDescent="0.2">
      <c r="A184" s="32">
        <f t="shared" si="5"/>
        <v>154</v>
      </c>
      <c r="B184" s="27" t="str">
        <f>'WP12 Condensed Sch. Level Costs'!A176</f>
        <v>58E &amp; 59E</v>
      </c>
      <c r="C184" s="27"/>
      <c r="D184" s="327" t="str">
        <f>'WP12 Condensed Sch. Level Costs'!C176</f>
        <v>Sodium Vapor</v>
      </c>
      <c r="E184" s="41" t="str">
        <f>'WP12 Condensed Sch. Level Costs'!D176</f>
        <v>HSV 400</v>
      </c>
      <c r="F184" s="14">
        <f t="shared" si="6"/>
        <v>350</v>
      </c>
      <c r="G184" s="14">
        <f>'WP12 Condensed Sch. Level Costs'!O176</f>
        <v>140</v>
      </c>
      <c r="H184" s="342">
        <f>'WP12 Condensed Sch. Level Costs'!R176</f>
        <v>1.9131568994526543E-2</v>
      </c>
      <c r="I184" s="328">
        <f>ROUND('WP12 Condensed Sch. Level Costs'!W176,2)</f>
        <v>2.68</v>
      </c>
    </row>
    <row r="185" spans="1:9" x14ac:dyDescent="0.2">
      <c r="A185" s="32">
        <f t="shared" si="5"/>
        <v>155</v>
      </c>
      <c r="B185" s="27"/>
      <c r="C185" s="27"/>
      <c r="D185" s="327"/>
      <c r="E185" s="41"/>
      <c r="F185" s="14"/>
      <c r="G185" s="14"/>
      <c r="H185" s="342"/>
      <c r="I185" s="328"/>
    </row>
    <row r="186" spans="1:9" x14ac:dyDescent="0.2">
      <c r="A186" s="32">
        <f t="shared" si="5"/>
        <v>156</v>
      </c>
      <c r="B186" s="27" t="str">
        <f>'WP12 Condensed Sch. Level Costs'!A178</f>
        <v>58E &amp; 59E</v>
      </c>
      <c r="C186" s="27"/>
      <c r="D186" s="327" t="str">
        <f>'WP12 Condensed Sch. Level Costs'!C178</f>
        <v>Metal Halide</v>
      </c>
      <c r="E186" s="41" t="str">
        <f>'WP12 Condensed Sch. Level Costs'!D178</f>
        <v>DMH 175</v>
      </c>
      <c r="F186" s="14">
        <f t="shared" si="6"/>
        <v>350</v>
      </c>
      <c r="G186" s="14">
        <f>'WP12 Condensed Sch. Level Costs'!O178</f>
        <v>61.25</v>
      </c>
      <c r="H186" s="342">
        <f>'WP12 Condensed Sch. Level Costs'!R178</f>
        <v>1.9131568994526543E-2</v>
      </c>
      <c r="I186" s="328">
        <f>ROUND('WP12 Condensed Sch. Level Costs'!W178,2)</f>
        <v>1.17</v>
      </c>
    </row>
    <row r="187" spans="1:9" x14ac:dyDescent="0.2">
      <c r="A187" s="32">
        <f t="shared" si="5"/>
        <v>157</v>
      </c>
      <c r="B187" s="27" t="str">
        <f>'WP12 Condensed Sch. Level Costs'!A179</f>
        <v>58E &amp; 59E</v>
      </c>
      <c r="C187" s="27"/>
      <c r="D187" s="327" t="str">
        <f>'WP12 Condensed Sch. Level Costs'!C179</f>
        <v>Metal Halide</v>
      </c>
      <c r="E187" s="41" t="str">
        <f>'WP12 Condensed Sch. Level Costs'!D179</f>
        <v>DMH 250</v>
      </c>
      <c r="F187" s="14">
        <f t="shared" si="6"/>
        <v>350</v>
      </c>
      <c r="G187" s="14">
        <f>'WP12 Condensed Sch. Level Costs'!O179</f>
        <v>87.5</v>
      </c>
      <c r="H187" s="342">
        <f>'WP12 Condensed Sch. Level Costs'!R179</f>
        <v>1.9131568994526543E-2</v>
      </c>
      <c r="I187" s="328">
        <f>ROUND('WP12 Condensed Sch. Level Costs'!W179,2)</f>
        <v>1.67</v>
      </c>
    </row>
    <row r="188" spans="1:9" x14ac:dyDescent="0.2">
      <c r="A188" s="32">
        <f t="shared" si="5"/>
        <v>158</v>
      </c>
      <c r="B188" s="27" t="str">
        <f>'WP12 Condensed Sch. Level Costs'!A180</f>
        <v>58E &amp; 59E</v>
      </c>
      <c r="C188" s="27"/>
      <c r="D188" s="327" t="str">
        <f>'WP12 Condensed Sch. Level Costs'!C180</f>
        <v>Metal Halide</v>
      </c>
      <c r="E188" s="41" t="str">
        <f>'WP12 Condensed Sch. Level Costs'!D180</f>
        <v>DMH 400</v>
      </c>
      <c r="F188" s="14">
        <f t="shared" si="6"/>
        <v>350</v>
      </c>
      <c r="G188" s="14">
        <f>'WP12 Condensed Sch. Level Costs'!O180</f>
        <v>140</v>
      </c>
      <c r="H188" s="342">
        <f>'WP12 Condensed Sch. Level Costs'!R180</f>
        <v>1.9131568994526543E-2</v>
      </c>
      <c r="I188" s="328">
        <f>ROUND('WP12 Condensed Sch. Level Costs'!W180,2)</f>
        <v>2.68</v>
      </c>
    </row>
    <row r="189" spans="1:9" x14ac:dyDescent="0.2">
      <c r="A189" s="32">
        <f t="shared" si="5"/>
        <v>159</v>
      </c>
      <c r="B189" s="27" t="str">
        <f>'WP12 Condensed Sch. Level Costs'!A181</f>
        <v>58E &amp; 59E</v>
      </c>
      <c r="C189" s="27"/>
      <c r="D189" s="327" t="str">
        <f>'WP12 Condensed Sch. Level Costs'!C181</f>
        <v>Metal Halide</v>
      </c>
      <c r="E189" s="41" t="str">
        <f>'WP12 Condensed Sch. Level Costs'!D181</f>
        <v>DMH 1000</v>
      </c>
      <c r="F189" s="14">
        <f t="shared" si="6"/>
        <v>350</v>
      </c>
      <c r="G189" s="14">
        <f>'WP12 Condensed Sch. Level Costs'!O181</f>
        <v>350</v>
      </c>
      <c r="H189" s="342">
        <f>'WP12 Condensed Sch. Level Costs'!R181</f>
        <v>1.9131568994526543E-2</v>
      </c>
      <c r="I189" s="328">
        <f>ROUND('WP12 Condensed Sch. Level Costs'!W181,2)</f>
        <v>6.7</v>
      </c>
    </row>
    <row r="190" spans="1:9" x14ac:dyDescent="0.2">
      <c r="A190" s="32">
        <f t="shared" si="5"/>
        <v>160</v>
      </c>
      <c r="B190" s="27"/>
      <c r="C190" s="27"/>
      <c r="D190" s="327"/>
      <c r="E190" s="41"/>
      <c r="F190" s="14"/>
      <c r="G190" s="14"/>
      <c r="H190" s="342"/>
      <c r="I190" s="328"/>
    </row>
    <row r="191" spans="1:9" x14ac:dyDescent="0.2">
      <c r="A191" s="32">
        <f t="shared" si="5"/>
        <v>161</v>
      </c>
      <c r="B191" s="27" t="str">
        <f>'WP12 Condensed Sch. Level Costs'!A183</f>
        <v>58E &amp; 59E</v>
      </c>
      <c r="C191" s="27"/>
      <c r="D191" s="327" t="str">
        <f>'WP12 Condensed Sch. Level Costs'!C183</f>
        <v>Metal Halide</v>
      </c>
      <c r="E191" s="41" t="str">
        <f>'WP12 Condensed Sch. Level Costs'!D183</f>
        <v>HMH 250</v>
      </c>
      <c r="F191" s="14">
        <f t="shared" si="6"/>
        <v>350</v>
      </c>
      <c r="G191" s="14">
        <f>'WP12 Condensed Sch. Level Costs'!O183</f>
        <v>87.5</v>
      </c>
      <c r="H191" s="342">
        <f>'WP12 Condensed Sch. Level Costs'!R183</f>
        <v>1.9131568994526543E-2</v>
      </c>
      <c r="I191" s="328">
        <f>ROUND('WP12 Condensed Sch. Level Costs'!W183,2)</f>
        <v>1.67</v>
      </c>
    </row>
    <row r="192" spans="1:9" x14ac:dyDescent="0.2">
      <c r="A192" s="32">
        <f t="shared" si="5"/>
        <v>162</v>
      </c>
      <c r="B192" s="27" t="str">
        <f>'WP12 Condensed Sch. Level Costs'!A184</f>
        <v>58E &amp; 59E</v>
      </c>
      <c r="C192" s="27"/>
      <c r="D192" s="327" t="str">
        <f>'WP12 Condensed Sch. Level Costs'!C184</f>
        <v>Metal Halide</v>
      </c>
      <c r="E192" s="41" t="str">
        <f>'WP12 Condensed Sch. Level Costs'!D184</f>
        <v>HMH 400</v>
      </c>
      <c r="F192" s="14">
        <f t="shared" si="6"/>
        <v>350</v>
      </c>
      <c r="G192" s="14">
        <f>'WP12 Condensed Sch. Level Costs'!O184</f>
        <v>140</v>
      </c>
      <c r="H192" s="342">
        <f>'WP12 Condensed Sch. Level Costs'!R184</f>
        <v>1.9131568994526543E-2</v>
      </c>
      <c r="I192" s="328">
        <f>ROUND('WP12 Condensed Sch. Level Costs'!W184,2)</f>
        <v>2.68</v>
      </c>
    </row>
    <row r="193" spans="1:9" x14ac:dyDescent="0.2">
      <c r="A193" s="32">
        <f t="shared" si="5"/>
        <v>163</v>
      </c>
      <c r="B193" s="27"/>
      <c r="C193" s="27"/>
      <c r="D193" s="327"/>
      <c r="E193" s="41"/>
      <c r="F193" s="14"/>
      <c r="G193" s="14"/>
      <c r="H193" s="342"/>
      <c r="I193" s="328"/>
    </row>
    <row r="194" spans="1:9" x14ac:dyDescent="0.2">
      <c r="A194" s="32">
        <f t="shared" si="5"/>
        <v>164</v>
      </c>
      <c r="B194" s="27" t="str">
        <f>'WP12 Condensed Sch. Level Costs'!A186</f>
        <v>58E &amp; 59E</v>
      </c>
      <c r="C194" s="27"/>
      <c r="D194" s="327" t="str">
        <f>'WP12 Condensed Sch. Level Costs'!C186</f>
        <v>Light Emitting Diode</v>
      </c>
      <c r="E194" s="41" t="str">
        <f>'WP12 Condensed Sch. Level Costs'!D186</f>
        <v>LED 0-030</v>
      </c>
      <c r="F194" s="14">
        <f t="shared" si="6"/>
        <v>350</v>
      </c>
      <c r="G194" s="14">
        <f>'WP12 Condensed Sch. Level Costs'!O186</f>
        <v>5.25</v>
      </c>
      <c r="H194" s="342">
        <f>'WP12 Condensed Sch. Level Costs'!R186</f>
        <v>1.9131568994526543E-2</v>
      </c>
      <c r="I194" s="328">
        <f>ROUND('WP12 Condensed Sch. Level Costs'!W186,2)</f>
        <v>0.1</v>
      </c>
    </row>
    <row r="195" spans="1:9" x14ac:dyDescent="0.2">
      <c r="A195" s="32">
        <f t="shared" si="5"/>
        <v>165</v>
      </c>
      <c r="B195" s="27" t="str">
        <f>'WP12 Condensed Sch. Level Costs'!A187</f>
        <v>58E &amp; 59E</v>
      </c>
      <c r="C195" s="27"/>
      <c r="D195" s="327" t="str">
        <f>'WP12 Condensed Sch. Level Costs'!C187</f>
        <v>Light Emitting Diode</v>
      </c>
      <c r="E195" s="41" t="str">
        <f>'WP12 Condensed Sch. Level Costs'!D187</f>
        <v>LED 030.01-060</v>
      </c>
      <c r="F195" s="14">
        <f t="shared" si="6"/>
        <v>350</v>
      </c>
      <c r="G195" s="14">
        <f>'WP12 Condensed Sch. Level Costs'!O187</f>
        <v>15.75</v>
      </c>
      <c r="H195" s="342">
        <f>'WP12 Condensed Sch. Level Costs'!R187</f>
        <v>1.9131568994526543E-2</v>
      </c>
      <c r="I195" s="328">
        <f>ROUND('WP12 Condensed Sch. Level Costs'!W187,2)</f>
        <v>0.3</v>
      </c>
    </row>
    <row r="196" spans="1:9" x14ac:dyDescent="0.2">
      <c r="A196" s="32">
        <f t="shared" si="5"/>
        <v>166</v>
      </c>
      <c r="B196" s="27" t="str">
        <f>'WP12 Condensed Sch. Level Costs'!A188</f>
        <v>58E &amp; 59E</v>
      </c>
      <c r="C196" s="27"/>
      <c r="D196" s="327" t="str">
        <f>'WP12 Condensed Sch. Level Costs'!C188</f>
        <v>Light Emitting Diode</v>
      </c>
      <c r="E196" s="41" t="str">
        <f>'WP12 Condensed Sch. Level Costs'!D188</f>
        <v>LED 060.01-090</v>
      </c>
      <c r="F196" s="14">
        <f t="shared" si="6"/>
        <v>350</v>
      </c>
      <c r="G196" s="14">
        <f>'WP12 Condensed Sch. Level Costs'!O188</f>
        <v>26.25</v>
      </c>
      <c r="H196" s="342">
        <f>'WP12 Condensed Sch. Level Costs'!R188</f>
        <v>1.9131568994526543E-2</v>
      </c>
      <c r="I196" s="328">
        <f>ROUND('WP12 Condensed Sch. Level Costs'!W188,2)</f>
        <v>0.5</v>
      </c>
    </row>
    <row r="197" spans="1:9" x14ac:dyDescent="0.2">
      <c r="A197" s="32">
        <f t="shared" si="5"/>
        <v>167</v>
      </c>
      <c r="B197" s="27" t="str">
        <f>'WP12 Condensed Sch. Level Costs'!A189</f>
        <v>58E &amp; 59E</v>
      </c>
      <c r="C197" s="27"/>
      <c r="D197" s="327" t="str">
        <f>'WP12 Condensed Sch. Level Costs'!C189</f>
        <v>Light Emitting Diode</v>
      </c>
      <c r="E197" s="41" t="str">
        <f>'WP12 Condensed Sch. Level Costs'!D189</f>
        <v>LED 090.01-120</v>
      </c>
      <c r="F197" s="14">
        <f t="shared" si="6"/>
        <v>350</v>
      </c>
      <c r="G197" s="14">
        <f>'WP12 Condensed Sch. Level Costs'!O189</f>
        <v>36.75</v>
      </c>
      <c r="H197" s="342">
        <f>'WP12 Condensed Sch. Level Costs'!R189</f>
        <v>1.9131568994526543E-2</v>
      </c>
      <c r="I197" s="328">
        <f>ROUND('WP12 Condensed Sch. Level Costs'!W189,2)</f>
        <v>0.7</v>
      </c>
    </row>
    <row r="198" spans="1:9" x14ac:dyDescent="0.2">
      <c r="A198" s="32">
        <f t="shared" si="5"/>
        <v>168</v>
      </c>
      <c r="B198" s="27" t="str">
        <f>'WP12 Condensed Sch. Level Costs'!A190</f>
        <v>58E &amp; 59E</v>
      </c>
      <c r="C198" s="27"/>
      <c r="D198" s="327" t="str">
        <f>'WP12 Condensed Sch. Level Costs'!C190</f>
        <v>Light Emitting Diode</v>
      </c>
      <c r="E198" s="41" t="str">
        <f>'WP12 Condensed Sch. Level Costs'!D190</f>
        <v>LED 120.01-150</v>
      </c>
      <c r="F198" s="14">
        <f t="shared" si="6"/>
        <v>350</v>
      </c>
      <c r="G198" s="14">
        <f>'WP12 Condensed Sch. Level Costs'!O190</f>
        <v>47.25</v>
      </c>
      <c r="H198" s="342">
        <f>'WP12 Condensed Sch. Level Costs'!R190</f>
        <v>1.9131568994526543E-2</v>
      </c>
      <c r="I198" s="328">
        <f>ROUND('WP12 Condensed Sch. Level Costs'!W190,2)</f>
        <v>0.9</v>
      </c>
    </row>
    <row r="199" spans="1:9" x14ac:dyDescent="0.2">
      <c r="A199" s="32">
        <f t="shared" si="5"/>
        <v>169</v>
      </c>
      <c r="B199" s="27" t="str">
        <f>'WP12 Condensed Sch. Level Costs'!A191</f>
        <v>58E &amp; 59E</v>
      </c>
      <c r="C199" s="27"/>
      <c r="D199" s="327" t="str">
        <f>'WP12 Condensed Sch. Level Costs'!C191</f>
        <v>Light Emitting Diode</v>
      </c>
      <c r="E199" s="41" t="str">
        <f>'WP12 Condensed Sch. Level Costs'!D191</f>
        <v>LED 150.01-180</v>
      </c>
      <c r="F199" s="14">
        <f t="shared" si="6"/>
        <v>350</v>
      </c>
      <c r="G199" s="14">
        <f>'WP12 Condensed Sch. Level Costs'!O191</f>
        <v>57.75</v>
      </c>
      <c r="H199" s="342">
        <f>'WP12 Condensed Sch. Level Costs'!R191</f>
        <v>1.9131568994526543E-2</v>
      </c>
      <c r="I199" s="328">
        <f>ROUND('WP12 Condensed Sch. Level Costs'!W191,2)</f>
        <v>1.1000000000000001</v>
      </c>
    </row>
    <row r="200" spans="1:9" x14ac:dyDescent="0.2">
      <c r="A200" s="32">
        <f t="shared" si="5"/>
        <v>170</v>
      </c>
      <c r="B200" s="27" t="str">
        <f>'WP12 Condensed Sch. Level Costs'!A192</f>
        <v>58E &amp; 59E</v>
      </c>
      <c r="C200" s="27"/>
      <c r="D200" s="327" t="str">
        <f>'WP12 Condensed Sch. Level Costs'!C192</f>
        <v>Light Emitting Diode</v>
      </c>
      <c r="E200" s="41" t="str">
        <f>'WP12 Condensed Sch. Level Costs'!D192</f>
        <v>LED 180.01-210</v>
      </c>
      <c r="F200" s="14">
        <f t="shared" si="6"/>
        <v>350</v>
      </c>
      <c r="G200" s="14">
        <f>'WP12 Condensed Sch. Level Costs'!O192</f>
        <v>68.25</v>
      </c>
      <c r="H200" s="342">
        <f>'WP12 Condensed Sch. Level Costs'!R192</f>
        <v>1.9131568994526543E-2</v>
      </c>
      <c r="I200" s="328">
        <f>ROUND('WP12 Condensed Sch. Level Costs'!W192,2)</f>
        <v>1.31</v>
      </c>
    </row>
    <row r="201" spans="1:9" x14ac:dyDescent="0.2">
      <c r="A201" s="32">
        <f t="shared" si="5"/>
        <v>171</v>
      </c>
      <c r="B201" s="27" t="str">
        <f>'WP12 Condensed Sch. Level Costs'!A193</f>
        <v>58E &amp; 59E</v>
      </c>
      <c r="C201" s="27"/>
      <c r="D201" s="327" t="str">
        <f>'WP12 Condensed Sch. Level Costs'!C193</f>
        <v>Light Emitting Diode</v>
      </c>
      <c r="E201" s="41" t="str">
        <f>'WP12 Condensed Sch. Level Costs'!D193</f>
        <v>LED 210.01-240</v>
      </c>
      <c r="F201" s="14">
        <f t="shared" si="6"/>
        <v>350</v>
      </c>
      <c r="G201" s="14">
        <f>'WP12 Condensed Sch. Level Costs'!O193</f>
        <v>78.75</v>
      </c>
      <c r="H201" s="342">
        <f>'WP12 Condensed Sch. Level Costs'!R193</f>
        <v>1.9131568994526543E-2</v>
      </c>
      <c r="I201" s="328">
        <f>ROUND('WP12 Condensed Sch. Level Costs'!W193,2)</f>
        <v>1.51</v>
      </c>
    </row>
    <row r="202" spans="1:9" x14ac:dyDescent="0.2">
      <c r="A202" s="32">
        <f t="shared" si="5"/>
        <v>172</v>
      </c>
      <c r="B202" s="27" t="str">
        <f>'WP12 Condensed Sch. Level Costs'!A194</f>
        <v>58E &amp; 59E</v>
      </c>
      <c r="C202" s="27"/>
      <c r="D202" s="327" t="str">
        <f>'WP12 Condensed Sch. Level Costs'!C194</f>
        <v>Light Emitting Diode</v>
      </c>
      <c r="E202" s="41" t="str">
        <f>'WP12 Condensed Sch. Level Costs'!D194</f>
        <v>LED 240.01-270</v>
      </c>
      <c r="F202" s="14">
        <f t="shared" si="6"/>
        <v>350</v>
      </c>
      <c r="G202" s="14">
        <f>'WP12 Condensed Sch. Level Costs'!O194</f>
        <v>89.25</v>
      </c>
      <c r="H202" s="342">
        <f>'WP12 Condensed Sch. Level Costs'!R194</f>
        <v>1.9131568994526543E-2</v>
      </c>
      <c r="I202" s="328">
        <f>ROUND('WP12 Condensed Sch. Level Costs'!W194,2)</f>
        <v>1.71</v>
      </c>
    </row>
    <row r="203" spans="1:9" x14ac:dyDescent="0.2">
      <c r="A203" s="32">
        <f t="shared" si="5"/>
        <v>173</v>
      </c>
      <c r="B203" s="27" t="str">
        <f>'WP12 Condensed Sch. Level Costs'!A195</f>
        <v>58E &amp; 59E</v>
      </c>
      <c r="C203" s="27"/>
      <c r="D203" s="327" t="str">
        <f>'WP12 Condensed Sch. Level Costs'!C195</f>
        <v>Light Emitting Diode</v>
      </c>
      <c r="E203" s="41" t="str">
        <f>'WP12 Condensed Sch. Level Costs'!D195</f>
        <v>LED 270.01-300</v>
      </c>
      <c r="F203" s="14">
        <f t="shared" si="6"/>
        <v>350</v>
      </c>
      <c r="G203" s="14">
        <f>'WP12 Condensed Sch. Level Costs'!O195</f>
        <v>99.75</v>
      </c>
      <c r="H203" s="342">
        <f>'WP12 Condensed Sch. Level Costs'!R195</f>
        <v>1.9131568994526543E-2</v>
      </c>
      <c r="I203" s="328">
        <f>ROUND('WP12 Condensed Sch. Level Costs'!W195,2)</f>
        <v>1.91</v>
      </c>
    </row>
    <row r="204" spans="1:9" x14ac:dyDescent="0.2">
      <c r="A204" s="32">
        <f t="shared" si="5"/>
        <v>174</v>
      </c>
      <c r="B204" s="27" t="str">
        <f>'WP12 Condensed Sch. Level Costs'!A196</f>
        <v>58E &amp; 59E</v>
      </c>
      <c r="C204" s="27"/>
      <c r="D204" s="327" t="str">
        <f>'WP12 Condensed Sch. Level Costs'!C196</f>
        <v>Light Emitting Diode</v>
      </c>
      <c r="E204" s="41" t="str">
        <f>'WP12 Condensed Sch. Level Costs'!D196</f>
        <v>LED 300.01-400</v>
      </c>
      <c r="F204" s="14">
        <f t="shared" si="6"/>
        <v>350</v>
      </c>
      <c r="G204" s="14">
        <f>'WP12 Condensed Sch. Level Costs'!O196</f>
        <v>122.5</v>
      </c>
      <c r="H204" s="342">
        <f>'WP12 Condensed Sch. Level Costs'!R196</f>
        <v>1.9131568994526543E-2</v>
      </c>
      <c r="I204" s="328">
        <f>ROUND('WP12 Condensed Sch. Level Costs'!W196,2)</f>
        <v>2.34</v>
      </c>
    </row>
    <row r="205" spans="1:9" x14ac:dyDescent="0.2">
      <c r="A205" s="32">
        <f t="shared" si="5"/>
        <v>175</v>
      </c>
      <c r="B205" s="27" t="str">
        <f>'WP12 Condensed Sch. Level Costs'!A197</f>
        <v>58E &amp; 59E</v>
      </c>
      <c r="C205" s="27"/>
      <c r="D205" s="327" t="str">
        <f>'WP12 Condensed Sch. Level Costs'!C197</f>
        <v>Light Emitting Diode</v>
      </c>
      <c r="E205" s="41" t="str">
        <f>'WP12 Condensed Sch. Level Costs'!D197</f>
        <v>LED 400.01-500</v>
      </c>
      <c r="F205" s="14">
        <f t="shared" si="6"/>
        <v>350</v>
      </c>
      <c r="G205" s="14">
        <f>'WP12 Condensed Sch. Level Costs'!O197</f>
        <v>157.5</v>
      </c>
      <c r="H205" s="342">
        <f>'WP12 Condensed Sch. Level Costs'!R197</f>
        <v>1.9131568994526543E-2</v>
      </c>
      <c r="I205" s="328">
        <f>ROUND('WP12 Condensed Sch. Level Costs'!W197,2)</f>
        <v>3.01</v>
      </c>
    </row>
    <row r="206" spans="1:9" x14ac:dyDescent="0.2">
      <c r="A206" s="32">
        <f t="shared" si="5"/>
        <v>176</v>
      </c>
      <c r="B206" s="27" t="str">
        <f>'WP12 Condensed Sch. Level Costs'!A198</f>
        <v>58E &amp; 59E</v>
      </c>
      <c r="C206" s="27"/>
      <c r="D206" s="327" t="str">
        <f>'WP12 Condensed Sch. Level Costs'!C198</f>
        <v>Light Emitting Diode</v>
      </c>
      <c r="E206" s="41" t="str">
        <f>'WP12 Condensed Sch. Level Costs'!D198</f>
        <v>LED 500.01-600</v>
      </c>
      <c r="F206" s="14">
        <f t="shared" si="6"/>
        <v>350</v>
      </c>
      <c r="G206" s="14">
        <f>'WP12 Condensed Sch. Level Costs'!O198</f>
        <v>192.5</v>
      </c>
      <c r="H206" s="342">
        <f>'WP12 Condensed Sch. Level Costs'!R198</f>
        <v>1.9131568994526543E-2</v>
      </c>
      <c r="I206" s="328">
        <f>ROUND('WP12 Condensed Sch. Level Costs'!W198,2)</f>
        <v>3.68</v>
      </c>
    </row>
    <row r="207" spans="1:9" x14ac:dyDescent="0.2">
      <c r="A207" s="32">
        <f t="shared" si="5"/>
        <v>177</v>
      </c>
      <c r="B207" s="27" t="str">
        <f>'WP12 Condensed Sch. Level Costs'!A199</f>
        <v>58E &amp; 59E</v>
      </c>
      <c r="C207" s="27"/>
      <c r="D207" s="327" t="str">
        <f>'WP12 Condensed Sch. Level Costs'!C199</f>
        <v>Light Emitting Diode</v>
      </c>
      <c r="E207" s="41" t="str">
        <f>'WP12 Condensed Sch. Level Costs'!D199</f>
        <v>LED 600.01-700</v>
      </c>
      <c r="F207" s="14">
        <f t="shared" si="6"/>
        <v>350</v>
      </c>
      <c r="G207" s="14">
        <f>'WP12 Condensed Sch. Level Costs'!O199</f>
        <v>227.5</v>
      </c>
      <c r="H207" s="342">
        <f>'WP12 Condensed Sch. Level Costs'!R199</f>
        <v>1.9131568994526543E-2</v>
      </c>
      <c r="I207" s="328">
        <f>ROUND('WP12 Condensed Sch. Level Costs'!W199,2)</f>
        <v>4.3499999999999996</v>
      </c>
    </row>
    <row r="208" spans="1:9" x14ac:dyDescent="0.2">
      <c r="A208" s="32">
        <f t="shared" si="5"/>
        <v>178</v>
      </c>
      <c r="B208" s="27" t="str">
        <f>'WP12 Condensed Sch. Level Costs'!A200</f>
        <v>58E &amp; 59E</v>
      </c>
      <c r="C208" s="27"/>
      <c r="D208" s="327" t="str">
        <f>'WP12 Condensed Sch. Level Costs'!C200</f>
        <v>Light Emitting Diode</v>
      </c>
      <c r="E208" s="41" t="str">
        <f>'WP12 Condensed Sch. Level Costs'!D200</f>
        <v>LED 700.01-800</v>
      </c>
      <c r="F208" s="14">
        <f t="shared" si="6"/>
        <v>350</v>
      </c>
      <c r="G208" s="14">
        <f>'WP12 Condensed Sch. Level Costs'!O200</f>
        <v>262.5</v>
      </c>
      <c r="H208" s="342">
        <f>'WP12 Condensed Sch. Level Costs'!R200</f>
        <v>1.9131568994526543E-2</v>
      </c>
      <c r="I208" s="328">
        <f>ROUND('WP12 Condensed Sch. Level Costs'!W200,2)</f>
        <v>5.0199999999999996</v>
      </c>
    </row>
    <row r="209" spans="1:9" x14ac:dyDescent="0.2">
      <c r="A209" s="32">
        <f t="shared" si="5"/>
        <v>179</v>
      </c>
      <c r="B209" s="27" t="str">
        <f>'WP12 Condensed Sch. Level Costs'!A201</f>
        <v>58E &amp; 59E</v>
      </c>
      <c r="C209" s="27"/>
      <c r="D209" s="327" t="str">
        <f>'WP12 Condensed Sch. Level Costs'!C201</f>
        <v>Light Emitting Diode</v>
      </c>
      <c r="E209" s="41" t="str">
        <f>'WP12 Condensed Sch. Level Costs'!D201</f>
        <v>LED 800.01-900</v>
      </c>
      <c r="F209" s="14">
        <f t="shared" si="6"/>
        <v>350</v>
      </c>
      <c r="G209" s="14">
        <f>'WP12 Condensed Sch. Level Costs'!O201</f>
        <v>297.5</v>
      </c>
      <c r="H209" s="342">
        <f>'WP12 Condensed Sch. Level Costs'!R201</f>
        <v>1.9131568994526543E-2</v>
      </c>
      <c r="I209" s="328">
        <f>ROUND('WP12 Condensed Sch. Level Costs'!W201,2)</f>
        <v>5.69</v>
      </c>
    </row>
    <row r="210" spans="1:9" x14ac:dyDescent="0.2">
      <c r="A210" s="32">
        <f t="shared" si="5"/>
        <v>180</v>
      </c>
      <c r="B210" s="27"/>
      <c r="C210" s="27"/>
      <c r="D210" s="327"/>
      <c r="E210" s="41"/>
      <c r="F210" s="14"/>
      <c r="G210" s="14"/>
      <c r="H210" s="342"/>
      <c r="I210" s="328"/>
    </row>
    <row r="211" spans="1:9" x14ac:dyDescent="0.2">
      <c r="A211" s="32">
        <f t="shared" si="5"/>
        <v>181</v>
      </c>
      <c r="B211" s="27" t="str">
        <f>'WP12 Condensed Sch. Level Costs'!A202</f>
        <v>Sch 57</v>
      </c>
      <c r="C211" s="27"/>
      <c r="D211" s="327"/>
      <c r="E211" s="41"/>
      <c r="F211" s="14"/>
      <c r="G211" s="14"/>
      <c r="H211" s="342"/>
      <c r="I211" s="328"/>
    </row>
    <row r="212" spans="1:9" x14ac:dyDescent="0.2">
      <c r="A212" s="32">
        <f t="shared" si="5"/>
        <v>182</v>
      </c>
      <c r="B212" s="27" t="str">
        <f>'WP12 Condensed Sch. Level Costs'!A203</f>
        <v>57E</v>
      </c>
      <c r="C212" s="27"/>
      <c r="D212" s="327" t="str">
        <f>'WP12 Condensed Sch. Level Costs'!C203</f>
        <v>Per W charge</v>
      </c>
      <c r="E212" s="341">
        <f>'WP12 Condensed Sch. Level Costs'!E203</f>
        <v>935514.08333333337</v>
      </c>
      <c r="F212" s="14">
        <f>8760/12</f>
        <v>730</v>
      </c>
      <c r="G212" s="14">
        <f>'WP12 Condensed Sch. Level Costs'!O203</f>
        <v>682925.28083333338</v>
      </c>
      <c r="H212" s="342">
        <f>'WP12 Condensed Sch. Level Costs'!R203</f>
        <v>1.1815449668613916E-3</v>
      </c>
      <c r="I212" s="328">
        <f>ROUND('WP12 Condensed Sch. Level Costs'!W203,2)</f>
        <v>1105.3499999999999</v>
      </c>
    </row>
    <row r="213" spans="1:9" x14ac:dyDescent="0.2">
      <c r="A213" s="32">
        <f t="shared" si="5"/>
        <v>183</v>
      </c>
      <c r="B213" s="27"/>
      <c r="C213" s="27"/>
      <c r="D213" s="327"/>
      <c r="E213" s="41"/>
      <c r="F213" s="14"/>
      <c r="G213" s="14"/>
      <c r="H213" s="342"/>
      <c r="I213" s="328"/>
    </row>
    <row r="214" spans="1:9" x14ac:dyDescent="0.2">
      <c r="A214" s="32">
        <f t="shared" si="5"/>
        <v>184</v>
      </c>
      <c r="B214" s="27" t="str">
        <f>'WP12 Condensed Sch. Level Costs'!A205</f>
        <v>55 &amp; 56</v>
      </c>
      <c r="C214" s="27"/>
      <c r="D214" s="327" t="str">
        <f>'WP12 Condensed Sch. Level Costs'!C205</f>
        <v>Pole</v>
      </c>
      <c r="E214" s="41" t="str">
        <f>'WP12 Condensed Sch. Level Costs'!D205</f>
        <v>Old</v>
      </c>
      <c r="F214" s="14"/>
      <c r="G214" s="366">
        <f>'WP12 Condensed Sch. Level Costs'!O205</f>
        <v>0</v>
      </c>
      <c r="H214" s="342">
        <f>'WP12 Condensed Sch. Level Costs'!R205</f>
        <v>1.9131568994526543E-2</v>
      </c>
      <c r="I214" s="328">
        <f>ROUND('WP12 Condensed Sch. Level Costs'!W205,2)</f>
        <v>0</v>
      </c>
    </row>
    <row r="215" spans="1:9" x14ac:dyDescent="0.2">
      <c r="A215" s="32">
        <f t="shared" si="5"/>
        <v>185</v>
      </c>
      <c r="B215" s="27" t="str">
        <f>'WP12 Condensed Sch. Level Costs'!A206</f>
        <v>55 &amp; 56</v>
      </c>
      <c r="C215" s="27"/>
      <c r="D215" s="327" t="str">
        <f>'WP12 Condensed Sch. Level Costs'!C206</f>
        <v>Pole</v>
      </c>
      <c r="E215" s="41" t="str">
        <f>'WP12 Condensed Sch. Level Costs'!D206</f>
        <v>New</v>
      </c>
      <c r="F215" s="14"/>
      <c r="G215" s="366">
        <f>'WP12 Condensed Sch. Level Costs'!O206</f>
        <v>0</v>
      </c>
      <c r="H215" s="342">
        <f>'WP12 Condensed Sch. Level Costs'!R206</f>
        <v>1.9131568994526543E-2</v>
      </c>
      <c r="I215" s="328">
        <f>ROUND('WP12 Condensed Sch. Level Costs'!W206,2)</f>
        <v>0</v>
      </c>
    </row>
    <row r="216" spans="1:9" x14ac:dyDescent="0.2">
      <c r="A216" s="32">
        <f t="shared" si="5"/>
        <v>186</v>
      </c>
      <c r="B216" s="27"/>
      <c r="C216" s="27"/>
      <c r="D216" s="327"/>
      <c r="E216" s="41"/>
      <c r="F216" s="14"/>
      <c r="G216" s="14"/>
      <c r="H216" s="342"/>
      <c r="I216" s="328"/>
    </row>
    <row r="217" spans="1:9" x14ac:dyDescent="0.2">
      <c r="A217" s="32">
        <f t="shared" si="5"/>
        <v>187</v>
      </c>
      <c r="B217" s="27" t="str">
        <f>'WP12 Condensed Sch. Level Costs'!A208</f>
        <v>58 &amp; 59</v>
      </c>
      <c r="C217" s="27"/>
      <c r="D217" s="327" t="str">
        <f>'WP12 Condensed Sch. Level Costs'!C208</f>
        <v>Pole</v>
      </c>
      <c r="E217" s="41" t="str">
        <f>'WP12 Condensed Sch. Level Costs'!D208</f>
        <v>New</v>
      </c>
      <c r="F217" s="14"/>
      <c r="G217" s="366">
        <f>'WP12 Condensed Sch. Level Costs'!O208</f>
        <v>0</v>
      </c>
      <c r="H217" s="342">
        <f>'WP12 Condensed Sch. Level Costs'!R208</f>
        <v>1.9131568994526543E-2</v>
      </c>
      <c r="I217" s="328">
        <f>ROUND('WP12 Condensed Sch. Level Costs'!W208,2)</f>
        <v>0</v>
      </c>
    </row>
    <row r="218" spans="1:9" x14ac:dyDescent="0.2">
      <c r="B218" s="27"/>
      <c r="C218" s="27"/>
      <c r="D218" s="327"/>
      <c r="E218" s="41"/>
      <c r="F218" s="14"/>
      <c r="G218" s="14"/>
      <c r="H218" s="342"/>
      <c r="I218" s="328"/>
    </row>
    <row r="219" spans="1:9" x14ac:dyDescent="0.2">
      <c r="B219" s="27"/>
      <c r="C219" s="27"/>
      <c r="D219" s="327"/>
      <c r="E219" s="41"/>
      <c r="F219" s="14"/>
      <c r="G219" s="14"/>
      <c r="H219" s="342"/>
      <c r="I219" s="328"/>
    </row>
    <row r="220" spans="1:9" x14ac:dyDescent="0.2">
      <c r="B220" s="27"/>
      <c r="C220" s="27"/>
      <c r="D220" s="327"/>
      <c r="E220" s="41"/>
      <c r="F220" s="14"/>
      <c r="G220" s="14"/>
      <c r="H220" s="342"/>
      <c r="I220" s="328"/>
    </row>
    <row r="221" spans="1:9" x14ac:dyDescent="0.2">
      <c r="B221" s="27"/>
      <c r="C221" s="27"/>
      <c r="D221" s="327"/>
      <c r="E221" s="41"/>
      <c r="F221" s="14"/>
      <c r="G221" s="14"/>
      <c r="H221" s="342"/>
      <c r="I221" s="328"/>
    </row>
    <row r="222" spans="1:9" x14ac:dyDescent="0.2">
      <c r="B222" s="27"/>
      <c r="C222" s="27"/>
      <c r="D222" s="327"/>
      <c r="E222" s="41"/>
      <c r="F222" s="14"/>
      <c r="G222" s="14"/>
      <c r="H222" s="342"/>
      <c r="I222" s="328"/>
    </row>
    <row r="223" spans="1:9" x14ac:dyDescent="0.2">
      <c r="B223" s="27"/>
      <c r="C223" s="27"/>
      <c r="D223" s="327"/>
      <c r="E223" s="41"/>
      <c r="F223" s="14"/>
      <c r="G223" s="14"/>
      <c r="H223" s="342"/>
      <c r="I223" s="328"/>
    </row>
    <row r="224" spans="1:9" x14ac:dyDescent="0.2">
      <c r="B224" s="27"/>
      <c r="C224" s="27"/>
      <c r="D224" s="327"/>
      <c r="E224" s="41"/>
      <c r="F224" s="14"/>
      <c r="G224" s="14"/>
      <c r="H224" s="342"/>
      <c r="I224" s="328"/>
    </row>
    <row r="225" spans="2:9" x14ac:dyDescent="0.2">
      <c r="B225" s="27"/>
      <c r="C225" s="27"/>
      <c r="D225" s="327"/>
      <c r="E225" s="41"/>
      <c r="F225" s="14"/>
      <c r="G225" s="14"/>
      <c r="H225" s="342"/>
      <c r="I225" s="328"/>
    </row>
    <row r="226" spans="2:9" x14ac:dyDescent="0.2">
      <c r="B226" s="20"/>
      <c r="C226" s="20"/>
    </row>
    <row r="228" spans="2:9" x14ac:dyDescent="0.2">
      <c r="B228" s="20"/>
      <c r="C228" s="20"/>
    </row>
    <row r="229" spans="2:9" x14ac:dyDescent="0.2">
      <c r="B229" s="20"/>
      <c r="C229" s="2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6" topLeftCell="A7" activePane="bottomLeft" state="frozen"/>
      <selection pane="bottomLeft" activeCell="B18" sqref="B18"/>
    </sheetView>
  </sheetViews>
  <sheetFormatPr defaultColWidth="9.109375" defaultRowHeight="10.199999999999999" x14ac:dyDescent="0.2"/>
  <cols>
    <col min="1" max="1" width="2.88671875" style="604" customWidth="1"/>
    <col min="2" max="2" width="31.44140625" style="604" bestFit="1" customWidth="1"/>
    <col min="3" max="3" width="10.44140625" style="604" customWidth="1"/>
    <col min="4" max="4" width="23.6640625" style="604" bestFit="1" customWidth="1"/>
    <col min="5" max="5" width="99.44140625" style="604" bestFit="1" customWidth="1"/>
    <col min="6" max="16384" width="9.109375" style="604"/>
  </cols>
  <sheetData>
    <row r="1" spans="1:12" s="602" customFormat="1" x14ac:dyDescent="0.2">
      <c r="A1" s="601" t="str">
        <f>'BDJ-6 Base Revenue (Summary)'!A1:J1</f>
        <v>Puget Sound Energy</v>
      </c>
      <c r="B1" s="601"/>
      <c r="C1" s="601"/>
    </row>
    <row r="2" spans="1:12" s="602" customFormat="1" x14ac:dyDescent="0.2">
      <c r="A2" s="601" t="s">
        <v>1006</v>
      </c>
      <c r="B2" s="601"/>
      <c r="C2" s="601"/>
    </row>
    <row r="3" spans="1:12" s="602" customFormat="1" x14ac:dyDescent="0.2">
      <c r="A3" s="601" t="str">
        <f>'BDJ-6 Base Revenue (Summary)'!A4:J4</f>
        <v>2022 General Rate Case (GRC)</v>
      </c>
      <c r="B3" s="601"/>
      <c r="C3" s="601"/>
    </row>
    <row r="4" spans="1:12" s="602" customFormat="1" x14ac:dyDescent="0.2">
      <c r="A4" s="601" t="str">
        <f>'BDJ-6 Base Revenue (Summary)'!A5:J5</f>
        <v>Test Year Ending June 30, 2021</v>
      </c>
      <c r="B4" s="601"/>
      <c r="C4" s="601"/>
    </row>
    <row r="5" spans="1:12" s="602" customFormat="1" x14ac:dyDescent="0.2">
      <c r="B5" s="603"/>
      <c r="C5" s="603"/>
    </row>
    <row r="6" spans="1:12" s="602" customFormat="1" x14ac:dyDescent="0.2">
      <c r="B6" s="601" t="s">
        <v>1002</v>
      </c>
      <c r="C6" s="601" t="s">
        <v>1083</v>
      </c>
      <c r="D6" s="601" t="s">
        <v>1003</v>
      </c>
      <c r="E6" s="607" t="s">
        <v>1079</v>
      </c>
      <c r="F6" s="604"/>
      <c r="G6" s="604"/>
      <c r="H6" s="604"/>
      <c r="I6" s="604"/>
      <c r="J6" s="604"/>
      <c r="K6" s="604"/>
      <c r="L6" s="604"/>
    </row>
    <row r="8" spans="1:12" x14ac:dyDescent="0.2">
      <c r="B8" s="605" t="s">
        <v>1004</v>
      </c>
      <c r="C8" s="608" t="s">
        <v>1084</v>
      </c>
      <c r="D8" s="604" t="s">
        <v>1011</v>
      </c>
    </row>
    <row r="9" spans="1:12" x14ac:dyDescent="0.2">
      <c r="B9" s="605" t="s">
        <v>1005</v>
      </c>
      <c r="C9" s="608" t="s">
        <v>1085</v>
      </c>
      <c r="D9" s="604" t="s">
        <v>1011</v>
      </c>
    </row>
    <row r="10" spans="1:12" x14ac:dyDescent="0.2">
      <c r="B10" s="605" t="s">
        <v>1007</v>
      </c>
      <c r="C10" s="608" t="s">
        <v>1086</v>
      </c>
      <c r="D10" s="604" t="s">
        <v>1011</v>
      </c>
      <c r="E10" s="606" t="s">
        <v>1080</v>
      </c>
    </row>
    <row r="11" spans="1:12" x14ac:dyDescent="0.2">
      <c r="B11" s="605" t="s">
        <v>1008</v>
      </c>
      <c r="C11" s="608" t="s">
        <v>1087</v>
      </c>
      <c r="D11" s="604" t="s">
        <v>1011</v>
      </c>
    </row>
    <row r="12" spans="1:12" x14ac:dyDescent="0.2">
      <c r="B12" s="605" t="s">
        <v>1009</v>
      </c>
      <c r="C12" s="608" t="s">
        <v>1088</v>
      </c>
      <c r="D12" s="604" t="s">
        <v>1011</v>
      </c>
      <c r="E12" s="604" t="s">
        <v>1123</v>
      </c>
    </row>
    <row r="13" spans="1:12" x14ac:dyDescent="0.2">
      <c r="B13" s="605" t="s">
        <v>1010</v>
      </c>
      <c r="C13" s="608" t="s">
        <v>1089</v>
      </c>
      <c r="D13" s="604" t="s">
        <v>1011</v>
      </c>
    </row>
    <row r="15" spans="1:12" x14ac:dyDescent="0.2">
      <c r="B15" s="605" t="s">
        <v>1013</v>
      </c>
      <c r="C15" s="608" t="s">
        <v>1090</v>
      </c>
      <c r="D15" s="604" t="s">
        <v>1012</v>
      </c>
    </row>
    <row r="16" spans="1:12" x14ac:dyDescent="0.2">
      <c r="B16" s="605" t="s">
        <v>1014</v>
      </c>
      <c r="C16" s="608" t="s">
        <v>1091</v>
      </c>
      <c r="D16" s="604" t="s">
        <v>1012</v>
      </c>
    </row>
    <row r="17" spans="2:5" x14ac:dyDescent="0.2">
      <c r="B17" s="605" t="s">
        <v>1166</v>
      </c>
      <c r="C17" s="608" t="s">
        <v>1092</v>
      </c>
      <c r="D17" s="604" t="s">
        <v>1012</v>
      </c>
      <c r="E17" s="604" t="s">
        <v>1082</v>
      </c>
    </row>
    <row r="18" spans="2:5" x14ac:dyDescent="0.2">
      <c r="B18" s="605" t="s">
        <v>1015</v>
      </c>
      <c r="C18" s="608" t="s">
        <v>1093</v>
      </c>
      <c r="D18" s="604" t="s">
        <v>1012</v>
      </c>
      <c r="E18" s="604" t="s">
        <v>1082</v>
      </c>
    </row>
    <row r="19" spans="2:5" x14ac:dyDescent="0.2">
      <c r="B19" s="605" t="s">
        <v>1016</v>
      </c>
      <c r="C19" s="608" t="s">
        <v>1094</v>
      </c>
      <c r="D19" s="604" t="s">
        <v>1012</v>
      </c>
      <c r="E19" s="604" t="s">
        <v>1082</v>
      </c>
    </row>
    <row r="21" spans="2:5" x14ac:dyDescent="0.2">
      <c r="B21" s="605" t="s">
        <v>122</v>
      </c>
      <c r="C21" s="608" t="s">
        <v>1095</v>
      </c>
      <c r="D21" s="604" t="s">
        <v>1039</v>
      </c>
    </row>
    <row r="22" spans="2:5" x14ac:dyDescent="0.2">
      <c r="B22" s="605" t="s">
        <v>119</v>
      </c>
      <c r="C22" s="608" t="s">
        <v>1096</v>
      </c>
      <c r="D22" s="604" t="s">
        <v>1039</v>
      </c>
    </row>
    <row r="23" spans="2:5" x14ac:dyDescent="0.2">
      <c r="B23" s="605" t="s">
        <v>262</v>
      </c>
      <c r="C23" s="608" t="s">
        <v>1097</v>
      </c>
      <c r="D23" s="604" t="s">
        <v>1039</v>
      </c>
    </row>
    <row r="24" spans="2:5" x14ac:dyDescent="0.2">
      <c r="B24" s="605" t="s">
        <v>120</v>
      </c>
      <c r="C24" s="608" t="s">
        <v>1098</v>
      </c>
      <c r="D24" s="604" t="s">
        <v>1039</v>
      </c>
    </row>
    <row r="25" spans="2:5" x14ac:dyDescent="0.2">
      <c r="B25" s="605" t="s">
        <v>1040</v>
      </c>
      <c r="C25" s="608" t="s">
        <v>1099</v>
      </c>
      <c r="D25" s="604" t="s">
        <v>1039</v>
      </c>
    </row>
    <row r="27" spans="2:5" x14ac:dyDescent="0.2">
      <c r="B27" s="605" t="s">
        <v>1038</v>
      </c>
      <c r="C27" s="608" t="s">
        <v>1100</v>
      </c>
      <c r="D27" s="604" t="s">
        <v>1041</v>
      </c>
      <c r="E27" s="604" t="s">
        <v>1080</v>
      </c>
    </row>
    <row r="28" spans="2:5" x14ac:dyDescent="0.2">
      <c r="B28" s="605" t="s">
        <v>1037</v>
      </c>
      <c r="C28" s="608" t="s">
        <v>1101</v>
      </c>
      <c r="D28" s="604" t="s">
        <v>1041</v>
      </c>
    </row>
    <row r="29" spans="2:5" x14ac:dyDescent="0.2">
      <c r="B29" s="605" t="s">
        <v>1036</v>
      </c>
      <c r="C29" s="608" t="s">
        <v>1102</v>
      </c>
      <c r="D29" s="604" t="s">
        <v>1041</v>
      </c>
    </row>
    <row r="30" spans="2:5" x14ac:dyDescent="0.2">
      <c r="B30" s="605" t="s">
        <v>1035</v>
      </c>
      <c r="C30" s="608" t="s">
        <v>1103</v>
      </c>
      <c r="D30" s="604" t="s">
        <v>1041</v>
      </c>
    </row>
    <row r="31" spans="2:5" x14ac:dyDescent="0.2">
      <c r="B31" s="605" t="s">
        <v>1034</v>
      </c>
      <c r="C31" s="608" t="s">
        <v>1104</v>
      </c>
      <c r="D31" s="604" t="s">
        <v>1041</v>
      </c>
    </row>
    <row r="32" spans="2:5" x14ac:dyDescent="0.2">
      <c r="B32" s="605" t="s">
        <v>1033</v>
      </c>
      <c r="C32" s="608" t="s">
        <v>1105</v>
      </c>
      <c r="D32" s="604" t="s">
        <v>1041</v>
      </c>
    </row>
    <row r="33" spans="2:5" x14ac:dyDescent="0.2">
      <c r="B33" s="605" t="s">
        <v>1032</v>
      </c>
      <c r="C33" s="608" t="s">
        <v>1106</v>
      </c>
      <c r="D33" s="604" t="s">
        <v>1041</v>
      </c>
    </row>
    <row r="34" spans="2:5" x14ac:dyDescent="0.2">
      <c r="B34" s="605" t="s">
        <v>1031</v>
      </c>
      <c r="C34" s="608" t="s">
        <v>1107</v>
      </c>
      <c r="D34" s="604" t="s">
        <v>1041</v>
      </c>
    </row>
    <row r="35" spans="2:5" x14ac:dyDescent="0.2">
      <c r="B35" s="605" t="s">
        <v>1030</v>
      </c>
      <c r="C35" s="608" t="s">
        <v>1108</v>
      </c>
      <c r="D35" s="604" t="s">
        <v>1041</v>
      </c>
    </row>
    <row r="36" spans="2:5" x14ac:dyDescent="0.2">
      <c r="B36" s="605" t="s">
        <v>1029</v>
      </c>
      <c r="C36" s="608" t="s">
        <v>1109</v>
      </c>
      <c r="D36" s="604" t="s">
        <v>1041</v>
      </c>
    </row>
    <row r="37" spans="2:5" x14ac:dyDescent="0.2">
      <c r="B37" s="605" t="s">
        <v>1028</v>
      </c>
      <c r="C37" s="608" t="s">
        <v>1110</v>
      </c>
      <c r="D37" s="604" t="s">
        <v>1041</v>
      </c>
    </row>
    <row r="39" spans="2:5" x14ac:dyDescent="0.2">
      <c r="B39" s="605" t="s">
        <v>1027</v>
      </c>
      <c r="C39" s="608" t="s">
        <v>1111</v>
      </c>
      <c r="D39" s="604" t="s">
        <v>397</v>
      </c>
    </row>
    <row r="40" spans="2:5" x14ac:dyDescent="0.2">
      <c r="B40" s="605" t="s">
        <v>1026</v>
      </c>
      <c r="C40" s="608" t="s">
        <v>1112</v>
      </c>
      <c r="D40" s="604" t="s">
        <v>397</v>
      </c>
      <c r="E40" s="604" t="s">
        <v>1123</v>
      </c>
    </row>
    <row r="41" spans="2:5" x14ac:dyDescent="0.2">
      <c r="B41" s="605" t="s">
        <v>1025</v>
      </c>
      <c r="C41" s="608" t="s">
        <v>1113</v>
      </c>
      <c r="D41" s="604" t="s">
        <v>397</v>
      </c>
    </row>
    <row r="42" spans="2:5" x14ac:dyDescent="0.2">
      <c r="B42" s="605" t="s">
        <v>1024</v>
      </c>
      <c r="C42" s="608" t="s">
        <v>1114</v>
      </c>
      <c r="D42" s="604" t="s">
        <v>397</v>
      </c>
    </row>
    <row r="43" spans="2:5" x14ac:dyDescent="0.2">
      <c r="B43" s="605" t="s">
        <v>1023</v>
      </c>
      <c r="C43" s="608" t="s">
        <v>1115</v>
      </c>
      <c r="D43" s="604" t="s">
        <v>397</v>
      </c>
    </row>
    <row r="44" spans="2:5" x14ac:dyDescent="0.2">
      <c r="B44" s="605" t="s">
        <v>1022</v>
      </c>
      <c r="C44" s="608" t="s">
        <v>1116</v>
      </c>
      <c r="D44" s="604" t="s">
        <v>397</v>
      </c>
    </row>
    <row r="45" spans="2:5" x14ac:dyDescent="0.2">
      <c r="B45" s="605" t="s">
        <v>1021</v>
      </c>
      <c r="C45" s="608" t="s">
        <v>1117</v>
      </c>
      <c r="D45" s="604" t="s">
        <v>397</v>
      </c>
    </row>
    <row r="46" spans="2:5" x14ac:dyDescent="0.2">
      <c r="B46" s="605" t="s">
        <v>1020</v>
      </c>
      <c r="C46" s="608" t="s">
        <v>1118</v>
      </c>
      <c r="D46" s="604" t="s">
        <v>397</v>
      </c>
      <c r="E46" s="604" t="s">
        <v>1081</v>
      </c>
    </row>
    <row r="47" spans="2:5" x14ac:dyDescent="0.2">
      <c r="B47" s="605" t="s">
        <v>1019</v>
      </c>
      <c r="C47" s="608" t="s">
        <v>1119</v>
      </c>
      <c r="D47" s="604" t="s">
        <v>397</v>
      </c>
    </row>
    <row r="48" spans="2:5" x14ac:dyDescent="0.2">
      <c r="B48" s="605" t="s">
        <v>1018</v>
      </c>
      <c r="C48" s="608" t="s">
        <v>1120</v>
      </c>
      <c r="D48" s="604" t="s">
        <v>397</v>
      </c>
    </row>
    <row r="49" spans="2:5" x14ac:dyDescent="0.2">
      <c r="B49" s="605" t="s">
        <v>1017</v>
      </c>
      <c r="C49" s="608" t="s">
        <v>1121</v>
      </c>
      <c r="D49" s="604" t="s">
        <v>397</v>
      </c>
    </row>
    <row r="50" spans="2:5" x14ac:dyDescent="0.2">
      <c r="B50" s="605" t="s">
        <v>1042</v>
      </c>
      <c r="C50" s="608" t="s">
        <v>1122</v>
      </c>
      <c r="D50" s="604" t="s">
        <v>397</v>
      </c>
      <c r="E50" s="604" t="s">
        <v>1081</v>
      </c>
    </row>
  </sheetData>
  <hyperlinks>
    <hyperlink ref="B8" location="'BDJ-6 Base Revenue (Summary)'!A1" display="BDJ-6 Base Revenue (Summary)"/>
    <hyperlink ref="B9" location="'BDJ-6 Lighting Parity Ratios'!A1" display="BDJ-6 Lighting Parity Ratios"/>
    <hyperlink ref="B10" location="'BDJ-6 Rate Design Lighting'!A1" display="BDJ-6 Rate Design Lighting"/>
    <hyperlink ref="B11" location="'BDJ-6 Unitized Lighting Costs'!A1" display="BDJ-6 Unitized Lighting Costs"/>
    <hyperlink ref="B12" location="'BDJ-6 Classification of Costs'!A1" display="BDJ-6 Classification of Costs"/>
    <hyperlink ref="B13" location="'BDJ-6 Combined Charges'!A1" display="BDJ-6 Combined Charges"/>
    <hyperlink ref="B15" location="'Base Lighting Tariff'!A1" display="Base Lighting Tariff"/>
    <hyperlink ref="B16" location="'Base Lighting Tariff (Smart)'!A1" display="Base Lighting Tariff (Smart)"/>
    <hyperlink ref="B17" location="'Sch 141C Lighting Tariff'!A1" display="Sch 141C Lighting Tariff"/>
    <hyperlink ref="B18" location="'Sch 141N Lighting Tariff'!A1" display="Sch 141N Lighting Tariff"/>
    <hyperlink ref="B19" location="'Sch 141R Lighting Tariff'!A1" display="Sch 141R Lighting Tariff"/>
    <hyperlink ref="B21" location="'Capital Charge'!A1" display="Capital Charge"/>
    <hyperlink ref="B22" location="'O&amp;M Charge'!A1" display="O&amp;M Charge"/>
    <hyperlink ref="B23" location="'Customer Charge'!A1" display="Customer Charge"/>
    <hyperlink ref="B24" location="'Demand Charge'!A1" display="Demand Charge"/>
    <hyperlink ref="B25" location="'Energy Charge'!A1" display="Energy Charge"/>
    <hyperlink ref="B27" location="'Rate Spread Lighting'!A1" display="Rate Spread Lighting"/>
    <hyperlink ref="B28" location="'Schedule 50E'!A1" display="Schedule 50E"/>
    <hyperlink ref="B29" location="'Schedule 51E'!A1" display="Schedule 51E"/>
    <hyperlink ref="B30" location="'Schedule 52E'!A1" display="Schedule 52E"/>
    <hyperlink ref="B31" location="'Sch 51E &amp; 52E Facilities Charge'!A1" display="Sch 51E &amp; 52E Facilities Charge"/>
    <hyperlink ref="B32" location="'Schedule 53E'!A1" display="Schedule 53E"/>
    <hyperlink ref="B33" location="'Schedule 54E'!A1" display="Schedule 54E"/>
    <hyperlink ref="B34" location="'Schedules 55E &amp; 56E'!A1" display="Schedules 55E &amp; 56E"/>
    <hyperlink ref="B35" location="'Schedules 55E &amp; 58E Pole'!A1" display="Schedules 55E &amp; 58E Pole"/>
    <hyperlink ref="B36" location="'Schedule 57E'!A1" display="Schedule 57E"/>
    <hyperlink ref="B37" location="'Schedules 58E &amp; 59E'!A1" display="Schedules 58E &amp; 59E"/>
    <hyperlink ref="B39" location="'WP12 Condensed Sch. Level Costs'!A1" display="WP12 Condensed Sch. Level Costs"/>
    <hyperlink ref="B40" location="'WP11 E373 Pole Cost Estimates'!A1" display="WP11 E373 Pole Cost Estimates"/>
    <hyperlink ref="B41" location="'WP10 O&amp;M Weighting Factor'!A1" display="WP10 O&amp;M Weighting Factor"/>
    <hyperlink ref="B42" location="'WP9 Sodium Vapor Cost Est.'!A1" display="WP9 Sodium Vapor Cost Est."/>
    <hyperlink ref="B43" location="'WP8 Metal Halide Cost Est.'!A1" display="WP8 Metal Halide Cost Est."/>
    <hyperlink ref="B44" location="'WP7 Condensed LED Cost Est.'!A1" display="WP7 Condensed LED Cost Est."/>
    <hyperlink ref="B45" location="'WP6 Demand Allocation Analysis'!A1" display="WP6 Demand Allocation Analysis"/>
    <hyperlink ref="B46" location="'WP5 Facilities Charge (51 &amp; 52)'!A1" display="WP5 Facilities Charge (51 &amp; 52)"/>
    <hyperlink ref="B47" location="'WP4 Customer Counts'!A1" display="WP4 Customer Counts"/>
    <hyperlink ref="B48" location="'WP3 Current Light Rates (Smart)'!A1" display="WP3 Current Light Rates (Smart)"/>
    <hyperlink ref="B49" location="'WP2 Current Light Rates'!A1" display="WP2 Current Light Rates"/>
    <hyperlink ref="B50" location="'WP1 Light Inventory'!A1" display="WP1 Light Inventory"/>
  </hyperlink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229"/>
  <sheetViews>
    <sheetView zoomScaleNormal="100" workbookViewId="0">
      <pane ySplit="8" topLeftCell="A9" activePane="bottomLeft" state="frozen"/>
      <selection activeCell="D32" sqref="D32"/>
      <selection pane="bottomLeft" activeCell="D32" sqref="D32"/>
    </sheetView>
  </sheetViews>
  <sheetFormatPr defaultColWidth="9.109375" defaultRowHeight="10.199999999999999" x14ac:dyDescent="0.2"/>
  <cols>
    <col min="1" max="1" width="5.88671875" style="32" customWidth="1"/>
    <col min="2" max="2" width="20.5546875" style="19" bestFit="1" customWidth="1"/>
    <col min="3" max="3" width="10.6640625" style="19" bestFit="1" customWidth="1"/>
    <col min="4" max="4" width="16.88671875" style="19" bestFit="1" customWidth="1"/>
    <col min="5" max="5" width="12" style="19" bestFit="1" customWidth="1"/>
    <col min="6" max="7" width="9.88671875" style="19" bestFit="1" customWidth="1"/>
    <col min="8" max="16384" width="9.109375" style="19"/>
  </cols>
  <sheetData>
    <row r="1" spans="1:7" s="251" customFormat="1" x14ac:dyDescent="0.2">
      <c r="A1" s="736" t="str">
        <f>'Customer Charge'!A1:I1</f>
        <v>Puget Sound Energy</v>
      </c>
      <c r="B1" s="736"/>
      <c r="C1" s="736"/>
      <c r="D1" s="736"/>
      <c r="E1" s="736"/>
      <c r="F1" s="736"/>
      <c r="G1" s="736"/>
    </row>
    <row r="2" spans="1:7" s="251" customFormat="1" x14ac:dyDescent="0.2">
      <c r="A2" s="736" t="s">
        <v>461</v>
      </c>
      <c r="B2" s="736"/>
      <c r="C2" s="736"/>
      <c r="D2" s="736"/>
      <c r="E2" s="736"/>
      <c r="F2" s="736"/>
      <c r="G2" s="736"/>
    </row>
    <row r="3" spans="1:7" s="251" customFormat="1" x14ac:dyDescent="0.2">
      <c r="A3" s="736" t="str">
        <f>'Customer Charge'!A3:I3</f>
        <v>2022 General Rate Case (GRC)</v>
      </c>
      <c r="B3" s="736"/>
      <c r="C3" s="736"/>
      <c r="D3" s="736"/>
      <c r="E3" s="736"/>
      <c r="F3" s="736"/>
      <c r="G3" s="736"/>
    </row>
    <row r="4" spans="1:7" s="251" customFormat="1" x14ac:dyDescent="0.2">
      <c r="A4" s="736" t="str">
        <f>'Customer Charge'!A4:I4</f>
        <v>Test Year Ending June 30, 2021</v>
      </c>
      <c r="B4" s="736"/>
      <c r="C4" s="736"/>
      <c r="D4" s="736"/>
      <c r="E4" s="736"/>
      <c r="F4" s="736"/>
      <c r="G4" s="736"/>
    </row>
    <row r="5" spans="1:7" s="251" customFormat="1" x14ac:dyDescent="0.2">
      <c r="A5" s="257"/>
    </row>
    <row r="6" spans="1:7" s="251" customFormat="1" ht="30.6" x14ac:dyDescent="0.2">
      <c r="A6" s="285" t="s">
        <v>1</v>
      </c>
      <c r="B6" s="285" t="s">
        <v>53</v>
      </c>
      <c r="C6" s="285"/>
      <c r="D6" s="285" t="s">
        <v>67</v>
      </c>
      <c r="E6" s="285" t="s">
        <v>160</v>
      </c>
      <c r="F6" s="285" t="s">
        <v>126</v>
      </c>
      <c r="G6" s="285" t="s">
        <v>470</v>
      </c>
    </row>
    <row r="7" spans="1:7" x14ac:dyDescent="0.2">
      <c r="B7" s="14" t="s">
        <v>3</v>
      </c>
      <c r="C7" s="14"/>
      <c r="D7" s="47" t="s">
        <v>4</v>
      </c>
      <c r="E7" s="143" t="s">
        <v>5</v>
      </c>
      <c r="F7" s="14" t="s">
        <v>6</v>
      </c>
      <c r="G7" s="14" t="s">
        <v>7</v>
      </c>
    </row>
    <row r="8" spans="1:7" x14ac:dyDescent="0.2">
      <c r="A8" s="32" t="s">
        <v>396</v>
      </c>
      <c r="B8" s="14"/>
      <c r="C8" s="14"/>
      <c r="D8" s="14"/>
      <c r="E8" s="21"/>
      <c r="F8" s="21" t="s">
        <v>397</v>
      </c>
      <c r="G8" s="21" t="s">
        <v>397</v>
      </c>
    </row>
    <row r="9" spans="1:7" x14ac:dyDescent="0.2">
      <c r="A9" s="32">
        <v>1</v>
      </c>
      <c r="B9" s="27" t="str">
        <f>'WP12 Condensed Sch. Level Costs'!A7</f>
        <v>Sch 50E</v>
      </c>
      <c r="C9" s="27"/>
      <c r="F9" s="14"/>
      <c r="G9" s="14"/>
    </row>
    <row r="10" spans="1:7" x14ac:dyDescent="0.2">
      <c r="A10" s="32">
        <f>A9+1</f>
        <v>2</v>
      </c>
      <c r="B10" s="27">
        <f>'WP12 Condensed Sch. Level Costs'!A8</f>
        <v>3</v>
      </c>
      <c r="C10" s="27"/>
      <c r="D10" s="327" t="str">
        <f>'WP12 Condensed Sch. Level Costs'!C8</f>
        <v>Compact Fluorescent</v>
      </c>
      <c r="E10" s="41" t="str">
        <f>'WP12 Condensed Sch. Level Costs'!D8</f>
        <v>CF 22</v>
      </c>
      <c r="F10" s="328">
        <f>ROUND('WP12 Condensed Sch. Level Costs'!S8,2)</f>
        <v>3.65</v>
      </c>
      <c r="G10" s="328">
        <f>ROUND('WP12 Condensed Sch. Level Costs'!X8,2)</f>
        <v>0.08</v>
      </c>
    </row>
    <row r="11" spans="1:7" x14ac:dyDescent="0.2">
      <c r="A11" s="32">
        <f t="shared" ref="A11:A90" si="0">A10+1</f>
        <v>3</v>
      </c>
      <c r="B11" s="27"/>
      <c r="C11" s="27"/>
      <c r="D11" s="327"/>
      <c r="E11" s="41"/>
      <c r="F11" s="342"/>
      <c r="G11" s="328"/>
    </row>
    <row r="12" spans="1:7" x14ac:dyDescent="0.2">
      <c r="A12" s="32">
        <f t="shared" si="0"/>
        <v>4</v>
      </c>
      <c r="B12" s="27" t="str">
        <f>'WP12 Condensed Sch. Level Costs'!A10</f>
        <v>50E-A</v>
      </c>
      <c r="C12" s="27"/>
      <c r="D12" s="327" t="str">
        <f>'WP12 Condensed Sch. Level Costs'!C10</f>
        <v>Mercury Vapor</v>
      </c>
      <c r="E12" s="41" t="str">
        <f>'WP12 Condensed Sch. Level Costs'!D10</f>
        <v>MV 100</v>
      </c>
      <c r="F12" s="328">
        <f>ROUND('WP12 Condensed Sch. Level Costs'!S10,2)</f>
        <v>3.65</v>
      </c>
      <c r="G12" s="328">
        <f>ROUND('WP12 Condensed Sch. Level Costs'!X10,2)</f>
        <v>0.37</v>
      </c>
    </row>
    <row r="13" spans="1:7" x14ac:dyDescent="0.2">
      <c r="A13" s="32">
        <f t="shared" si="0"/>
        <v>5</v>
      </c>
      <c r="B13" s="27" t="str">
        <f>'WP12 Condensed Sch. Level Costs'!A11</f>
        <v>50E-A</v>
      </c>
      <c r="C13" s="27"/>
      <c r="D13" s="327" t="str">
        <f>'WP12 Condensed Sch. Level Costs'!C11</f>
        <v>Mercury Vapor</v>
      </c>
      <c r="E13" s="41" t="str">
        <f>'WP12 Condensed Sch. Level Costs'!D11</f>
        <v>MV 175</v>
      </c>
      <c r="F13" s="328">
        <f>ROUND('WP12 Condensed Sch. Level Costs'!S11,2)</f>
        <v>3.65</v>
      </c>
      <c r="G13" s="328">
        <f>ROUND('WP12 Condensed Sch. Level Costs'!X11,2)</f>
        <v>0.64</v>
      </c>
    </row>
    <row r="14" spans="1:7" x14ac:dyDescent="0.2">
      <c r="A14" s="32">
        <f t="shared" si="0"/>
        <v>6</v>
      </c>
      <c r="B14" s="27" t="str">
        <f>'WP12 Condensed Sch. Level Costs'!A12</f>
        <v>50E-A</v>
      </c>
      <c r="C14" s="27"/>
      <c r="D14" s="327" t="str">
        <f>'WP12 Condensed Sch. Level Costs'!C12</f>
        <v>Mercury Vapor</v>
      </c>
      <c r="E14" s="41" t="str">
        <f>'WP12 Condensed Sch. Level Costs'!D12</f>
        <v>MV 400</v>
      </c>
      <c r="F14" s="328">
        <f>ROUND('WP12 Condensed Sch. Level Costs'!S12,2)</f>
        <v>3.65</v>
      </c>
      <c r="G14" s="328">
        <f>ROUND('WP12 Condensed Sch. Level Costs'!X12,2)</f>
        <v>1.46</v>
      </c>
    </row>
    <row r="15" spans="1:7" x14ac:dyDescent="0.2">
      <c r="A15" s="32">
        <f t="shared" si="0"/>
        <v>7</v>
      </c>
      <c r="B15" s="27"/>
      <c r="C15" s="27"/>
      <c r="D15" s="327"/>
      <c r="E15" s="41"/>
      <c r="F15" s="342"/>
      <c r="G15" s="328"/>
    </row>
    <row r="16" spans="1:7" x14ac:dyDescent="0.2">
      <c r="A16" s="32">
        <f t="shared" si="0"/>
        <v>8</v>
      </c>
      <c r="B16" s="27" t="str">
        <f>'WP12 Condensed Sch. Level Costs'!A14</f>
        <v>50E-B</v>
      </c>
      <c r="C16" s="27"/>
      <c r="D16" s="327" t="str">
        <f>'WP12 Condensed Sch. Level Costs'!C14</f>
        <v>Mercury Vapor</v>
      </c>
      <c r="E16" s="41" t="str">
        <f>'WP12 Condensed Sch. Level Costs'!D14</f>
        <v>MV 100</v>
      </c>
      <c r="F16" s="328">
        <f>ROUND('WP12 Condensed Sch. Level Costs'!S14,2)</f>
        <v>3.65</v>
      </c>
      <c r="G16" s="328">
        <f>ROUND('WP12 Condensed Sch. Level Costs'!X14,2)</f>
        <v>0.37</v>
      </c>
    </row>
    <row r="17" spans="1:7" x14ac:dyDescent="0.2">
      <c r="A17" s="32">
        <f t="shared" si="0"/>
        <v>9</v>
      </c>
      <c r="B17" s="27" t="str">
        <f>'WP12 Condensed Sch. Level Costs'!A15</f>
        <v>50E-B</v>
      </c>
      <c r="C17" s="27"/>
      <c r="D17" s="327" t="str">
        <f>'WP12 Condensed Sch. Level Costs'!C15</f>
        <v>Mercury Vapor</v>
      </c>
      <c r="E17" s="41" t="str">
        <f>'WP12 Condensed Sch. Level Costs'!D15</f>
        <v>MV 175</v>
      </c>
      <c r="F17" s="328">
        <f>ROUND('WP12 Condensed Sch. Level Costs'!S15,2)</f>
        <v>3.65</v>
      </c>
      <c r="G17" s="328">
        <f>ROUND('WP12 Condensed Sch. Level Costs'!X15,2)</f>
        <v>0.64</v>
      </c>
    </row>
    <row r="18" spans="1:7" x14ac:dyDescent="0.2">
      <c r="A18" s="32">
        <f t="shared" si="0"/>
        <v>10</v>
      </c>
      <c r="B18" s="27" t="str">
        <f>'WP12 Condensed Sch. Level Costs'!A16</f>
        <v>50E-B</v>
      </c>
      <c r="C18" s="27"/>
      <c r="D18" s="327" t="str">
        <f>'WP12 Condensed Sch. Level Costs'!C16</f>
        <v>Mercury Vapor</v>
      </c>
      <c r="E18" s="41" t="str">
        <f>'WP12 Condensed Sch. Level Costs'!D16</f>
        <v>MV 400</v>
      </c>
      <c r="F18" s="328">
        <f>ROUND('WP12 Condensed Sch. Level Costs'!S16,2)</f>
        <v>3.65</v>
      </c>
      <c r="G18" s="328">
        <f>ROUND('WP12 Condensed Sch. Level Costs'!X16,2)</f>
        <v>1.46</v>
      </c>
    </row>
    <row r="19" spans="1:7" x14ac:dyDescent="0.2">
      <c r="A19" s="32">
        <f t="shared" si="0"/>
        <v>11</v>
      </c>
      <c r="B19" s="27" t="str">
        <f>'WP12 Condensed Sch. Level Costs'!A17</f>
        <v>50E-B</v>
      </c>
      <c r="C19" s="27"/>
      <c r="D19" s="327" t="str">
        <f>'WP12 Condensed Sch. Level Costs'!C17</f>
        <v>Mercury Vapor</v>
      </c>
      <c r="E19" s="41" t="str">
        <f>'WP12 Condensed Sch. Level Costs'!D17</f>
        <v>MV 700</v>
      </c>
      <c r="F19" s="328">
        <f>ROUND('WP12 Condensed Sch. Level Costs'!S17,2)</f>
        <v>3.65</v>
      </c>
      <c r="G19" s="328">
        <f>ROUND('WP12 Condensed Sch. Level Costs'!X17,2)</f>
        <v>2.56</v>
      </c>
    </row>
    <row r="20" spans="1:7" x14ac:dyDescent="0.2">
      <c r="A20" s="32">
        <f t="shared" si="0"/>
        <v>12</v>
      </c>
      <c r="B20" s="27"/>
      <c r="C20" s="27"/>
      <c r="D20" s="327"/>
      <c r="E20" s="41"/>
      <c r="F20" s="342"/>
      <c r="G20" s="328"/>
    </row>
    <row r="21" spans="1:7" x14ac:dyDescent="0.2">
      <c r="A21" s="32">
        <f t="shared" si="0"/>
        <v>13</v>
      </c>
      <c r="B21" s="27" t="str">
        <f>'WP12 Condensed Sch. Level Costs'!A18</f>
        <v>Sch 51E</v>
      </c>
      <c r="C21" s="27"/>
      <c r="D21" s="327"/>
      <c r="E21" s="41"/>
      <c r="F21" s="342"/>
      <c r="G21" s="328"/>
    </row>
    <row r="22" spans="1:7" x14ac:dyDescent="0.2">
      <c r="A22" s="32">
        <f t="shared" si="0"/>
        <v>14</v>
      </c>
      <c r="B22" s="27" t="str">
        <f>'WP12 Condensed Sch. Level Costs'!A19</f>
        <v>51E</v>
      </c>
      <c r="C22" s="27"/>
      <c r="D22" s="327" t="str">
        <f>'WP12 Condensed Sch. Level Costs'!C19</f>
        <v>Light Emitting Diode</v>
      </c>
      <c r="E22" s="41" t="str">
        <f>'WP12 Condensed Sch. Level Costs'!D19</f>
        <v>LED 0-030</v>
      </c>
      <c r="F22" s="328">
        <f>ROUND('WP12 Condensed Sch. Level Costs'!S19,2)</f>
        <v>3.65</v>
      </c>
      <c r="G22" s="328">
        <f>ROUND('WP12 Condensed Sch. Level Costs'!X19,2)</f>
        <v>0.05</v>
      </c>
    </row>
    <row r="23" spans="1:7" x14ac:dyDescent="0.2">
      <c r="A23" s="32">
        <f t="shared" si="0"/>
        <v>15</v>
      </c>
      <c r="B23" s="27" t="str">
        <f>'WP12 Condensed Sch. Level Costs'!A20</f>
        <v>51E</v>
      </c>
      <c r="C23" s="27"/>
      <c r="D23" s="327" t="str">
        <f>'WP12 Condensed Sch. Level Costs'!C20</f>
        <v>Light Emitting Diode</v>
      </c>
      <c r="E23" s="41" t="str">
        <f>'WP12 Condensed Sch. Level Costs'!D20</f>
        <v>LED 030.01-060</v>
      </c>
      <c r="F23" s="328">
        <f>ROUND('WP12 Condensed Sch. Level Costs'!S20,2)</f>
        <v>3.65</v>
      </c>
      <c r="G23" s="328">
        <f>ROUND('WP12 Condensed Sch. Level Costs'!X20,2)</f>
        <v>0.16</v>
      </c>
    </row>
    <row r="24" spans="1:7" x14ac:dyDescent="0.2">
      <c r="A24" s="32">
        <f t="shared" si="0"/>
        <v>16</v>
      </c>
      <c r="B24" s="27" t="str">
        <f>'WP12 Condensed Sch. Level Costs'!A21</f>
        <v>51E</v>
      </c>
      <c r="C24" s="27"/>
      <c r="D24" s="327" t="str">
        <f>'WP12 Condensed Sch. Level Costs'!C21</f>
        <v>Light Emitting Diode</v>
      </c>
      <c r="E24" s="41" t="str">
        <f>'WP12 Condensed Sch. Level Costs'!D21</f>
        <v>LED 060.01-090</v>
      </c>
      <c r="F24" s="328">
        <f>ROUND('WP12 Condensed Sch. Level Costs'!S21,2)</f>
        <v>3.65</v>
      </c>
      <c r="G24" s="328">
        <f>ROUND('WP12 Condensed Sch. Level Costs'!X21,2)</f>
        <v>0.27</v>
      </c>
    </row>
    <row r="25" spans="1:7" x14ac:dyDescent="0.2">
      <c r="A25" s="32">
        <f t="shared" si="0"/>
        <v>17</v>
      </c>
      <c r="B25" s="27" t="str">
        <f>'WP12 Condensed Sch. Level Costs'!A22</f>
        <v>51E</v>
      </c>
      <c r="C25" s="27"/>
      <c r="D25" s="327" t="str">
        <f>'WP12 Condensed Sch. Level Costs'!C22</f>
        <v>Light Emitting Diode</v>
      </c>
      <c r="E25" s="41" t="str">
        <f>'WP12 Condensed Sch. Level Costs'!D22</f>
        <v>LED 090.01-120</v>
      </c>
      <c r="F25" s="328">
        <f>ROUND('WP12 Condensed Sch. Level Costs'!S22,2)</f>
        <v>3.65</v>
      </c>
      <c r="G25" s="328">
        <f>ROUND('WP12 Condensed Sch. Level Costs'!X22,2)</f>
        <v>0.38</v>
      </c>
    </row>
    <row r="26" spans="1:7" x14ac:dyDescent="0.2">
      <c r="A26" s="32">
        <f t="shared" si="0"/>
        <v>18</v>
      </c>
      <c r="B26" s="27" t="str">
        <f>'WP12 Condensed Sch. Level Costs'!A23</f>
        <v>51E</v>
      </c>
      <c r="C26" s="27"/>
      <c r="D26" s="327" t="str">
        <f>'WP12 Condensed Sch. Level Costs'!C23</f>
        <v>Light Emitting Diode</v>
      </c>
      <c r="E26" s="41" t="str">
        <f>'WP12 Condensed Sch. Level Costs'!D23</f>
        <v>LED 120.01-150</v>
      </c>
      <c r="F26" s="328">
        <f>ROUND('WP12 Condensed Sch. Level Costs'!S23,2)</f>
        <v>3.65</v>
      </c>
      <c r="G26" s="328">
        <f>ROUND('WP12 Condensed Sch. Level Costs'!X23,2)</f>
        <v>0.49</v>
      </c>
    </row>
    <row r="27" spans="1:7" x14ac:dyDescent="0.2">
      <c r="A27" s="32">
        <f t="shared" si="0"/>
        <v>19</v>
      </c>
      <c r="B27" s="27" t="str">
        <f>'WP12 Condensed Sch. Level Costs'!A24</f>
        <v>51E</v>
      </c>
      <c r="C27" s="27"/>
      <c r="D27" s="327" t="str">
        <f>'WP12 Condensed Sch. Level Costs'!C24</f>
        <v>Light Emitting Diode</v>
      </c>
      <c r="E27" s="41" t="str">
        <f>'WP12 Condensed Sch. Level Costs'!D24</f>
        <v>LED 150.01-180</v>
      </c>
      <c r="F27" s="328">
        <f>ROUND('WP12 Condensed Sch. Level Costs'!S24,2)</f>
        <v>3.65</v>
      </c>
      <c r="G27" s="328">
        <f>ROUND('WP12 Condensed Sch. Level Costs'!X24,2)</f>
        <v>0.6</v>
      </c>
    </row>
    <row r="28" spans="1:7" x14ac:dyDescent="0.2">
      <c r="A28" s="32">
        <f t="shared" si="0"/>
        <v>20</v>
      </c>
      <c r="B28" s="27" t="str">
        <f>'WP12 Condensed Sch. Level Costs'!A25</f>
        <v>51E</v>
      </c>
      <c r="C28" s="27"/>
      <c r="D28" s="327" t="str">
        <f>'WP12 Condensed Sch. Level Costs'!C25</f>
        <v>Light Emitting Diode</v>
      </c>
      <c r="E28" s="41" t="str">
        <f>'WP12 Condensed Sch. Level Costs'!D25</f>
        <v>LED 180.01-210</v>
      </c>
      <c r="F28" s="328">
        <f>ROUND('WP12 Condensed Sch. Level Costs'!S25,2)</f>
        <v>3.65</v>
      </c>
      <c r="G28" s="328">
        <f>ROUND('WP12 Condensed Sch. Level Costs'!X25,2)</f>
        <v>0.71</v>
      </c>
    </row>
    <row r="29" spans="1:7" x14ac:dyDescent="0.2">
      <c r="A29" s="32">
        <f t="shared" si="0"/>
        <v>21</v>
      </c>
      <c r="B29" s="27" t="str">
        <f>'WP12 Condensed Sch. Level Costs'!A26</f>
        <v>51E</v>
      </c>
      <c r="C29" s="27"/>
      <c r="D29" s="327" t="str">
        <f>'WP12 Condensed Sch. Level Costs'!C26</f>
        <v>Light Emitting Diode</v>
      </c>
      <c r="E29" s="41" t="str">
        <f>'WP12 Condensed Sch. Level Costs'!D26</f>
        <v>LED 210.01-240</v>
      </c>
      <c r="F29" s="328">
        <f>ROUND('WP12 Condensed Sch. Level Costs'!S26,2)</f>
        <v>3.65</v>
      </c>
      <c r="G29" s="328">
        <f>ROUND('WP12 Condensed Sch. Level Costs'!X26,2)</f>
        <v>0.82</v>
      </c>
    </row>
    <row r="30" spans="1:7" x14ac:dyDescent="0.2">
      <c r="A30" s="32">
        <f t="shared" si="0"/>
        <v>22</v>
      </c>
      <c r="B30" s="27" t="str">
        <f>'WP12 Condensed Sch. Level Costs'!A27</f>
        <v>51E</v>
      </c>
      <c r="C30" s="27"/>
      <c r="D30" s="327" t="str">
        <f>'WP12 Condensed Sch. Level Costs'!C27</f>
        <v>Light Emitting Diode</v>
      </c>
      <c r="E30" s="41" t="str">
        <f>'WP12 Condensed Sch. Level Costs'!D27</f>
        <v>LED 240.01-270</v>
      </c>
      <c r="F30" s="328">
        <f>ROUND('WP12 Condensed Sch. Level Costs'!S27,2)</f>
        <v>3.65</v>
      </c>
      <c r="G30" s="328">
        <f>ROUND('WP12 Condensed Sch. Level Costs'!X27,2)</f>
        <v>0.93</v>
      </c>
    </row>
    <row r="31" spans="1:7" x14ac:dyDescent="0.2">
      <c r="A31" s="32">
        <f t="shared" si="0"/>
        <v>23</v>
      </c>
      <c r="B31" s="27" t="str">
        <f>'WP12 Condensed Sch. Level Costs'!A28</f>
        <v>51E</v>
      </c>
      <c r="C31" s="27"/>
      <c r="D31" s="327" t="str">
        <f>'WP12 Condensed Sch. Level Costs'!C28</f>
        <v>Light Emitting Diode</v>
      </c>
      <c r="E31" s="41" t="str">
        <f>'WP12 Condensed Sch. Level Costs'!D28</f>
        <v>LED 270.01-300</v>
      </c>
      <c r="F31" s="328">
        <f>ROUND('WP12 Condensed Sch. Level Costs'!S28,2)</f>
        <v>3.65</v>
      </c>
      <c r="G31" s="328">
        <f>ROUND('WP12 Condensed Sch. Level Costs'!X28,2)</f>
        <v>1.04</v>
      </c>
    </row>
    <row r="32" spans="1:7" x14ac:dyDescent="0.2">
      <c r="A32" s="32">
        <f t="shared" si="0"/>
        <v>24</v>
      </c>
      <c r="B32" s="27"/>
      <c r="C32" s="27"/>
      <c r="D32" s="327"/>
      <c r="E32" s="41"/>
      <c r="F32" s="342"/>
      <c r="G32" s="328"/>
    </row>
    <row r="33" spans="1:7" x14ac:dyDescent="0.2">
      <c r="A33" s="32">
        <f t="shared" si="0"/>
        <v>25</v>
      </c>
      <c r="B33" s="27" t="str">
        <f>'WP12 Condensed Sch. Level Costs'!A30</f>
        <v>51E</v>
      </c>
      <c r="C33" s="327" t="str">
        <f>'WP12 Condensed Sch. Level Costs'!B30</f>
        <v>SMART LIGHT</v>
      </c>
      <c r="D33" s="327" t="str">
        <f>'WP12 Condensed Sch. Level Costs'!C30</f>
        <v>Light Emitting Diode</v>
      </c>
      <c r="E33" s="41" t="str">
        <f>'WP12 Condensed Sch. Level Costs'!D30</f>
        <v>LED 0-030</v>
      </c>
      <c r="F33" s="328">
        <f>ROUND('WP12 Condensed Sch. Level Costs'!S30,2)</f>
        <v>3.65</v>
      </c>
      <c r="G33" s="339">
        <f>ROUND('WP12 Condensed Sch. Level Costs'!AE30,6)</f>
        <v>1.0432E-2</v>
      </c>
    </row>
    <row r="34" spans="1:7" x14ac:dyDescent="0.2">
      <c r="A34" s="32">
        <f t="shared" si="0"/>
        <v>26</v>
      </c>
      <c r="B34" s="27" t="str">
        <f>'WP12 Condensed Sch. Level Costs'!A31</f>
        <v>51E</v>
      </c>
      <c r="C34" s="327" t="str">
        <f>'WP12 Condensed Sch. Level Costs'!B31</f>
        <v>SMART LIGHT</v>
      </c>
      <c r="D34" s="327" t="str">
        <f>'WP12 Condensed Sch. Level Costs'!C31</f>
        <v>Light Emitting Diode</v>
      </c>
      <c r="E34" s="41" t="str">
        <f>'WP12 Condensed Sch. Level Costs'!D31</f>
        <v>LED 030.01-060</v>
      </c>
      <c r="F34" s="328">
        <f>ROUND('WP12 Condensed Sch. Level Costs'!S31,2)</f>
        <v>3.65</v>
      </c>
      <c r="G34" s="339">
        <f>ROUND('WP12 Condensed Sch. Level Costs'!AE31,6)</f>
        <v>1.0432E-2</v>
      </c>
    </row>
    <row r="35" spans="1:7" x14ac:dyDescent="0.2">
      <c r="A35" s="32">
        <f t="shared" si="0"/>
        <v>27</v>
      </c>
      <c r="B35" s="27" t="str">
        <f>'WP12 Condensed Sch. Level Costs'!A32</f>
        <v>51E</v>
      </c>
      <c r="C35" s="327" t="str">
        <f>'WP12 Condensed Sch. Level Costs'!B32</f>
        <v>SMART LIGHT</v>
      </c>
      <c r="D35" s="327" t="str">
        <f>'WP12 Condensed Sch. Level Costs'!C32</f>
        <v>Light Emitting Diode</v>
      </c>
      <c r="E35" s="41" t="str">
        <f>'WP12 Condensed Sch. Level Costs'!D32</f>
        <v>LED 060.01-090</v>
      </c>
      <c r="F35" s="328">
        <f>ROUND('WP12 Condensed Sch. Level Costs'!S32,2)</f>
        <v>3.65</v>
      </c>
      <c r="G35" s="339">
        <f>ROUND('WP12 Condensed Sch. Level Costs'!AE32,6)</f>
        <v>1.0432E-2</v>
      </c>
    </row>
    <row r="36" spans="1:7" x14ac:dyDescent="0.2">
      <c r="A36" s="32">
        <f t="shared" si="0"/>
        <v>28</v>
      </c>
      <c r="B36" s="27" t="str">
        <f>'WP12 Condensed Sch. Level Costs'!A33</f>
        <v>51E</v>
      </c>
      <c r="C36" s="327" t="str">
        <f>'WP12 Condensed Sch. Level Costs'!B33</f>
        <v>SMART LIGHT</v>
      </c>
      <c r="D36" s="327" t="str">
        <f>'WP12 Condensed Sch. Level Costs'!C33</f>
        <v>Light Emitting Diode</v>
      </c>
      <c r="E36" s="41" t="str">
        <f>'WP12 Condensed Sch. Level Costs'!D33</f>
        <v>LED 090.01-120</v>
      </c>
      <c r="F36" s="328">
        <f>ROUND('WP12 Condensed Sch. Level Costs'!S33,2)</f>
        <v>3.65</v>
      </c>
      <c r="G36" s="339">
        <f>ROUND('WP12 Condensed Sch. Level Costs'!AE33,6)</f>
        <v>1.0432E-2</v>
      </c>
    </row>
    <row r="37" spans="1:7" x14ac:dyDescent="0.2">
      <c r="A37" s="32">
        <f t="shared" si="0"/>
        <v>29</v>
      </c>
      <c r="B37" s="27" t="str">
        <f>'WP12 Condensed Sch. Level Costs'!A34</f>
        <v>51E</v>
      </c>
      <c r="C37" s="327" t="str">
        <f>'WP12 Condensed Sch. Level Costs'!B34</f>
        <v>SMART LIGHT</v>
      </c>
      <c r="D37" s="327" t="str">
        <f>'WP12 Condensed Sch. Level Costs'!C34</f>
        <v>Light Emitting Diode</v>
      </c>
      <c r="E37" s="41" t="str">
        <f>'WP12 Condensed Sch. Level Costs'!D34</f>
        <v>LED 120.01-150</v>
      </c>
      <c r="F37" s="328">
        <f>ROUND('WP12 Condensed Sch. Level Costs'!S34,2)</f>
        <v>3.65</v>
      </c>
      <c r="G37" s="339">
        <f>ROUND('WP12 Condensed Sch. Level Costs'!AE34,6)</f>
        <v>1.0432E-2</v>
      </c>
    </row>
    <row r="38" spans="1:7" x14ac:dyDescent="0.2">
      <c r="A38" s="32">
        <f t="shared" si="0"/>
        <v>30</v>
      </c>
      <c r="B38" s="27" t="str">
        <f>'WP12 Condensed Sch. Level Costs'!A35</f>
        <v>51E</v>
      </c>
      <c r="C38" s="327" t="str">
        <f>'WP12 Condensed Sch. Level Costs'!B35</f>
        <v>SMART LIGHT</v>
      </c>
      <c r="D38" s="327" t="str">
        <f>'WP12 Condensed Sch. Level Costs'!C35</f>
        <v>Light Emitting Diode</v>
      </c>
      <c r="E38" s="41" t="str">
        <f>'WP12 Condensed Sch. Level Costs'!D35</f>
        <v>LED 150.01-180</v>
      </c>
      <c r="F38" s="328">
        <f>ROUND('WP12 Condensed Sch. Level Costs'!S35,2)</f>
        <v>3.65</v>
      </c>
      <c r="G38" s="339">
        <f>ROUND('WP12 Condensed Sch. Level Costs'!AE35,6)</f>
        <v>1.0432E-2</v>
      </c>
    </row>
    <row r="39" spans="1:7" x14ac:dyDescent="0.2">
      <c r="A39" s="32">
        <f t="shared" si="0"/>
        <v>31</v>
      </c>
      <c r="B39" s="27" t="str">
        <f>'WP12 Condensed Sch. Level Costs'!A36</f>
        <v>51E</v>
      </c>
      <c r="C39" s="327" t="str">
        <f>'WP12 Condensed Sch. Level Costs'!B36</f>
        <v>SMART LIGHT</v>
      </c>
      <c r="D39" s="327" t="str">
        <f>'WP12 Condensed Sch. Level Costs'!C36</f>
        <v>Light Emitting Diode</v>
      </c>
      <c r="E39" s="41" t="str">
        <f>'WP12 Condensed Sch. Level Costs'!D36</f>
        <v>LED 180.01-210</v>
      </c>
      <c r="F39" s="328">
        <f>ROUND('WP12 Condensed Sch. Level Costs'!S36,2)</f>
        <v>3.65</v>
      </c>
      <c r="G39" s="339">
        <f>ROUND('WP12 Condensed Sch. Level Costs'!AE36,6)</f>
        <v>1.0432E-2</v>
      </c>
    </row>
    <row r="40" spans="1:7" x14ac:dyDescent="0.2">
      <c r="A40" s="32">
        <f t="shared" si="0"/>
        <v>32</v>
      </c>
      <c r="B40" s="27" t="str">
        <f>'WP12 Condensed Sch. Level Costs'!A37</f>
        <v>51E</v>
      </c>
      <c r="C40" s="327" t="str">
        <f>'WP12 Condensed Sch. Level Costs'!B37</f>
        <v>SMART LIGHT</v>
      </c>
      <c r="D40" s="327" t="str">
        <f>'WP12 Condensed Sch. Level Costs'!C37</f>
        <v>Light Emitting Diode</v>
      </c>
      <c r="E40" s="41" t="str">
        <f>'WP12 Condensed Sch. Level Costs'!D37</f>
        <v>LED 210.01-240</v>
      </c>
      <c r="F40" s="328">
        <f>ROUND('WP12 Condensed Sch. Level Costs'!S37,2)</f>
        <v>3.65</v>
      </c>
      <c r="G40" s="339">
        <f>ROUND('WP12 Condensed Sch. Level Costs'!AE37,6)</f>
        <v>1.0432E-2</v>
      </c>
    </row>
    <row r="41" spans="1:7" x14ac:dyDescent="0.2">
      <c r="A41" s="32">
        <f t="shared" si="0"/>
        <v>33</v>
      </c>
      <c r="B41" s="27" t="str">
        <f>'WP12 Condensed Sch. Level Costs'!A38</f>
        <v>51E</v>
      </c>
      <c r="C41" s="327" t="str">
        <f>'WP12 Condensed Sch. Level Costs'!B38</f>
        <v>SMART LIGHT</v>
      </c>
      <c r="D41" s="327" t="str">
        <f>'WP12 Condensed Sch. Level Costs'!C38</f>
        <v>Light Emitting Diode</v>
      </c>
      <c r="E41" s="41" t="str">
        <f>'WP12 Condensed Sch. Level Costs'!D38</f>
        <v>LED 240.01-270</v>
      </c>
      <c r="F41" s="328">
        <f>ROUND('WP12 Condensed Sch. Level Costs'!S38,2)</f>
        <v>3.65</v>
      </c>
      <c r="G41" s="339">
        <f>ROUND('WP12 Condensed Sch. Level Costs'!AE38,6)</f>
        <v>1.0432E-2</v>
      </c>
    </row>
    <row r="42" spans="1:7" x14ac:dyDescent="0.2">
      <c r="A42" s="32">
        <f t="shared" si="0"/>
        <v>34</v>
      </c>
      <c r="B42" s="27" t="str">
        <f>'WP12 Condensed Sch. Level Costs'!A39</f>
        <v>51E</v>
      </c>
      <c r="C42" s="327" t="str">
        <f>'WP12 Condensed Sch. Level Costs'!B39</f>
        <v>SMART LIGHT</v>
      </c>
      <c r="D42" s="327" t="str">
        <f>'WP12 Condensed Sch. Level Costs'!C39</f>
        <v>Light Emitting Diode</v>
      </c>
      <c r="E42" s="41" t="str">
        <f>'WP12 Condensed Sch. Level Costs'!D39</f>
        <v>LED 270.01-300</v>
      </c>
      <c r="F42" s="328">
        <f>ROUND('WP12 Condensed Sch. Level Costs'!S39,2)</f>
        <v>3.65</v>
      </c>
      <c r="G42" s="339">
        <f>ROUND('WP12 Condensed Sch. Level Costs'!AE39,6)</f>
        <v>1.0432E-2</v>
      </c>
    </row>
    <row r="43" spans="1:7" x14ac:dyDescent="0.2">
      <c r="A43" s="32">
        <f t="shared" si="0"/>
        <v>35</v>
      </c>
      <c r="B43" s="27"/>
      <c r="C43" s="27"/>
      <c r="D43" s="327"/>
      <c r="E43" s="41"/>
      <c r="F43" s="342"/>
      <c r="G43" s="328"/>
    </row>
    <row r="44" spans="1:7" x14ac:dyDescent="0.2">
      <c r="A44" s="32">
        <f t="shared" si="0"/>
        <v>36</v>
      </c>
      <c r="B44" s="27" t="str">
        <f>'WP12 Condensed Sch. Level Costs'!A40</f>
        <v>Sch 52E</v>
      </c>
      <c r="C44" s="27"/>
      <c r="D44" s="327"/>
      <c r="E44" s="41"/>
      <c r="F44" s="342"/>
      <c r="G44" s="328"/>
    </row>
    <row r="45" spans="1:7" x14ac:dyDescent="0.2">
      <c r="A45" s="32">
        <f t="shared" si="0"/>
        <v>37</v>
      </c>
      <c r="B45" s="27" t="str">
        <f>'WP12 Condensed Sch. Level Costs'!A41</f>
        <v xml:space="preserve">52E </v>
      </c>
      <c r="C45" s="27"/>
      <c r="D45" s="327" t="str">
        <f>'WP12 Condensed Sch. Level Costs'!C41</f>
        <v>Sodium Vapor</v>
      </c>
      <c r="E45" s="41" t="str">
        <f>'WP12 Condensed Sch. Level Costs'!D41</f>
        <v>SV 50</v>
      </c>
      <c r="F45" s="328">
        <f>ROUND('WP12 Condensed Sch. Level Costs'!S41,2)</f>
        <v>3.65</v>
      </c>
      <c r="G45" s="328">
        <f>ROUND('WP12 Condensed Sch. Level Costs'!X41,2)</f>
        <v>0.18</v>
      </c>
    </row>
    <row r="46" spans="1:7" x14ac:dyDescent="0.2">
      <c r="A46" s="32">
        <f t="shared" si="0"/>
        <v>38</v>
      </c>
      <c r="B46" s="27" t="str">
        <f>'WP12 Condensed Sch. Level Costs'!A42</f>
        <v xml:space="preserve">52E </v>
      </c>
      <c r="C46" s="27"/>
      <c r="D46" s="327" t="str">
        <f>'WP12 Condensed Sch. Level Costs'!C42</f>
        <v>Sodium Vapor</v>
      </c>
      <c r="E46" s="41" t="str">
        <f>'WP12 Condensed Sch. Level Costs'!D42</f>
        <v>SV 070</v>
      </c>
      <c r="F46" s="328">
        <f>ROUND('WP12 Condensed Sch. Level Costs'!S42,2)</f>
        <v>3.65</v>
      </c>
      <c r="G46" s="328">
        <f>ROUND('WP12 Condensed Sch. Level Costs'!X42,2)</f>
        <v>0.26</v>
      </c>
    </row>
    <row r="47" spans="1:7" x14ac:dyDescent="0.2">
      <c r="A47" s="32">
        <f t="shared" si="0"/>
        <v>39</v>
      </c>
      <c r="B47" s="27" t="str">
        <f>'WP12 Condensed Sch. Level Costs'!A43</f>
        <v xml:space="preserve">52E </v>
      </c>
      <c r="C47" s="27"/>
      <c r="D47" s="327" t="str">
        <f>'WP12 Condensed Sch. Level Costs'!C43</f>
        <v>Sodium Vapor</v>
      </c>
      <c r="E47" s="41" t="str">
        <f>'WP12 Condensed Sch. Level Costs'!D43</f>
        <v>SV 100</v>
      </c>
      <c r="F47" s="328">
        <f>ROUND('WP12 Condensed Sch. Level Costs'!S43,2)</f>
        <v>3.65</v>
      </c>
      <c r="G47" s="328">
        <f>ROUND('WP12 Condensed Sch. Level Costs'!X43,2)</f>
        <v>0.37</v>
      </c>
    </row>
    <row r="48" spans="1:7" x14ac:dyDescent="0.2">
      <c r="A48" s="32">
        <f t="shared" si="0"/>
        <v>40</v>
      </c>
      <c r="B48" s="27" t="str">
        <f>'WP12 Condensed Sch. Level Costs'!A44</f>
        <v xml:space="preserve">52E </v>
      </c>
      <c r="C48" s="27"/>
      <c r="D48" s="327" t="str">
        <f>'WP12 Condensed Sch. Level Costs'!C44</f>
        <v>Sodium Vapor</v>
      </c>
      <c r="E48" s="41" t="str">
        <f>'WP12 Condensed Sch. Level Costs'!D44</f>
        <v>SV 150</v>
      </c>
      <c r="F48" s="328">
        <f>ROUND('WP12 Condensed Sch. Level Costs'!S44,2)</f>
        <v>3.65</v>
      </c>
      <c r="G48" s="328">
        <f>ROUND('WP12 Condensed Sch. Level Costs'!X44,2)</f>
        <v>0.55000000000000004</v>
      </c>
    </row>
    <row r="49" spans="1:7" x14ac:dyDescent="0.2">
      <c r="A49" s="32">
        <f t="shared" si="0"/>
        <v>41</v>
      </c>
      <c r="B49" s="27" t="str">
        <f>'WP12 Condensed Sch. Level Costs'!A45</f>
        <v xml:space="preserve">52E </v>
      </c>
      <c r="C49" s="27"/>
      <c r="D49" s="327" t="str">
        <f>'WP12 Condensed Sch. Level Costs'!C45</f>
        <v>Sodium Vapor</v>
      </c>
      <c r="E49" s="41" t="str">
        <f>'WP12 Condensed Sch. Level Costs'!D45</f>
        <v>SV 200</v>
      </c>
      <c r="F49" s="328">
        <f>ROUND('WP12 Condensed Sch. Level Costs'!S45,2)</f>
        <v>3.65</v>
      </c>
      <c r="G49" s="328">
        <f>ROUND('WP12 Condensed Sch. Level Costs'!X45,2)</f>
        <v>0.73</v>
      </c>
    </row>
    <row r="50" spans="1:7" x14ac:dyDescent="0.2">
      <c r="A50" s="32">
        <f t="shared" si="0"/>
        <v>42</v>
      </c>
      <c r="B50" s="27" t="str">
        <f>'WP12 Condensed Sch. Level Costs'!A46</f>
        <v xml:space="preserve">52E </v>
      </c>
      <c r="C50" s="27"/>
      <c r="D50" s="327" t="str">
        <f>'WP12 Condensed Sch. Level Costs'!C46</f>
        <v>Sodium Vapor</v>
      </c>
      <c r="E50" s="41" t="str">
        <f>'WP12 Condensed Sch. Level Costs'!D46</f>
        <v>SV 250</v>
      </c>
      <c r="F50" s="328">
        <f>ROUND('WP12 Condensed Sch. Level Costs'!S46,2)</f>
        <v>3.65</v>
      </c>
      <c r="G50" s="328">
        <f>ROUND('WP12 Condensed Sch. Level Costs'!X46,2)</f>
        <v>0.91</v>
      </c>
    </row>
    <row r="51" spans="1:7" x14ac:dyDescent="0.2">
      <c r="A51" s="32">
        <f t="shared" si="0"/>
        <v>43</v>
      </c>
      <c r="B51" s="27" t="str">
        <f>'WP12 Condensed Sch. Level Costs'!A47</f>
        <v xml:space="preserve">52E </v>
      </c>
      <c r="C51" s="27"/>
      <c r="D51" s="327" t="str">
        <f>'WP12 Condensed Sch. Level Costs'!C47</f>
        <v>Sodium Vapor</v>
      </c>
      <c r="E51" s="41" t="str">
        <f>'WP12 Condensed Sch. Level Costs'!D47</f>
        <v>SV 310</v>
      </c>
      <c r="F51" s="328">
        <f>ROUND('WP12 Condensed Sch. Level Costs'!S47,2)</f>
        <v>3.65</v>
      </c>
      <c r="G51" s="328">
        <f>ROUND('WP12 Condensed Sch. Level Costs'!X47,2)</f>
        <v>1.1299999999999999</v>
      </c>
    </row>
    <row r="52" spans="1:7" x14ac:dyDescent="0.2">
      <c r="A52" s="32">
        <f t="shared" si="0"/>
        <v>44</v>
      </c>
      <c r="B52" s="27" t="str">
        <f>'WP12 Condensed Sch. Level Costs'!A48</f>
        <v xml:space="preserve">52E </v>
      </c>
      <c r="C52" s="27"/>
      <c r="D52" s="327" t="str">
        <f>'WP12 Condensed Sch. Level Costs'!C48</f>
        <v>Sodium Vapor</v>
      </c>
      <c r="E52" s="41" t="str">
        <f>'WP12 Condensed Sch. Level Costs'!D48</f>
        <v>SV 400</v>
      </c>
      <c r="F52" s="328">
        <f>ROUND('WP12 Condensed Sch. Level Costs'!S48,2)</f>
        <v>3.65</v>
      </c>
      <c r="G52" s="328">
        <f>ROUND('WP12 Condensed Sch. Level Costs'!X48,2)</f>
        <v>1.46</v>
      </c>
    </row>
    <row r="53" spans="1:7" x14ac:dyDescent="0.2">
      <c r="A53" s="32">
        <f t="shared" si="0"/>
        <v>45</v>
      </c>
      <c r="B53" s="27"/>
      <c r="C53" s="27"/>
      <c r="D53" s="327"/>
      <c r="E53" s="41"/>
      <c r="F53" s="328"/>
      <c r="G53" s="328"/>
    </row>
    <row r="54" spans="1:7" x14ac:dyDescent="0.2">
      <c r="A54" s="32">
        <f t="shared" si="0"/>
        <v>46</v>
      </c>
      <c r="B54" s="27" t="str">
        <f>'WP12 Condensed Sch. Level Costs'!A50</f>
        <v xml:space="preserve">52E </v>
      </c>
      <c r="C54" s="27"/>
      <c r="D54" s="327" t="str">
        <f>'WP12 Condensed Sch. Level Costs'!C50</f>
        <v>Metal Halide</v>
      </c>
      <c r="E54" s="41" t="str">
        <f>'WP12 Condensed Sch. Level Costs'!D50</f>
        <v>MH 070</v>
      </c>
      <c r="F54" s="328">
        <f>ROUND('WP12 Condensed Sch. Level Costs'!S50,2)</f>
        <v>3.65</v>
      </c>
      <c r="G54" s="328">
        <f>ROUND('WP12 Condensed Sch. Level Costs'!X50,2)</f>
        <v>0.26</v>
      </c>
    </row>
    <row r="55" spans="1:7" x14ac:dyDescent="0.2">
      <c r="A55" s="32">
        <f t="shared" si="0"/>
        <v>47</v>
      </c>
      <c r="B55" s="27" t="str">
        <f>'WP12 Condensed Sch. Level Costs'!A51</f>
        <v xml:space="preserve">52E </v>
      </c>
      <c r="C55" s="27"/>
      <c r="D55" s="327" t="str">
        <f>'WP12 Condensed Sch. Level Costs'!C51</f>
        <v>Metal Halide</v>
      </c>
      <c r="E55" s="41" t="str">
        <f>'WP12 Condensed Sch. Level Costs'!D51</f>
        <v>MH 100</v>
      </c>
      <c r="F55" s="328">
        <f>ROUND('WP12 Condensed Sch. Level Costs'!S51,2)</f>
        <v>3.65</v>
      </c>
      <c r="G55" s="328">
        <f>ROUND('WP12 Condensed Sch. Level Costs'!X51,2)</f>
        <v>0.37</v>
      </c>
    </row>
    <row r="56" spans="1:7" x14ac:dyDescent="0.2">
      <c r="A56" s="32">
        <f t="shared" si="0"/>
        <v>48</v>
      </c>
      <c r="B56" s="27" t="str">
        <f>'WP12 Condensed Sch. Level Costs'!A52</f>
        <v xml:space="preserve">52E </v>
      </c>
      <c r="C56" s="27"/>
      <c r="D56" s="327" t="str">
        <f>'WP12 Condensed Sch. Level Costs'!C52</f>
        <v>Metal Halide</v>
      </c>
      <c r="E56" s="41" t="str">
        <f>'WP12 Condensed Sch. Level Costs'!D52</f>
        <v>MH 150</v>
      </c>
      <c r="F56" s="328">
        <f>ROUND('WP12 Condensed Sch. Level Costs'!S52,2)</f>
        <v>3.65</v>
      </c>
      <c r="G56" s="328">
        <f>ROUND('WP12 Condensed Sch. Level Costs'!X52,2)</f>
        <v>0.55000000000000004</v>
      </c>
    </row>
    <row r="57" spans="1:7" x14ac:dyDescent="0.2">
      <c r="A57" s="32">
        <f t="shared" si="0"/>
        <v>49</v>
      </c>
      <c r="B57" s="27" t="str">
        <f>'WP12 Condensed Sch. Level Costs'!A53</f>
        <v xml:space="preserve">52E </v>
      </c>
      <c r="C57" s="27"/>
      <c r="D57" s="327" t="str">
        <f>'WP12 Condensed Sch. Level Costs'!C53</f>
        <v>Metal Halide</v>
      </c>
      <c r="E57" s="41" t="str">
        <f>'WP12 Condensed Sch. Level Costs'!D53</f>
        <v>MH 175</v>
      </c>
      <c r="F57" s="328">
        <f>ROUND('WP12 Condensed Sch. Level Costs'!S53,2)</f>
        <v>3.65</v>
      </c>
      <c r="G57" s="328">
        <f>ROUND('WP12 Condensed Sch. Level Costs'!X53,2)</f>
        <v>0.64</v>
      </c>
    </row>
    <row r="58" spans="1:7" x14ac:dyDescent="0.2">
      <c r="A58" s="32">
        <f t="shared" si="0"/>
        <v>50</v>
      </c>
      <c r="B58" s="27" t="str">
        <f>'WP12 Condensed Sch. Level Costs'!A54</f>
        <v xml:space="preserve">52E </v>
      </c>
      <c r="C58" s="27"/>
      <c r="D58" s="327" t="str">
        <f>'WP12 Condensed Sch. Level Costs'!C54</f>
        <v>Metal Halide</v>
      </c>
      <c r="E58" s="41" t="str">
        <f>'WP12 Condensed Sch. Level Costs'!D54</f>
        <v>MH 250</v>
      </c>
      <c r="F58" s="328">
        <f>ROUND('WP12 Condensed Sch. Level Costs'!S54,2)</f>
        <v>3.65</v>
      </c>
      <c r="G58" s="328">
        <f>ROUND('WP12 Condensed Sch. Level Costs'!X54,2)</f>
        <v>0.91</v>
      </c>
    </row>
    <row r="59" spans="1:7" x14ac:dyDescent="0.2">
      <c r="A59" s="32">
        <f t="shared" si="0"/>
        <v>51</v>
      </c>
      <c r="B59" s="27" t="str">
        <f>'WP12 Condensed Sch. Level Costs'!A55</f>
        <v xml:space="preserve">52E </v>
      </c>
      <c r="C59" s="27"/>
      <c r="D59" s="327" t="str">
        <f>'WP12 Condensed Sch. Level Costs'!C55</f>
        <v>Metal Halide</v>
      </c>
      <c r="E59" s="41" t="str">
        <f>'WP12 Condensed Sch. Level Costs'!D55</f>
        <v>MH 400</v>
      </c>
      <c r="F59" s="328">
        <f>ROUND('WP12 Condensed Sch. Level Costs'!S55,2)</f>
        <v>3.65</v>
      </c>
      <c r="G59" s="328">
        <f>ROUND('WP12 Condensed Sch. Level Costs'!X55,2)</f>
        <v>1.46</v>
      </c>
    </row>
    <row r="60" spans="1:7" x14ac:dyDescent="0.2">
      <c r="A60" s="32">
        <f t="shared" si="0"/>
        <v>52</v>
      </c>
      <c r="B60" s="27" t="str">
        <f>'WP12 Condensed Sch. Level Costs'!A56</f>
        <v xml:space="preserve">52E </v>
      </c>
      <c r="C60" s="27"/>
      <c r="D60" s="327" t="str">
        <f>'WP12 Condensed Sch. Level Costs'!C56</f>
        <v>Metal Halide</v>
      </c>
      <c r="E60" s="41" t="str">
        <f>'WP12 Condensed Sch. Level Costs'!D56</f>
        <v>MH 1000</v>
      </c>
      <c r="F60" s="328">
        <f>ROUND('WP12 Condensed Sch. Level Costs'!S56,2)</f>
        <v>3.65</v>
      </c>
      <c r="G60" s="328">
        <f>ROUND('WP12 Condensed Sch. Level Costs'!X56,2)</f>
        <v>3.65</v>
      </c>
    </row>
    <row r="61" spans="1:7" x14ac:dyDescent="0.2">
      <c r="A61" s="32">
        <f t="shared" si="0"/>
        <v>53</v>
      </c>
      <c r="B61" s="27"/>
      <c r="C61" s="27"/>
      <c r="D61" s="327"/>
      <c r="E61" s="41"/>
      <c r="F61" s="342"/>
      <c r="G61" s="328"/>
    </row>
    <row r="62" spans="1:7" x14ac:dyDescent="0.2">
      <c r="A62" s="32">
        <f t="shared" si="0"/>
        <v>54</v>
      </c>
      <c r="B62" s="27" t="str">
        <f>'WP12 Condensed Sch. Level Costs'!A57</f>
        <v>Sch 53E</v>
      </c>
      <c r="C62" s="27"/>
      <c r="D62" s="327"/>
      <c r="E62" s="41"/>
      <c r="F62" s="342"/>
      <c r="G62" s="328"/>
    </row>
    <row r="63" spans="1:7" x14ac:dyDescent="0.2">
      <c r="A63" s="32">
        <f t="shared" si="0"/>
        <v>55</v>
      </c>
      <c r="B63" s="27" t="str">
        <f>'WP12 Condensed Sch. Level Costs'!A58</f>
        <v>53E - Company Owned</v>
      </c>
      <c r="C63" s="27"/>
      <c r="D63" s="327" t="str">
        <f>'WP12 Condensed Sch. Level Costs'!C58</f>
        <v>Sodium Vapor</v>
      </c>
      <c r="E63" s="41" t="str">
        <f>'WP12 Condensed Sch. Level Costs'!D58</f>
        <v>SV 050</v>
      </c>
      <c r="F63" s="328">
        <f>ROUND('WP12 Condensed Sch. Level Costs'!S58,2)</f>
        <v>3.65</v>
      </c>
      <c r="G63" s="328">
        <f>ROUND('WP12 Condensed Sch. Level Costs'!X58,2)</f>
        <v>0.18</v>
      </c>
    </row>
    <row r="64" spans="1:7" x14ac:dyDescent="0.2">
      <c r="A64" s="32">
        <f t="shared" si="0"/>
        <v>56</v>
      </c>
      <c r="B64" s="27" t="str">
        <f>'WP12 Condensed Sch. Level Costs'!A59</f>
        <v>53E - Company Owned</v>
      </c>
      <c r="C64" s="27"/>
      <c r="D64" s="327" t="str">
        <f>'WP12 Condensed Sch. Level Costs'!C59</f>
        <v>Sodium Vapor</v>
      </c>
      <c r="E64" s="41" t="str">
        <f>'WP12 Condensed Sch. Level Costs'!D59</f>
        <v>SV 070</v>
      </c>
      <c r="F64" s="328">
        <f>ROUND('WP12 Condensed Sch. Level Costs'!S59,2)</f>
        <v>3.65</v>
      </c>
      <c r="G64" s="328">
        <f>ROUND('WP12 Condensed Sch. Level Costs'!X59,2)</f>
        <v>0.26</v>
      </c>
    </row>
    <row r="65" spans="1:7" x14ac:dyDescent="0.2">
      <c r="A65" s="32">
        <f t="shared" si="0"/>
        <v>57</v>
      </c>
      <c r="B65" s="27" t="str">
        <f>'WP12 Condensed Sch. Level Costs'!A60</f>
        <v>53E - Company Owned</v>
      </c>
      <c r="C65" s="27"/>
      <c r="D65" s="327" t="str">
        <f>'WP12 Condensed Sch. Level Costs'!C60</f>
        <v>Sodium Vapor</v>
      </c>
      <c r="E65" s="41" t="str">
        <f>'WP12 Condensed Sch. Level Costs'!D60</f>
        <v>SV 100</v>
      </c>
      <c r="F65" s="328">
        <f>ROUND('WP12 Condensed Sch. Level Costs'!S60,2)</f>
        <v>3.65</v>
      </c>
      <c r="G65" s="328">
        <f>ROUND('WP12 Condensed Sch. Level Costs'!X60,2)</f>
        <v>0.37</v>
      </c>
    </row>
    <row r="66" spans="1:7" x14ac:dyDescent="0.2">
      <c r="A66" s="32">
        <f t="shared" si="0"/>
        <v>58</v>
      </c>
      <c r="B66" s="27" t="str">
        <f>'WP12 Condensed Sch. Level Costs'!A61</f>
        <v>53E - Company Owned</v>
      </c>
      <c r="C66" s="27"/>
      <c r="D66" s="327" t="str">
        <f>'WP12 Condensed Sch. Level Costs'!C61</f>
        <v>Sodium Vapor</v>
      </c>
      <c r="E66" s="41" t="str">
        <f>'WP12 Condensed Sch. Level Costs'!D61</f>
        <v>SV 150</v>
      </c>
      <c r="F66" s="328">
        <f>ROUND('WP12 Condensed Sch. Level Costs'!S61,2)</f>
        <v>3.65</v>
      </c>
      <c r="G66" s="328">
        <f>ROUND('WP12 Condensed Sch. Level Costs'!X61,2)</f>
        <v>0.55000000000000004</v>
      </c>
    </row>
    <row r="67" spans="1:7" x14ac:dyDescent="0.2">
      <c r="A67" s="32">
        <f t="shared" si="0"/>
        <v>59</v>
      </c>
      <c r="B67" s="27" t="str">
        <f>'WP12 Condensed Sch. Level Costs'!A62</f>
        <v>53E - Company Owned</v>
      </c>
      <c r="C67" s="27"/>
      <c r="D67" s="327" t="str">
        <f>'WP12 Condensed Sch. Level Costs'!C62</f>
        <v>Sodium Vapor</v>
      </c>
      <c r="E67" s="41" t="str">
        <f>'WP12 Condensed Sch. Level Costs'!D62</f>
        <v>SV 200</v>
      </c>
      <c r="F67" s="328">
        <f>ROUND('WP12 Condensed Sch. Level Costs'!S62,2)</f>
        <v>3.65</v>
      </c>
      <c r="G67" s="328">
        <f>ROUND('WP12 Condensed Sch. Level Costs'!X62,2)</f>
        <v>0.73</v>
      </c>
    </row>
    <row r="68" spans="1:7" x14ac:dyDescent="0.2">
      <c r="A68" s="32">
        <f t="shared" si="0"/>
        <v>60</v>
      </c>
      <c r="B68" s="27" t="str">
        <f>'WP12 Condensed Sch. Level Costs'!A63</f>
        <v>53E - Company Owned</v>
      </c>
      <c r="C68" s="27"/>
      <c r="D68" s="327" t="str">
        <f>'WP12 Condensed Sch. Level Costs'!C63</f>
        <v>Sodium Vapor</v>
      </c>
      <c r="E68" s="41" t="str">
        <f>'WP12 Condensed Sch. Level Costs'!D63</f>
        <v>SV 250</v>
      </c>
      <c r="F68" s="328">
        <f>ROUND('WP12 Condensed Sch. Level Costs'!S63,2)</f>
        <v>3.65</v>
      </c>
      <c r="G68" s="328">
        <f>ROUND('WP12 Condensed Sch. Level Costs'!X63,2)</f>
        <v>0.91</v>
      </c>
    </row>
    <row r="69" spans="1:7" x14ac:dyDescent="0.2">
      <c r="A69" s="32">
        <f t="shared" si="0"/>
        <v>61</v>
      </c>
      <c r="B69" s="27" t="str">
        <f>'WP12 Condensed Sch. Level Costs'!A64</f>
        <v>53E - Company Owned</v>
      </c>
      <c r="C69" s="27"/>
      <c r="D69" s="327" t="str">
        <f>'WP12 Condensed Sch. Level Costs'!C64</f>
        <v>Sodium Vapor</v>
      </c>
      <c r="E69" s="41" t="str">
        <f>'WP12 Condensed Sch. Level Costs'!D64</f>
        <v>SV 310</v>
      </c>
      <c r="F69" s="328">
        <f>ROUND('WP12 Condensed Sch. Level Costs'!S64,2)</f>
        <v>3.65</v>
      </c>
      <c r="G69" s="328">
        <f>ROUND('WP12 Condensed Sch. Level Costs'!X64,2)</f>
        <v>1.1299999999999999</v>
      </c>
    </row>
    <row r="70" spans="1:7" x14ac:dyDescent="0.2">
      <c r="A70" s="32">
        <f t="shared" si="0"/>
        <v>62</v>
      </c>
      <c r="B70" s="27" t="str">
        <f>'WP12 Condensed Sch. Level Costs'!A65</f>
        <v>53E - Company Owned</v>
      </c>
      <c r="C70" s="27"/>
      <c r="D70" s="327" t="str">
        <f>'WP12 Condensed Sch. Level Costs'!C65</f>
        <v>Sodium Vapor</v>
      </c>
      <c r="E70" s="41" t="str">
        <f>'WP12 Condensed Sch. Level Costs'!D65</f>
        <v>SV 400</v>
      </c>
      <c r="F70" s="328">
        <f>ROUND('WP12 Condensed Sch. Level Costs'!S65,2)</f>
        <v>3.65</v>
      </c>
      <c r="G70" s="328">
        <f>ROUND('WP12 Condensed Sch. Level Costs'!X65,2)</f>
        <v>1.46</v>
      </c>
    </row>
    <row r="71" spans="1:7" x14ac:dyDescent="0.2">
      <c r="A71" s="32">
        <f t="shared" si="0"/>
        <v>63</v>
      </c>
      <c r="B71" s="27" t="str">
        <f>'WP12 Condensed Sch. Level Costs'!A66</f>
        <v>53E - Company Owned</v>
      </c>
      <c r="C71" s="27"/>
      <c r="D71" s="327" t="str">
        <f>'WP12 Condensed Sch. Level Costs'!C66</f>
        <v>Sodium Vapor</v>
      </c>
      <c r="E71" s="41" t="str">
        <f>'WP12 Condensed Sch. Level Costs'!D66</f>
        <v>SV 1000</v>
      </c>
      <c r="F71" s="328">
        <f>ROUND('WP12 Condensed Sch. Level Costs'!S66,2)</f>
        <v>3.65</v>
      </c>
      <c r="G71" s="328">
        <f>ROUND('WP12 Condensed Sch. Level Costs'!X66,2)</f>
        <v>3.65</v>
      </c>
    </row>
    <row r="72" spans="1:7" x14ac:dyDescent="0.2">
      <c r="A72" s="32">
        <f t="shared" si="0"/>
        <v>64</v>
      </c>
      <c r="B72" s="27"/>
      <c r="C72" s="27"/>
      <c r="D72" s="327"/>
      <c r="E72" s="41"/>
      <c r="F72" s="328"/>
      <c r="G72" s="328"/>
    </row>
    <row r="73" spans="1:7" x14ac:dyDescent="0.2">
      <c r="A73" s="32">
        <f t="shared" si="0"/>
        <v>65</v>
      </c>
      <c r="B73" s="27" t="str">
        <f>'WP12 Condensed Sch. Level Costs'!A68</f>
        <v>53E - Company Owned</v>
      </c>
      <c r="C73" s="27"/>
      <c r="D73" s="327" t="str">
        <f>'WP12 Condensed Sch. Level Costs'!C68</f>
        <v>Metal Halide</v>
      </c>
      <c r="E73" s="41" t="str">
        <f>'WP12 Condensed Sch. Level Costs'!D68</f>
        <v>MH 070</v>
      </c>
      <c r="F73" s="328">
        <f>ROUND('WP12 Condensed Sch. Level Costs'!S68,2)</f>
        <v>3.65</v>
      </c>
      <c r="G73" s="328">
        <f>ROUND('WP12 Condensed Sch. Level Costs'!X68,2)</f>
        <v>0.26</v>
      </c>
    </row>
    <row r="74" spans="1:7" x14ac:dyDescent="0.2">
      <c r="A74" s="32">
        <f t="shared" si="0"/>
        <v>66</v>
      </c>
      <c r="B74" s="27" t="str">
        <f>'WP12 Condensed Sch. Level Costs'!A69</f>
        <v>53E - Company Owned</v>
      </c>
      <c r="C74" s="27"/>
      <c r="D74" s="327" t="str">
        <f>'WP12 Condensed Sch. Level Costs'!C69</f>
        <v>Metal Halide</v>
      </c>
      <c r="E74" s="41" t="str">
        <f>'WP12 Condensed Sch. Level Costs'!D69</f>
        <v>MH 100</v>
      </c>
      <c r="F74" s="328">
        <f>ROUND('WP12 Condensed Sch. Level Costs'!S69,2)</f>
        <v>3.65</v>
      </c>
      <c r="G74" s="328">
        <f>ROUND('WP12 Condensed Sch. Level Costs'!X69,2)</f>
        <v>0.37</v>
      </c>
    </row>
    <row r="75" spans="1:7" x14ac:dyDescent="0.2">
      <c r="A75" s="32">
        <f t="shared" si="0"/>
        <v>67</v>
      </c>
      <c r="B75" s="27" t="str">
        <f>'WP12 Condensed Sch. Level Costs'!A70</f>
        <v>53E - Company Owned</v>
      </c>
      <c r="C75" s="27"/>
      <c r="D75" s="327" t="str">
        <f>'WP12 Condensed Sch. Level Costs'!C70</f>
        <v>Metal Halide</v>
      </c>
      <c r="E75" s="41" t="str">
        <f>'WP12 Condensed Sch. Level Costs'!D70</f>
        <v>MH 150</v>
      </c>
      <c r="F75" s="328">
        <f>ROUND('WP12 Condensed Sch. Level Costs'!S70,2)</f>
        <v>3.65</v>
      </c>
      <c r="G75" s="328">
        <f>ROUND('WP12 Condensed Sch. Level Costs'!X70,2)</f>
        <v>0.55000000000000004</v>
      </c>
    </row>
    <row r="76" spans="1:7" x14ac:dyDescent="0.2">
      <c r="A76" s="32">
        <f t="shared" si="0"/>
        <v>68</v>
      </c>
      <c r="B76" s="27" t="str">
        <f>'WP12 Condensed Sch. Level Costs'!A71</f>
        <v>53E - Company Owned</v>
      </c>
      <c r="C76" s="27"/>
      <c r="D76" s="327" t="str">
        <f>'WP12 Condensed Sch. Level Costs'!C71</f>
        <v>Metal Halide</v>
      </c>
      <c r="E76" s="41" t="str">
        <f>'WP12 Condensed Sch. Level Costs'!D71</f>
        <v>MH 250</v>
      </c>
      <c r="F76" s="328">
        <f>ROUND('WP12 Condensed Sch. Level Costs'!S71,2)</f>
        <v>3.65</v>
      </c>
      <c r="G76" s="328">
        <f>ROUND('WP12 Condensed Sch. Level Costs'!X71,2)</f>
        <v>0.91</v>
      </c>
    </row>
    <row r="77" spans="1:7" x14ac:dyDescent="0.2">
      <c r="A77" s="32">
        <f t="shared" si="0"/>
        <v>69</v>
      </c>
      <c r="B77" s="27" t="str">
        <f>'WP12 Condensed Sch. Level Costs'!A72</f>
        <v>53E - Company Owned</v>
      </c>
      <c r="C77" s="27"/>
      <c r="D77" s="327" t="str">
        <f>'WP12 Condensed Sch. Level Costs'!C72</f>
        <v>Metal Halide</v>
      </c>
      <c r="E77" s="41" t="str">
        <f>'WP12 Condensed Sch. Level Costs'!D72</f>
        <v>MH 400</v>
      </c>
      <c r="F77" s="328">
        <f>ROUND('WP12 Condensed Sch. Level Costs'!S72,2)</f>
        <v>3.65</v>
      </c>
      <c r="G77" s="328">
        <f>ROUND('WP12 Condensed Sch. Level Costs'!X72,2)</f>
        <v>1.46</v>
      </c>
    </row>
    <row r="78" spans="1:7" x14ac:dyDescent="0.2">
      <c r="A78" s="32">
        <f t="shared" si="0"/>
        <v>70</v>
      </c>
      <c r="B78" s="27"/>
      <c r="C78" s="27"/>
      <c r="D78" s="327"/>
      <c r="E78" s="41"/>
      <c r="F78" s="328"/>
      <c r="G78" s="328"/>
    </row>
    <row r="79" spans="1:7" x14ac:dyDescent="0.2">
      <c r="A79" s="32">
        <f t="shared" si="0"/>
        <v>71</v>
      </c>
      <c r="B79" s="27" t="str">
        <f>'WP12 Condensed Sch. Level Costs'!A74</f>
        <v>53E - Company Owned</v>
      </c>
      <c r="C79" s="27"/>
      <c r="D79" s="327" t="str">
        <f>'WP12 Condensed Sch. Level Costs'!C74</f>
        <v>Light Emitting Diode</v>
      </c>
      <c r="E79" s="41" t="str">
        <f>'WP12 Condensed Sch. Level Costs'!D74</f>
        <v>LED 0-030</v>
      </c>
      <c r="F79" s="328">
        <f>ROUND('WP12 Condensed Sch. Level Costs'!S74,2)</f>
        <v>3.65</v>
      </c>
      <c r="G79" s="328">
        <f>ROUND('WP12 Condensed Sch. Level Costs'!X74,2)</f>
        <v>0.05</v>
      </c>
    </row>
    <row r="80" spans="1:7" x14ac:dyDescent="0.2">
      <c r="A80" s="32">
        <f t="shared" si="0"/>
        <v>72</v>
      </c>
      <c r="B80" s="27" t="str">
        <f>'WP12 Condensed Sch. Level Costs'!A75</f>
        <v>53E - Company Owned</v>
      </c>
      <c r="C80" s="27"/>
      <c r="D80" s="327" t="str">
        <f>'WP12 Condensed Sch. Level Costs'!C75</f>
        <v>Light Emitting Diode</v>
      </c>
      <c r="E80" s="41" t="str">
        <f>'WP12 Condensed Sch. Level Costs'!D75</f>
        <v>LED 030.01-060</v>
      </c>
      <c r="F80" s="328">
        <f>ROUND('WP12 Condensed Sch. Level Costs'!S75,2)</f>
        <v>3.65</v>
      </c>
      <c r="G80" s="328">
        <f>ROUND('WP12 Condensed Sch. Level Costs'!X75,2)</f>
        <v>0.16</v>
      </c>
    </row>
    <row r="81" spans="1:7" x14ac:dyDescent="0.2">
      <c r="A81" s="32">
        <f t="shared" si="0"/>
        <v>73</v>
      </c>
      <c r="B81" s="27" t="str">
        <f>'WP12 Condensed Sch. Level Costs'!A76</f>
        <v>53E - Company Owned</v>
      </c>
      <c r="C81" s="27"/>
      <c r="D81" s="327" t="str">
        <f>'WP12 Condensed Sch. Level Costs'!C76</f>
        <v>Light Emitting Diode</v>
      </c>
      <c r="E81" s="41" t="str">
        <f>'WP12 Condensed Sch. Level Costs'!D76</f>
        <v>LED 060.01-090</v>
      </c>
      <c r="F81" s="328">
        <f>ROUND('WP12 Condensed Sch. Level Costs'!S76,2)</f>
        <v>3.65</v>
      </c>
      <c r="G81" s="328">
        <f>ROUND('WP12 Condensed Sch. Level Costs'!X76,2)</f>
        <v>0.27</v>
      </c>
    </row>
    <row r="82" spans="1:7" x14ac:dyDescent="0.2">
      <c r="A82" s="32">
        <f t="shared" si="0"/>
        <v>74</v>
      </c>
      <c r="B82" s="27" t="str">
        <f>'WP12 Condensed Sch. Level Costs'!A77</f>
        <v>53E - Company Owned</v>
      </c>
      <c r="C82" s="27"/>
      <c r="D82" s="327" t="str">
        <f>'WP12 Condensed Sch. Level Costs'!C77</f>
        <v>Light Emitting Diode</v>
      </c>
      <c r="E82" s="41" t="str">
        <f>'WP12 Condensed Sch. Level Costs'!D77</f>
        <v>LED 090.01-120</v>
      </c>
      <c r="F82" s="328">
        <f>ROUND('WP12 Condensed Sch. Level Costs'!S77,2)</f>
        <v>3.65</v>
      </c>
      <c r="G82" s="328">
        <f>ROUND('WP12 Condensed Sch. Level Costs'!X77,2)</f>
        <v>0.38</v>
      </c>
    </row>
    <row r="83" spans="1:7" x14ac:dyDescent="0.2">
      <c r="A83" s="32">
        <f t="shared" si="0"/>
        <v>75</v>
      </c>
      <c r="B83" s="27" t="str">
        <f>'WP12 Condensed Sch. Level Costs'!A78</f>
        <v>53E - Company Owned</v>
      </c>
      <c r="C83" s="27"/>
      <c r="D83" s="327" t="str">
        <f>'WP12 Condensed Sch. Level Costs'!C78</f>
        <v>Light Emitting Diode</v>
      </c>
      <c r="E83" s="41" t="str">
        <f>'WP12 Condensed Sch. Level Costs'!D78</f>
        <v>LED 120.01-150</v>
      </c>
      <c r="F83" s="328">
        <f>ROUND('WP12 Condensed Sch. Level Costs'!S78,2)</f>
        <v>3.65</v>
      </c>
      <c r="G83" s="328">
        <f>ROUND('WP12 Condensed Sch. Level Costs'!X78,2)</f>
        <v>0.49</v>
      </c>
    </row>
    <row r="84" spans="1:7" x14ac:dyDescent="0.2">
      <c r="A84" s="32">
        <f t="shared" si="0"/>
        <v>76</v>
      </c>
      <c r="B84" s="27" t="str">
        <f>'WP12 Condensed Sch. Level Costs'!A79</f>
        <v>53E - Company Owned</v>
      </c>
      <c r="C84" s="27"/>
      <c r="D84" s="327" t="str">
        <f>'WP12 Condensed Sch. Level Costs'!C79</f>
        <v>Light Emitting Diode</v>
      </c>
      <c r="E84" s="41" t="str">
        <f>'WP12 Condensed Sch. Level Costs'!D79</f>
        <v>LED 150.01-180</v>
      </c>
      <c r="F84" s="328">
        <f>ROUND('WP12 Condensed Sch. Level Costs'!S79,2)</f>
        <v>3.65</v>
      </c>
      <c r="G84" s="328">
        <f>ROUND('WP12 Condensed Sch. Level Costs'!X79,2)</f>
        <v>0.6</v>
      </c>
    </row>
    <row r="85" spans="1:7" x14ac:dyDescent="0.2">
      <c r="A85" s="32">
        <f t="shared" si="0"/>
        <v>77</v>
      </c>
      <c r="B85" s="27" t="str">
        <f>'WP12 Condensed Sch. Level Costs'!A80</f>
        <v>53E - Company Owned</v>
      </c>
      <c r="C85" s="27"/>
      <c r="D85" s="327" t="str">
        <f>'WP12 Condensed Sch. Level Costs'!C80</f>
        <v>Light Emitting Diode</v>
      </c>
      <c r="E85" s="41" t="str">
        <f>'WP12 Condensed Sch. Level Costs'!D80</f>
        <v>LED 180.01-210</v>
      </c>
      <c r="F85" s="328">
        <f>ROUND('WP12 Condensed Sch. Level Costs'!S80,2)</f>
        <v>3.65</v>
      </c>
      <c r="G85" s="328">
        <f>ROUND('WP12 Condensed Sch. Level Costs'!X80,2)</f>
        <v>0.71</v>
      </c>
    </row>
    <row r="86" spans="1:7" x14ac:dyDescent="0.2">
      <c r="A86" s="32">
        <f t="shared" si="0"/>
        <v>78</v>
      </c>
      <c r="B86" s="27" t="str">
        <f>'WP12 Condensed Sch. Level Costs'!A81</f>
        <v>53E - Company Owned</v>
      </c>
      <c r="C86" s="27"/>
      <c r="D86" s="327" t="str">
        <f>'WP12 Condensed Sch. Level Costs'!C81</f>
        <v>Light Emitting Diode</v>
      </c>
      <c r="E86" s="41" t="str">
        <f>'WP12 Condensed Sch. Level Costs'!D81</f>
        <v>LED 210.01-240</v>
      </c>
      <c r="F86" s="328">
        <f>ROUND('WP12 Condensed Sch. Level Costs'!S81,2)</f>
        <v>3.65</v>
      </c>
      <c r="G86" s="328">
        <f>ROUND('WP12 Condensed Sch. Level Costs'!X81,2)</f>
        <v>0.82</v>
      </c>
    </row>
    <row r="87" spans="1:7" x14ac:dyDescent="0.2">
      <c r="A87" s="32">
        <f t="shared" si="0"/>
        <v>79</v>
      </c>
      <c r="B87" s="27" t="str">
        <f>'WP12 Condensed Sch. Level Costs'!A82</f>
        <v>53E - Company Owned</v>
      </c>
      <c r="C87" s="27"/>
      <c r="D87" s="327" t="str">
        <f>'WP12 Condensed Sch. Level Costs'!C82</f>
        <v>Light Emitting Diode</v>
      </c>
      <c r="E87" s="41" t="str">
        <f>'WP12 Condensed Sch. Level Costs'!D82</f>
        <v>LED 240.01-270</v>
      </c>
      <c r="F87" s="328">
        <f>ROUND('WP12 Condensed Sch. Level Costs'!S82,2)</f>
        <v>3.65</v>
      </c>
      <c r="G87" s="328">
        <f>ROUND('WP12 Condensed Sch. Level Costs'!X82,2)</f>
        <v>0.93</v>
      </c>
    </row>
    <row r="88" spans="1:7" x14ac:dyDescent="0.2">
      <c r="A88" s="32">
        <f t="shared" si="0"/>
        <v>80</v>
      </c>
      <c r="B88" s="27" t="str">
        <f>'WP12 Condensed Sch. Level Costs'!A83</f>
        <v>53E - Company Owned</v>
      </c>
      <c r="C88" s="27"/>
      <c r="D88" s="327" t="str">
        <f>'WP12 Condensed Sch. Level Costs'!C83</f>
        <v>Light Emitting Diode</v>
      </c>
      <c r="E88" s="41" t="str">
        <f>'WP12 Condensed Sch. Level Costs'!D83</f>
        <v>LED 270.01-300</v>
      </c>
      <c r="F88" s="328">
        <f>ROUND('WP12 Condensed Sch. Level Costs'!S83,2)</f>
        <v>3.65</v>
      </c>
      <c r="G88" s="328">
        <f>ROUND('WP12 Condensed Sch. Level Costs'!X83,2)</f>
        <v>1.04</v>
      </c>
    </row>
    <row r="89" spans="1:7" x14ac:dyDescent="0.2">
      <c r="A89" s="32">
        <f t="shared" si="0"/>
        <v>81</v>
      </c>
      <c r="B89" s="27"/>
      <c r="C89" s="27"/>
      <c r="D89" s="327"/>
      <c r="E89" s="41"/>
      <c r="F89" s="328"/>
      <c r="G89" s="328"/>
    </row>
    <row r="90" spans="1:7" x14ac:dyDescent="0.2">
      <c r="A90" s="32">
        <f t="shared" si="0"/>
        <v>82</v>
      </c>
      <c r="B90" s="27" t="str">
        <f>'WP12 Condensed Sch. Level Costs'!A85</f>
        <v>53E - Company Owned</v>
      </c>
      <c r="C90" s="327" t="str">
        <f>'WP12 Condensed Sch. Level Costs'!B85</f>
        <v>SMART LIGHT</v>
      </c>
      <c r="D90" s="327" t="str">
        <f>'WP12 Condensed Sch. Level Costs'!C85</f>
        <v>Light Emitting Diode</v>
      </c>
      <c r="E90" s="41" t="str">
        <f>'WP12 Condensed Sch. Level Costs'!D85</f>
        <v>LED 0-030</v>
      </c>
      <c r="F90" s="328">
        <f>ROUND('WP12 Condensed Sch. Level Costs'!S85,2)</f>
        <v>3.65</v>
      </c>
      <c r="G90" s="339">
        <f>ROUND('WP12 Condensed Sch. Level Costs'!AE85,6)</f>
        <v>1.0432E-2</v>
      </c>
    </row>
    <row r="91" spans="1:7" x14ac:dyDescent="0.2">
      <c r="A91" s="32">
        <f t="shared" ref="A91:A100" si="1">A90+1</f>
        <v>83</v>
      </c>
      <c r="B91" s="27" t="str">
        <f>'WP12 Condensed Sch. Level Costs'!A86</f>
        <v>53E - Company Owned</v>
      </c>
      <c r="C91" s="327" t="str">
        <f>'WP12 Condensed Sch. Level Costs'!B86</f>
        <v>SMART LIGHT</v>
      </c>
      <c r="D91" s="327" t="str">
        <f>'WP12 Condensed Sch. Level Costs'!C86</f>
        <v>Light Emitting Diode</v>
      </c>
      <c r="E91" s="41" t="str">
        <f>'WP12 Condensed Sch. Level Costs'!D86</f>
        <v>LED 030.01-060</v>
      </c>
      <c r="F91" s="328">
        <f>ROUND('WP12 Condensed Sch. Level Costs'!S86,2)</f>
        <v>3.65</v>
      </c>
      <c r="G91" s="339">
        <f>ROUND('WP12 Condensed Sch. Level Costs'!AE86,6)</f>
        <v>1.0432E-2</v>
      </c>
    </row>
    <row r="92" spans="1:7" x14ac:dyDescent="0.2">
      <c r="A92" s="32">
        <f t="shared" si="1"/>
        <v>84</v>
      </c>
      <c r="B92" s="27" t="str">
        <f>'WP12 Condensed Sch. Level Costs'!A87</f>
        <v>53E - Company Owned</v>
      </c>
      <c r="C92" s="327" t="str">
        <f>'WP12 Condensed Sch. Level Costs'!B87</f>
        <v>SMART LIGHT</v>
      </c>
      <c r="D92" s="327" t="str">
        <f>'WP12 Condensed Sch. Level Costs'!C87</f>
        <v>Light Emitting Diode</v>
      </c>
      <c r="E92" s="41" t="str">
        <f>'WP12 Condensed Sch. Level Costs'!D87</f>
        <v>LED 060.01-090</v>
      </c>
      <c r="F92" s="328">
        <f>ROUND('WP12 Condensed Sch. Level Costs'!S87,2)</f>
        <v>3.65</v>
      </c>
      <c r="G92" s="339">
        <f>ROUND('WP12 Condensed Sch. Level Costs'!AE87,6)</f>
        <v>1.0432E-2</v>
      </c>
    </row>
    <row r="93" spans="1:7" x14ac:dyDescent="0.2">
      <c r="A93" s="32">
        <f t="shared" si="1"/>
        <v>85</v>
      </c>
      <c r="B93" s="27" t="str">
        <f>'WP12 Condensed Sch. Level Costs'!A88</f>
        <v>53E - Company Owned</v>
      </c>
      <c r="C93" s="327" t="str">
        <f>'WP12 Condensed Sch. Level Costs'!B88</f>
        <v>SMART LIGHT</v>
      </c>
      <c r="D93" s="327" t="str">
        <f>'WP12 Condensed Sch. Level Costs'!C88</f>
        <v>Light Emitting Diode</v>
      </c>
      <c r="E93" s="41" t="str">
        <f>'WP12 Condensed Sch. Level Costs'!D88</f>
        <v>LED 090.01-120</v>
      </c>
      <c r="F93" s="328">
        <f>ROUND('WP12 Condensed Sch. Level Costs'!S88,2)</f>
        <v>3.65</v>
      </c>
      <c r="G93" s="339">
        <f>ROUND('WP12 Condensed Sch. Level Costs'!AE88,6)</f>
        <v>1.0432E-2</v>
      </c>
    </row>
    <row r="94" spans="1:7" x14ac:dyDescent="0.2">
      <c r="A94" s="32">
        <f t="shared" si="1"/>
        <v>86</v>
      </c>
      <c r="B94" s="27" t="str">
        <f>'WP12 Condensed Sch. Level Costs'!A89</f>
        <v>53E - Company Owned</v>
      </c>
      <c r="C94" s="327" t="str">
        <f>'WP12 Condensed Sch. Level Costs'!B89</f>
        <v>SMART LIGHT</v>
      </c>
      <c r="D94" s="327" t="str">
        <f>'WP12 Condensed Sch. Level Costs'!C89</f>
        <v>Light Emitting Diode</v>
      </c>
      <c r="E94" s="41" t="str">
        <f>'WP12 Condensed Sch. Level Costs'!D89</f>
        <v>LED 120.01-150</v>
      </c>
      <c r="F94" s="328">
        <f>ROUND('WP12 Condensed Sch. Level Costs'!S89,2)</f>
        <v>3.65</v>
      </c>
      <c r="G94" s="339">
        <f>ROUND('WP12 Condensed Sch. Level Costs'!AE89,6)</f>
        <v>1.0432E-2</v>
      </c>
    </row>
    <row r="95" spans="1:7" x14ac:dyDescent="0.2">
      <c r="A95" s="32">
        <f t="shared" si="1"/>
        <v>87</v>
      </c>
      <c r="B95" s="27" t="str">
        <f>'WP12 Condensed Sch. Level Costs'!A90</f>
        <v>53E - Company Owned</v>
      </c>
      <c r="C95" s="327" t="str">
        <f>'WP12 Condensed Sch. Level Costs'!B90</f>
        <v>SMART LIGHT</v>
      </c>
      <c r="D95" s="327" t="str">
        <f>'WP12 Condensed Sch. Level Costs'!C90</f>
        <v>Light Emitting Diode</v>
      </c>
      <c r="E95" s="41" t="str">
        <f>'WP12 Condensed Sch. Level Costs'!D90</f>
        <v>LED 150.01-180</v>
      </c>
      <c r="F95" s="328">
        <f>ROUND('WP12 Condensed Sch. Level Costs'!S90,2)</f>
        <v>3.65</v>
      </c>
      <c r="G95" s="339">
        <f>ROUND('WP12 Condensed Sch. Level Costs'!AE90,6)</f>
        <v>1.0432E-2</v>
      </c>
    </row>
    <row r="96" spans="1:7" x14ac:dyDescent="0.2">
      <c r="A96" s="32">
        <f t="shared" si="1"/>
        <v>88</v>
      </c>
      <c r="B96" s="27" t="str">
        <f>'WP12 Condensed Sch. Level Costs'!A91</f>
        <v>53E - Company Owned</v>
      </c>
      <c r="C96" s="327" t="str">
        <f>'WP12 Condensed Sch. Level Costs'!B91</f>
        <v>SMART LIGHT</v>
      </c>
      <c r="D96" s="327" t="str">
        <f>'WP12 Condensed Sch. Level Costs'!C91</f>
        <v>Light Emitting Diode</v>
      </c>
      <c r="E96" s="41" t="str">
        <f>'WP12 Condensed Sch. Level Costs'!D91</f>
        <v>LED 180.01-210</v>
      </c>
      <c r="F96" s="328">
        <f>ROUND('WP12 Condensed Sch. Level Costs'!S91,2)</f>
        <v>3.65</v>
      </c>
      <c r="G96" s="339">
        <f>ROUND('WP12 Condensed Sch. Level Costs'!AE91,6)</f>
        <v>1.0432E-2</v>
      </c>
    </row>
    <row r="97" spans="1:7" x14ac:dyDescent="0.2">
      <c r="A97" s="32">
        <f t="shared" si="1"/>
        <v>89</v>
      </c>
      <c r="B97" s="27" t="str">
        <f>'WP12 Condensed Sch. Level Costs'!A92</f>
        <v>53E - Company Owned</v>
      </c>
      <c r="C97" s="327" t="str">
        <f>'WP12 Condensed Sch. Level Costs'!B92</f>
        <v>SMART LIGHT</v>
      </c>
      <c r="D97" s="327" t="str">
        <f>'WP12 Condensed Sch. Level Costs'!C92</f>
        <v>Light Emitting Diode</v>
      </c>
      <c r="E97" s="41" t="str">
        <f>'WP12 Condensed Sch. Level Costs'!D92</f>
        <v>LED 210.01-240</v>
      </c>
      <c r="F97" s="328">
        <f>ROUND('WP12 Condensed Sch. Level Costs'!S92,2)</f>
        <v>3.65</v>
      </c>
      <c r="G97" s="339">
        <f>ROUND('WP12 Condensed Sch. Level Costs'!AE92,6)</f>
        <v>1.0432E-2</v>
      </c>
    </row>
    <row r="98" spans="1:7" x14ac:dyDescent="0.2">
      <c r="A98" s="32">
        <f t="shared" si="1"/>
        <v>90</v>
      </c>
      <c r="B98" s="27" t="str">
        <f>'WP12 Condensed Sch. Level Costs'!A93</f>
        <v>53E - Company Owned</v>
      </c>
      <c r="C98" s="327" t="str">
        <f>'WP12 Condensed Sch. Level Costs'!B93</f>
        <v>SMART LIGHT</v>
      </c>
      <c r="D98" s="327" t="str">
        <f>'WP12 Condensed Sch. Level Costs'!C93</f>
        <v>Light Emitting Diode</v>
      </c>
      <c r="E98" s="41" t="str">
        <f>'WP12 Condensed Sch. Level Costs'!D93</f>
        <v>LED 240.01-270</v>
      </c>
      <c r="F98" s="328">
        <f>ROUND('WP12 Condensed Sch. Level Costs'!S93,2)</f>
        <v>3.65</v>
      </c>
      <c r="G98" s="339">
        <f>ROUND('WP12 Condensed Sch. Level Costs'!AE93,6)</f>
        <v>1.0432E-2</v>
      </c>
    </row>
    <row r="99" spans="1:7" x14ac:dyDescent="0.2">
      <c r="A99" s="32">
        <f t="shared" si="1"/>
        <v>91</v>
      </c>
      <c r="B99" s="27" t="str">
        <f>'WP12 Condensed Sch. Level Costs'!A94</f>
        <v>53E - Company Owned</v>
      </c>
      <c r="C99" s="327" t="str">
        <f>'WP12 Condensed Sch. Level Costs'!B94</f>
        <v>SMART LIGHT</v>
      </c>
      <c r="D99" s="327" t="str">
        <f>'WP12 Condensed Sch. Level Costs'!C94</f>
        <v>Light Emitting Diode</v>
      </c>
      <c r="E99" s="41" t="str">
        <f>'WP12 Condensed Sch. Level Costs'!D94</f>
        <v>LED 270.01-300</v>
      </c>
      <c r="F99" s="328">
        <f>ROUND('WP12 Condensed Sch. Level Costs'!S94,2)</f>
        <v>3.65</v>
      </c>
      <c r="G99" s="339">
        <f>ROUND('WP12 Condensed Sch. Level Costs'!AE94,6)</f>
        <v>1.0432E-2</v>
      </c>
    </row>
    <row r="100" spans="1:7" x14ac:dyDescent="0.2">
      <c r="A100" s="32">
        <f t="shared" si="1"/>
        <v>92</v>
      </c>
      <c r="B100" s="27"/>
      <c r="C100" s="27"/>
      <c r="D100" s="327"/>
      <c r="E100" s="41"/>
      <c r="F100" s="328"/>
      <c r="G100" s="328"/>
    </row>
    <row r="101" spans="1:7" x14ac:dyDescent="0.2">
      <c r="A101" s="32">
        <f>A89+1</f>
        <v>82</v>
      </c>
      <c r="B101" s="27" t="str">
        <f>'WP12 Condensed Sch. Level Costs'!A96</f>
        <v>53E - Customer Owned</v>
      </c>
      <c r="C101" s="27"/>
      <c r="D101" s="327" t="str">
        <f>'WP12 Condensed Sch. Level Costs'!C96</f>
        <v>Sodium Vapor</v>
      </c>
      <c r="E101" s="41" t="str">
        <f>'WP12 Condensed Sch. Level Costs'!D96</f>
        <v>SV 050</v>
      </c>
      <c r="F101" s="328">
        <f>ROUND('WP12 Condensed Sch. Level Costs'!S96,2)</f>
        <v>3.65</v>
      </c>
      <c r="G101" s="328">
        <f>ROUND('WP12 Condensed Sch. Level Costs'!X96,2)</f>
        <v>0.18</v>
      </c>
    </row>
    <row r="102" spans="1:7" x14ac:dyDescent="0.2">
      <c r="A102" s="32">
        <f t="shared" ref="A102:A168" si="2">A101+1</f>
        <v>83</v>
      </c>
      <c r="B102" s="27" t="str">
        <f>'WP12 Condensed Sch. Level Costs'!A97</f>
        <v>53E - Customer Owned</v>
      </c>
      <c r="C102" s="27"/>
      <c r="D102" s="327" t="str">
        <f>'WP12 Condensed Sch. Level Costs'!C97</f>
        <v>Sodium Vapor</v>
      </c>
      <c r="E102" s="41" t="str">
        <f>'WP12 Condensed Sch. Level Costs'!D97</f>
        <v>SV 070</v>
      </c>
      <c r="F102" s="328">
        <f>ROUND('WP12 Condensed Sch. Level Costs'!S97,2)</f>
        <v>3.65</v>
      </c>
      <c r="G102" s="328">
        <f>ROUND('WP12 Condensed Sch. Level Costs'!X97,2)</f>
        <v>0.26</v>
      </c>
    </row>
    <row r="103" spans="1:7" x14ac:dyDescent="0.2">
      <c r="A103" s="32">
        <f t="shared" si="2"/>
        <v>84</v>
      </c>
      <c r="B103" s="27" t="str">
        <f>'WP12 Condensed Sch. Level Costs'!A98</f>
        <v>53E - Customer Owned</v>
      </c>
      <c r="C103" s="27"/>
      <c r="D103" s="327" t="str">
        <f>'WP12 Condensed Sch. Level Costs'!C98</f>
        <v>Sodium Vapor</v>
      </c>
      <c r="E103" s="41" t="str">
        <f>'WP12 Condensed Sch. Level Costs'!D98</f>
        <v>SV 100</v>
      </c>
      <c r="F103" s="328">
        <f>ROUND('WP12 Condensed Sch. Level Costs'!S98,2)</f>
        <v>3.65</v>
      </c>
      <c r="G103" s="328">
        <f>ROUND('WP12 Condensed Sch. Level Costs'!X98,2)</f>
        <v>0.37</v>
      </c>
    </row>
    <row r="104" spans="1:7" x14ac:dyDescent="0.2">
      <c r="A104" s="32">
        <f t="shared" si="2"/>
        <v>85</v>
      </c>
      <c r="B104" s="27" t="str">
        <f>'WP12 Condensed Sch. Level Costs'!A99</f>
        <v>53E - Customer Owned</v>
      </c>
      <c r="C104" s="27"/>
      <c r="D104" s="327" t="str">
        <f>'WP12 Condensed Sch. Level Costs'!C99</f>
        <v>Sodium Vapor</v>
      </c>
      <c r="E104" s="41" t="str">
        <f>'WP12 Condensed Sch. Level Costs'!D99</f>
        <v>SV 150</v>
      </c>
      <c r="F104" s="328">
        <f>ROUND('WP12 Condensed Sch. Level Costs'!S99,2)</f>
        <v>3.65</v>
      </c>
      <c r="G104" s="328">
        <f>ROUND('WP12 Condensed Sch. Level Costs'!X99,2)</f>
        <v>0.55000000000000004</v>
      </c>
    </row>
    <row r="105" spans="1:7" x14ac:dyDescent="0.2">
      <c r="A105" s="32">
        <f t="shared" si="2"/>
        <v>86</v>
      </c>
      <c r="B105" s="27" t="str">
        <f>'WP12 Condensed Sch. Level Costs'!A100</f>
        <v>53E - Customer Owned</v>
      </c>
      <c r="C105" s="27"/>
      <c r="D105" s="327" t="str">
        <f>'WP12 Condensed Sch. Level Costs'!C100</f>
        <v>Sodium Vapor</v>
      </c>
      <c r="E105" s="41" t="str">
        <f>'WP12 Condensed Sch. Level Costs'!D100</f>
        <v>SV 200</v>
      </c>
      <c r="F105" s="328">
        <f>ROUND('WP12 Condensed Sch. Level Costs'!S100,2)</f>
        <v>3.65</v>
      </c>
      <c r="G105" s="328">
        <f>ROUND('WP12 Condensed Sch. Level Costs'!X100,2)</f>
        <v>0.73</v>
      </c>
    </row>
    <row r="106" spans="1:7" x14ac:dyDescent="0.2">
      <c r="A106" s="32">
        <f t="shared" si="2"/>
        <v>87</v>
      </c>
      <c r="B106" s="27" t="str">
        <f>'WP12 Condensed Sch. Level Costs'!A101</f>
        <v>53E - Customer Owned</v>
      </c>
      <c r="C106" s="27"/>
      <c r="D106" s="327" t="str">
        <f>'WP12 Condensed Sch. Level Costs'!C101</f>
        <v>Sodium Vapor</v>
      </c>
      <c r="E106" s="41" t="str">
        <f>'WP12 Condensed Sch. Level Costs'!D101</f>
        <v>SV 250</v>
      </c>
      <c r="F106" s="328">
        <f>ROUND('WP12 Condensed Sch. Level Costs'!S101,2)</f>
        <v>3.65</v>
      </c>
      <c r="G106" s="328">
        <f>ROUND('WP12 Condensed Sch. Level Costs'!X101,2)</f>
        <v>0.91</v>
      </c>
    </row>
    <row r="107" spans="1:7" x14ac:dyDescent="0.2">
      <c r="A107" s="32">
        <f t="shared" si="2"/>
        <v>88</v>
      </c>
      <c r="B107" s="27" t="str">
        <f>'WP12 Condensed Sch. Level Costs'!A102</f>
        <v>53E - Customer Owned</v>
      </c>
      <c r="C107" s="27"/>
      <c r="D107" s="327" t="str">
        <f>'WP12 Condensed Sch. Level Costs'!C102</f>
        <v>Sodium Vapor</v>
      </c>
      <c r="E107" s="41" t="str">
        <f>'WP12 Condensed Sch. Level Costs'!D102</f>
        <v>SV 310</v>
      </c>
      <c r="F107" s="328">
        <f>ROUND('WP12 Condensed Sch. Level Costs'!S102,2)</f>
        <v>3.65</v>
      </c>
      <c r="G107" s="328">
        <f>ROUND('WP12 Condensed Sch. Level Costs'!X102,2)</f>
        <v>1.1299999999999999</v>
      </c>
    </row>
    <row r="108" spans="1:7" x14ac:dyDescent="0.2">
      <c r="A108" s="32">
        <f t="shared" si="2"/>
        <v>89</v>
      </c>
      <c r="B108" s="27" t="str">
        <f>'WP12 Condensed Sch. Level Costs'!A103</f>
        <v>53E - Customer Owned</v>
      </c>
      <c r="C108" s="27"/>
      <c r="D108" s="327" t="str">
        <f>'WP12 Condensed Sch. Level Costs'!C103</f>
        <v>Sodium Vapor</v>
      </c>
      <c r="E108" s="41" t="str">
        <f>'WP12 Condensed Sch. Level Costs'!D103</f>
        <v>SV 400</v>
      </c>
      <c r="F108" s="328">
        <f>ROUND('WP12 Condensed Sch. Level Costs'!S103,2)</f>
        <v>3.65</v>
      </c>
      <c r="G108" s="328">
        <f>ROUND('WP12 Condensed Sch. Level Costs'!X103,2)</f>
        <v>1.46</v>
      </c>
    </row>
    <row r="109" spans="1:7" x14ac:dyDescent="0.2">
      <c r="A109" s="32">
        <f t="shared" si="2"/>
        <v>90</v>
      </c>
      <c r="B109" s="27" t="str">
        <f>'WP12 Condensed Sch. Level Costs'!A104</f>
        <v>53E - Customer Owned</v>
      </c>
      <c r="C109" s="27"/>
      <c r="D109" s="327" t="str">
        <f>'WP12 Condensed Sch. Level Costs'!C104</f>
        <v>Sodium Vapor</v>
      </c>
      <c r="E109" s="41" t="str">
        <f>'WP12 Condensed Sch. Level Costs'!D104</f>
        <v>SV 1000</v>
      </c>
      <c r="F109" s="328">
        <f>ROUND('WP12 Condensed Sch. Level Costs'!S104,2)</f>
        <v>3.65</v>
      </c>
      <c r="G109" s="328">
        <f>ROUND('WP12 Condensed Sch. Level Costs'!X104,2)</f>
        <v>3.65</v>
      </c>
    </row>
    <row r="110" spans="1:7" x14ac:dyDescent="0.2">
      <c r="A110" s="32">
        <f t="shared" si="2"/>
        <v>91</v>
      </c>
      <c r="B110" s="27"/>
      <c r="C110" s="27"/>
      <c r="D110" s="327"/>
      <c r="E110" s="41"/>
      <c r="F110" s="328"/>
      <c r="G110" s="328"/>
    </row>
    <row r="111" spans="1:7" x14ac:dyDescent="0.2">
      <c r="A111" s="32">
        <f t="shared" si="2"/>
        <v>92</v>
      </c>
      <c r="B111" s="27" t="str">
        <f>'WP12 Condensed Sch. Level Costs'!A106</f>
        <v>53E - Customer Owned</v>
      </c>
      <c r="C111" s="27"/>
      <c r="D111" s="327" t="str">
        <f>'WP12 Condensed Sch. Level Costs'!C106</f>
        <v>Metal Halide</v>
      </c>
      <c r="E111" s="41" t="str">
        <f>'WP12 Condensed Sch. Level Costs'!D106</f>
        <v>MH 70</v>
      </c>
      <c r="F111" s="328">
        <f>ROUND('WP12 Condensed Sch. Level Costs'!S106,2)</f>
        <v>3.65</v>
      </c>
      <c r="G111" s="328">
        <f>ROUND('WP12 Condensed Sch. Level Costs'!X106,2)</f>
        <v>0.26</v>
      </c>
    </row>
    <row r="112" spans="1:7" x14ac:dyDescent="0.2">
      <c r="A112" s="32">
        <f t="shared" si="2"/>
        <v>93</v>
      </c>
      <c r="B112" s="27" t="str">
        <f>'WP12 Condensed Sch. Level Costs'!A107</f>
        <v>53E - Customer Owned</v>
      </c>
      <c r="C112" s="27"/>
      <c r="D112" s="327" t="str">
        <f>'WP12 Condensed Sch. Level Costs'!C107</f>
        <v>Metal Halide</v>
      </c>
      <c r="E112" s="41" t="str">
        <f>'WP12 Condensed Sch. Level Costs'!D107</f>
        <v>MH 100</v>
      </c>
      <c r="F112" s="328">
        <f>ROUND('WP12 Condensed Sch. Level Costs'!S107,2)</f>
        <v>3.65</v>
      </c>
      <c r="G112" s="328">
        <f>ROUND('WP12 Condensed Sch. Level Costs'!X107,2)</f>
        <v>0.37</v>
      </c>
    </row>
    <row r="113" spans="1:7" x14ac:dyDescent="0.2">
      <c r="A113" s="32">
        <f t="shared" si="2"/>
        <v>94</v>
      </c>
      <c r="B113" s="27" t="str">
        <f>'WP12 Condensed Sch. Level Costs'!A108</f>
        <v>53E - Customer Owned</v>
      </c>
      <c r="C113" s="27"/>
      <c r="D113" s="327" t="str">
        <f>'WP12 Condensed Sch. Level Costs'!C108</f>
        <v>Metal Halide</v>
      </c>
      <c r="E113" s="41" t="str">
        <f>'WP12 Condensed Sch. Level Costs'!D108</f>
        <v>MH 150</v>
      </c>
      <c r="F113" s="328">
        <f>ROUND('WP12 Condensed Sch. Level Costs'!S108,2)</f>
        <v>3.65</v>
      </c>
      <c r="G113" s="328">
        <f>ROUND('WP12 Condensed Sch. Level Costs'!X108,2)</f>
        <v>0.55000000000000004</v>
      </c>
    </row>
    <row r="114" spans="1:7" x14ac:dyDescent="0.2">
      <c r="A114" s="32">
        <f t="shared" si="2"/>
        <v>95</v>
      </c>
      <c r="B114" s="27" t="str">
        <f>'WP12 Condensed Sch. Level Costs'!A109</f>
        <v>53E - Customer Owned</v>
      </c>
      <c r="C114" s="27"/>
      <c r="D114" s="327" t="str">
        <f>'WP12 Condensed Sch. Level Costs'!C109</f>
        <v>Metal Halide</v>
      </c>
      <c r="E114" s="41" t="str">
        <f>'WP12 Condensed Sch. Level Costs'!D109</f>
        <v>MH 175</v>
      </c>
      <c r="F114" s="328">
        <f>ROUND('WP12 Condensed Sch. Level Costs'!S109,2)</f>
        <v>3.65</v>
      </c>
      <c r="G114" s="328">
        <f>ROUND('WP12 Condensed Sch. Level Costs'!X109,2)</f>
        <v>0.64</v>
      </c>
    </row>
    <row r="115" spans="1:7" x14ac:dyDescent="0.2">
      <c r="A115" s="32">
        <f t="shared" si="2"/>
        <v>96</v>
      </c>
      <c r="B115" s="27" t="str">
        <f>'WP12 Condensed Sch. Level Costs'!A110</f>
        <v>53E - Customer Owned</v>
      </c>
      <c r="C115" s="27"/>
      <c r="D115" s="327" t="str">
        <f>'WP12 Condensed Sch. Level Costs'!C110</f>
        <v>Metal Halide</v>
      </c>
      <c r="E115" s="41" t="str">
        <f>'WP12 Condensed Sch. Level Costs'!D110</f>
        <v>MH 250</v>
      </c>
      <c r="F115" s="328">
        <f>ROUND('WP12 Condensed Sch. Level Costs'!S110,2)</f>
        <v>3.65</v>
      </c>
      <c r="G115" s="328">
        <f>ROUND('WP12 Condensed Sch. Level Costs'!X110,2)</f>
        <v>0.91</v>
      </c>
    </row>
    <row r="116" spans="1:7" x14ac:dyDescent="0.2">
      <c r="A116" s="32">
        <f t="shared" si="2"/>
        <v>97</v>
      </c>
      <c r="B116" s="27" t="str">
        <f>'WP12 Condensed Sch. Level Costs'!A111</f>
        <v>53E - Customer Owned</v>
      </c>
      <c r="C116" s="27"/>
      <c r="D116" s="327" t="str">
        <f>'WP12 Condensed Sch. Level Costs'!C111</f>
        <v>Metal Halide</v>
      </c>
      <c r="E116" s="41" t="str">
        <f>'WP12 Condensed Sch. Level Costs'!D111</f>
        <v>MH 400</v>
      </c>
      <c r="F116" s="328">
        <f>ROUND('WP12 Condensed Sch. Level Costs'!S111,2)</f>
        <v>3.65</v>
      </c>
      <c r="G116" s="328">
        <f>ROUND('WP12 Condensed Sch. Level Costs'!X111,2)</f>
        <v>1.46</v>
      </c>
    </row>
    <row r="117" spans="1:7" x14ac:dyDescent="0.2">
      <c r="A117" s="32">
        <f t="shared" si="2"/>
        <v>98</v>
      </c>
      <c r="B117" s="27"/>
      <c r="C117" s="27"/>
      <c r="D117" s="327"/>
      <c r="E117" s="41"/>
      <c r="F117" s="328"/>
      <c r="G117" s="328"/>
    </row>
    <row r="118" spans="1:7" x14ac:dyDescent="0.2">
      <c r="A118" s="32">
        <f t="shared" si="2"/>
        <v>99</v>
      </c>
      <c r="B118" s="27" t="str">
        <f>'WP12 Condensed Sch. Level Costs'!A113</f>
        <v>53E - Customer Owned</v>
      </c>
      <c r="C118" s="27"/>
      <c r="D118" s="327" t="str">
        <f>'WP12 Condensed Sch. Level Costs'!C113</f>
        <v>Light Emitting Diode</v>
      </c>
      <c r="E118" s="41" t="str">
        <f>'WP12 Condensed Sch. Level Costs'!D113</f>
        <v>LED 0-030</v>
      </c>
      <c r="F118" s="328">
        <f>ROUND('WP12 Condensed Sch. Level Costs'!S113,2)</f>
        <v>3.65</v>
      </c>
      <c r="G118" s="328">
        <f>ROUND('WP12 Condensed Sch. Level Costs'!X113,2)</f>
        <v>0.05</v>
      </c>
    </row>
    <row r="119" spans="1:7" x14ac:dyDescent="0.2">
      <c r="A119" s="32">
        <f t="shared" si="2"/>
        <v>100</v>
      </c>
      <c r="B119" s="27" t="str">
        <f>'WP12 Condensed Sch. Level Costs'!A114</f>
        <v>53E - Customer Owned</v>
      </c>
      <c r="C119" s="27"/>
      <c r="D119" s="327" t="str">
        <f>'WP12 Condensed Sch. Level Costs'!C114</f>
        <v>Light Emitting Diode</v>
      </c>
      <c r="E119" s="41" t="str">
        <f>'WP12 Condensed Sch. Level Costs'!D114</f>
        <v>LED 030.01-060</v>
      </c>
      <c r="F119" s="328">
        <f>ROUND('WP12 Condensed Sch. Level Costs'!S114,2)</f>
        <v>3.65</v>
      </c>
      <c r="G119" s="328">
        <f>ROUND('WP12 Condensed Sch. Level Costs'!X114,2)</f>
        <v>0.16</v>
      </c>
    </row>
    <row r="120" spans="1:7" x14ac:dyDescent="0.2">
      <c r="A120" s="32">
        <f t="shared" si="2"/>
        <v>101</v>
      </c>
      <c r="B120" s="27" t="str">
        <f>'WP12 Condensed Sch. Level Costs'!A115</f>
        <v>53E - Customer Owned</v>
      </c>
      <c r="C120" s="27"/>
      <c r="D120" s="327" t="str">
        <f>'WP12 Condensed Sch. Level Costs'!C115</f>
        <v>Light Emitting Diode</v>
      </c>
      <c r="E120" s="41" t="str">
        <f>'WP12 Condensed Sch. Level Costs'!D115</f>
        <v>LED 060.01-090</v>
      </c>
      <c r="F120" s="328">
        <f>ROUND('WP12 Condensed Sch. Level Costs'!S115,2)</f>
        <v>3.65</v>
      </c>
      <c r="G120" s="328">
        <f>ROUND('WP12 Condensed Sch. Level Costs'!X115,2)</f>
        <v>0.27</v>
      </c>
    </row>
    <row r="121" spans="1:7" x14ac:dyDescent="0.2">
      <c r="A121" s="32">
        <f t="shared" si="2"/>
        <v>102</v>
      </c>
      <c r="B121" s="27" t="str">
        <f>'WP12 Condensed Sch. Level Costs'!A116</f>
        <v>53E - Customer Owned</v>
      </c>
      <c r="C121" s="27"/>
      <c r="D121" s="327" t="str">
        <f>'WP12 Condensed Sch. Level Costs'!C116</f>
        <v>Light Emitting Diode</v>
      </c>
      <c r="E121" s="41" t="str">
        <f>'WP12 Condensed Sch. Level Costs'!D116</f>
        <v>LED 090.01-120</v>
      </c>
      <c r="F121" s="328">
        <f>ROUND('WP12 Condensed Sch. Level Costs'!S116,2)</f>
        <v>3.65</v>
      </c>
      <c r="G121" s="328">
        <f>ROUND('WP12 Condensed Sch. Level Costs'!X116,2)</f>
        <v>0.38</v>
      </c>
    </row>
    <row r="122" spans="1:7" x14ac:dyDescent="0.2">
      <c r="A122" s="32">
        <f t="shared" si="2"/>
        <v>103</v>
      </c>
      <c r="B122" s="27" t="str">
        <f>'WP12 Condensed Sch. Level Costs'!A117</f>
        <v>53E - Customer Owned</v>
      </c>
      <c r="C122" s="27"/>
      <c r="D122" s="327" t="str">
        <f>'WP12 Condensed Sch. Level Costs'!C117</f>
        <v>Light Emitting Diode</v>
      </c>
      <c r="E122" s="41" t="str">
        <f>'WP12 Condensed Sch. Level Costs'!D117</f>
        <v>LED 120.01-150</v>
      </c>
      <c r="F122" s="328">
        <f>ROUND('WP12 Condensed Sch. Level Costs'!S117,2)</f>
        <v>3.65</v>
      </c>
      <c r="G122" s="328">
        <f>ROUND('WP12 Condensed Sch. Level Costs'!X117,2)</f>
        <v>0.49</v>
      </c>
    </row>
    <row r="123" spans="1:7" x14ac:dyDescent="0.2">
      <c r="A123" s="32">
        <f t="shared" si="2"/>
        <v>104</v>
      </c>
      <c r="B123" s="27" t="str">
        <f>'WP12 Condensed Sch. Level Costs'!A118</f>
        <v>53E - Customer Owned</v>
      </c>
      <c r="C123" s="27"/>
      <c r="D123" s="327" t="str">
        <f>'WP12 Condensed Sch. Level Costs'!C118</f>
        <v>Light Emitting Diode</v>
      </c>
      <c r="E123" s="41" t="str">
        <f>'WP12 Condensed Sch. Level Costs'!D118</f>
        <v>LED 150.01-180</v>
      </c>
      <c r="F123" s="328">
        <f>ROUND('WP12 Condensed Sch. Level Costs'!S118,2)</f>
        <v>3.65</v>
      </c>
      <c r="G123" s="328">
        <f>ROUND('WP12 Condensed Sch. Level Costs'!X118,2)</f>
        <v>0.6</v>
      </c>
    </row>
    <row r="124" spans="1:7" x14ac:dyDescent="0.2">
      <c r="A124" s="32">
        <f t="shared" si="2"/>
        <v>105</v>
      </c>
      <c r="B124" s="27" t="str">
        <f>'WP12 Condensed Sch. Level Costs'!A119</f>
        <v>53E - Customer Owned</v>
      </c>
      <c r="C124" s="27"/>
      <c r="D124" s="327" t="str">
        <f>'WP12 Condensed Sch. Level Costs'!C119</f>
        <v>Light Emitting Diode</v>
      </c>
      <c r="E124" s="41" t="str">
        <f>'WP12 Condensed Sch. Level Costs'!D119</f>
        <v>LED 180.01-210</v>
      </c>
      <c r="F124" s="328">
        <f>ROUND('WP12 Condensed Sch. Level Costs'!S119,2)</f>
        <v>3.65</v>
      </c>
      <c r="G124" s="328">
        <f>ROUND('WP12 Condensed Sch. Level Costs'!X119,2)</f>
        <v>0.71</v>
      </c>
    </row>
    <row r="125" spans="1:7" x14ac:dyDescent="0.2">
      <c r="A125" s="32">
        <f t="shared" si="2"/>
        <v>106</v>
      </c>
      <c r="B125" s="27" t="str">
        <f>'WP12 Condensed Sch. Level Costs'!A120</f>
        <v>53E - Customer Owned</v>
      </c>
      <c r="C125" s="27"/>
      <c r="D125" s="327" t="str">
        <f>'WP12 Condensed Sch. Level Costs'!C120</f>
        <v>Light Emitting Diode</v>
      </c>
      <c r="E125" s="41" t="str">
        <f>'WP12 Condensed Sch. Level Costs'!D120</f>
        <v>LED 210.01-240</v>
      </c>
      <c r="F125" s="328">
        <f>ROUND('WP12 Condensed Sch. Level Costs'!S120,2)</f>
        <v>3.65</v>
      </c>
      <c r="G125" s="328">
        <f>ROUND('WP12 Condensed Sch. Level Costs'!X120,2)</f>
        <v>0.82</v>
      </c>
    </row>
    <row r="126" spans="1:7" x14ac:dyDescent="0.2">
      <c r="A126" s="32">
        <f t="shared" si="2"/>
        <v>107</v>
      </c>
      <c r="B126" s="27" t="str">
        <f>'WP12 Condensed Sch. Level Costs'!A121</f>
        <v>53E - Customer Owned</v>
      </c>
      <c r="C126" s="27"/>
      <c r="D126" s="327" t="str">
        <f>'WP12 Condensed Sch. Level Costs'!C121</f>
        <v>Light Emitting Diode</v>
      </c>
      <c r="E126" s="41" t="str">
        <f>'WP12 Condensed Sch. Level Costs'!D121</f>
        <v>LED 240.01-270</v>
      </c>
      <c r="F126" s="328">
        <f>ROUND('WP12 Condensed Sch. Level Costs'!S121,2)</f>
        <v>3.65</v>
      </c>
      <c r="G126" s="328">
        <f>ROUND('WP12 Condensed Sch. Level Costs'!X121,2)</f>
        <v>0.93</v>
      </c>
    </row>
    <row r="127" spans="1:7" x14ac:dyDescent="0.2">
      <c r="A127" s="32">
        <f t="shared" si="2"/>
        <v>108</v>
      </c>
      <c r="B127" s="27" t="str">
        <f>'WP12 Condensed Sch. Level Costs'!A122</f>
        <v>53E - Customer Owned</v>
      </c>
      <c r="C127" s="27"/>
      <c r="D127" s="327" t="str">
        <f>'WP12 Condensed Sch. Level Costs'!C122</f>
        <v>Light Emitting Diode</v>
      </c>
      <c r="E127" s="41" t="str">
        <f>'WP12 Condensed Sch. Level Costs'!D122</f>
        <v>LED 270.01-300</v>
      </c>
      <c r="F127" s="328">
        <f>ROUND('WP12 Condensed Sch. Level Costs'!S122,2)</f>
        <v>3.65</v>
      </c>
      <c r="G127" s="328">
        <f>ROUND('WP12 Condensed Sch. Level Costs'!X122,2)</f>
        <v>1.04</v>
      </c>
    </row>
    <row r="128" spans="1:7" x14ac:dyDescent="0.2">
      <c r="A128" s="32">
        <f t="shared" si="2"/>
        <v>109</v>
      </c>
      <c r="B128" s="27"/>
      <c r="C128" s="27"/>
      <c r="D128" s="327"/>
      <c r="E128" s="41"/>
      <c r="F128" s="342"/>
      <c r="G128" s="328"/>
    </row>
    <row r="129" spans="1:7" x14ac:dyDescent="0.2">
      <c r="A129" s="32">
        <f t="shared" si="2"/>
        <v>110</v>
      </c>
      <c r="B129" s="27" t="str">
        <f>'WP12 Condensed Sch. Level Costs'!A123</f>
        <v>Sch 54E</v>
      </c>
      <c r="C129" s="27"/>
      <c r="D129" s="327"/>
      <c r="E129" s="41"/>
      <c r="F129" s="342"/>
      <c r="G129" s="328"/>
    </row>
    <row r="130" spans="1:7" x14ac:dyDescent="0.2">
      <c r="A130" s="32">
        <f t="shared" si="2"/>
        <v>111</v>
      </c>
      <c r="B130" s="27" t="str">
        <f>'WP12 Condensed Sch. Level Costs'!A124</f>
        <v>54E</v>
      </c>
      <c r="C130" s="27"/>
      <c r="D130" s="327" t="str">
        <f>'WP12 Condensed Sch. Level Costs'!C124</f>
        <v>Sodium Vapor</v>
      </c>
      <c r="E130" s="41" t="str">
        <f>'WP12 Condensed Sch. Level Costs'!D124</f>
        <v>SV 050</v>
      </c>
      <c r="F130" s="328">
        <f>ROUND('WP12 Condensed Sch. Level Costs'!S124,2)</f>
        <v>3.65</v>
      </c>
      <c r="G130" s="328">
        <f>ROUND('WP12 Condensed Sch. Level Costs'!X124,2)</f>
        <v>0.18</v>
      </c>
    </row>
    <row r="131" spans="1:7" x14ac:dyDescent="0.2">
      <c r="A131" s="32">
        <f t="shared" si="2"/>
        <v>112</v>
      </c>
      <c r="B131" s="27" t="str">
        <f>'WP12 Condensed Sch. Level Costs'!A125</f>
        <v>54E</v>
      </c>
      <c r="C131" s="27"/>
      <c r="D131" s="327" t="str">
        <f>'WP12 Condensed Sch. Level Costs'!C125</f>
        <v>Sodium Vapor</v>
      </c>
      <c r="E131" s="41" t="str">
        <f>'WP12 Condensed Sch. Level Costs'!D125</f>
        <v>SV 070</v>
      </c>
      <c r="F131" s="328">
        <f>ROUND('WP12 Condensed Sch. Level Costs'!S125,2)</f>
        <v>3.65</v>
      </c>
      <c r="G131" s="328">
        <f>ROUND('WP12 Condensed Sch. Level Costs'!X125,2)</f>
        <v>0.26</v>
      </c>
    </row>
    <row r="132" spans="1:7" x14ac:dyDescent="0.2">
      <c r="A132" s="32">
        <f t="shared" si="2"/>
        <v>113</v>
      </c>
      <c r="B132" s="27" t="str">
        <f>'WP12 Condensed Sch. Level Costs'!A126</f>
        <v>54E</v>
      </c>
      <c r="C132" s="27"/>
      <c r="D132" s="327" t="str">
        <f>'WP12 Condensed Sch. Level Costs'!C126</f>
        <v>Sodium Vapor</v>
      </c>
      <c r="E132" s="41" t="str">
        <f>'WP12 Condensed Sch. Level Costs'!D126</f>
        <v>SV 100</v>
      </c>
      <c r="F132" s="328">
        <f>ROUND('WP12 Condensed Sch. Level Costs'!S126,2)</f>
        <v>3.65</v>
      </c>
      <c r="G132" s="328">
        <f>ROUND('WP12 Condensed Sch. Level Costs'!X126,2)</f>
        <v>0.37</v>
      </c>
    </row>
    <row r="133" spans="1:7" x14ac:dyDescent="0.2">
      <c r="A133" s="32">
        <f t="shared" si="2"/>
        <v>114</v>
      </c>
      <c r="B133" s="27" t="str">
        <f>'WP12 Condensed Sch. Level Costs'!A127</f>
        <v>54E</v>
      </c>
      <c r="C133" s="27"/>
      <c r="D133" s="327" t="str">
        <f>'WP12 Condensed Sch. Level Costs'!C127</f>
        <v>Sodium Vapor</v>
      </c>
      <c r="E133" s="41" t="str">
        <f>'WP12 Condensed Sch. Level Costs'!D127</f>
        <v>SV 150</v>
      </c>
      <c r="F133" s="328">
        <f>ROUND('WP12 Condensed Sch. Level Costs'!S127,2)</f>
        <v>3.65</v>
      </c>
      <c r="G133" s="328">
        <f>ROUND('WP12 Condensed Sch. Level Costs'!X127,2)</f>
        <v>0.55000000000000004</v>
      </c>
    </row>
    <row r="134" spans="1:7" x14ac:dyDescent="0.2">
      <c r="A134" s="32">
        <f t="shared" si="2"/>
        <v>115</v>
      </c>
      <c r="B134" s="27" t="str">
        <f>'WP12 Condensed Sch. Level Costs'!A128</f>
        <v>54E</v>
      </c>
      <c r="C134" s="27"/>
      <c r="D134" s="327" t="str">
        <f>'WP12 Condensed Sch. Level Costs'!C128</f>
        <v>Sodium Vapor</v>
      </c>
      <c r="E134" s="41" t="str">
        <f>'WP12 Condensed Sch. Level Costs'!D128</f>
        <v>SV 200</v>
      </c>
      <c r="F134" s="328">
        <f>ROUND('WP12 Condensed Sch. Level Costs'!S128,2)</f>
        <v>3.65</v>
      </c>
      <c r="G134" s="328">
        <f>ROUND('WP12 Condensed Sch. Level Costs'!X128,2)</f>
        <v>0.73</v>
      </c>
    </row>
    <row r="135" spans="1:7" x14ac:dyDescent="0.2">
      <c r="A135" s="32">
        <f t="shared" si="2"/>
        <v>116</v>
      </c>
      <c r="B135" s="27" t="str">
        <f>'WP12 Condensed Sch. Level Costs'!A129</f>
        <v>54E</v>
      </c>
      <c r="C135" s="27"/>
      <c r="D135" s="327" t="str">
        <f>'WP12 Condensed Sch. Level Costs'!C129</f>
        <v>Sodium Vapor</v>
      </c>
      <c r="E135" s="41" t="str">
        <f>'WP12 Condensed Sch. Level Costs'!D129</f>
        <v>SV 250</v>
      </c>
      <c r="F135" s="328">
        <f>ROUND('WP12 Condensed Sch. Level Costs'!S129,2)</f>
        <v>3.65</v>
      </c>
      <c r="G135" s="328">
        <f>ROUND('WP12 Condensed Sch. Level Costs'!X129,2)</f>
        <v>0.91</v>
      </c>
    </row>
    <row r="136" spans="1:7" x14ac:dyDescent="0.2">
      <c r="A136" s="32">
        <f t="shared" si="2"/>
        <v>117</v>
      </c>
      <c r="B136" s="27" t="str">
        <f>'WP12 Condensed Sch. Level Costs'!A130</f>
        <v>54E</v>
      </c>
      <c r="C136" s="27"/>
      <c r="D136" s="327" t="str">
        <f>'WP12 Condensed Sch. Level Costs'!C130</f>
        <v>Sodium Vapor</v>
      </c>
      <c r="E136" s="41" t="str">
        <f>'WP12 Condensed Sch. Level Costs'!D130</f>
        <v>SV 310</v>
      </c>
      <c r="F136" s="328">
        <f>ROUND('WP12 Condensed Sch. Level Costs'!S130,2)</f>
        <v>3.65</v>
      </c>
      <c r="G136" s="328">
        <f>ROUND('WP12 Condensed Sch. Level Costs'!X130,2)</f>
        <v>1.1299999999999999</v>
      </c>
    </row>
    <row r="137" spans="1:7" x14ac:dyDescent="0.2">
      <c r="A137" s="32">
        <f t="shared" si="2"/>
        <v>118</v>
      </c>
      <c r="B137" s="27" t="str">
        <f>'WP12 Condensed Sch. Level Costs'!A131</f>
        <v>54E</v>
      </c>
      <c r="C137" s="27"/>
      <c r="D137" s="327" t="str">
        <f>'WP12 Condensed Sch. Level Costs'!C131</f>
        <v>Sodium Vapor</v>
      </c>
      <c r="E137" s="41" t="str">
        <f>'WP12 Condensed Sch. Level Costs'!D131</f>
        <v>SV 400</v>
      </c>
      <c r="F137" s="328">
        <f>ROUND('WP12 Condensed Sch. Level Costs'!S131,2)</f>
        <v>3.65</v>
      </c>
      <c r="G137" s="328">
        <f>ROUND('WP12 Condensed Sch. Level Costs'!X131,2)</f>
        <v>1.46</v>
      </c>
    </row>
    <row r="138" spans="1:7" x14ac:dyDescent="0.2">
      <c r="A138" s="32">
        <f t="shared" si="2"/>
        <v>119</v>
      </c>
      <c r="B138" s="27" t="str">
        <f>'WP12 Condensed Sch. Level Costs'!A132</f>
        <v>54E</v>
      </c>
      <c r="C138" s="27"/>
      <c r="D138" s="327" t="str">
        <f>'WP12 Condensed Sch. Level Costs'!C132</f>
        <v>Sodium Vapor</v>
      </c>
      <c r="E138" s="41" t="str">
        <f>'WP12 Condensed Sch. Level Costs'!D132</f>
        <v>SV 1000</v>
      </c>
      <c r="F138" s="328">
        <f>ROUND('WP12 Condensed Sch. Level Costs'!S132,2)</f>
        <v>3.65</v>
      </c>
      <c r="G138" s="328">
        <f>ROUND('WP12 Condensed Sch. Level Costs'!X132,2)</f>
        <v>3.65</v>
      </c>
    </row>
    <row r="139" spans="1:7" x14ac:dyDescent="0.2">
      <c r="A139" s="32">
        <f t="shared" si="2"/>
        <v>120</v>
      </c>
      <c r="B139" s="27"/>
      <c r="C139" s="27"/>
      <c r="D139" s="327"/>
      <c r="E139" s="41"/>
      <c r="F139" s="328"/>
      <c r="G139" s="328"/>
    </row>
    <row r="140" spans="1:7" x14ac:dyDescent="0.2">
      <c r="A140" s="32">
        <f t="shared" si="2"/>
        <v>121</v>
      </c>
      <c r="B140" s="27" t="str">
        <f>'WP12 Condensed Sch. Level Costs'!A134</f>
        <v>54E</v>
      </c>
      <c r="C140" s="27"/>
      <c r="D140" s="327" t="str">
        <f>'WP12 Condensed Sch. Level Costs'!C134</f>
        <v>Light Emitting Diode</v>
      </c>
      <c r="E140" s="41" t="str">
        <f>'WP12 Condensed Sch. Level Costs'!D134</f>
        <v>LED 0-030</v>
      </c>
      <c r="F140" s="328">
        <f>ROUND('WP12 Condensed Sch. Level Costs'!S134,2)</f>
        <v>3.65</v>
      </c>
      <c r="G140" s="328">
        <f>ROUND('WP12 Condensed Sch. Level Costs'!X134,2)</f>
        <v>0.05</v>
      </c>
    </row>
    <row r="141" spans="1:7" x14ac:dyDescent="0.2">
      <c r="A141" s="32">
        <f t="shared" si="2"/>
        <v>122</v>
      </c>
      <c r="B141" s="27" t="str">
        <f>'WP12 Condensed Sch. Level Costs'!A135</f>
        <v>54E</v>
      </c>
      <c r="C141" s="27"/>
      <c r="D141" s="327" t="str">
        <f>'WP12 Condensed Sch. Level Costs'!C135</f>
        <v>Light Emitting Diode</v>
      </c>
      <c r="E141" s="41" t="str">
        <f>'WP12 Condensed Sch. Level Costs'!D135</f>
        <v>LED 030.01-060</v>
      </c>
      <c r="F141" s="328">
        <f>ROUND('WP12 Condensed Sch. Level Costs'!S135,2)</f>
        <v>3.65</v>
      </c>
      <c r="G141" s="328">
        <f>ROUND('WP12 Condensed Sch. Level Costs'!X135,2)</f>
        <v>0.16</v>
      </c>
    </row>
    <row r="142" spans="1:7" x14ac:dyDescent="0.2">
      <c r="A142" s="32">
        <f t="shared" si="2"/>
        <v>123</v>
      </c>
      <c r="B142" s="27" t="str">
        <f>'WP12 Condensed Sch. Level Costs'!A136</f>
        <v>54E</v>
      </c>
      <c r="C142" s="27"/>
      <c r="D142" s="327" t="str">
        <f>'WP12 Condensed Sch. Level Costs'!C136</f>
        <v>Light Emitting Diode</v>
      </c>
      <c r="E142" s="41" t="str">
        <f>'WP12 Condensed Sch. Level Costs'!D136</f>
        <v>LED 060.01-090</v>
      </c>
      <c r="F142" s="328">
        <f>ROUND('WP12 Condensed Sch. Level Costs'!S136,2)</f>
        <v>3.65</v>
      </c>
      <c r="G142" s="328">
        <f>ROUND('WP12 Condensed Sch. Level Costs'!X136,2)</f>
        <v>0.27</v>
      </c>
    </row>
    <row r="143" spans="1:7" x14ac:dyDescent="0.2">
      <c r="A143" s="32">
        <f t="shared" si="2"/>
        <v>124</v>
      </c>
      <c r="B143" s="27" t="str">
        <f>'WP12 Condensed Sch. Level Costs'!A137</f>
        <v>54E</v>
      </c>
      <c r="C143" s="27"/>
      <c r="D143" s="327" t="str">
        <f>'WP12 Condensed Sch. Level Costs'!C137</f>
        <v>Light Emitting Diode</v>
      </c>
      <c r="E143" s="41" t="str">
        <f>'WP12 Condensed Sch. Level Costs'!D137</f>
        <v>LED 090.01-120</v>
      </c>
      <c r="F143" s="328">
        <f>ROUND('WP12 Condensed Sch. Level Costs'!S137,2)</f>
        <v>3.65</v>
      </c>
      <c r="G143" s="328">
        <f>ROUND('WP12 Condensed Sch. Level Costs'!X137,2)</f>
        <v>0.38</v>
      </c>
    </row>
    <row r="144" spans="1:7" x14ac:dyDescent="0.2">
      <c r="A144" s="32">
        <f t="shared" si="2"/>
        <v>125</v>
      </c>
      <c r="B144" s="27" t="str">
        <f>'WP12 Condensed Sch. Level Costs'!A138</f>
        <v>54E</v>
      </c>
      <c r="C144" s="27"/>
      <c r="D144" s="327" t="str">
        <f>'WP12 Condensed Sch. Level Costs'!C138</f>
        <v>Light Emitting Diode</v>
      </c>
      <c r="E144" s="41" t="str">
        <f>'WP12 Condensed Sch. Level Costs'!D138</f>
        <v>LED 120.01-150</v>
      </c>
      <c r="F144" s="328">
        <f>ROUND('WP12 Condensed Sch. Level Costs'!S138,2)</f>
        <v>3.65</v>
      </c>
      <c r="G144" s="328">
        <f>ROUND('WP12 Condensed Sch. Level Costs'!X138,2)</f>
        <v>0.49</v>
      </c>
    </row>
    <row r="145" spans="1:7" x14ac:dyDescent="0.2">
      <c r="A145" s="32">
        <f t="shared" si="2"/>
        <v>126</v>
      </c>
      <c r="B145" s="27" t="str">
        <f>'WP12 Condensed Sch. Level Costs'!A139</f>
        <v>54E</v>
      </c>
      <c r="C145" s="27"/>
      <c r="D145" s="327" t="str">
        <f>'WP12 Condensed Sch. Level Costs'!C139</f>
        <v>Light Emitting Diode</v>
      </c>
      <c r="E145" s="41" t="str">
        <f>'WP12 Condensed Sch. Level Costs'!D139</f>
        <v>LED 150.01-180</v>
      </c>
      <c r="F145" s="328">
        <f>ROUND('WP12 Condensed Sch. Level Costs'!S139,2)</f>
        <v>3.65</v>
      </c>
      <c r="G145" s="328">
        <f>ROUND('WP12 Condensed Sch. Level Costs'!X139,2)</f>
        <v>0.6</v>
      </c>
    </row>
    <row r="146" spans="1:7" x14ac:dyDescent="0.2">
      <c r="A146" s="32">
        <f t="shared" si="2"/>
        <v>127</v>
      </c>
      <c r="B146" s="27" t="str">
        <f>'WP12 Condensed Sch. Level Costs'!A140</f>
        <v>54E</v>
      </c>
      <c r="C146" s="27"/>
      <c r="D146" s="327" t="str">
        <f>'WP12 Condensed Sch. Level Costs'!C140</f>
        <v>Light Emitting Diode</v>
      </c>
      <c r="E146" s="41" t="str">
        <f>'WP12 Condensed Sch. Level Costs'!D140</f>
        <v>LED 180.01-210</v>
      </c>
      <c r="F146" s="328">
        <f>ROUND('WP12 Condensed Sch. Level Costs'!S140,2)</f>
        <v>3.65</v>
      </c>
      <c r="G146" s="328">
        <f>ROUND('WP12 Condensed Sch. Level Costs'!X140,2)</f>
        <v>0.71</v>
      </c>
    </row>
    <row r="147" spans="1:7" x14ac:dyDescent="0.2">
      <c r="A147" s="32">
        <f t="shared" si="2"/>
        <v>128</v>
      </c>
      <c r="B147" s="27" t="str">
        <f>'WP12 Condensed Sch. Level Costs'!A141</f>
        <v>54E</v>
      </c>
      <c r="C147" s="27"/>
      <c r="D147" s="327" t="str">
        <f>'WP12 Condensed Sch. Level Costs'!C141</f>
        <v>Light Emitting Diode</v>
      </c>
      <c r="E147" s="41" t="str">
        <f>'WP12 Condensed Sch. Level Costs'!D141</f>
        <v>LED 210.01-240</v>
      </c>
      <c r="F147" s="328">
        <f>ROUND('WP12 Condensed Sch. Level Costs'!S141,2)</f>
        <v>3.65</v>
      </c>
      <c r="G147" s="328">
        <f>ROUND('WP12 Condensed Sch. Level Costs'!X141,2)</f>
        <v>0.82</v>
      </c>
    </row>
    <row r="148" spans="1:7" x14ac:dyDescent="0.2">
      <c r="A148" s="32">
        <f t="shared" si="2"/>
        <v>129</v>
      </c>
      <c r="B148" s="27" t="str">
        <f>'WP12 Condensed Sch. Level Costs'!A142</f>
        <v>54E</v>
      </c>
      <c r="C148" s="27"/>
      <c r="D148" s="327" t="str">
        <f>'WP12 Condensed Sch. Level Costs'!C142</f>
        <v>Light Emitting Diode</v>
      </c>
      <c r="E148" s="41" t="str">
        <f>'WP12 Condensed Sch. Level Costs'!D142</f>
        <v>LED 240.01-270</v>
      </c>
      <c r="F148" s="328">
        <f>ROUND('WP12 Condensed Sch. Level Costs'!S142,2)</f>
        <v>3.65</v>
      </c>
      <c r="G148" s="328">
        <f>ROUND('WP12 Condensed Sch. Level Costs'!X142,2)</f>
        <v>0.93</v>
      </c>
    </row>
    <row r="149" spans="1:7" x14ac:dyDescent="0.2">
      <c r="A149" s="32">
        <f t="shared" si="2"/>
        <v>130</v>
      </c>
      <c r="B149" s="27" t="str">
        <f>'WP12 Condensed Sch. Level Costs'!A143</f>
        <v>54E</v>
      </c>
      <c r="C149" s="27"/>
      <c r="D149" s="327" t="str">
        <f>'WP12 Condensed Sch. Level Costs'!C143</f>
        <v>Light Emitting Diode</v>
      </c>
      <c r="E149" s="41" t="str">
        <f>'WP12 Condensed Sch. Level Costs'!D143</f>
        <v>LED 270.01-300</v>
      </c>
      <c r="F149" s="328">
        <f>ROUND('WP12 Condensed Sch. Level Costs'!S143,2)</f>
        <v>3.65</v>
      </c>
      <c r="G149" s="328">
        <f>ROUND('WP12 Condensed Sch. Level Costs'!X143,2)</f>
        <v>1.04</v>
      </c>
    </row>
    <row r="150" spans="1:7" x14ac:dyDescent="0.2">
      <c r="A150" s="32">
        <f t="shared" si="2"/>
        <v>131</v>
      </c>
      <c r="B150" s="27"/>
      <c r="C150" s="27"/>
      <c r="D150" s="327"/>
      <c r="E150" s="41"/>
      <c r="F150" s="342"/>
      <c r="G150" s="328"/>
    </row>
    <row r="151" spans="1:7" x14ac:dyDescent="0.2">
      <c r="A151" s="32">
        <f t="shared" si="2"/>
        <v>132</v>
      </c>
      <c r="B151" s="27" t="str">
        <f>'WP12 Condensed Sch. Level Costs'!A144</f>
        <v>Sch 55 &amp; 56</v>
      </c>
      <c r="C151" s="27"/>
      <c r="D151" s="327"/>
      <c r="E151" s="41"/>
      <c r="F151" s="342"/>
      <c r="G151" s="328"/>
    </row>
    <row r="152" spans="1:7" x14ac:dyDescent="0.2">
      <c r="A152" s="32">
        <f t="shared" si="2"/>
        <v>133</v>
      </c>
      <c r="B152" s="27" t="str">
        <f>'WP12 Condensed Sch. Level Costs'!A145</f>
        <v>55E &amp; 56E</v>
      </c>
      <c r="C152" s="27"/>
      <c r="D152" s="327" t="str">
        <f>'WP12 Condensed Sch. Level Costs'!C145</f>
        <v>Sodium Vapor</v>
      </c>
      <c r="E152" s="41" t="str">
        <f>'WP12 Condensed Sch. Level Costs'!D145</f>
        <v>SV 070</v>
      </c>
      <c r="F152" s="328">
        <f>ROUND('WP12 Condensed Sch. Level Costs'!S145,2)</f>
        <v>3.7</v>
      </c>
      <c r="G152" s="328">
        <f>ROUND('WP12 Condensed Sch. Level Costs'!X145,2)</f>
        <v>0.26</v>
      </c>
    </row>
    <row r="153" spans="1:7" x14ac:dyDescent="0.2">
      <c r="A153" s="32">
        <f t="shared" si="2"/>
        <v>134</v>
      </c>
      <c r="B153" s="27" t="str">
        <f>'WP12 Condensed Sch. Level Costs'!A146</f>
        <v>55E &amp; 56E</v>
      </c>
      <c r="C153" s="27"/>
      <c r="D153" s="327" t="str">
        <f>'WP12 Condensed Sch. Level Costs'!C146</f>
        <v>Sodium Vapor</v>
      </c>
      <c r="E153" s="41" t="str">
        <f>'WP12 Condensed Sch. Level Costs'!D146</f>
        <v>SV 100</v>
      </c>
      <c r="F153" s="328">
        <f>ROUND('WP12 Condensed Sch. Level Costs'!S146,2)</f>
        <v>3.7</v>
      </c>
      <c r="G153" s="328">
        <f>ROUND('WP12 Condensed Sch. Level Costs'!X146,2)</f>
        <v>0.37</v>
      </c>
    </row>
    <row r="154" spans="1:7" x14ac:dyDescent="0.2">
      <c r="A154" s="32">
        <f t="shared" si="2"/>
        <v>135</v>
      </c>
      <c r="B154" s="27" t="str">
        <f>'WP12 Condensed Sch. Level Costs'!A147</f>
        <v>55E &amp; 56E</v>
      </c>
      <c r="C154" s="27"/>
      <c r="D154" s="327" t="str">
        <f>'WP12 Condensed Sch. Level Costs'!C147</f>
        <v>Sodium Vapor</v>
      </c>
      <c r="E154" s="41" t="str">
        <f>'WP12 Condensed Sch. Level Costs'!D147</f>
        <v>SV 150</v>
      </c>
      <c r="F154" s="328">
        <f>ROUND('WP12 Condensed Sch. Level Costs'!S147,2)</f>
        <v>3.7</v>
      </c>
      <c r="G154" s="328">
        <f>ROUND('WP12 Condensed Sch. Level Costs'!X147,2)</f>
        <v>0.56000000000000005</v>
      </c>
    </row>
    <row r="155" spans="1:7" x14ac:dyDescent="0.2">
      <c r="A155" s="32">
        <f t="shared" si="2"/>
        <v>136</v>
      </c>
      <c r="B155" s="27" t="str">
        <f>'WP12 Condensed Sch. Level Costs'!A148</f>
        <v>55E &amp; 56E</v>
      </c>
      <c r="C155" s="27"/>
      <c r="D155" s="327" t="str">
        <f>'WP12 Condensed Sch. Level Costs'!C148</f>
        <v>Sodium Vapor</v>
      </c>
      <c r="E155" s="41" t="str">
        <f>'WP12 Condensed Sch. Level Costs'!D148</f>
        <v>SV 200</v>
      </c>
      <c r="F155" s="328">
        <f>ROUND('WP12 Condensed Sch. Level Costs'!S148,2)</f>
        <v>3.7</v>
      </c>
      <c r="G155" s="328">
        <f>ROUND('WP12 Condensed Sch. Level Costs'!X148,2)</f>
        <v>0.74</v>
      </c>
    </row>
    <row r="156" spans="1:7" x14ac:dyDescent="0.2">
      <c r="A156" s="32">
        <f t="shared" si="2"/>
        <v>137</v>
      </c>
      <c r="B156" s="27" t="str">
        <f>'WP12 Condensed Sch. Level Costs'!A149</f>
        <v>55E &amp; 56E</v>
      </c>
      <c r="C156" s="27"/>
      <c r="D156" s="327" t="str">
        <f>'WP12 Condensed Sch. Level Costs'!C149</f>
        <v>Sodium Vapor</v>
      </c>
      <c r="E156" s="41" t="str">
        <f>'WP12 Condensed Sch. Level Costs'!D149</f>
        <v>SV 250</v>
      </c>
      <c r="F156" s="328">
        <f>ROUND('WP12 Condensed Sch. Level Costs'!S149,2)</f>
        <v>3.7</v>
      </c>
      <c r="G156" s="328">
        <f>ROUND('WP12 Condensed Sch. Level Costs'!X149,2)</f>
        <v>0.93</v>
      </c>
    </row>
    <row r="157" spans="1:7" x14ac:dyDescent="0.2">
      <c r="A157" s="32">
        <f t="shared" si="2"/>
        <v>138</v>
      </c>
      <c r="B157" s="27" t="str">
        <f>'WP12 Condensed Sch. Level Costs'!A150</f>
        <v>55E &amp; 56E</v>
      </c>
      <c r="C157" s="27"/>
      <c r="D157" s="327" t="str">
        <f>'WP12 Condensed Sch. Level Costs'!C150</f>
        <v>Sodium Vapor</v>
      </c>
      <c r="E157" s="41" t="str">
        <f>'WP12 Condensed Sch. Level Costs'!D150</f>
        <v>SV 400</v>
      </c>
      <c r="F157" s="328">
        <f>ROUND('WP12 Condensed Sch. Level Costs'!S150,2)</f>
        <v>3.7</v>
      </c>
      <c r="G157" s="328">
        <f>ROUND('WP12 Condensed Sch. Level Costs'!X150,2)</f>
        <v>1.48</v>
      </c>
    </row>
    <row r="158" spans="1:7" x14ac:dyDescent="0.2">
      <c r="A158" s="32">
        <f t="shared" si="2"/>
        <v>139</v>
      </c>
      <c r="B158" s="27"/>
      <c r="C158" s="27"/>
      <c r="D158" s="327"/>
      <c r="E158" s="41"/>
      <c r="F158" s="342"/>
      <c r="G158" s="328"/>
    </row>
    <row r="159" spans="1:7" x14ac:dyDescent="0.2">
      <c r="A159" s="32">
        <f t="shared" si="2"/>
        <v>140</v>
      </c>
      <c r="B159" s="27" t="str">
        <f>'WP12 Condensed Sch. Level Costs'!A152</f>
        <v>55E &amp; 56E</v>
      </c>
      <c r="C159" s="27"/>
      <c r="D159" s="327" t="str">
        <f>'WP12 Condensed Sch. Level Costs'!C152</f>
        <v>Metal Halide</v>
      </c>
      <c r="E159" s="41" t="str">
        <f>'WP12 Condensed Sch. Level Costs'!D152</f>
        <v>MH 250</v>
      </c>
      <c r="F159" s="328">
        <f>ROUND('WP12 Condensed Sch. Level Costs'!S152,2)</f>
        <v>3.7</v>
      </c>
      <c r="G159" s="328">
        <f>ROUND('WP12 Condensed Sch. Level Costs'!X152,2)</f>
        <v>0.93</v>
      </c>
    </row>
    <row r="160" spans="1:7" x14ac:dyDescent="0.2">
      <c r="A160" s="32">
        <f t="shared" si="2"/>
        <v>141</v>
      </c>
      <c r="B160" s="27"/>
      <c r="C160" s="27"/>
      <c r="D160" s="327"/>
      <c r="E160" s="41"/>
      <c r="F160" s="342"/>
      <c r="G160" s="328"/>
    </row>
    <row r="161" spans="1:7" x14ac:dyDescent="0.2">
      <c r="A161" s="32">
        <f t="shared" si="2"/>
        <v>142</v>
      </c>
      <c r="B161" s="27" t="str">
        <f>'WP12 Condensed Sch. Level Costs'!A154</f>
        <v>55E &amp; 56E</v>
      </c>
      <c r="C161" s="27"/>
      <c r="D161" s="327" t="str">
        <f>'WP12 Condensed Sch. Level Costs'!C154</f>
        <v>Light Emitting Diode</v>
      </c>
      <c r="E161" s="41" t="str">
        <f>'WP12 Condensed Sch. Level Costs'!D154</f>
        <v>LED 0-030</v>
      </c>
      <c r="F161" s="328">
        <f>ROUND('WP12 Condensed Sch. Level Costs'!S154,2)</f>
        <v>3.7</v>
      </c>
      <c r="G161" s="328">
        <f>ROUND('WP12 Condensed Sch. Level Costs'!X154,2)</f>
        <v>0.06</v>
      </c>
    </row>
    <row r="162" spans="1:7" x14ac:dyDescent="0.2">
      <c r="A162" s="32">
        <f t="shared" si="2"/>
        <v>143</v>
      </c>
      <c r="B162" s="27" t="str">
        <f>'WP12 Condensed Sch. Level Costs'!A155</f>
        <v>55E &amp; 56E</v>
      </c>
      <c r="C162" s="27"/>
      <c r="D162" s="327" t="str">
        <f>'WP12 Condensed Sch. Level Costs'!C155</f>
        <v>Light Emitting Diode</v>
      </c>
      <c r="E162" s="41" t="str">
        <f>'WP12 Condensed Sch. Level Costs'!D155</f>
        <v>LED 030.01-060</v>
      </c>
      <c r="F162" s="328">
        <f>ROUND('WP12 Condensed Sch. Level Costs'!S155,2)</f>
        <v>3.7</v>
      </c>
      <c r="G162" s="328">
        <f>ROUND('WP12 Condensed Sch. Level Costs'!X155,2)</f>
        <v>0.17</v>
      </c>
    </row>
    <row r="163" spans="1:7" x14ac:dyDescent="0.2">
      <c r="A163" s="32">
        <f t="shared" si="2"/>
        <v>144</v>
      </c>
      <c r="B163" s="27" t="str">
        <f>'WP12 Condensed Sch. Level Costs'!A156</f>
        <v>55E &amp; 56E</v>
      </c>
      <c r="C163" s="27"/>
      <c r="D163" s="327" t="str">
        <f>'WP12 Condensed Sch. Level Costs'!C156</f>
        <v>Light Emitting Diode</v>
      </c>
      <c r="E163" s="41" t="str">
        <f>'WP12 Condensed Sch. Level Costs'!D156</f>
        <v>LED 060.01-090</v>
      </c>
      <c r="F163" s="328">
        <f>ROUND('WP12 Condensed Sch. Level Costs'!S156,2)</f>
        <v>3.7</v>
      </c>
      <c r="G163" s="328">
        <f>ROUND('WP12 Condensed Sch. Level Costs'!X156,2)</f>
        <v>0.28000000000000003</v>
      </c>
    </row>
    <row r="164" spans="1:7" x14ac:dyDescent="0.2">
      <c r="A164" s="32">
        <f t="shared" si="2"/>
        <v>145</v>
      </c>
      <c r="B164" s="27" t="str">
        <f>'WP12 Condensed Sch. Level Costs'!A157</f>
        <v>55E &amp; 56E</v>
      </c>
      <c r="C164" s="27"/>
      <c r="D164" s="327" t="str">
        <f>'WP12 Condensed Sch. Level Costs'!C157</f>
        <v>Light Emitting Diode</v>
      </c>
      <c r="E164" s="41" t="str">
        <f>'WP12 Condensed Sch. Level Costs'!D157</f>
        <v>LED 090.01-120</v>
      </c>
      <c r="F164" s="328">
        <f>ROUND('WP12 Condensed Sch. Level Costs'!S157,2)</f>
        <v>3.7</v>
      </c>
      <c r="G164" s="328">
        <f>ROUND('WP12 Condensed Sch. Level Costs'!X157,2)</f>
        <v>0.39</v>
      </c>
    </row>
    <row r="165" spans="1:7" x14ac:dyDescent="0.2">
      <c r="A165" s="32">
        <f t="shared" si="2"/>
        <v>146</v>
      </c>
      <c r="B165" s="27" t="str">
        <f>'WP12 Condensed Sch. Level Costs'!A158</f>
        <v>55E &amp; 56E</v>
      </c>
      <c r="C165" s="27"/>
      <c r="D165" s="327" t="str">
        <f>'WP12 Condensed Sch. Level Costs'!C158</f>
        <v>Light Emitting Diode</v>
      </c>
      <c r="E165" s="41" t="str">
        <f>'WP12 Condensed Sch. Level Costs'!D158</f>
        <v>LED 120.01-150</v>
      </c>
      <c r="F165" s="328">
        <f>ROUND('WP12 Condensed Sch. Level Costs'!S158,2)</f>
        <v>3.7</v>
      </c>
      <c r="G165" s="328">
        <f>ROUND('WP12 Condensed Sch. Level Costs'!X158,2)</f>
        <v>0.5</v>
      </c>
    </row>
    <row r="166" spans="1:7" x14ac:dyDescent="0.2">
      <c r="A166" s="32">
        <f t="shared" si="2"/>
        <v>147</v>
      </c>
      <c r="B166" s="27" t="str">
        <f>'WP12 Condensed Sch. Level Costs'!A159</f>
        <v>55E &amp; 56E</v>
      </c>
      <c r="C166" s="27"/>
      <c r="D166" s="327" t="str">
        <f>'WP12 Condensed Sch. Level Costs'!C159</f>
        <v>Light Emitting Diode</v>
      </c>
      <c r="E166" s="41" t="str">
        <f>'WP12 Condensed Sch. Level Costs'!D159</f>
        <v>LED 150.01-180</v>
      </c>
      <c r="F166" s="328">
        <f>ROUND('WP12 Condensed Sch. Level Costs'!S159,2)</f>
        <v>3.7</v>
      </c>
      <c r="G166" s="328">
        <f>ROUND('WP12 Condensed Sch. Level Costs'!X159,2)</f>
        <v>0.61</v>
      </c>
    </row>
    <row r="167" spans="1:7" x14ac:dyDescent="0.2">
      <c r="A167" s="32">
        <f t="shared" si="2"/>
        <v>148</v>
      </c>
      <c r="B167" s="27" t="str">
        <f>'WP12 Condensed Sch. Level Costs'!A160</f>
        <v>55E &amp; 56E</v>
      </c>
      <c r="C167" s="27"/>
      <c r="D167" s="327" t="str">
        <f>'WP12 Condensed Sch. Level Costs'!C160</f>
        <v>Light Emitting Diode</v>
      </c>
      <c r="E167" s="41" t="str">
        <f>'WP12 Condensed Sch. Level Costs'!D160</f>
        <v>LED 180.01-210</v>
      </c>
      <c r="F167" s="328">
        <f>ROUND('WP12 Condensed Sch. Level Costs'!S160,2)</f>
        <v>3.7</v>
      </c>
      <c r="G167" s="328">
        <f>ROUND('WP12 Condensed Sch. Level Costs'!X160,2)</f>
        <v>0.72</v>
      </c>
    </row>
    <row r="168" spans="1:7" x14ac:dyDescent="0.2">
      <c r="A168" s="32">
        <f t="shared" si="2"/>
        <v>149</v>
      </c>
      <c r="B168" s="27" t="str">
        <f>'WP12 Condensed Sch. Level Costs'!A161</f>
        <v>55E &amp; 56E</v>
      </c>
      <c r="C168" s="27"/>
      <c r="D168" s="327" t="str">
        <f>'WP12 Condensed Sch. Level Costs'!C161</f>
        <v>Light Emitting Diode</v>
      </c>
      <c r="E168" s="41" t="str">
        <f>'WP12 Condensed Sch. Level Costs'!D161</f>
        <v>LED 210.01-240</v>
      </c>
      <c r="F168" s="328">
        <f>ROUND('WP12 Condensed Sch. Level Costs'!S161,2)</f>
        <v>3.7</v>
      </c>
      <c r="G168" s="328">
        <f>ROUND('WP12 Condensed Sch. Level Costs'!X161,2)</f>
        <v>0.83</v>
      </c>
    </row>
    <row r="169" spans="1:7" x14ac:dyDescent="0.2">
      <c r="A169" s="32">
        <f t="shared" ref="A169:A217" si="3">A168+1</f>
        <v>150</v>
      </c>
      <c r="B169" s="27" t="str">
        <f>'WP12 Condensed Sch. Level Costs'!A162</f>
        <v>55E &amp; 56E</v>
      </c>
      <c r="C169" s="27"/>
      <c r="D169" s="327" t="str">
        <f>'WP12 Condensed Sch. Level Costs'!C162</f>
        <v>Light Emitting Diode</v>
      </c>
      <c r="E169" s="41" t="str">
        <f>'WP12 Condensed Sch. Level Costs'!D162</f>
        <v>LED 240.01-270</v>
      </c>
      <c r="F169" s="328">
        <f>ROUND('WP12 Condensed Sch. Level Costs'!S162,2)</f>
        <v>3.7</v>
      </c>
      <c r="G169" s="328">
        <f>ROUND('WP12 Condensed Sch. Level Costs'!X162,2)</f>
        <v>0.94</v>
      </c>
    </row>
    <row r="170" spans="1:7" x14ac:dyDescent="0.2">
      <c r="A170" s="32">
        <f t="shared" si="3"/>
        <v>151</v>
      </c>
      <c r="B170" s="27" t="str">
        <f>'WP12 Condensed Sch. Level Costs'!A163</f>
        <v>55E &amp; 56E</v>
      </c>
      <c r="C170" s="27"/>
      <c r="D170" s="327" t="str">
        <f>'WP12 Condensed Sch. Level Costs'!C163</f>
        <v>Light Emitting Diode</v>
      </c>
      <c r="E170" s="41" t="str">
        <f>'WP12 Condensed Sch. Level Costs'!D163</f>
        <v>LED 270.01-300</v>
      </c>
      <c r="F170" s="328">
        <f>ROUND('WP12 Condensed Sch. Level Costs'!S163,2)</f>
        <v>3.7</v>
      </c>
      <c r="G170" s="328">
        <f>ROUND('WP12 Condensed Sch. Level Costs'!X163,2)</f>
        <v>1.06</v>
      </c>
    </row>
    <row r="171" spans="1:7" x14ac:dyDescent="0.2">
      <c r="A171" s="32">
        <f t="shared" si="3"/>
        <v>152</v>
      </c>
      <c r="B171" s="27"/>
      <c r="C171" s="27"/>
      <c r="D171" s="327"/>
      <c r="E171" s="41"/>
      <c r="F171" s="342"/>
      <c r="G171" s="328"/>
    </row>
    <row r="172" spans="1:7" x14ac:dyDescent="0.2">
      <c r="A172" s="32">
        <f t="shared" si="3"/>
        <v>153</v>
      </c>
      <c r="B172" s="27" t="str">
        <f>'WP12 Condensed Sch. Level Costs'!A164</f>
        <v>Sch 58 &amp; 59</v>
      </c>
      <c r="C172" s="27"/>
      <c r="D172" s="327"/>
      <c r="E172" s="41"/>
      <c r="F172" s="342"/>
      <c r="G172" s="328"/>
    </row>
    <row r="173" spans="1:7" x14ac:dyDescent="0.2">
      <c r="A173" s="32">
        <f t="shared" si="3"/>
        <v>154</v>
      </c>
      <c r="B173" s="27" t="str">
        <f>'WP12 Condensed Sch. Level Costs'!A165</f>
        <v>58E &amp; 59E</v>
      </c>
      <c r="C173" s="27"/>
      <c r="D173" s="327" t="str">
        <f>'WP12 Condensed Sch. Level Costs'!C165</f>
        <v>Sodium Vapor</v>
      </c>
      <c r="E173" s="41" t="str">
        <f>'WP12 Condensed Sch. Level Costs'!D165</f>
        <v>DSV 070</v>
      </c>
      <c r="F173" s="328">
        <f>ROUND('WP12 Condensed Sch. Level Costs'!S165,2)</f>
        <v>3.7</v>
      </c>
      <c r="G173" s="328">
        <f>ROUND('WP12 Condensed Sch. Level Costs'!X165,2)</f>
        <v>0.26</v>
      </c>
    </row>
    <row r="174" spans="1:7" x14ac:dyDescent="0.2">
      <c r="A174" s="32">
        <f t="shared" si="3"/>
        <v>155</v>
      </c>
      <c r="B174" s="27" t="str">
        <f>'WP12 Condensed Sch. Level Costs'!A166</f>
        <v>58E &amp; 59E</v>
      </c>
      <c r="C174" s="27"/>
      <c r="D174" s="327" t="str">
        <f>'WP12 Condensed Sch. Level Costs'!C166</f>
        <v>Sodium Vapor</v>
      </c>
      <c r="E174" s="41" t="str">
        <f>'WP12 Condensed Sch. Level Costs'!D166</f>
        <v>DSV 100</v>
      </c>
      <c r="F174" s="328">
        <f>ROUND('WP12 Condensed Sch. Level Costs'!S166,2)</f>
        <v>3.7</v>
      </c>
      <c r="G174" s="328">
        <f>ROUND('WP12 Condensed Sch. Level Costs'!X166,2)</f>
        <v>0.37</v>
      </c>
    </row>
    <row r="175" spans="1:7" x14ac:dyDescent="0.2">
      <c r="A175" s="32">
        <f t="shared" si="3"/>
        <v>156</v>
      </c>
      <c r="B175" s="27" t="str">
        <f>'WP12 Condensed Sch. Level Costs'!A167</f>
        <v>58E &amp; 59E</v>
      </c>
      <c r="C175" s="27"/>
      <c r="D175" s="327" t="str">
        <f>'WP12 Condensed Sch. Level Costs'!C167</f>
        <v>Sodium Vapor</v>
      </c>
      <c r="E175" s="41" t="str">
        <f>'WP12 Condensed Sch. Level Costs'!D167</f>
        <v>DSV 150</v>
      </c>
      <c r="F175" s="328">
        <f>ROUND('WP12 Condensed Sch. Level Costs'!S167,2)</f>
        <v>3.7</v>
      </c>
      <c r="G175" s="328">
        <f>ROUND('WP12 Condensed Sch. Level Costs'!X167,2)</f>
        <v>0.56000000000000005</v>
      </c>
    </row>
    <row r="176" spans="1:7" x14ac:dyDescent="0.2">
      <c r="A176" s="32">
        <f t="shared" si="3"/>
        <v>157</v>
      </c>
      <c r="B176" s="27" t="str">
        <f>'WP12 Condensed Sch. Level Costs'!A168</f>
        <v>58E &amp; 59E</v>
      </c>
      <c r="C176" s="27"/>
      <c r="D176" s="327" t="str">
        <f>'WP12 Condensed Sch. Level Costs'!C168</f>
        <v>Sodium Vapor</v>
      </c>
      <c r="E176" s="41" t="str">
        <f>'WP12 Condensed Sch. Level Costs'!D168</f>
        <v>DSV 200</v>
      </c>
      <c r="F176" s="328">
        <f>ROUND('WP12 Condensed Sch. Level Costs'!S168,2)</f>
        <v>3.7</v>
      </c>
      <c r="G176" s="328">
        <f>ROUND('WP12 Condensed Sch. Level Costs'!X168,2)</f>
        <v>0.74</v>
      </c>
    </row>
    <row r="177" spans="1:7" x14ac:dyDescent="0.2">
      <c r="A177" s="32">
        <f t="shared" si="3"/>
        <v>158</v>
      </c>
      <c r="B177" s="27" t="str">
        <f>'WP12 Condensed Sch. Level Costs'!A169</f>
        <v>58E &amp; 59E</v>
      </c>
      <c r="C177" s="27"/>
      <c r="D177" s="327" t="str">
        <f>'WP12 Condensed Sch. Level Costs'!C169</f>
        <v>Sodium Vapor</v>
      </c>
      <c r="E177" s="41" t="str">
        <f>'WP12 Condensed Sch. Level Costs'!D169</f>
        <v>DSV 250</v>
      </c>
      <c r="F177" s="328">
        <f>ROUND('WP12 Condensed Sch. Level Costs'!S169,2)</f>
        <v>3.7</v>
      </c>
      <c r="G177" s="328">
        <f>ROUND('WP12 Condensed Sch. Level Costs'!X169,2)</f>
        <v>0.93</v>
      </c>
    </row>
    <row r="178" spans="1:7" x14ac:dyDescent="0.2">
      <c r="A178" s="32">
        <f t="shared" si="3"/>
        <v>159</v>
      </c>
      <c r="B178" s="27" t="str">
        <f>'WP12 Condensed Sch. Level Costs'!A170</f>
        <v>58E &amp; 59E</v>
      </c>
      <c r="C178" s="27"/>
      <c r="D178" s="327" t="str">
        <f>'WP12 Condensed Sch. Level Costs'!C170</f>
        <v>Sodium Vapor</v>
      </c>
      <c r="E178" s="41" t="str">
        <f>'WP12 Condensed Sch. Level Costs'!D170</f>
        <v>DSV 400</v>
      </c>
      <c r="F178" s="328">
        <f>ROUND('WP12 Condensed Sch. Level Costs'!S170,2)</f>
        <v>3.7</v>
      </c>
      <c r="G178" s="328">
        <f>ROUND('WP12 Condensed Sch. Level Costs'!X170,2)</f>
        <v>1.48</v>
      </c>
    </row>
    <row r="179" spans="1:7" x14ac:dyDescent="0.2">
      <c r="A179" s="32">
        <f t="shared" si="3"/>
        <v>160</v>
      </c>
      <c r="B179" s="27"/>
      <c r="C179" s="27"/>
      <c r="D179" s="327"/>
      <c r="E179" s="41"/>
      <c r="F179" s="342"/>
      <c r="G179" s="328"/>
    </row>
    <row r="180" spans="1:7" x14ac:dyDescent="0.2">
      <c r="A180" s="32">
        <f t="shared" si="3"/>
        <v>161</v>
      </c>
      <c r="B180" s="27" t="str">
        <f>'WP12 Condensed Sch. Level Costs'!A172</f>
        <v>58E &amp; 59E</v>
      </c>
      <c r="C180" s="27"/>
      <c r="D180" s="327" t="str">
        <f>'WP12 Condensed Sch. Level Costs'!C172</f>
        <v>Sodium Vapor</v>
      </c>
      <c r="E180" s="41" t="str">
        <f>'WP12 Condensed Sch. Level Costs'!D172</f>
        <v>HSV 100</v>
      </c>
      <c r="F180" s="328">
        <f>ROUND('WP12 Condensed Sch. Level Costs'!S172,2)</f>
        <v>3.7</v>
      </c>
      <c r="G180" s="328">
        <f>ROUND('WP12 Condensed Sch. Level Costs'!X172,2)</f>
        <v>0.37</v>
      </c>
    </row>
    <row r="181" spans="1:7" x14ac:dyDescent="0.2">
      <c r="A181" s="32">
        <f t="shared" si="3"/>
        <v>162</v>
      </c>
      <c r="B181" s="27" t="str">
        <f>'WP12 Condensed Sch. Level Costs'!A173</f>
        <v>58E &amp; 59E</v>
      </c>
      <c r="C181" s="27"/>
      <c r="D181" s="327" t="str">
        <f>'WP12 Condensed Sch. Level Costs'!C173</f>
        <v>Sodium Vapor</v>
      </c>
      <c r="E181" s="41" t="str">
        <f>'WP12 Condensed Sch. Level Costs'!D173</f>
        <v>HSV 150</v>
      </c>
      <c r="F181" s="328">
        <f>ROUND('WP12 Condensed Sch. Level Costs'!S173,2)</f>
        <v>3.7</v>
      </c>
      <c r="G181" s="328">
        <f>ROUND('WP12 Condensed Sch. Level Costs'!X173,2)</f>
        <v>0.56000000000000005</v>
      </c>
    </row>
    <row r="182" spans="1:7" x14ac:dyDescent="0.2">
      <c r="A182" s="32">
        <f t="shared" si="3"/>
        <v>163</v>
      </c>
      <c r="B182" s="27" t="str">
        <f>'WP12 Condensed Sch. Level Costs'!A174</f>
        <v>58E &amp; 59E</v>
      </c>
      <c r="C182" s="27"/>
      <c r="D182" s="327" t="str">
        <f>'WP12 Condensed Sch. Level Costs'!C174</f>
        <v>Sodium Vapor</v>
      </c>
      <c r="E182" s="41" t="str">
        <f>'WP12 Condensed Sch. Level Costs'!D174</f>
        <v>HSV 200</v>
      </c>
      <c r="F182" s="328">
        <f>ROUND('WP12 Condensed Sch. Level Costs'!S174,2)</f>
        <v>3.7</v>
      </c>
      <c r="G182" s="328">
        <f>ROUND('WP12 Condensed Sch. Level Costs'!X174,2)</f>
        <v>0.74</v>
      </c>
    </row>
    <row r="183" spans="1:7" x14ac:dyDescent="0.2">
      <c r="A183" s="32">
        <f t="shared" si="3"/>
        <v>164</v>
      </c>
      <c r="B183" s="27" t="str">
        <f>'WP12 Condensed Sch. Level Costs'!A175</f>
        <v>58E &amp; 59E</v>
      </c>
      <c r="C183" s="27"/>
      <c r="D183" s="327" t="str">
        <f>'WP12 Condensed Sch. Level Costs'!C175</f>
        <v>Sodium Vapor</v>
      </c>
      <c r="E183" s="41" t="str">
        <f>'WP12 Condensed Sch. Level Costs'!D175</f>
        <v>HSV 250</v>
      </c>
      <c r="F183" s="328">
        <f>ROUND('WP12 Condensed Sch. Level Costs'!S175,2)</f>
        <v>3.7</v>
      </c>
      <c r="G183" s="328">
        <f>ROUND('WP12 Condensed Sch. Level Costs'!X175,2)</f>
        <v>0.93</v>
      </c>
    </row>
    <row r="184" spans="1:7" x14ac:dyDescent="0.2">
      <c r="A184" s="32">
        <f t="shared" si="3"/>
        <v>165</v>
      </c>
      <c r="B184" s="27" t="str">
        <f>'WP12 Condensed Sch. Level Costs'!A176</f>
        <v>58E &amp; 59E</v>
      </c>
      <c r="C184" s="27"/>
      <c r="D184" s="327" t="str">
        <f>'WP12 Condensed Sch. Level Costs'!C176</f>
        <v>Sodium Vapor</v>
      </c>
      <c r="E184" s="41" t="str">
        <f>'WP12 Condensed Sch. Level Costs'!D176</f>
        <v>HSV 400</v>
      </c>
      <c r="F184" s="328">
        <f>ROUND('WP12 Condensed Sch. Level Costs'!S176,2)</f>
        <v>3.7</v>
      </c>
      <c r="G184" s="328">
        <f>ROUND('WP12 Condensed Sch. Level Costs'!X176,2)</f>
        <v>1.48</v>
      </c>
    </row>
    <row r="185" spans="1:7" x14ac:dyDescent="0.2">
      <c r="A185" s="32">
        <f t="shared" si="3"/>
        <v>166</v>
      </c>
      <c r="B185" s="27"/>
      <c r="C185" s="27"/>
      <c r="D185" s="327"/>
      <c r="E185" s="41"/>
      <c r="F185" s="342"/>
      <c r="G185" s="328"/>
    </row>
    <row r="186" spans="1:7" x14ac:dyDescent="0.2">
      <c r="A186" s="32">
        <f t="shared" si="3"/>
        <v>167</v>
      </c>
      <c r="B186" s="27" t="str">
        <f>'WP12 Condensed Sch. Level Costs'!A178</f>
        <v>58E &amp; 59E</v>
      </c>
      <c r="C186" s="27"/>
      <c r="D186" s="327" t="str">
        <f>'WP12 Condensed Sch. Level Costs'!C178</f>
        <v>Metal Halide</v>
      </c>
      <c r="E186" s="41" t="str">
        <f>'WP12 Condensed Sch. Level Costs'!D178</f>
        <v>DMH 175</v>
      </c>
      <c r="F186" s="328">
        <f>ROUND('WP12 Condensed Sch. Level Costs'!S178,2)</f>
        <v>3.7</v>
      </c>
      <c r="G186" s="328">
        <f>ROUND('WP12 Condensed Sch. Level Costs'!X178,2)</f>
        <v>0.65</v>
      </c>
    </row>
    <row r="187" spans="1:7" x14ac:dyDescent="0.2">
      <c r="A187" s="32">
        <f t="shared" si="3"/>
        <v>168</v>
      </c>
      <c r="B187" s="27" t="str">
        <f>'WP12 Condensed Sch. Level Costs'!A179</f>
        <v>58E &amp; 59E</v>
      </c>
      <c r="C187" s="27"/>
      <c r="D187" s="327" t="str">
        <f>'WP12 Condensed Sch. Level Costs'!C179</f>
        <v>Metal Halide</v>
      </c>
      <c r="E187" s="41" t="str">
        <f>'WP12 Condensed Sch. Level Costs'!D179</f>
        <v>DMH 250</v>
      </c>
      <c r="F187" s="328">
        <f>ROUND('WP12 Condensed Sch. Level Costs'!S179,2)</f>
        <v>3.7</v>
      </c>
      <c r="G187" s="328">
        <f>ROUND('WP12 Condensed Sch. Level Costs'!X179,2)</f>
        <v>0.93</v>
      </c>
    </row>
    <row r="188" spans="1:7" x14ac:dyDescent="0.2">
      <c r="A188" s="32">
        <f t="shared" si="3"/>
        <v>169</v>
      </c>
      <c r="B188" s="27" t="str">
        <f>'WP12 Condensed Sch. Level Costs'!A180</f>
        <v>58E &amp; 59E</v>
      </c>
      <c r="C188" s="27"/>
      <c r="D188" s="327" t="str">
        <f>'WP12 Condensed Sch. Level Costs'!C180</f>
        <v>Metal Halide</v>
      </c>
      <c r="E188" s="41" t="str">
        <f>'WP12 Condensed Sch. Level Costs'!D180</f>
        <v>DMH 400</v>
      </c>
      <c r="F188" s="328">
        <f>ROUND('WP12 Condensed Sch. Level Costs'!S180,2)</f>
        <v>3.7</v>
      </c>
      <c r="G188" s="328">
        <f>ROUND('WP12 Condensed Sch. Level Costs'!X180,2)</f>
        <v>1.48</v>
      </c>
    </row>
    <row r="189" spans="1:7" x14ac:dyDescent="0.2">
      <c r="A189" s="32">
        <f t="shared" si="3"/>
        <v>170</v>
      </c>
      <c r="B189" s="27" t="str">
        <f>'WP12 Condensed Sch. Level Costs'!A181</f>
        <v>58E &amp; 59E</v>
      </c>
      <c r="C189" s="27"/>
      <c r="D189" s="327" t="str">
        <f>'WP12 Condensed Sch. Level Costs'!C181</f>
        <v>Metal Halide</v>
      </c>
      <c r="E189" s="41" t="str">
        <f>'WP12 Condensed Sch. Level Costs'!D181</f>
        <v>DMH 1000</v>
      </c>
      <c r="F189" s="328">
        <f>ROUND('WP12 Condensed Sch. Level Costs'!S181,2)</f>
        <v>3.7</v>
      </c>
      <c r="G189" s="328">
        <f>ROUND('WP12 Condensed Sch. Level Costs'!X181,2)</f>
        <v>3.7</v>
      </c>
    </row>
    <row r="190" spans="1:7" x14ac:dyDescent="0.2">
      <c r="A190" s="32">
        <f t="shared" si="3"/>
        <v>171</v>
      </c>
      <c r="B190" s="27"/>
      <c r="C190" s="27"/>
      <c r="D190" s="327"/>
      <c r="E190" s="41"/>
      <c r="F190" s="342"/>
      <c r="G190" s="328"/>
    </row>
    <row r="191" spans="1:7" x14ac:dyDescent="0.2">
      <c r="A191" s="32">
        <f t="shared" si="3"/>
        <v>172</v>
      </c>
      <c r="B191" s="27" t="str">
        <f>'WP12 Condensed Sch. Level Costs'!A183</f>
        <v>58E &amp; 59E</v>
      </c>
      <c r="C191" s="27"/>
      <c r="D191" s="327" t="str">
        <f>'WP12 Condensed Sch. Level Costs'!C183</f>
        <v>Metal Halide</v>
      </c>
      <c r="E191" s="41" t="str">
        <f>'WP12 Condensed Sch. Level Costs'!D183</f>
        <v>HMH 250</v>
      </c>
      <c r="F191" s="328">
        <f>ROUND('WP12 Condensed Sch. Level Costs'!S183,2)</f>
        <v>3.7</v>
      </c>
      <c r="G191" s="328">
        <f>ROUND('WP12 Condensed Sch. Level Costs'!X183,2)</f>
        <v>0.93</v>
      </c>
    </row>
    <row r="192" spans="1:7" x14ac:dyDescent="0.2">
      <c r="A192" s="32">
        <f t="shared" si="3"/>
        <v>173</v>
      </c>
      <c r="B192" s="27" t="str">
        <f>'WP12 Condensed Sch. Level Costs'!A184</f>
        <v>58E &amp; 59E</v>
      </c>
      <c r="C192" s="27"/>
      <c r="D192" s="327" t="str">
        <f>'WP12 Condensed Sch. Level Costs'!C184</f>
        <v>Metal Halide</v>
      </c>
      <c r="E192" s="41" t="str">
        <f>'WP12 Condensed Sch. Level Costs'!D184</f>
        <v>HMH 400</v>
      </c>
      <c r="F192" s="328">
        <f>ROUND('WP12 Condensed Sch. Level Costs'!S184,2)</f>
        <v>3.7</v>
      </c>
      <c r="G192" s="328">
        <f>ROUND('WP12 Condensed Sch. Level Costs'!X184,2)</f>
        <v>1.48</v>
      </c>
    </row>
    <row r="193" spans="1:7" x14ac:dyDescent="0.2">
      <c r="A193" s="32">
        <f t="shared" si="3"/>
        <v>174</v>
      </c>
      <c r="B193" s="27"/>
      <c r="C193" s="27"/>
      <c r="D193" s="327"/>
      <c r="E193" s="41"/>
      <c r="F193" s="342"/>
      <c r="G193" s="328"/>
    </row>
    <row r="194" spans="1:7" x14ac:dyDescent="0.2">
      <c r="A194" s="32">
        <f t="shared" si="3"/>
        <v>175</v>
      </c>
      <c r="B194" s="27" t="str">
        <f>'WP12 Condensed Sch. Level Costs'!A186</f>
        <v>58E &amp; 59E</v>
      </c>
      <c r="C194" s="27"/>
      <c r="D194" s="327" t="str">
        <f>'WP12 Condensed Sch. Level Costs'!C186</f>
        <v>Light Emitting Diode</v>
      </c>
      <c r="E194" s="41" t="str">
        <f>'WP12 Condensed Sch. Level Costs'!D186</f>
        <v>LED 0-030</v>
      </c>
      <c r="F194" s="328">
        <f>ROUND('WP12 Condensed Sch. Level Costs'!S186,2)</f>
        <v>3.7</v>
      </c>
      <c r="G194" s="328">
        <f>ROUND('WP12 Condensed Sch. Level Costs'!X186,2)</f>
        <v>0.06</v>
      </c>
    </row>
    <row r="195" spans="1:7" x14ac:dyDescent="0.2">
      <c r="A195" s="32">
        <f t="shared" si="3"/>
        <v>176</v>
      </c>
      <c r="B195" s="27" t="str">
        <f>'WP12 Condensed Sch. Level Costs'!A187</f>
        <v>58E &amp; 59E</v>
      </c>
      <c r="C195" s="27"/>
      <c r="D195" s="327" t="str">
        <f>'WP12 Condensed Sch. Level Costs'!C187</f>
        <v>Light Emitting Diode</v>
      </c>
      <c r="E195" s="41" t="str">
        <f>'WP12 Condensed Sch. Level Costs'!D187</f>
        <v>LED 030.01-060</v>
      </c>
      <c r="F195" s="328">
        <f>ROUND('WP12 Condensed Sch. Level Costs'!S187,2)</f>
        <v>3.7</v>
      </c>
      <c r="G195" s="328">
        <f>ROUND('WP12 Condensed Sch. Level Costs'!X187,2)</f>
        <v>0.17</v>
      </c>
    </row>
    <row r="196" spans="1:7" x14ac:dyDescent="0.2">
      <c r="A196" s="32">
        <f t="shared" si="3"/>
        <v>177</v>
      </c>
      <c r="B196" s="27" t="str">
        <f>'WP12 Condensed Sch. Level Costs'!A188</f>
        <v>58E &amp; 59E</v>
      </c>
      <c r="C196" s="27"/>
      <c r="D196" s="327" t="str">
        <f>'WP12 Condensed Sch. Level Costs'!C188</f>
        <v>Light Emitting Diode</v>
      </c>
      <c r="E196" s="41" t="str">
        <f>'WP12 Condensed Sch. Level Costs'!D188</f>
        <v>LED 060.01-090</v>
      </c>
      <c r="F196" s="328">
        <f>ROUND('WP12 Condensed Sch. Level Costs'!S188,2)</f>
        <v>3.7</v>
      </c>
      <c r="G196" s="328">
        <f>ROUND('WP12 Condensed Sch. Level Costs'!X188,2)</f>
        <v>0.28000000000000003</v>
      </c>
    </row>
    <row r="197" spans="1:7" x14ac:dyDescent="0.2">
      <c r="A197" s="32">
        <f t="shared" si="3"/>
        <v>178</v>
      </c>
      <c r="B197" s="27" t="str">
        <f>'WP12 Condensed Sch. Level Costs'!A189</f>
        <v>58E &amp; 59E</v>
      </c>
      <c r="C197" s="27"/>
      <c r="D197" s="327" t="str">
        <f>'WP12 Condensed Sch. Level Costs'!C189</f>
        <v>Light Emitting Diode</v>
      </c>
      <c r="E197" s="41" t="str">
        <f>'WP12 Condensed Sch. Level Costs'!D189</f>
        <v>LED 090.01-120</v>
      </c>
      <c r="F197" s="328">
        <f>ROUND('WP12 Condensed Sch. Level Costs'!S189,2)</f>
        <v>3.7</v>
      </c>
      <c r="G197" s="328">
        <f>ROUND('WP12 Condensed Sch. Level Costs'!X189,2)</f>
        <v>0.39</v>
      </c>
    </row>
    <row r="198" spans="1:7" x14ac:dyDescent="0.2">
      <c r="A198" s="32">
        <f t="shared" si="3"/>
        <v>179</v>
      </c>
      <c r="B198" s="27" t="str">
        <f>'WP12 Condensed Sch. Level Costs'!A190</f>
        <v>58E &amp; 59E</v>
      </c>
      <c r="C198" s="27"/>
      <c r="D198" s="327" t="str">
        <f>'WP12 Condensed Sch. Level Costs'!C190</f>
        <v>Light Emitting Diode</v>
      </c>
      <c r="E198" s="41" t="str">
        <f>'WP12 Condensed Sch. Level Costs'!D190</f>
        <v>LED 120.01-150</v>
      </c>
      <c r="F198" s="328">
        <f>ROUND('WP12 Condensed Sch. Level Costs'!S190,2)</f>
        <v>3.7</v>
      </c>
      <c r="G198" s="328">
        <f>ROUND('WP12 Condensed Sch. Level Costs'!X190,2)</f>
        <v>0.5</v>
      </c>
    </row>
    <row r="199" spans="1:7" x14ac:dyDescent="0.2">
      <c r="A199" s="32">
        <f t="shared" si="3"/>
        <v>180</v>
      </c>
      <c r="B199" s="27" t="str">
        <f>'WP12 Condensed Sch. Level Costs'!A191</f>
        <v>58E &amp; 59E</v>
      </c>
      <c r="C199" s="27"/>
      <c r="D199" s="327" t="str">
        <f>'WP12 Condensed Sch. Level Costs'!C191</f>
        <v>Light Emitting Diode</v>
      </c>
      <c r="E199" s="41" t="str">
        <f>'WP12 Condensed Sch. Level Costs'!D191</f>
        <v>LED 150.01-180</v>
      </c>
      <c r="F199" s="328">
        <f>ROUND('WP12 Condensed Sch. Level Costs'!S191,2)</f>
        <v>3.7</v>
      </c>
      <c r="G199" s="328">
        <f>ROUND('WP12 Condensed Sch. Level Costs'!X191,2)</f>
        <v>0.61</v>
      </c>
    </row>
    <row r="200" spans="1:7" x14ac:dyDescent="0.2">
      <c r="A200" s="32">
        <f t="shared" si="3"/>
        <v>181</v>
      </c>
      <c r="B200" s="27" t="str">
        <f>'WP12 Condensed Sch. Level Costs'!A192</f>
        <v>58E &amp; 59E</v>
      </c>
      <c r="C200" s="27"/>
      <c r="D200" s="327" t="str">
        <f>'WP12 Condensed Sch. Level Costs'!C192</f>
        <v>Light Emitting Diode</v>
      </c>
      <c r="E200" s="41" t="str">
        <f>'WP12 Condensed Sch. Level Costs'!D192</f>
        <v>LED 180.01-210</v>
      </c>
      <c r="F200" s="328">
        <f>ROUND('WP12 Condensed Sch. Level Costs'!S192,2)</f>
        <v>3.7</v>
      </c>
      <c r="G200" s="328">
        <f>ROUND('WP12 Condensed Sch. Level Costs'!X192,2)</f>
        <v>0.72</v>
      </c>
    </row>
    <row r="201" spans="1:7" x14ac:dyDescent="0.2">
      <c r="A201" s="32">
        <f t="shared" si="3"/>
        <v>182</v>
      </c>
      <c r="B201" s="27" t="str">
        <f>'WP12 Condensed Sch. Level Costs'!A193</f>
        <v>58E &amp; 59E</v>
      </c>
      <c r="C201" s="27"/>
      <c r="D201" s="327" t="str">
        <f>'WP12 Condensed Sch. Level Costs'!C193</f>
        <v>Light Emitting Diode</v>
      </c>
      <c r="E201" s="41" t="str">
        <f>'WP12 Condensed Sch. Level Costs'!D193</f>
        <v>LED 210.01-240</v>
      </c>
      <c r="F201" s="328">
        <f>ROUND('WP12 Condensed Sch. Level Costs'!S193,2)</f>
        <v>3.7</v>
      </c>
      <c r="G201" s="328">
        <f>ROUND('WP12 Condensed Sch. Level Costs'!X193,2)</f>
        <v>0.83</v>
      </c>
    </row>
    <row r="202" spans="1:7" x14ac:dyDescent="0.2">
      <c r="A202" s="32">
        <f t="shared" si="3"/>
        <v>183</v>
      </c>
      <c r="B202" s="27" t="str">
        <f>'WP12 Condensed Sch. Level Costs'!A194</f>
        <v>58E &amp; 59E</v>
      </c>
      <c r="C202" s="27"/>
      <c r="D202" s="327" t="str">
        <f>'WP12 Condensed Sch. Level Costs'!C194</f>
        <v>Light Emitting Diode</v>
      </c>
      <c r="E202" s="41" t="str">
        <f>'WP12 Condensed Sch. Level Costs'!D194</f>
        <v>LED 240.01-270</v>
      </c>
      <c r="F202" s="328">
        <f>ROUND('WP12 Condensed Sch. Level Costs'!S194,2)</f>
        <v>3.7</v>
      </c>
      <c r="G202" s="328">
        <f>ROUND('WP12 Condensed Sch. Level Costs'!X194,2)</f>
        <v>0.94</v>
      </c>
    </row>
    <row r="203" spans="1:7" x14ac:dyDescent="0.2">
      <c r="A203" s="32">
        <f t="shared" si="3"/>
        <v>184</v>
      </c>
      <c r="B203" s="27" t="str">
        <f>'WP12 Condensed Sch. Level Costs'!A195</f>
        <v>58E &amp; 59E</v>
      </c>
      <c r="C203" s="27"/>
      <c r="D203" s="327" t="str">
        <f>'WP12 Condensed Sch. Level Costs'!C195</f>
        <v>Light Emitting Diode</v>
      </c>
      <c r="E203" s="41" t="str">
        <f>'WP12 Condensed Sch. Level Costs'!D195</f>
        <v>LED 270.01-300</v>
      </c>
      <c r="F203" s="328">
        <f>ROUND('WP12 Condensed Sch. Level Costs'!S195,2)</f>
        <v>3.7</v>
      </c>
      <c r="G203" s="328">
        <f>ROUND('WP12 Condensed Sch. Level Costs'!X195,2)</f>
        <v>1.06</v>
      </c>
    </row>
    <row r="204" spans="1:7" x14ac:dyDescent="0.2">
      <c r="A204" s="32">
        <f t="shared" si="3"/>
        <v>185</v>
      </c>
      <c r="B204" s="27" t="str">
        <f>'WP12 Condensed Sch. Level Costs'!A196</f>
        <v>58E &amp; 59E</v>
      </c>
      <c r="C204" s="27"/>
      <c r="D204" s="327" t="str">
        <f>'WP12 Condensed Sch. Level Costs'!C196</f>
        <v>Light Emitting Diode</v>
      </c>
      <c r="E204" s="41" t="str">
        <f>'WP12 Condensed Sch. Level Costs'!D196</f>
        <v>LED 300.01-400</v>
      </c>
      <c r="F204" s="328">
        <f>ROUND('WP12 Condensed Sch. Level Costs'!S196,2)</f>
        <v>3.7</v>
      </c>
      <c r="G204" s="328">
        <f>ROUND('WP12 Condensed Sch. Level Costs'!X196,2)</f>
        <v>1.3</v>
      </c>
    </row>
    <row r="205" spans="1:7" x14ac:dyDescent="0.2">
      <c r="A205" s="32">
        <f t="shared" si="3"/>
        <v>186</v>
      </c>
      <c r="B205" s="27" t="str">
        <f>'WP12 Condensed Sch. Level Costs'!A197</f>
        <v>58E &amp; 59E</v>
      </c>
      <c r="C205" s="27"/>
      <c r="D205" s="327" t="str">
        <f>'WP12 Condensed Sch. Level Costs'!C197</f>
        <v>Light Emitting Diode</v>
      </c>
      <c r="E205" s="41" t="str">
        <f>'WP12 Condensed Sch. Level Costs'!D197</f>
        <v>LED 400.01-500</v>
      </c>
      <c r="F205" s="328">
        <f>ROUND('WP12 Condensed Sch. Level Costs'!S197,2)</f>
        <v>3.7</v>
      </c>
      <c r="G205" s="328">
        <f>ROUND('WP12 Condensed Sch. Level Costs'!X197,2)</f>
        <v>1.67</v>
      </c>
    </row>
    <row r="206" spans="1:7" x14ac:dyDescent="0.2">
      <c r="A206" s="32">
        <f t="shared" si="3"/>
        <v>187</v>
      </c>
      <c r="B206" s="27" t="str">
        <f>'WP12 Condensed Sch. Level Costs'!A198</f>
        <v>58E &amp; 59E</v>
      </c>
      <c r="C206" s="27"/>
      <c r="D206" s="327" t="str">
        <f>'WP12 Condensed Sch. Level Costs'!C198</f>
        <v>Light Emitting Diode</v>
      </c>
      <c r="E206" s="41" t="str">
        <f>'WP12 Condensed Sch. Level Costs'!D198</f>
        <v>LED 500.01-600</v>
      </c>
      <c r="F206" s="328">
        <f>ROUND('WP12 Condensed Sch. Level Costs'!S198,2)</f>
        <v>3.7</v>
      </c>
      <c r="G206" s="328">
        <f>ROUND('WP12 Condensed Sch. Level Costs'!X198,2)</f>
        <v>2.04</v>
      </c>
    </row>
    <row r="207" spans="1:7" x14ac:dyDescent="0.2">
      <c r="A207" s="32">
        <f t="shared" si="3"/>
        <v>188</v>
      </c>
      <c r="B207" s="27" t="str">
        <f>'WP12 Condensed Sch. Level Costs'!A199</f>
        <v>58E &amp; 59E</v>
      </c>
      <c r="C207" s="27"/>
      <c r="D207" s="327" t="str">
        <f>'WP12 Condensed Sch. Level Costs'!C199</f>
        <v>Light Emitting Diode</v>
      </c>
      <c r="E207" s="41" t="str">
        <f>'WP12 Condensed Sch. Level Costs'!D199</f>
        <v>LED 600.01-700</v>
      </c>
      <c r="F207" s="328">
        <f>ROUND('WP12 Condensed Sch. Level Costs'!S199,2)</f>
        <v>3.7</v>
      </c>
      <c r="G207" s="328">
        <f>ROUND('WP12 Condensed Sch. Level Costs'!X199,2)</f>
        <v>2.41</v>
      </c>
    </row>
    <row r="208" spans="1:7" x14ac:dyDescent="0.2">
      <c r="A208" s="32">
        <f t="shared" si="3"/>
        <v>189</v>
      </c>
      <c r="B208" s="27" t="str">
        <f>'WP12 Condensed Sch. Level Costs'!A200</f>
        <v>58E &amp; 59E</v>
      </c>
      <c r="C208" s="27"/>
      <c r="D208" s="327" t="str">
        <f>'WP12 Condensed Sch. Level Costs'!C200</f>
        <v>Light Emitting Diode</v>
      </c>
      <c r="E208" s="41" t="str">
        <f>'WP12 Condensed Sch. Level Costs'!D200</f>
        <v>LED 700.01-800</v>
      </c>
      <c r="F208" s="328">
        <f>ROUND('WP12 Condensed Sch. Level Costs'!S200,2)</f>
        <v>3.7</v>
      </c>
      <c r="G208" s="328">
        <f>ROUND('WP12 Condensed Sch. Level Costs'!X200,2)</f>
        <v>2.78</v>
      </c>
    </row>
    <row r="209" spans="1:7" x14ac:dyDescent="0.2">
      <c r="A209" s="32">
        <f t="shared" si="3"/>
        <v>190</v>
      </c>
      <c r="B209" s="27" t="str">
        <f>'WP12 Condensed Sch. Level Costs'!A201</f>
        <v>58E &amp; 59E</v>
      </c>
      <c r="C209" s="27"/>
      <c r="D209" s="327" t="str">
        <f>'WP12 Condensed Sch. Level Costs'!C201</f>
        <v>Light Emitting Diode</v>
      </c>
      <c r="E209" s="41" t="str">
        <f>'WP12 Condensed Sch. Level Costs'!D201</f>
        <v>LED 800.01-900</v>
      </c>
      <c r="F209" s="328">
        <f>ROUND('WP12 Condensed Sch. Level Costs'!S201,2)</f>
        <v>3.7</v>
      </c>
      <c r="G209" s="328">
        <f>ROUND('WP12 Condensed Sch. Level Costs'!X201,2)</f>
        <v>3.15</v>
      </c>
    </row>
    <row r="210" spans="1:7" x14ac:dyDescent="0.2">
      <c r="A210" s="32">
        <f t="shared" si="3"/>
        <v>191</v>
      </c>
      <c r="B210" s="27"/>
      <c r="C210" s="27"/>
      <c r="D210" s="327"/>
      <c r="E210" s="41"/>
      <c r="F210" s="342"/>
      <c r="G210" s="328"/>
    </row>
    <row r="211" spans="1:7" x14ac:dyDescent="0.2">
      <c r="A211" s="32">
        <f t="shared" si="3"/>
        <v>192</v>
      </c>
      <c r="B211" s="27" t="str">
        <f>'WP12 Condensed Sch. Level Costs'!A202</f>
        <v>Sch 57</v>
      </c>
      <c r="C211" s="27"/>
      <c r="D211" s="327"/>
      <c r="E211" s="41"/>
      <c r="F211" s="342"/>
      <c r="G211" s="328"/>
    </row>
    <row r="212" spans="1:7" x14ac:dyDescent="0.2">
      <c r="A212" s="32">
        <f t="shared" si="3"/>
        <v>193</v>
      </c>
      <c r="B212" s="27" t="str">
        <f>'WP12 Condensed Sch. Level Costs'!A203</f>
        <v>57E</v>
      </c>
      <c r="C212" s="27"/>
      <c r="D212" s="327" t="str">
        <f>'WP12 Condensed Sch. Level Costs'!C203</f>
        <v>Per W charge</v>
      </c>
      <c r="E212" s="341">
        <f>'WP12 Condensed Sch. Level Costs'!E203</f>
        <v>935514.08333333337</v>
      </c>
      <c r="F212" s="328">
        <f>ROUND('WP12 Condensed Sch. Level Costs'!S203,2)</f>
        <v>2.86</v>
      </c>
      <c r="G212" s="328">
        <f>ROUND('WP12 Condensed Sch. Level Costs'!X203,2)</f>
        <v>2673.08</v>
      </c>
    </row>
    <row r="213" spans="1:7" x14ac:dyDescent="0.2">
      <c r="A213" s="32">
        <f t="shared" si="3"/>
        <v>194</v>
      </c>
      <c r="B213" s="27"/>
      <c r="C213" s="27"/>
      <c r="D213" s="327"/>
      <c r="E213" s="41"/>
      <c r="F213" s="342"/>
      <c r="G213" s="328"/>
    </row>
    <row r="214" spans="1:7" x14ac:dyDescent="0.2">
      <c r="A214" s="32">
        <f t="shared" si="3"/>
        <v>195</v>
      </c>
      <c r="B214" s="27" t="str">
        <f>'WP12 Condensed Sch. Level Costs'!A205</f>
        <v>55 &amp; 56</v>
      </c>
      <c r="C214" s="27"/>
      <c r="D214" s="327" t="str">
        <f>'WP12 Condensed Sch. Level Costs'!C205</f>
        <v>Pole</v>
      </c>
      <c r="E214" s="41" t="str">
        <f>'WP12 Condensed Sch. Level Costs'!D205</f>
        <v>Old</v>
      </c>
      <c r="F214" s="328">
        <f>ROUND('WP12 Condensed Sch. Level Costs'!S205,2)</f>
        <v>3.7</v>
      </c>
      <c r="G214" s="328">
        <f>ROUND('WP12 Condensed Sch. Level Costs'!X205,2)</f>
        <v>0</v>
      </c>
    </row>
    <row r="215" spans="1:7" x14ac:dyDescent="0.2">
      <c r="A215" s="32">
        <f t="shared" si="3"/>
        <v>196</v>
      </c>
      <c r="B215" s="27" t="str">
        <f>'WP12 Condensed Sch. Level Costs'!A206</f>
        <v>55 &amp; 56</v>
      </c>
      <c r="C215" s="27"/>
      <c r="D215" s="327" t="str">
        <f>'WP12 Condensed Sch. Level Costs'!C206</f>
        <v>Pole</v>
      </c>
      <c r="E215" s="41" t="str">
        <f>'WP12 Condensed Sch. Level Costs'!D206</f>
        <v>New</v>
      </c>
      <c r="F215" s="328">
        <f>ROUND('WP12 Condensed Sch. Level Costs'!S206,2)</f>
        <v>3.7</v>
      </c>
      <c r="G215" s="328">
        <f>ROUND('WP12 Condensed Sch. Level Costs'!X206,2)</f>
        <v>0</v>
      </c>
    </row>
    <row r="216" spans="1:7" x14ac:dyDescent="0.2">
      <c r="A216" s="32">
        <f t="shared" si="3"/>
        <v>197</v>
      </c>
      <c r="B216" s="27"/>
      <c r="C216" s="27"/>
      <c r="D216" s="327"/>
      <c r="E216" s="41"/>
      <c r="F216" s="328"/>
      <c r="G216" s="328"/>
    </row>
    <row r="217" spans="1:7" x14ac:dyDescent="0.2">
      <c r="A217" s="32">
        <f t="shared" si="3"/>
        <v>198</v>
      </c>
      <c r="B217" s="27" t="str">
        <f>'WP12 Condensed Sch. Level Costs'!A208</f>
        <v>58 &amp; 59</v>
      </c>
      <c r="C217" s="27"/>
      <c r="D217" s="327" t="str">
        <f>'WP12 Condensed Sch. Level Costs'!C208</f>
        <v>Pole</v>
      </c>
      <c r="E217" s="41" t="str">
        <f>'WP12 Condensed Sch. Level Costs'!D208</f>
        <v>New</v>
      </c>
      <c r="F217" s="328">
        <f>ROUND('WP12 Condensed Sch. Level Costs'!S208,2)</f>
        <v>3.7</v>
      </c>
      <c r="G217" s="328">
        <f>ROUND('WP12 Condensed Sch. Level Costs'!X208,2)</f>
        <v>0</v>
      </c>
    </row>
    <row r="218" spans="1:7" x14ac:dyDescent="0.2">
      <c r="B218" s="27"/>
      <c r="C218" s="27"/>
      <c r="D218" s="327"/>
      <c r="E218" s="41"/>
      <c r="F218" s="342"/>
      <c r="G218" s="328"/>
    </row>
    <row r="219" spans="1:7" x14ac:dyDescent="0.2">
      <c r="B219" s="27"/>
      <c r="C219" s="27"/>
      <c r="D219" s="327"/>
      <c r="E219" s="41"/>
      <c r="F219" s="342"/>
      <c r="G219" s="328"/>
    </row>
    <row r="220" spans="1:7" x14ac:dyDescent="0.2">
      <c r="B220" s="27"/>
      <c r="C220" s="27"/>
      <c r="D220" s="327"/>
      <c r="E220" s="41"/>
      <c r="F220" s="342"/>
      <c r="G220" s="328"/>
    </row>
    <row r="221" spans="1:7" x14ac:dyDescent="0.2">
      <c r="B221" s="27"/>
      <c r="C221" s="27"/>
      <c r="D221" s="327"/>
      <c r="E221" s="41"/>
      <c r="F221" s="342"/>
      <c r="G221" s="328"/>
    </row>
    <row r="222" spans="1:7" x14ac:dyDescent="0.2">
      <c r="B222" s="27"/>
      <c r="C222" s="27"/>
      <c r="D222" s="327"/>
      <c r="E222" s="41"/>
      <c r="F222" s="342"/>
      <c r="G222" s="328"/>
    </row>
    <row r="223" spans="1:7" x14ac:dyDescent="0.2">
      <c r="B223" s="27"/>
      <c r="C223" s="27"/>
      <c r="D223" s="327"/>
      <c r="E223" s="41"/>
      <c r="F223" s="342"/>
      <c r="G223" s="328"/>
    </row>
    <row r="224" spans="1:7" x14ac:dyDescent="0.2">
      <c r="B224" s="27"/>
      <c r="C224" s="27"/>
      <c r="D224" s="327"/>
      <c r="E224" s="41"/>
      <c r="F224" s="342"/>
      <c r="G224" s="328"/>
    </row>
    <row r="225" spans="2:7" x14ac:dyDescent="0.2">
      <c r="B225" s="27"/>
      <c r="C225" s="27"/>
      <c r="D225" s="327"/>
      <c r="E225" s="41"/>
      <c r="F225" s="342"/>
      <c r="G225" s="328"/>
    </row>
    <row r="226" spans="2:7" x14ac:dyDescent="0.2">
      <c r="B226" s="20"/>
      <c r="C226" s="20"/>
    </row>
    <row r="228" spans="2:7" x14ac:dyDescent="0.2">
      <c r="B228" s="20"/>
      <c r="C228" s="20"/>
    </row>
    <row r="229" spans="2:7" x14ac:dyDescent="0.2">
      <c r="B229" s="20"/>
      <c r="C229" s="20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229"/>
  <sheetViews>
    <sheetView zoomScaleNormal="100" workbookViewId="0">
      <pane ySplit="8" topLeftCell="A9" activePane="bottomLeft" state="frozen"/>
      <selection activeCell="D32" sqref="D32"/>
      <selection pane="bottomLeft" activeCell="D32" sqref="D32"/>
    </sheetView>
  </sheetViews>
  <sheetFormatPr defaultColWidth="9.109375" defaultRowHeight="10.199999999999999" x14ac:dyDescent="0.2"/>
  <cols>
    <col min="1" max="1" width="5.5546875" style="32" customWidth="1"/>
    <col min="2" max="2" width="20.5546875" style="19" bestFit="1" customWidth="1"/>
    <col min="3" max="3" width="10.6640625" style="19" bestFit="1" customWidth="1"/>
    <col min="4" max="4" width="16.88671875" style="19" bestFit="1" customWidth="1"/>
    <col min="5" max="5" width="12" style="19" bestFit="1" customWidth="1"/>
    <col min="6" max="6" width="9.88671875" style="19" bestFit="1" customWidth="1"/>
    <col min="7" max="7" width="12" style="19" bestFit="1" customWidth="1"/>
    <col min="8" max="9" width="9.88671875" style="19" bestFit="1" customWidth="1"/>
    <col min="10" max="16384" width="9.109375" style="19"/>
  </cols>
  <sheetData>
    <row r="1" spans="1:10" s="251" customFormat="1" x14ac:dyDescent="0.2">
      <c r="A1" s="736" t="str">
        <f>'Demand Charge'!A1:G1</f>
        <v>Puget Sound Energy</v>
      </c>
      <c r="B1" s="736"/>
      <c r="C1" s="736"/>
      <c r="D1" s="736"/>
      <c r="E1" s="736"/>
      <c r="F1" s="736"/>
      <c r="G1" s="736"/>
      <c r="H1" s="736"/>
      <c r="I1" s="736"/>
    </row>
    <row r="2" spans="1:10" s="251" customFormat="1" x14ac:dyDescent="0.2">
      <c r="A2" s="736" t="s">
        <v>465</v>
      </c>
      <c r="B2" s="736"/>
      <c r="C2" s="736"/>
      <c r="D2" s="736"/>
      <c r="E2" s="736"/>
      <c r="F2" s="736"/>
      <c r="G2" s="736"/>
      <c r="H2" s="736"/>
      <c r="I2" s="736"/>
    </row>
    <row r="3" spans="1:10" s="251" customFormat="1" x14ac:dyDescent="0.2">
      <c r="A3" s="736" t="str">
        <f>'Demand Charge'!A3:G3</f>
        <v>2022 General Rate Case (GRC)</v>
      </c>
      <c r="B3" s="736"/>
      <c r="C3" s="736"/>
      <c r="D3" s="736"/>
      <c r="E3" s="736"/>
      <c r="F3" s="736"/>
      <c r="G3" s="736"/>
      <c r="H3" s="736"/>
      <c r="I3" s="736"/>
    </row>
    <row r="4" spans="1:10" s="251" customFormat="1" x14ac:dyDescent="0.2">
      <c r="A4" s="736" t="str">
        <f>'Demand Charge'!A4:G4</f>
        <v>Test Year Ending June 30, 2021</v>
      </c>
      <c r="B4" s="736"/>
      <c r="C4" s="736"/>
      <c r="D4" s="736"/>
      <c r="E4" s="736"/>
      <c r="F4" s="736"/>
      <c r="G4" s="736"/>
      <c r="H4" s="736"/>
      <c r="I4" s="736"/>
    </row>
    <row r="5" spans="1:10" s="251" customFormat="1" x14ac:dyDescent="0.2">
      <c r="A5" s="257"/>
    </row>
    <row r="6" spans="1:10" s="251" customFormat="1" ht="30.6" x14ac:dyDescent="0.2">
      <c r="A6" s="285" t="s">
        <v>1</v>
      </c>
      <c r="B6" s="285" t="s">
        <v>53</v>
      </c>
      <c r="C6" s="285"/>
      <c r="D6" s="285" t="s">
        <v>67</v>
      </c>
      <c r="E6" s="285" t="s">
        <v>160</v>
      </c>
      <c r="F6" s="285" t="s">
        <v>408</v>
      </c>
      <c r="G6" s="285" t="s">
        <v>389</v>
      </c>
      <c r="H6" s="285" t="s">
        <v>472</v>
      </c>
      <c r="I6" s="285" t="s">
        <v>471</v>
      </c>
    </row>
    <row r="7" spans="1:10" x14ac:dyDescent="0.2">
      <c r="B7" s="14" t="s">
        <v>3</v>
      </c>
      <c r="C7" s="14"/>
      <c r="D7" s="15" t="s">
        <v>4</v>
      </c>
      <c r="E7" s="143" t="s">
        <v>5</v>
      </c>
      <c r="F7" s="21" t="s">
        <v>6</v>
      </c>
      <c r="G7" s="21" t="s">
        <v>390</v>
      </c>
      <c r="H7" s="21" t="s">
        <v>21</v>
      </c>
      <c r="I7" s="21" t="s">
        <v>8</v>
      </c>
    </row>
    <row r="8" spans="1:10" x14ac:dyDescent="0.2">
      <c r="A8" s="32" t="s">
        <v>396</v>
      </c>
      <c r="B8" s="14"/>
      <c r="C8" s="14"/>
      <c r="D8" s="14"/>
      <c r="E8" s="21"/>
      <c r="F8" s="21" t="s">
        <v>397</v>
      </c>
      <c r="G8" s="21" t="s">
        <v>397</v>
      </c>
      <c r="H8" s="21" t="s">
        <v>397</v>
      </c>
      <c r="I8" s="21" t="s">
        <v>397</v>
      </c>
    </row>
    <row r="9" spans="1:10" x14ac:dyDescent="0.2">
      <c r="A9" s="32">
        <v>1</v>
      </c>
      <c r="B9" s="27" t="str">
        <f>'WP12 Condensed Sch. Level Costs'!A7</f>
        <v>Sch 50E</v>
      </c>
      <c r="C9" s="27"/>
      <c r="F9" s="14"/>
      <c r="G9" s="14"/>
      <c r="H9" s="14"/>
      <c r="I9" s="14"/>
    </row>
    <row r="10" spans="1:10" x14ac:dyDescent="0.2">
      <c r="A10" s="32">
        <f>A9+1</f>
        <v>2</v>
      </c>
      <c r="B10" s="27">
        <f>'WP12 Condensed Sch. Level Costs'!A8</f>
        <v>3</v>
      </c>
      <c r="C10" s="27"/>
      <c r="D10" s="327" t="str">
        <f>'WP12 Condensed Sch. Level Costs'!C8</f>
        <v>Compact Fluorescent</v>
      </c>
      <c r="E10" s="41" t="str">
        <f>'WP12 Condensed Sch. Level Costs'!D8</f>
        <v>CF 22</v>
      </c>
      <c r="F10" s="14">
        <f>4200/12</f>
        <v>350</v>
      </c>
      <c r="G10" s="14">
        <f>'WP12 Condensed Sch. Level Costs'!O8</f>
        <v>7.7</v>
      </c>
      <c r="H10" s="328">
        <f>ROUND('WP12 Condensed Sch. Level Costs'!T8,2)</f>
        <v>0.05</v>
      </c>
      <c r="I10" s="328">
        <f>ROUND('WP12 Condensed Sch. Level Costs'!Y8,2)</f>
        <v>0.42</v>
      </c>
      <c r="J10" s="49"/>
    </row>
    <row r="11" spans="1:10" x14ac:dyDescent="0.2">
      <c r="A11" s="32">
        <f t="shared" ref="A11:A89" si="0">A10+1</f>
        <v>3</v>
      </c>
      <c r="B11" s="27"/>
      <c r="C11" s="27"/>
      <c r="D11" s="327"/>
      <c r="E11" s="41"/>
      <c r="F11" s="14"/>
      <c r="G11" s="14"/>
      <c r="H11" s="342"/>
      <c r="I11" s="328"/>
    </row>
    <row r="12" spans="1:10" x14ac:dyDescent="0.2">
      <c r="A12" s="32">
        <f t="shared" si="0"/>
        <v>4</v>
      </c>
      <c r="B12" s="27" t="str">
        <f>'WP12 Condensed Sch. Level Costs'!A10</f>
        <v>50E-A</v>
      </c>
      <c r="C12" s="27"/>
      <c r="D12" s="327" t="str">
        <f>'WP12 Condensed Sch. Level Costs'!C10</f>
        <v>Mercury Vapor</v>
      </c>
      <c r="E12" s="41" t="str">
        <f>'WP12 Condensed Sch. Level Costs'!D10</f>
        <v>MV 100</v>
      </c>
      <c r="F12" s="14">
        <f t="shared" ref="F12:F101" si="1">4200/12</f>
        <v>350</v>
      </c>
      <c r="G12" s="14">
        <f>'WP12 Condensed Sch. Level Costs'!O10</f>
        <v>35</v>
      </c>
      <c r="H12" s="328">
        <f>ROUND('WP12 Condensed Sch. Level Costs'!T10,2)</f>
        <v>0.05</v>
      </c>
      <c r="I12" s="328">
        <f>ROUND('WP12 Condensed Sch. Level Costs'!Y10,2)</f>
        <v>1.91</v>
      </c>
    </row>
    <row r="13" spans="1:10" x14ac:dyDescent="0.2">
      <c r="A13" s="32">
        <f t="shared" si="0"/>
        <v>5</v>
      </c>
      <c r="B13" s="27" t="str">
        <f>'WP12 Condensed Sch. Level Costs'!A11</f>
        <v>50E-A</v>
      </c>
      <c r="C13" s="27"/>
      <c r="D13" s="327" t="str">
        <f>'WP12 Condensed Sch. Level Costs'!C11</f>
        <v>Mercury Vapor</v>
      </c>
      <c r="E13" s="41" t="str">
        <f>'WP12 Condensed Sch. Level Costs'!D11</f>
        <v>MV 175</v>
      </c>
      <c r="F13" s="14">
        <f t="shared" si="1"/>
        <v>350</v>
      </c>
      <c r="G13" s="14">
        <f>'WP12 Condensed Sch. Level Costs'!O11</f>
        <v>61.25</v>
      </c>
      <c r="H13" s="328">
        <f>ROUND('WP12 Condensed Sch. Level Costs'!T11,2)</f>
        <v>0.05</v>
      </c>
      <c r="I13" s="328">
        <f>ROUND('WP12 Condensed Sch. Level Costs'!Y11,2)</f>
        <v>3.34</v>
      </c>
    </row>
    <row r="14" spans="1:10" x14ac:dyDescent="0.2">
      <c r="A14" s="32">
        <f t="shared" si="0"/>
        <v>6</v>
      </c>
      <c r="B14" s="27" t="str">
        <f>'WP12 Condensed Sch. Level Costs'!A12</f>
        <v>50E-A</v>
      </c>
      <c r="C14" s="27"/>
      <c r="D14" s="327" t="str">
        <f>'WP12 Condensed Sch. Level Costs'!C12</f>
        <v>Mercury Vapor</v>
      </c>
      <c r="E14" s="41" t="str">
        <f>'WP12 Condensed Sch. Level Costs'!D12</f>
        <v>MV 400</v>
      </c>
      <c r="F14" s="14">
        <f t="shared" si="1"/>
        <v>350</v>
      </c>
      <c r="G14" s="14">
        <f>'WP12 Condensed Sch. Level Costs'!O12</f>
        <v>140</v>
      </c>
      <c r="H14" s="328">
        <f>ROUND('WP12 Condensed Sch. Level Costs'!T12,2)</f>
        <v>0.05</v>
      </c>
      <c r="I14" s="328">
        <f>ROUND('WP12 Condensed Sch. Level Costs'!Y12,2)</f>
        <v>7.64</v>
      </c>
    </row>
    <row r="15" spans="1:10" x14ac:dyDescent="0.2">
      <c r="A15" s="32">
        <f t="shared" si="0"/>
        <v>7</v>
      </c>
      <c r="B15" s="27"/>
      <c r="C15" s="27"/>
      <c r="D15" s="327"/>
      <c r="E15" s="41"/>
      <c r="F15" s="14"/>
      <c r="G15" s="14"/>
      <c r="H15" s="342"/>
      <c r="I15" s="328"/>
    </row>
    <row r="16" spans="1:10" x14ac:dyDescent="0.2">
      <c r="A16" s="32">
        <f t="shared" si="0"/>
        <v>8</v>
      </c>
      <c r="B16" s="27" t="str">
        <f>'WP12 Condensed Sch. Level Costs'!A14</f>
        <v>50E-B</v>
      </c>
      <c r="C16" s="27"/>
      <c r="D16" s="327" t="str">
        <f>'WP12 Condensed Sch. Level Costs'!C14</f>
        <v>Mercury Vapor</v>
      </c>
      <c r="E16" s="41" t="str">
        <f>'WP12 Condensed Sch. Level Costs'!D14</f>
        <v>MV 100</v>
      </c>
      <c r="F16" s="14">
        <f t="shared" si="1"/>
        <v>350</v>
      </c>
      <c r="G16" s="14">
        <f>'WP12 Condensed Sch. Level Costs'!O14</f>
        <v>35</v>
      </c>
      <c r="H16" s="328">
        <f>ROUND('WP12 Condensed Sch. Level Costs'!T14,2)</f>
        <v>0.05</v>
      </c>
      <c r="I16" s="328">
        <f>ROUND('WP12 Condensed Sch. Level Costs'!Y14,2)</f>
        <v>1.91</v>
      </c>
    </row>
    <row r="17" spans="1:9" x14ac:dyDescent="0.2">
      <c r="A17" s="32">
        <f t="shared" si="0"/>
        <v>9</v>
      </c>
      <c r="B17" s="27" t="str">
        <f>'WP12 Condensed Sch. Level Costs'!A15</f>
        <v>50E-B</v>
      </c>
      <c r="C17" s="27"/>
      <c r="D17" s="327" t="str">
        <f>'WP12 Condensed Sch. Level Costs'!C15</f>
        <v>Mercury Vapor</v>
      </c>
      <c r="E17" s="41" t="str">
        <f>'WP12 Condensed Sch. Level Costs'!D15</f>
        <v>MV 175</v>
      </c>
      <c r="F17" s="14">
        <f t="shared" si="1"/>
        <v>350</v>
      </c>
      <c r="G17" s="14">
        <f>'WP12 Condensed Sch. Level Costs'!O15</f>
        <v>61.25</v>
      </c>
      <c r="H17" s="328">
        <f>ROUND('WP12 Condensed Sch. Level Costs'!T15,2)</f>
        <v>0.05</v>
      </c>
      <c r="I17" s="328">
        <f>ROUND('WP12 Condensed Sch. Level Costs'!Y15,2)</f>
        <v>3.34</v>
      </c>
    </row>
    <row r="18" spans="1:9" x14ac:dyDescent="0.2">
      <c r="A18" s="32">
        <f t="shared" si="0"/>
        <v>10</v>
      </c>
      <c r="B18" s="27" t="str">
        <f>'WP12 Condensed Sch. Level Costs'!A16</f>
        <v>50E-B</v>
      </c>
      <c r="C18" s="27"/>
      <c r="D18" s="327" t="str">
        <f>'WP12 Condensed Sch. Level Costs'!C16</f>
        <v>Mercury Vapor</v>
      </c>
      <c r="E18" s="41" t="str">
        <f>'WP12 Condensed Sch. Level Costs'!D16</f>
        <v>MV 400</v>
      </c>
      <c r="F18" s="14">
        <f t="shared" si="1"/>
        <v>350</v>
      </c>
      <c r="G18" s="14">
        <f>'WP12 Condensed Sch. Level Costs'!O16</f>
        <v>140</v>
      </c>
      <c r="H18" s="328">
        <f>ROUND('WP12 Condensed Sch. Level Costs'!T16,2)</f>
        <v>0.05</v>
      </c>
      <c r="I18" s="328">
        <f>ROUND('WP12 Condensed Sch. Level Costs'!Y16,2)</f>
        <v>7.64</v>
      </c>
    </row>
    <row r="19" spans="1:9" x14ac:dyDescent="0.2">
      <c r="A19" s="32">
        <f t="shared" si="0"/>
        <v>11</v>
      </c>
      <c r="B19" s="27" t="str">
        <f>'WP12 Condensed Sch. Level Costs'!A17</f>
        <v>50E-B</v>
      </c>
      <c r="C19" s="27"/>
      <c r="D19" s="327" t="str">
        <f>'WP12 Condensed Sch. Level Costs'!C17</f>
        <v>Mercury Vapor</v>
      </c>
      <c r="E19" s="41" t="str">
        <f>'WP12 Condensed Sch. Level Costs'!D17</f>
        <v>MV 700</v>
      </c>
      <c r="F19" s="14">
        <f t="shared" si="1"/>
        <v>350</v>
      </c>
      <c r="G19" s="14">
        <f>'WP12 Condensed Sch. Level Costs'!O17</f>
        <v>245</v>
      </c>
      <c r="H19" s="328">
        <f>ROUND('WP12 Condensed Sch. Level Costs'!T17,2)</f>
        <v>0.05</v>
      </c>
      <c r="I19" s="328">
        <f>ROUND('WP12 Condensed Sch. Level Costs'!Y17,2)</f>
        <v>13.37</v>
      </c>
    </row>
    <row r="20" spans="1:9" x14ac:dyDescent="0.2">
      <c r="A20" s="32">
        <f t="shared" si="0"/>
        <v>12</v>
      </c>
      <c r="B20" s="27"/>
      <c r="C20" s="27"/>
      <c r="D20" s="327"/>
      <c r="E20" s="41"/>
      <c r="F20" s="14"/>
      <c r="G20" s="14"/>
      <c r="H20" s="342"/>
      <c r="I20" s="328"/>
    </row>
    <row r="21" spans="1:9" x14ac:dyDescent="0.2">
      <c r="A21" s="32">
        <f t="shared" si="0"/>
        <v>13</v>
      </c>
      <c r="B21" s="27" t="str">
        <f>'WP12 Condensed Sch. Level Costs'!A18</f>
        <v>Sch 51E</v>
      </c>
      <c r="C21" s="27"/>
      <c r="D21" s="327"/>
      <c r="E21" s="41"/>
      <c r="F21" s="14"/>
      <c r="G21" s="14"/>
      <c r="H21" s="342"/>
      <c r="I21" s="328"/>
    </row>
    <row r="22" spans="1:9" x14ac:dyDescent="0.2">
      <c r="A22" s="32">
        <f t="shared" si="0"/>
        <v>14</v>
      </c>
      <c r="B22" s="27" t="str">
        <f>'WP12 Condensed Sch. Level Costs'!A19</f>
        <v>51E</v>
      </c>
      <c r="C22" s="27"/>
      <c r="D22" s="327" t="str">
        <f>'WP12 Condensed Sch. Level Costs'!C19</f>
        <v>Light Emitting Diode</v>
      </c>
      <c r="E22" s="41" t="str">
        <f>'WP12 Condensed Sch. Level Costs'!D19</f>
        <v>LED 0-030</v>
      </c>
      <c r="F22" s="14">
        <f t="shared" si="1"/>
        <v>350</v>
      </c>
      <c r="G22" s="14">
        <f>'WP12 Condensed Sch. Level Costs'!O19</f>
        <v>5.25</v>
      </c>
      <c r="H22" s="328">
        <f>ROUND('WP12 Condensed Sch. Level Costs'!T19,2)</f>
        <v>0.05</v>
      </c>
      <c r="I22" s="328">
        <f>ROUND('WP12 Condensed Sch. Level Costs'!Y19,2)</f>
        <v>0.28999999999999998</v>
      </c>
    </row>
    <row r="23" spans="1:9" x14ac:dyDescent="0.2">
      <c r="A23" s="32">
        <f t="shared" si="0"/>
        <v>15</v>
      </c>
      <c r="B23" s="27" t="str">
        <f>'WP12 Condensed Sch. Level Costs'!A20</f>
        <v>51E</v>
      </c>
      <c r="C23" s="27"/>
      <c r="D23" s="327" t="str">
        <f>'WP12 Condensed Sch. Level Costs'!C20</f>
        <v>Light Emitting Diode</v>
      </c>
      <c r="E23" s="41" t="str">
        <f>'WP12 Condensed Sch. Level Costs'!D20</f>
        <v>LED 030.01-060</v>
      </c>
      <c r="F23" s="14">
        <f t="shared" si="1"/>
        <v>350</v>
      </c>
      <c r="G23" s="14">
        <f>'WP12 Condensed Sch. Level Costs'!O20</f>
        <v>15.75</v>
      </c>
      <c r="H23" s="328">
        <f>ROUND('WP12 Condensed Sch. Level Costs'!T20,2)</f>
        <v>0.05</v>
      </c>
      <c r="I23" s="328">
        <f>ROUND('WP12 Condensed Sch. Level Costs'!Y20,2)</f>
        <v>0.86</v>
      </c>
    </row>
    <row r="24" spans="1:9" x14ac:dyDescent="0.2">
      <c r="A24" s="32">
        <f t="shared" si="0"/>
        <v>16</v>
      </c>
      <c r="B24" s="27" t="str">
        <f>'WP12 Condensed Sch. Level Costs'!A21</f>
        <v>51E</v>
      </c>
      <c r="C24" s="27"/>
      <c r="D24" s="327" t="str">
        <f>'WP12 Condensed Sch. Level Costs'!C21</f>
        <v>Light Emitting Diode</v>
      </c>
      <c r="E24" s="41" t="str">
        <f>'WP12 Condensed Sch. Level Costs'!D21</f>
        <v>LED 060.01-090</v>
      </c>
      <c r="F24" s="14">
        <f t="shared" si="1"/>
        <v>350</v>
      </c>
      <c r="G24" s="14">
        <f>'WP12 Condensed Sch. Level Costs'!O21</f>
        <v>26.25</v>
      </c>
      <c r="H24" s="328">
        <f>ROUND('WP12 Condensed Sch. Level Costs'!T21,2)</f>
        <v>0.05</v>
      </c>
      <c r="I24" s="328">
        <f>ROUND('WP12 Condensed Sch. Level Costs'!Y21,2)</f>
        <v>1.43</v>
      </c>
    </row>
    <row r="25" spans="1:9" x14ac:dyDescent="0.2">
      <c r="A25" s="32">
        <f t="shared" si="0"/>
        <v>17</v>
      </c>
      <c r="B25" s="27" t="str">
        <f>'WP12 Condensed Sch. Level Costs'!A22</f>
        <v>51E</v>
      </c>
      <c r="C25" s="27"/>
      <c r="D25" s="327" t="str">
        <f>'WP12 Condensed Sch. Level Costs'!C22</f>
        <v>Light Emitting Diode</v>
      </c>
      <c r="E25" s="41" t="str">
        <f>'WP12 Condensed Sch. Level Costs'!D22</f>
        <v>LED 090.01-120</v>
      </c>
      <c r="F25" s="14">
        <f t="shared" si="1"/>
        <v>350</v>
      </c>
      <c r="G25" s="14">
        <f>'WP12 Condensed Sch. Level Costs'!O22</f>
        <v>36.75</v>
      </c>
      <c r="H25" s="328">
        <f>ROUND('WP12 Condensed Sch. Level Costs'!T22,2)</f>
        <v>0.05</v>
      </c>
      <c r="I25" s="328">
        <f>ROUND('WP12 Condensed Sch. Level Costs'!Y22,2)</f>
        <v>2</v>
      </c>
    </row>
    <row r="26" spans="1:9" x14ac:dyDescent="0.2">
      <c r="A26" s="32">
        <f t="shared" si="0"/>
        <v>18</v>
      </c>
      <c r="B26" s="27" t="str">
        <f>'WP12 Condensed Sch. Level Costs'!A23</f>
        <v>51E</v>
      </c>
      <c r="C26" s="27"/>
      <c r="D26" s="327" t="str">
        <f>'WP12 Condensed Sch. Level Costs'!C23</f>
        <v>Light Emitting Diode</v>
      </c>
      <c r="E26" s="41" t="str">
        <f>'WP12 Condensed Sch. Level Costs'!D23</f>
        <v>LED 120.01-150</v>
      </c>
      <c r="F26" s="14">
        <f t="shared" si="1"/>
        <v>350</v>
      </c>
      <c r="G26" s="14">
        <f>'WP12 Condensed Sch. Level Costs'!O23</f>
        <v>47.25</v>
      </c>
      <c r="H26" s="328">
        <f>ROUND('WP12 Condensed Sch. Level Costs'!T23,2)</f>
        <v>0.05</v>
      </c>
      <c r="I26" s="328">
        <f>ROUND('WP12 Condensed Sch. Level Costs'!Y23,2)</f>
        <v>2.58</v>
      </c>
    </row>
    <row r="27" spans="1:9" x14ac:dyDescent="0.2">
      <c r="A27" s="32">
        <f t="shared" si="0"/>
        <v>19</v>
      </c>
      <c r="B27" s="27" t="str">
        <f>'WP12 Condensed Sch. Level Costs'!A24</f>
        <v>51E</v>
      </c>
      <c r="C27" s="27"/>
      <c r="D27" s="327" t="str">
        <f>'WP12 Condensed Sch. Level Costs'!C24</f>
        <v>Light Emitting Diode</v>
      </c>
      <c r="E27" s="41" t="str">
        <f>'WP12 Condensed Sch. Level Costs'!D24</f>
        <v>LED 150.01-180</v>
      </c>
      <c r="F27" s="14">
        <f t="shared" si="1"/>
        <v>350</v>
      </c>
      <c r="G27" s="14">
        <f>'WP12 Condensed Sch. Level Costs'!O24</f>
        <v>57.75</v>
      </c>
      <c r="H27" s="328">
        <f>ROUND('WP12 Condensed Sch. Level Costs'!T24,2)</f>
        <v>0.05</v>
      </c>
      <c r="I27" s="328">
        <f>ROUND('WP12 Condensed Sch. Level Costs'!Y24,2)</f>
        <v>3.15</v>
      </c>
    </row>
    <row r="28" spans="1:9" x14ac:dyDescent="0.2">
      <c r="A28" s="32">
        <f t="shared" si="0"/>
        <v>20</v>
      </c>
      <c r="B28" s="27" t="str">
        <f>'WP12 Condensed Sch. Level Costs'!A25</f>
        <v>51E</v>
      </c>
      <c r="C28" s="27"/>
      <c r="D28" s="327" t="str">
        <f>'WP12 Condensed Sch. Level Costs'!C25</f>
        <v>Light Emitting Diode</v>
      </c>
      <c r="E28" s="41" t="str">
        <f>'WP12 Condensed Sch. Level Costs'!D25</f>
        <v>LED 180.01-210</v>
      </c>
      <c r="F28" s="14">
        <f t="shared" si="1"/>
        <v>350</v>
      </c>
      <c r="G28" s="14">
        <f>'WP12 Condensed Sch. Level Costs'!O25</f>
        <v>68.25</v>
      </c>
      <c r="H28" s="328">
        <f>ROUND('WP12 Condensed Sch. Level Costs'!T25,2)</f>
        <v>0.05</v>
      </c>
      <c r="I28" s="328">
        <f>ROUND('WP12 Condensed Sch. Level Costs'!Y25,2)</f>
        <v>3.72</v>
      </c>
    </row>
    <row r="29" spans="1:9" x14ac:dyDescent="0.2">
      <c r="A29" s="32">
        <f t="shared" si="0"/>
        <v>21</v>
      </c>
      <c r="B29" s="27" t="str">
        <f>'WP12 Condensed Sch. Level Costs'!A26</f>
        <v>51E</v>
      </c>
      <c r="C29" s="27"/>
      <c r="D29" s="327" t="str">
        <f>'WP12 Condensed Sch. Level Costs'!C26</f>
        <v>Light Emitting Diode</v>
      </c>
      <c r="E29" s="41" t="str">
        <f>'WP12 Condensed Sch. Level Costs'!D26</f>
        <v>LED 210.01-240</v>
      </c>
      <c r="F29" s="14">
        <f t="shared" si="1"/>
        <v>350</v>
      </c>
      <c r="G29" s="14">
        <f>'WP12 Condensed Sch. Level Costs'!O26</f>
        <v>78.75</v>
      </c>
      <c r="H29" s="328">
        <f>ROUND('WP12 Condensed Sch. Level Costs'!T26,2)</f>
        <v>0.05</v>
      </c>
      <c r="I29" s="328">
        <f>ROUND('WP12 Condensed Sch. Level Costs'!Y26,2)</f>
        <v>4.3</v>
      </c>
    </row>
    <row r="30" spans="1:9" x14ac:dyDescent="0.2">
      <c r="A30" s="32">
        <f t="shared" si="0"/>
        <v>22</v>
      </c>
      <c r="B30" s="27" t="str">
        <f>'WP12 Condensed Sch. Level Costs'!A27</f>
        <v>51E</v>
      </c>
      <c r="C30" s="27"/>
      <c r="D30" s="327" t="str">
        <f>'WP12 Condensed Sch. Level Costs'!C27</f>
        <v>Light Emitting Diode</v>
      </c>
      <c r="E30" s="41" t="str">
        <f>'WP12 Condensed Sch. Level Costs'!D27</f>
        <v>LED 240.01-270</v>
      </c>
      <c r="F30" s="14">
        <f t="shared" si="1"/>
        <v>350</v>
      </c>
      <c r="G30" s="14">
        <f>'WP12 Condensed Sch. Level Costs'!O27</f>
        <v>89.25</v>
      </c>
      <c r="H30" s="328">
        <f>ROUND('WP12 Condensed Sch. Level Costs'!T27,2)</f>
        <v>0.05</v>
      </c>
      <c r="I30" s="328">
        <f>ROUND('WP12 Condensed Sch. Level Costs'!Y27,2)</f>
        <v>4.87</v>
      </c>
    </row>
    <row r="31" spans="1:9" x14ac:dyDescent="0.2">
      <c r="A31" s="32">
        <f t="shared" si="0"/>
        <v>23</v>
      </c>
      <c r="B31" s="27" t="str">
        <f>'WP12 Condensed Sch. Level Costs'!A28</f>
        <v>51E</v>
      </c>
      <c r="C31" s="27"/>
      <c r="D31" s="327" t="str">
        <f>'WP12 Condensed Sch. Level Costs'!C28</f>
        <v>Light Emitting Diode</v>
      </c>
      <c r="E31" s="41" t="str">
        <f>'WP12 Condensed Sch. Level Costs'!D28</f>
        <v>LED 270.01-300</v>
      </c>
      <c r="F31" s="14">
        <f t="shared" si="1"/>
        <v>350</v>
      </c>
      <c r="G31" s="14">
        <f>'WP12 Condensed Sch. Level Costs'!O28</f>
        <v>99.75</v>
      </c>
      <c r="H31" s="328">
        <f>ROUND('WP12 Condensed Sch. Level Costs'!T28,2)</f>
        <v>0.05</v>
      </c>
      <c r="I31" s="328">
        <f>ROUND('WP12 Condensed Sch. Level Costs'!Y28,2)</f>
        <v>5.44</v>
      </c>
    </row>
    <row r="32" spans="1:9" x14ac:dyDescent="0.2">
      <c r="A32" s="32">
        <f t="shared" si="0"/>
        <v>24</v>
      </c>
      <c r="B32" s="27"/>
      <c r="C32" s="327"/>
      <c r="D32" s="327"/>
      <c r="E32" s="41"/>
      <c r="F32" s="14"/>
      <c r="G32" s="14"/>
      <c r="H32" s="342"/>
      <c r="I32" s="328"/>
    </row>
    <row r="33" spans="1:9" x14ac:dyDescent="0.2">
      <c r="A33" s="32">
        <f t="shared" si="0"/>
        <v>25</v>
      </c>
      <c r="B33" s="27" t="str">
        <f>'WP12 Condensed Sch. Level Costs'!A30</f>
        <v>51E</v>
      </c>
      <c r="C33" s="327" t="str">
        <f>'WP12 Condensed Sch. Level Costs'!B30</f>
        <v>SMART LIGHT</v>
      </c>
      <c r="D33" s="327" t="str">
        <f>'WP12 Condensed Sch. Level Costs'!C30</f>
        <v>Light Emitting Diode</v>
      </c>
      <c r="E33" s="41" t="str">
        <f>'WP12 Condensed Sch. Level Costs'!D30</f>
        <v>LED 0-030</v>
      </c>
      <c r="F33" s="14">
        <f t="shared" si="1"/>
        <v>350</v>
      </c>
      <c r="G33" s="14">
        <f>'WP12 Condensed Sch. Level Costs'!O30</f>
        <v>5.25</v>
      </c>
      <c r="H33" s="328">
        <f>ROUND('WP12 Condensed Sch. Level Costs'!T30,2)</f>
        <v>0.05</v>
      </c>
      <c r="I33" s="339">
        <f>ROUND('WP12 Condensed Sch. Level Costs'!AF30,6)</f>
        <v>5.4556E-2</v>
      </c>
    </row>
    <row r="34" spans="1:9" x14ac:dyDescent="0.2">
      <c r="A34" s="32">
        <f t="shared" si="0"/>
        <v>26</v>
      </c>
      <c r="B34" s="27" t="str">
        <f>'WP12 Condensed Sch. Level Costs'!A31</f>
        <v>51E</v>
      </c>
      <c r="C34" s="327" t="str">
        <f>'WP12 Condensed Sch. Level Costs'!B31</f>
        <v>SMART LIGHT</v>
      </c>
      <c r="D34" s="327" t="str">
        <f>'WP12 Condensed Sch. Level Costs'!C31</f>
        <v>Light Emitting Diode</v>
      </c>
      <c r="E34" s="41" t="str">
        <f>'WP12 Condensed Sch. Level Costs'!D31</f>
        <v>LED 030.01-060</v>
      </c>
      <c r="F34" s="14">
        <f t="shared" si="1"/>
        <v>350</v>
      </c>
      <c r="G34" s="14">
        <f>'WP12 Condensed Sch. Level Costs'!O31</f>
        <v>15.75</v>
      </c>
      <c r="H34" s="328">
        <f>ROUND('WP12 Condensed Sch. Level Costs'!T31,2)</f>
        <v>0.05</v>
      </c>
      <c r="I34" s="339">
        <f>ROUND('WP12 Condensed Sch. Level Costs'!AF31,6)</f>
        <v>5.4556E-2</v>
      </c>
    </row>
    <row r="35" spans="1:9" x14ac:dyDescent="0.2">
      <c r="A35" s="32">
        <f t="shared" si="0"/>
        <v>27</v>
      </c>
      <c r="B35" s="27" t="str">
        <f>'WP12 Condensed Sch. Level Costs'!A32</f>
        <v>51E</v>
      </c>
      <c r="C35" s="327" t="str">
        <f>'WP12 Condensed Sch. Level Costs'!B32</f>
        <v>SMART LIGHT</v>
      </c>
      <c r="D35" s="327" t="str">
        <f>'WP12 Condensed Sch. Level Costs'!C32</f>
        <v>Light Emitting Diode</v>
      </c>
      <c r="E35" s="41" t="str">
        <f>'WP12 Condensed Sch. Level Costs'!D32</f>
        <v>LED 060.01-090</v>
      </c>
      <c r="F35" s="14">
        <f t="shared" si="1"/>
        <v>350</v>
      </c>
      <c r="G35" s="14">
        <f>'WP12 Condensed Sch. Level Costs'!O32</f>
        <v>26.25</v>
      </c>
      <c r="H35" s="328">
        <f>ROUND('WP12 Condensed Sch. Level Costs'!T32,2)</f>
        <v>0.05</v>
      </c>
      <c r="I35" s="339">
        <f>ROUND('WP12 Condensed Sch. Level Costs'!AF32,6)</f>
        <v>5.4556E-2</v>
      </c>
    </row>
    <row r="36" spans="1:9" x14ac:dyDescent="0.2">
      <c r="A36" s="32">
        <f t="shared" si="0"/>
        <v>28</v>
      </c>
      <c r="B36" s="27" t="str">
        <f>'WP12 Condensed Sch. Level Costs'!A33</f>
        <v>51E</v>
      </c>
      <c r="C36" s="327" t="str">
        <f>'WP12 Condensed Sch. Level Costs'!B33</f>
        <v>SMART LIGHT</v>
      </c>
      <c r="D36" s="327" t="str">
        <f>'WP12 Condensed Sch. Level Costs'!C33</f>
        <v>Light Emitting Diode</v>
      </c>
      <c r="E36" s="41" t="str">
        <f>'WP12 Condensed Sch. Level Costs'!D33</f>
        <v>LED 090.01-120</v>
      </c>
      <c r="F36" s="14">
        <f t="shared" si="1"/>
        <v>350</v>
      </c>
      <c r="G36" s="14">
        <f>'WP12 Condensed Sch. Level Costs'!O33</f>
        <v>36.75</v>
      </c>
      <c r="H36" s="328">
        <f>ROUND('WP12 Condensed Sch. Level Costs'!T33,2)</f>
        <v>0.05</v>
      </c>
      <c r="I36" s="339">
        <f>ROUND('WP12 Condensed Sch. Level Costs'!AF33,6)</f>
        <v>5.4556E-2</v>
      </c>
    </row>
    <row r="37" spans="1:9" x14ac:dyDescent="0.2">
      <c r="A37" s="32">
        <f t="shared" si="0"/>
        <v>29</v>
      </c>
      <c r="B37" s="27" t="str">
        <f>'WP12 Condensed Sch. Level Costs'!A34</f>
        <v>51E</v>
      </c>
      <c r="C37" s="327" t="str">
        <f>'WP12 Condensed Sch. Level Costs'!B34</f>
        <v>SMART LIGHT</v>
      </c>
      <c r="D37" s="327" t="str">
        <f>'WP12 Condensed Sch. Level Costs'!C34</f>
        <v>Light Emitting Diode</v>
      </c>
      <c r="E37" s="41" t="str">
        <f>'WP12 Condensed Sch. Level Costs'!D34</f>
        <v>LED 120.01-150</v>
      </c>
      <c r="F37" s="14">
        <f t="shared" si="1"/>
        <v>350</v>
      </c>
      <c r="G37" s="14">
        <f>'WP12 Condensed Sch. Level Costs'!O34</f>
        <v>47.25</v>
      </c>
      <c r="H37" s="328">
        <f>ROUND('WP12 Condensed Sch. Level Costs'!T34,2)</f>
        <v>0.05</v>
      </c>
      <c r="I37" s="339">
        <f>ROUND('WP12 Condensed Sch. Level Costs'!AF34,6)</f>
        <v>5.4556E-2</v>
      </c>
    </row>
    <row r="38" spans="1:9" x14ac:dyDescent="0.2">
      <c r="A38" s="32">
        <f t="shared" si="0"/>
        <v>30</v>
      </c>
      <c r="B38" s="27" t="str">
        <f>'WP12 Condensed Sch. Level Costs'!A35</f>
        <v>51E</v>
      </c>
      <c r="C38" s="327" t="str">
        <f>'WP12 Condensed Sch. Level Costs'!B35</f>
        <v>SMART LIGHT</v>
      </c>
      <c r="D38" s="327" t="str">
        <f>'WP12 Condensed Sch. Level Costs'!C35</f>
        <v>Light Emitting Diode</v>
      </c>
      <c r="E38" s="41" t="str">
        <f>'WP12 Condensed Sch. Level Costs'!D35</f>
        <v>LED 150.01-180</v>
      </c>
      <c r="F38" s="14">
        <f t="shared" si="1"/>
        <v>350</v>
      </c>
      <c r="G38" s="14">
        <f>'WP12 Condensed Sch. Level Costs'!O35</f>
        <v>57.75</v>
      </c>
      <c r="H38" s="328">
        <f>ROUND('WP12 Condensed Sch. Level Costs'!T35,2)</f>
        <v>0.05</v>
      </c>
      <c r="I38" s="339">
        <f>ROUND('WP12 Condensed Sch. Level Costs'!AF35,6)</f>
        <v>5.4556E-2</v>
      </c>
    </row>
    <row r="39" spans="1:9" x14ac:dyDescent="0.2">
      <c r="A39" s="32">
        <f t="shared" si="0"/>
        <v>31</v>
      </c>
      <c r="B39" s="27" t="str">
        <f>'WP12 Condensed Sch. Level Costs'!A36</f>
        <v>51E</v>
      </c>
      <c r="C39" s="327" t="str">
        <f>'WP12 Condensed Sch. Level Costs'!B36</f>
        <v>SMART LIGHT</v>
      </c>
      <c r="D39" s="327" t="str">
        <f>'WP12 Condensed Sch. Level Costs'!C36</f>
        <v>Light Emitting Diode</v>
      </c>
      <c r="E39" s="41" t="str">
        <f>'WP12 Condensed Sch. Level Costs'!D36</f>
        <v>LED 180.01-210</v>
      </c>
      <c r="F39" s="14">
        <f t="shared" si="1"/>
        <v>350</v>
      </c>
      <c r="G39" s="14">
        <f>'WP12 Condensed Sch. Level Costs'!O36</f>
        <v>68.25</v>
      </c>
      <c r="H39" s="328">
        <f>ROUND('WP12 Condensed Sch. Level Costs'!T36,2)</f>
        <v>0.05</v>
      </c>
      <c r="I39" s="339">
        <f>ROUND('WP12 Condensed Sch. Level Costs'!AF36,6)</f>
        <v>5.4556E-2</v>
      </c>
    </row>
    <row r="40" spans="1:9" x14ac:dyDescent="0.2">
      <c r="A40" s="32">
        <f t="shared" si="0"/>
        <v>32</v>
      </c>
      <c r="B40" s="27" t="str">
        <f>'WP12 Condensed Sch. Level Costs'!A37</f>
        <v>51E</v>
      </c>
      <c r="C40" s="327" t="str">
        <f>'WP12 Condensed Sch. Level Costs'!B37</f>
        <v>SMART LIGHT</v>
      </c>
      <c r="D40" s="327" t="str">
        <f>'WP12 Condensed Sch. Level Costs'!C37</f>
        <v>Light Emitting Diode</v>
      </c>
      <c r="E40" s="41" t="str">
        <f>'WP12 Condensed Sch. Level Costs'!D37</f>
        <v>LED 210.01-240</v>
      </c>
      <c r="F40" s="14">
        <f t="shared" si="1"/>
        <v>350</v>
      </c>
      <c r="G40" s="14">
        <f>'WP12 Condensed Sch. Level Costs'!O37</f>
        <v>78.75</v>
      </c>
      <c r="H40" s="328">
        <f>ROUND('WP12 Condensed Sch. Level Costs'!T37,2)</f>
        <v>0.05</v>
      </c>
      <c r="I40" s="339">
        <f>ROUND('WP12 Condensed Sch. Level Costs'!AF37,6)</f>
        <v>5.4556E-2</v>
      </c>
    </row>
    <row r="41" spans="1:9" x14ac:dyDescent="0.2">
      <c r="A41" s="32">
        <f t="shared" si="0"/>
        <v>33</v>
      </c>
      <c r="B41" s="27" t="str">
        <f>'WP12 Condensed Sch. Level Costs'!A38</f>
        <v>51E</v>
      </c>
      <c r="C41" s="327" t="str">
        <f>'WP12 Condensed Sch. Level Costs'!B38</f>
        <v>SMART LIGHT</v>
      </c>
      <c r="D41" s="327" t="str">
        <f>'WP12 Condensed Sch. Level Costs'!C38</f>
        <v>Light Emitting Diode</v>
      </c>
      <c r="E41" s="41" t="str">
        <f>'WP12 Condensed Sch. Level Costs'!D38</f>
        <v>LED 240.01-270</v>
      </c>
      <c r="F41" s="14">
        <f t="shared" si="1"/>
        <v>350</v>
      </c>
      <c r="G41" s="14">
        <f>'WP12 Condensed Sch. Level Costs'!O38</f>
        <v>89.25</v>
      </c>
      <c r="H41" s="328">
        <f>ROUND('WP12 Condensed Sch. Level Costs'!T38,2)</f>
        <v>0.05</v>
      </c>
      <c r="I41" s="339">
        <f>ROUND('WP12 Condensed Sch. Level Costs'!AF38,6)</f>
        <v>5.4556E-2</v>
      </c>
    </row>
    <row r="42" spans="1:9" x14ac:dyDescent="0.2">
      <c r="A42" s="32">
        <f t="shared" si="0"/>
        <v>34</v>
      </c>
      <c r="B42" s="27" t="str">
        <f>'WP12 Condensed Sch. Level Costs'!A39</f>
        <v>51E</v>
      </c>
      <c r="C42" s="327" t="str">
        <f>'WP12 Condensed Sch. Level Costs'!B39</f>
        <v>SMART LIGHT</v>
      </c>
      <c r="D42" s="327" t="str">
        <f>'WP12 Condensed Sch. Level Costs'!C39</f>
        <v>Light Emitting Diode</v>
      </c>
      <c r="E42" s="41" t="str">
        <f>'WP12 Condensed Sch. Level Costs'!D39</f>
        <v>LED 270.01-300</v>
      </c>
      <c r="F42" s="14">
        <f t="shared" si="1"/>
        <v>350</v>
      </c>
      <c r="G42" s="14">
        <f>'WP12 Condensed Sch. Level Costs'!O39</f>
        <v>99.75</v>
      </c>
      <c r="H42" s="328">
        <f>ROUND('WP12 Condensed Sch. Level Costs'!T39,2)</f>
        <v>0.05</v>
      </c>
      <c r="I42" s="339">
        <f>ROUND('WP12 Condensed Sch. Level Costs'!AF39,6)</f>
        <v>5.4556E-2</v>
      </c>
    </row>
    <row r="43" spans="1:9" x14ac:dyDescent="0.2">
      <c r="A43" s="32">
        <f t="shared" si="0"/>
        <v>35</v>
      </c>
      <c r="B43" s="27"/>
      <c r="C43" s="27"/>
      <c r="D43" s="327"/>
      <c r="E43" s="41"/>
      <c r="F43" s="14"/>
      <c r="G43" s="14"/>
      <c r="H43" s="342"/>
      <c r="I43" s="328"/>
    </row>
    <row r="44" spans="1:9" x14ac:dyDescent="0.2">
      <c r="A44" s="32">
        <f t="shared" si="0"/>
        <v>36</v>
      </c>
      <c r="B44" s="27" t="str">
        <f>'WP12 Condensed Sch. Level Costs'!A40</f>
        <v>Sch 52E</v>
      </c>
      <c r="C44" s="27"/>
      <c r="D44" s="327"/>
      <c r="E44" s="41"/>
      <c r="F44" s="14"/>
      <c r="G44" s="14"/>
      <c r="H44" s="342"/>
      <c r="I44" s="328"/>
    </row>
    <row r="45" spans="1:9" x14ac:dyDescent="0.2">
      <c r="A45" s="32">
        <f t="shared" si="0"/>
        <v>37</v>
      </c>
      <c r="B45" s="27" t="str">
        <f>'WP12 Condensed Sch. Level Costs'!A41</f>
        <v xml:space="preserve">52E </v>
      </c>
      <c r="C45" s="27"/>
      <c r="D45" s="327" t="str">
        <f>'WP12 Condensed Sch. Level Costs'!C41</f>
        <v>Sodium Vapor</v>
      </c>
      <c r="E45" s="41" t="str">
        <f>'WP12 Condensed Sch. Level Costs'!D41</f>
        <v>SV 50</v>
      </c>
      <c r="F45" s="14">
        <f t="shared" si="1"/>
        <v>350</v>
      </c>
      <c r="G45" s="14">
        <f>'WP12 Condensed Sch. Level Costs'!O41</f>
        <v>17.5</v>
      </c>
      <c r="H45" s="328">
        <f>ROUND('WP12 Condensed Sch. Level Costs'!T41,2)</f>
        <v>0.05</v>
      </c>
      <c r="I45" s="328">
        <f>ROUND('WP12 Condensed Sch. Level Costs'!Y41,2)</f>
        <v>0.95</v>
      </c>
    </row>
    <row r="46" spans="1:9" x14ac:dyDescent="0.2">
      <c r="A46" s="32">
        <f t="shared" si="0"/>
        <v>38</v>
      </c>
      <c r="B46" s="27" t="str">
        <f>'WP12 Condensed Sch. Level Costs'!A42</f>
        <v xml:space="preserve">52E </v>
      </c>
      <c r="C46" s="27"/>
      <c r="D46" s="327" t="str">
        <f>'WP12 Condensed Sch. Level Costs'!C42</f>
        <v>Sodium Vapor</v>
      </c>
      <c r="E46" s="41" t="str">
        <f>'WP12 Condensed Sch. Level Costs'!D42</f>
        <v>SV 070</v>
      </c>
      <c r="F46" s="14">
        <f t="shared" si="1"/>
        <v>350</v>
      </c>
      <c r="G46" s="14">
        <f>'WP12 Condensed Sch. Level Costs'!O42</f>
        <v>24.5</v>
      </c>
      <c r="H46" s="328">
        <f>ROUND('WP12 Condensed Sch. Level Costs'!T42,2)</f>
        <v>0.05</v>
      </c>
      <c r="I46" s="328">
        <f>ROUND('WP12 Condensed Sch. Level Costs'!Y42,2)</f>
        <v>1.34</v>
      </c>
    </row>
    <row r="47" spans="1:9" x14ac:dyDescent="0.2">
      <c r="A47" s="32">
        <f t="shared" si="0"/>
        <v>39</v>
      </c>
      <c r="B47" s="27" t="str">
        <f>'WP12 Condensed Sch. Level Costs'!A43</f>
        <v xml:space="preserve">52E </v>
      </c>
      <c r="C47" s="27"/>
      <c r="D47" s="327" t="str">
        <f>'WP12 Condensed Sch. Level Costs'!C43</f>
        <v>Sodium Vapor</v>
      </c>
      <c r="E47" s="41" t="str">
        <f>'WP12 Condensed Sch. Level Costs'!D43</f>
        <v>SV 100</v>
      </c>
      <c r="F47" s="14">
        <f t="shared" si="1"/>
        <v>350</v>
      </c>
      <c r="G47" s="14">
        <f>'WP12 Condensed Sch. Level Costs'!O43</f>
        <v>35</v>
      </c>
      <c r="H47" s="328">
        <f>ROUND('WP12 Condensed Sch. Level Costs'!T43,2)</f>
        <v>0.05</v>
      </c>
      <c r="I47" s="328">
        <f>ROUND('WP12 Condensed Sch. Level Costs'!Y43,2)</f>
        <v>1.91</v>
      </c>
    </row>
    <row r="48" spans="1:9" x14ac:dyDescent="0.2">
      <c r="A48" s="32">
        <f t="shared" si="0"/>
        <v>40</v>
      </c>
      <c r="B48" s="27" t="str">
        <f>'WP12 Condensed Sch. Level Costs'!A44</f>
        <v xml:space="preserve">52E </v>
      </c>
      <c r="C48" s="27"/>
      <c r="D48" s="327" t="str">
        <f>'WP12 Condensed Sch. Level Costs'!C44</f>
        <v>Sodium Vapor</v>
      </c>
      <c r="E48" s="41" t="str">
        <f>'WP12 Condensed Sch. Level Costs'!D44</f>
        <v>SV 150</v>
      </c>
      <c r="F48" s="14">
        <f t="shared" si="1"/>
        <v>350</v>
      </c>
      <c r="G48" s="14">
        <f>'WP12 Condensed Sch. Level Costs'!O44</f>
        <v>52.5</v>
      </c>
      <c r="H48" s="328">
        <f>ROUND('WP12 Condensed Sch. Level Costs'!T44,2)</f>
        <v>0.05</v>
      </c>
      <c r="I48" s="328">
        <f>ROUND('WP12 Condensed Sch. Level Costs'!Y44,2)</f>
        <v>2.86</v>
      </c>
    </row>
    <row r="49" spans="1:9" x14ac:dyDescent="0.2">
      <c r="A49" s="32">
        <f t="shared" si="0"/>
        <v>41</v>
      </c>
      <c r="B49" s="27" t="str">
        <f>'WP12 Condensed Sch. Level Costs'!A45</f>
        <v xml:space="preserve">52E </v>
      </c>
      <c r="C49" s="27"/>
      <c r="D49" s="327" t="str">
        <f>'WP12 Condensed Sch. Level Costs'!C45</f>
        <v>Sodium Vapor</v>
      </c>
      <c r="E49" s="41" t="str">
        <f>'WP12 Condensed Sch. Level Costs'!D45</f>
        <v>SV 200</v>
      </c>
      <c r="F49" s="14">
        <f t="shared" si="1"/>
        <v>350</v>
      </c>
      <c r="G49" s="14">
        <f>'WP12 Condensed Sch. Level Costs'!O45</f>
        <v>70</v>
      </c>
      <c r="H49" s="328">
        <f>ROUND('WP12 Condensed Sch. Level Costs'!T45,2)</f>
        <v>0.05</v>
      </c>
      <c r="I49" s="328">
        <f>ROUND('WP12 Condensed Sch. Level Costs'!Y45,2)</f>
        <v>3.82</v>
      </c>
    </row>
    <row r="50" spans="1:9" x14ac:dyDescent="0.2">
      <c r="A50" s="32">
        <f t="shared" si="0"/>
        <v>42</v>
      </c>
      <c r="B50" s="27" t="str">
        <f>'WP12 Condensed Sch. Level Costs'!A46</f>
        <v xml:space="preserve">52E </v>
      </c>
      <c r="C50" s="27"/>
      <c r="D50" s="327" t="str">
        <f>'WP12 Condensed Sch. Level Costs'!C46</f>
        <v>Sodium Vapor</v>
      </c>
      <c r="E50" s="41" t="str">
        <f>'WP12 Condensed Sch. Level Costs'!D46</f>
        <v>SV 250</v>
      </c>
      <c r="F50" s="14">
        <f t="shared" si="1"/>
        <v>350</v>
      </c>
      <c r="G50" s="14">
        <f>'WP12 Condensed Sch. Level Costs'!O46</f>
        <v>87.5</v>
      </c>
      <c r="H50" s="328">
        <f>ROUND('WP12 Condensed Sch. Level Costs'!T46,2)</f>
        <v>0.05</v>
      </c>
      <c r="I50" s="328">
        <f>ROUND('WP12 Condensed Sch. Level Costs'!Y46,2)</f>
        <v>4.7699999999999996</v>
      </c>
    </row>
    <row r="51" spans="1:9" x14ac:dyDescent="0.2">
      <c r="A51" s="32">
        <f t="shared" si="0"/>
        <v>43</v>
      </c>
      <c r="B51" s="27" t="str">
        <f>'WP12 Condensed Sch. Level Costs'!A47</f>
        <v xml:space="preserve">52E </v>
      </c>
      <c r="C51" s="27"/>
      <c r="D51" s="327" t="str">
        <f>'WP12 Condensed Sch. Level Costs'!C47</f>
        <v>Sodium Vapor</v>
      </c>
      <c r="E51" s="41" t="str">
        <f>'WP12 Condensed Sch. Level Costs'!D47</f>
        <v>SV 310</v>
      </c>
      <c r="F51" s="14">
        <f t="shared" si="1"/>
        <v>350</v>
      </c>
      <c r="G51" s="14">
        <f>'WP12 Condensed Sch. Level Costs'!O47</f>
        <v>108.5</v>
      </c>
      <c r="H51" s="328">
        <f>ROUND('WP12 Condensed Sch. Level Costs'!T47,2)</f>
        <v>0.05</v>
      </c>
      <c r="I51" s="328">
        <f>ROUND('WP12 Condensed Sch. Level Costs'!Y47,2)</f>
        <v>5.92</v>
      </c>
    </row>
    <row r="52" spans="1:9" x14ac:dyDescent="0.2">
      <c r="A52" s="32">
        <f t="shared" si="0"/>
        <v>44</v>
      </c>
      <c r="B52" s="27" t="str">
        <f>'WP12 Condensed Sch. Level Costs'!A48</f>
        <v xml:space="preserve">52E </v>
      </c>
      <c r="C52" s="27"/>
      <c r="D52" s="327" t="str">
        <f>'WP12 Condensed Sch. Level Costs'!C48</f>
        <v>Sodium Vapor</v>
      </c>
      <c r="E52" s="41" t="str">
        <f>'WP12 Condensed Sch. Level Costs'!D48</f>
        <v>SV 400</v>
      </c>
      <c r="F52" s="14">
        <f t="shared" si="1"/>
        <v>350</v>
      </c>
      <c r="G52" s="14">
        <f>'WP12 Condensed Sch. Level Costs'!O48</f>
        <v>140</v>
      </c>
      <c r="H52" s="328">
        <f>ROUND('WP12 Condensed Sch. Level Costs'!T48,2)</f>
        <v>0.05</v>
      </c>
      <c r="I52" s="328">
        <f>ROUND('WP12 Condensed Sch. Level Costs'!Y48,2)</f>
        <v>7.64</v>
      </c>
    </row>
    <row r="53" spans="1:9" x14ac:dyDescent="0.2">
      <c r="A53" s="32">
        <f t="shared" si="0"/>
        <v>45</v>
      </c>
      <c r="B53" s="27"/>
      <c r="C53" s="27"/>
      <c r="D53" s="327"/>
      <c r="E53" s="41"/>
      <c r="F53" s="14"/>
      <c r="G53" s="14"/>
      <c r="H53" s="342"/>
      <c r="I53" s="328"/>
    </row>
    <row r="54" spans="1:9" x14ac:dyDescent="0.2">
      <c r="A54" s="32">
        <f t="shared" si="0"/>
        <v>46</v>
      </c>
      <c r="B54" s="27" t="str">
        <f>'WP12 Condensed Sch. Level Costs'!A50</f>
        <v xml:space="preserve">52E </v>
      </c>
      <c r="C54" s="27"/>
      <c r="D54" s="327" t="str">
        <f>'WP12 Condensed Sch. Level Costs'!C50</f>
        <v>Metal Halide</v>
      </c>
      <c r="E54" s="41" t="str">
        <f>'WP12 Condensed Sch. Level Costs'!D50</f>
        <v>MH 070</v>
      </c>
      <c r="F54" s="14">
        <f t="shared" si="1"/>
        <v>350</v>
      </c>
      <c r="G54" s="14">
        <f>'WP12 Condensed Sch. Level Costs'!O50</f>
        <v>24.5</v>
      </c>
      <c r="H54" s="328">
        <f>ROUND('WP12 Condensed Sch. Level Costs'!T50,2)</f>
        <v>0.05</v>
      </c>
      <c r="I54" s="328">
        <f>ROUND('WP12 Condensed Sch. Level Costs'!Y50,2)</f>
        <v>1.34</v>
      </c>
    </row>
    <row r="55" spans="1:9" x14ac:dyDescent="0.2">
      <c r="A55" s="32">
        <f t="shared" si="0"/>
        <v>47</v>
      </c>
      <c r="B55" s="27" t="str">
        <f>'WP12 Condensed Sch. Level Costs'!A51</f>
        <v xml:space="preserve">52E </v>
      </c>
      <c r="C55" s="27"/>
      <c r="D55" s="327" t="str">
        <f>'WP12 Condensed Sch. Level Costs'!C51</f>
        <v>Metal Halide</v>
      </c>
      <c r="E55" s="41" t="str">
        <f>'WP12 Condensed Sch. Level Costs'!D51</f>
        <v>MH 100</v>
      </c>
      <c r="F55" s="14">
        <f t="shared" si="1"/>
        <v>350</v>
      </c>
      <c r="G55" s="14">
        <f>'WP12 Condensed Sch. Level Costs'!O51</f>
        <v>35</v>
      </c>
      <c r="H55" s="328">
        <f>ROUND('WP12 Condensed Sch. Level Costs'!T51,2)</f>
        <v>0.05</v>
      </c>
      <c r="I55" s="328">
        <f>ROUND('WP12 Condensed Sch. Level Costs'!Y51,2)</f>
        <v>1.91</v>
      </c>
    </row>
    <row r="56" spans="1:9" x14ac:dyDescent="0.2">
      <c r="A56" s="32">
        <f t="shared" si="0"/>
        <v>48</v>
      </c>
      <c r="B56" s="27" t="str">
        <f>'WP12 Condensed Sch. Level Costs'!A52</f>
        <v xml:space="preserve">52E </v>
      </c>
      <c r="C56" s="27"/>
      <c r="D56" s="327" t="str">
        <f>'WP12 Condensed Sch. Level Costs'!C52</f>
        <v>Metal Halide</v>
      </c>
      <c r="E56" s="41" t="str">
        <f>'WP12 Condensed Sch. Level Costs'!D52</f>
        <v>MH 150</v>
      </c>
      <c r="F56" s="14">
        <f t="shared" si="1"/>
        <v>350</v>
      </c>
      <c r="G56" s="14">
        <f>'WP12 Condensed Sch. Level Costs'!O52</f>
        <v>52.5</v>
      </c>
      <c r="H56" s="328">
        <f>ROUND('WP12 Condensed Sch. Level Costs'!T52,2)</f>
        <v>0.05</v>
      </c>
      <c r="I56" s="328">
        <f>ROUND('WP12 Condensed Sch. Level Costs'!Y52,2)</f>
        <v>2.86</v>
      </c>
    </row>
    <row r="57" spans="1:9" x14ac:dyDescent="0.2">
      <c r="A57" s="32">
        <f t="shared" si="0"/>
        <v>49</v>
      </c>
      <c r="B57" s="27" t="str">
        <f>'WP12 Condensed Sch. Level Costs'!A53</f>
        <v xml:space="preserve">52E </v>
      </c>
      <c r="C57" s="27"/>
      <c r="D57" s="327" t="str">
        <f>'WP12 Condensed Sch. Level Costs'!C53</f>
        <v>Metal Halide</v>
      </c>
      <c r="E57" s="41" t="str">
        <f>'WP12 Condensed Sch. Level Costs'!D53</f>
        <v>MH 175</v>
      </c>
      <c r="F57" s="14">
        <f t="shared" si="1"/>
        <v>350</v>
      </c>
      <c r="G57" s="14">
        <f>'WP12 Condensed Sch. Level Costs'!O53</f>
        <v>61.25</v>
      </c>
      <c r="H57" s="328">
        <f>ROUND('WP12 Condensed Sch. Level Costs'!T53,2)</f>
        <v>0.05</v>
      </c>
      <c r="I57" s="328">
        <f>ROUND('WP12 Condensed Sch. Level Costs'!Y53,2)</f>
        <v>3.34</v>
      </c>
    </row>
    <row r="58" spans="1:9" x14ac:dyDescent="0.2">
      <c r="A58" s="32">
        <f t="shared" si="0"/>
        <v>50</v>
      </c>
      <c r="B58" s="27" t="str">
        <f>'WP12 Condensed Sch. Level Costs'!A54</f>
        <v xml:space="preserve">52E </v>
      </c>
      <c r="C58" s="27"/>
      <c r="D58" s="327" t="str">
        <f>'WP12 Condensed Sch. Level Costs'!C54</f>
        <v>Metal Halide</v>
      </c>
      <c r="E58" s="41" t="str">
        <f>'WP12 Condensed Sch. Level Costs'!D54</f>
        <v>MH 250</v>
      </c>
      <c r="F58" s="14">
        <f t="shared" si="1"/>
        <v>350</v>
      </c>
      <c r="G58" s="14">
        <f>'WP12 Condensed Sch. Level Costs'!O54</f>
        <v>87.5</v>
      </c>
      <c r="H58" s="328">
        <f>ROUND('WP12 Condensed Sch. Level Costs'!T54,2)</f>
        <v>0.05</v>
      </c>
      <c r="I58" s="328">
        <f>ROUND('WP12 Condensed Sch. Level Costs'!Y54,2)</f>
        <v>4.7699999999999996</v>
      </c>
    </row>
    <row r="59" spans="1:9" x14ac:dyDescent="0.2">
      <c r="A59" s="32">
        <f t="shared" si="0"/>
        <v>51</v>
      </c>
      <c r="B59" s="27" t="str">
        <f>'WP12 Condensed Sch. Level Costs'!A55</f>
        <v xml:space="preserve">52E </v>
      </c>
      <c r="C59" s="27"/>
      <c r="D59" s="327" t="str">
        <f>'WP12 Condensed Sch. Level Costs'!C55</f>
        <v>Metal Halide</v>
      </c>
      <c r="E59" s="41" t="str">
        <f>'WP12 Condensed Sch. Level Costs'!D55</f>
        <v>MH 400</v>
      </c>
      <c r="F59" s="14">
        <f t="shared" si="1"/>
        <v>350</v>
      </c>
      <c r="G59" s="14">
        <f>'WP12 Condensed Sch. Level Costs'!O55</f>
        <v>140</v>
      </c>
      <c r="H59" s="328">
        <f>ROUND('WP12 Condensed Sch. Level Costs'!T55,2)</f>
        <v>0.05</v>
      </c>
      <c r="I59" s="328">
        <f>ROUND('WP12 Condensed Sch. Level Costs'!Y55,2)</f>
        <v>7.64</v>
      </c>
    </row>
    <row r="60" spans="1:9" x14ac:dyDescent="0.2">
      <c r="A60" s="32">
        <f t="shared" si="0"/>
        <v>52</v>
      </c>
      <c r="B60" s="27" t="str">
        <f>'WP12 Condensed Sch. Level Costs'!A56</f>
        <v xml:space="preserve">52E </v>
      </c>
      <c r="C60" s="27"/>
      <c r="D60" s="327" t="str">
        <f>'WP12 Condensed Sch. Level Costs'!C56</f>
        <v>Metal Halide</v>
      </c>
      <c r="E60" s="41" t="str">
        <f>'WP12 Condensed Sch. Level Costs'!D56</f>
        <v>MH 1000</v>
      </c>
      <c r="F60" s="14">
        <f t="shared" si="1"/>
        <v>350</v>
      </c>
      <c r="G60" s="14">
        <f>'WP12 Condensed Sch. Level Costs'!O56</f>
        <v>350</v>
      </c>
      <c r="H60" s="328">
        <f>ROUND('WP12 Condensed Sch. Level Costs'!T56,2)</f>
        <v>0.05</v>
      </c>
      <c r="I60" s="328">
        <f>ROUND('WP12 Condensed Sch. Level Costs'!Y56,2)</f>
        <v>19.09</v>
      </c>
    </row>
    <row r="61" spans="1:9" x14ac:dyDescent="0.2">
      <c r="A61" s="32">
        <f t="shared" si="0"/>
        <v>53</v>
      </c>
      <c r="B61" s="27"/>
      <c r="C61" s="27"/>
      <c r="D61" s="327"/>
      <c r="E61" s="41"/>
      <c r="F61" s="14"/>
      <c r="G61" s="14"/>
      <c r="H61" s="342"/>
      <c r="I61" s="328"/>
    </row>
    <row r="62" spans="1:9" x14ac:dyDescent="0.2">
      <c r="A62" s="32">
        <f t="shared" si="0"/>
        <v>54</v>
      </c>
      <c r="B62" s="27" t="str">
        <f>'WP12 Condensed Sch. Level Costs'!A57</f>
        <v>Sch 53E</v>
      </c>
      <c r="C62" s="27"/>
      <c r="D62" s="327"/>
      <c r="E62" s="41"/>
      <c r="F62" s="14"/>
      <c r="G62" s="14"/>
      <c r="H62" s="342"/>
      <c r="I62" s="328"/>
    </row>
    <row r="63" spans="1:9" x14ac:dyDescent="0.2">
      <c r="A63" s="32">
        <f t="shared" si="0"/>
        <v>55</v>
      </c>
      <c r="B63" s="27" t="str">
        <f>'WP12 Condensed Sch. Level Costs'!A58</f>
        <v>53E - Company Owned</v>
      </c>
      <c r="C63" s="27"/>
      <c r="D63" s="327" t="str">
        <f>'WP12 Condensed Sch. Level Costs'!C58</f>
        <v>Sodium Vapor</v>
      </c>
      <c r="E63" s="41" t="str">
        <f>'WP12 Condensed Sch. Level Costs'!D58</f>
        <v>SV 050</v>
      </c>
      <c r="F63" s="14">
        <f t="shared" si="1"/>
        <v>350</v>
      </c>
      <c r="G63" s="14">
        <f>'WP12 Condensed Sch. Level Costs'!O58</f>
        <v>17.5</v>
      </c>
      <c r="H63" s="328">
        <f>ROUND('WP12 Condensed Sch. Level Costs'!T58,2)</f>
        <v>0.05</v>
      </c>
      <c r="I63" s="328">
        <f>ROUND('WP12 Condensed Sch. Level Costs'!Y58,2)</f>
        <v>0.95</v>
      </c>
    </row>
    <row r="64" spans="1:9" x14ac:dyDescent="0.2">
      <c r="A64" s="32">
        <f t="shared" si="0"/>
        <v>56</v>
      </c>
      <c r="B64" s="27" t="str">
        <f>'WP12 Condensed Sch. Level Costs'!A59</f>
        <v>53E - Company Owned</v>
      </c>
      <c r="C64" s="27"/>
      <c r="D64" s="327" t="str">
        <f>'WP12 Condensed Sch. Level Costs'!C59</f>
        <v>Sodium Vapor</v>
      </c>
      <c r="E64" s="41" t="str">
        <f>'WP12 Condensed Sch. Level Costs'!D59</f>
        <v>SV 070</v>
      </c>
      <c r="F64" s="14">
        <f t="shared" si="1"/>
        <v>350</v>
      </c>
      <c r="G64" s="14">
        <f>'WP12 Condensed Sch. Level Costs'!O59</f>
        <v>24.5</v>
      </c>
      <c r="H64" s="328">
        <f>ROUND('WP12 Condensed Sch. Level Costs'!T59,2)</f>
        <v>0.05</v>
      </c>
      <c r="I64" s="328">
        <f>ROUND('WP12 Condensed Sch. Level Costs'!Y59,2)</f>
        <v>1.34</v>
      </c>
    </row>
    <row r="65" spans="1:9" x14ac:dyDescent="0.2">
      <c r="A65" s="32">
        <f t="shared" si="0"/>
        <v>57</v>
      </c>
      <c r="B65" s="27" t="str">
        <f>'WP12 Condensed Sch. Level Costs'!A60</f>
        <v>53E - Company Owned</v>
      </c>
      <c r="C65" s="27"/>
      <c r="D65" s="327" t="str">
        <f>'WP12 Condensed Sch. Level Costs'!C60</f>
        <v>Sodium Vapor</v>
      </c>
      <c r="E65" s="41" t="str">
        <f>'WP12 Condensed Sch. Level Costs'!D60</f>
        <v>SV 100</v>
      </c>
      <c r="F65" s="14">
        <f t="shared" si="1"/>
        <v>350</v>
      </c>
      <c r="G65" s="14">
        <f>'WP12 Condensed Sch. Level Costs'!O60</f>
        <v>35</v>
      </c>
      <c r="H65" s="328">
        <f>ROUND('WP12 Condensed Sch. Level Costs'!T60,2)</f>
        <v>0.05</v>
      </c>
      <c r="I65" s="328">
        <f>ROUND('WP12 Condensed Sch. Level Costs'!Y60,2)</f>
        <v>1.91</v>
      </c>
    </row>
    <row r="66" spans="1:9" x14ac:dyDescent="0.2">
      <c r="A66" s="32">
        <f t="shared" si="0"/>
        <v>58</v>
      </c>
      <c r="B66" s="27" t="str">
        <f>'WP12 Condensed Sch. Level Costs'!A61</f>
        <v>53E - Company Owned</v>
      </c>
      <c r="C66" s="27"/>
      <c r="D66" s="327" t="str">
        <f>'WP12 Condensed Sch. Level Costs'!C61</f>
        <v>Sodium Vapor</v>
      </c>
      <c r="E66" s="41" t="str">
        <f>'WP12 Condensed Sch. Level Costs'!D61</f>
        <v>SV 150</v>
      </c>
      <c r="F66" s="14">
        <f t="shared" si="1"/>
        <v>350</v>
      </c>
      <c r="G66" s="14">
        <f>'WP12 Condensed Sch. Level Costs'!O61</f>
        <v>52.5</v>
      </c>
      <c r="H66" s="328">
        <f>ROUND('WP12 Condensed Sch. Level Costs'!T61,2)</f>
        <v>0.05</v>
      </c>
      <c r="I66" s="328">
        <f>ROUND('WP12 Condensed Sch. Level Costs'!Y61,2)</f>
        <v>2.86</v>
      </c>
    </row>
    <row r="67" spans="1:9" x14ac:dyDescent="0.2">
      <c r="A67" s="32">
        <f t="shared" si="0"/>
        <v>59</v>
      </c>
      <c r="B67" s="27" t="str">
        <f>'WP12 Condensed Sch. Level Costs'!A62</f>
        <v>53E - Company Owned</v>
      </c>
      <c r="C67" s="27"/>
      <c r="D67" s="327" t="str">
        <f>'WP12 Condensed Sch. Level Costs'!C62</f>
        <v>Sodium Vapor</v>
      </c>
      <c r="E67" s="41" t="str">
        <f>'WP12 Condensed Sch. Level Costs'!D62</f>
        <v>SV 200</v>
      </c>
      <c r="F67" s="14">
        <f t="shared" si="1"/>
        <v>350</v>
      </c>
      <c r="G67" s="14">
        <f>'WP12 Condensed Sch. Level Costs'!O62</f>
        <v>70</v>
      </c>
      <c r="H67" s="328">
        <f>ROUND('WP12 Condensed Sch. Level Costs'!T62,2)</f>
        <v>0.05</v>
      </c>
      <c r="I67" s="328">
        <f>ROUND('WP12 Condensed Sch. Level Costs'!Y62,2)</f>
        <v>3.82</v>
      </c>
    </row>
    <row r="68" spans="1:9" x14ac:dyDescent="0.2">
      <c r="A68" s="32">
        <f t="shared" si="0"/>
        <v>60</v>
      </c>
      <c r="B68" s="27" t="str">
        <f>'WP12 Condensed Sch. Level Costs'!A63</f>
        <v>53E - Company Owned</v>
      </c>
      <c r="C68" s="27"/>
      <c r="D68" s="327" t="str">
        <f>'WP12 Condensed Sch. Level Costs'!C63</f>
        <v>Sodium Vapor</v>
      </c>
      <c r="E68" s="41" t="str">
        <f>'WP12 Condensed Sch. Level Costs'!D63</f>
        <v>SV 250</v>
      </c>
      <c r="F68" s="14">
        <f t="shared" si="1"/>
        <v>350</v>
      </c>
      <c r="G68" s="14">
        <f>'WP12 Condensed Sch. Level Costs'!O63</f>
        <v>87.5</v>
      </c>
      <c r="H68" s="328">
        <f>ROUND('WP12 Condensed Sch. Level Costs'!T63,2)</f>
        <v>0.05</v>
      </c>
      <c r="I68" s="328">
        <f>ROUND('WP12 Condensed Sch. Level Costs'!Y63,2)</f>
        <v>4.7699999999999996</v>
      </c>
    </row>
    <row r="69" spans="1:9" x14ac:dyDescent="0.2">
      <c r="A69" s="32">
        <f t="shared" si="0"/>
        <v>61</v>
      </c>
      <c r="B69" s="27" t="str">
        <f>'WP12 Condensed Sch. Level Costs'!A64</f>
        <v>53E - Company Owned</v>
      </c>
      <c r="C69" s="27"/>
      <c r="D69" s="327" t="str">
        <f>'WP12 Condensed Sch. Level Costs'!C64</f>
        <v>Sodium Vapor</v>
      </c>
      <c r="E69" s="41" t="str">
        <f>'WP12 Condensed Sch. Level Costs'!D64</f>
        <v>SV 310</v>
      </c>
      <c r="F69" s="14">
        <f t="shared" si="1"/>
        <v>350</v>
      </c>
      <c r="G69" s="14">
        <f>'WP12 Condensed Sch. Level Costs'!O64</f>
        <v>108.5</v>
      </c>
      <c r="H69" s="328">
        <f>ROUND('WP12 Condensed Sch. Level Costs'!T64,2)</f>
        <v>0.05</v>
      </c>
      <c r="I69" s="328">
        <f>ROUND('WP12 Condensed Sch. Level Costs'!Y64,2)</f>
        <v>5.92</v>
      </c>
    </row>
    <row r="70" spans="1:9" x14ac:dyDescent="0.2">
      <c r="A70" s="32">
        <f t="shared" si="0"/>
        <v>62</v>
      </c>
      <c r="B70" s="27" t="str">
        <f>'WP12 Condensed Sch. Level Costs'!A65</f>
        <v>53E - Company Owned</v>
      </c>
      <c r="C70" s="27"/>
      <c r="D70" s="327" t="str">
        <f>'WP12 Condensed Sch. Level Costs'!C65</f>
        <v>Sodium Vapor</v>
      </c>
      <c r="E70" s="41" t="str">
        <f>'WP12 Condensed Sch. Level Costs'!D65</f>
        <v>SV 400</v>
      </c>
      <c r="F70" s="14">
        <f t="shared" si="1"/>
        <v>350</v>
      </c>
      <c r="G70" s="14">
        <f>'WP12 Condensed Sch. Level Costs'!O65</f>
        <v>140</v>
      </c>
      <c r="H70" s="328">
        <f>ROUND('WP12 Condensed Sch. Level Costs'!T65,2)</f>
        <v>0.05</v>
      </c>
      <c r="I70" s="328">
        <f>ROUND('WP12 Condensed Sch. Level Costs'!Y65,2)</f>
        <v>7.64</v>
      </c>
    </row>
    <row r="71" spans="1:9" x14ac:dyDescent="0.2">
      <c r="A71" s="32">
        <f t="shared" si="0"/>
        <v>63</v>
      </c>
      <c r="B71" s="27" t="str">
        <f>'WP12 Condensed Sch. Level Costs'!A66</f>
        <v>53E - Company Owned</v>
      </c>
      <c r="C71" s="27"/>
      <c r="D71" s="327" t="str">
        <f>'WP12 Condensed Sch. Level Costs'!C66</f>
        <v>Sodium Vapor</v>
      </c>
      <c r="E71" s="41" t="str">
        <f>'WP12 Condensed Sch. Level Costs'!D66</f>
        <v>SV 1000</v>
      </c>
      <c r="F71" s="14">
        <f t="shared" si="1"/>
        <v>350</v>
      </c>
      <c r="G71" s="14">
        <f>'WP12 Condensed Sch. Level Costs'!O66</f>
        <v>350</v>
      </c>
      <c r="H71" s="328">
        <f>ROUND('WP12 Condensed Sch. Level Costs'!T66,2)</f>
        <v>0.05</v>
      </c>
      <c r="I71" s="328">
        <f>ROUND('WP12 Condensed Sch. Level Costs'!Y66,2)</f>
        <v>19.09</v>
      </c>
    </row>
    <row r="72" spans="1:9" x14ac:dyDescent="0.2">
      <c r="A72" s="32">
        <f t="shared" si="0"/>
        <v>64</v>
      </c>
      <c r="B72" s="27"/>
      <c r="C72" s="27"/>
      <c r="D72" s="327"/>
      <c r="E72" s="41"/>
      <c r="F72" s="14"/>
      <c r="G72" s="14"/>
      <c r="H72" s="342"/>
      <c r="I72" s="328"/>
    </row>
    <row r="73" spans="1:9" x14ac:dyDescent="0.2">
      <c r="A73" s="32">
        <f t="shared" si="0"/>
        <v>65</v>
      </c>
      <c r="B73" s="27" t="str">
        <f>'WP12 Condensed Sch. Level Costs'!A68</f>
        <v>53E - Company Owned</v>
      </c>
      <c r="C73" s="27"/>
      <c r="D73" s="327" t="str">
        <f>'WP12 Condensed Sch. Level Costs'!C68</f>
        <v>Metal Halide</v>
      </c>
      <c r="E73" s="41" t="str">
        <f>'WP12 Condensed Sch. Level Costs'!D68</f>
        <v>MH 070</v>
      </c>
      <c r="F73" s="14">
        <f t="shared" si="1"/>
        <v>350</v>
      </c>
      <c r="G73" s="14">
        <f>'WP12 Condensed Sch. Level Costs'!O68</f>
        <v>24.5</v>
      </c>
      <c r="H73" s="328">
        <f>ROUND('WP12 Condensed Sch. Level Costs'!T68,2)</f>
        <v>0.05</v>
      </c>
      <c r="I73" s="328">
        <f>ROUND('WP12 Condensed Sch. Level Costs'!Y68,2)</f>
        <v>1.34</v>
      </c>
    </row>
    <row r="74" spans="1:9" x14ac:dyDescent="0.2">
      <c r="A74" s="32">
        <f t="shared" si="0"/>
        <v>66</v>
      </c>
      <c r="B74" s="27" t="str">
        <f>'WP12 Condensed Sch. Level Costs'!A69</f>
        <v>53E - Company Owned</v>
      </c>
      <c r="C74" s="27"/>
      <c r="D74" s="327" t="str">
        <f>'WP12 Condensed Sch. Level Costs'!C69</f>
        <v>Metal Halide</v>
      </c>
      <c r="E74" s="41" t="str">
        <f>'WP12 Condensed Sch. Level Costs'!D69</f>
        <v>MH 100</v>
      </c>
      <c r="F74" s="14">
        <f t="shared" si="1"/>
        <v>350</v>
      </c>
      <c r="G74" s="14">
        <f>'WP12 Condensed Sch. Level Costs'!O69</f>
        <v>35</v>
      </c>
      <c r="H74" s="328">
        <f>ROUND('WP12 Condensed Sch. Level Costs'!T69,2)</f>
        <v>0.05</v>
      </c>
      <c r="I74" s="328">
        <f>ROUND('WP12 Condensed Sch. Level Costs'!Y69,2)</f>
        <v>1.91</v>
      </c>
    </row>
    <row r="75" spans="1:9" x14ac:dyDescent="0.2">
      <c r="A75" s="32">
        <f t="shared" si="0"/>
        <v>67</v>
      </c>
      <c r="B75" s="27" t="str">
        <f>'WP12 Condensed Sch. Level Costs'!A70</f>
        <v>53E - Company Owned</v>
      </c>
      <c r="C75" s="27"/>
      <c r="D75" s="327" t="str">
        <f>'WP12 Condensed Sch. Level Costs'!C70</f>
        <v>Metal Halide</v>
      </c>
      <c r="E75" s="41" t="str">
        <f>'WP12 Condensed Sch. Level Costs'!D70</f>
        <v>MH 150</v>
      </c>
      <c r="F75" s="14">
        <f t="shared" si="1"/>
        <v>350</v>
      </c>
      <c r="G75" s="14">
        <f>'WP12 Condensed Sch. Level Costs'!O70</f>
        <v>52.5</v>
      </c>
      <c r="H75" s="328">
        <f>ROUND('WP12 Condensed Sch. Level Costs'!T70,2)</f>
        <v>0.05</v>
      </c>
      <c r="I75" s="328">
        <f>ROUND('WP12 Condensed Sch. Level Costs'!Y70,2)</f>
        <v>2.86</v>
      </c>
    </row>
    <row r="76" spans="1:9" x14ac:dyDescent="0.2">
      <c r="A76" s="32">
        <f t="shared" si="0"/>
        <v>68</v>
      </c>
      <c r="B76" s="27" t="str">
        <f>'WP12 Condensed Sch. Level Costs'!A71</f>
        <v>53E - Company Owned</v>
      </c>
      <c r="C76" s="27"/>
      <c r="D76" s="327" t="str">
        <f>'WP12 Condensed Sch. Level Costs'!C71</f>
        <v>Metal Halide</v>
      </c>
      <c r="E76" s="41" t="str">
        <f>'WP12 Condensed Sch. Level Costs'!D71</f>
        <v>MH 250</v>
      </c>
      <c r="F76" s="14">
        <f t="shared" si="1"/>
        <v>350</v>
      </c>
      <c r="G76" s="14">
        <f>'WP12 Condensed Sch. Level Costs'!O71</f>
        <v>87.5</v>
      </c>
      <c r="H76" s="328">
        <f>ROUND('WP12 Condensed Sch. Level Costs'!T71,2)</f>
        <v>0.05</v>
      </c>
      <c r="I76" s="328">
        <f>ROUND('WP12 Condensed Sch. Level Costs'!Y71,2)</f>
        <v>4.7699999999999996</v>
      </c>
    </row>
    <row r="77" spans="1:9" x14ac:dyDescent="0.2">
      <c r="A77" s="32">
        <f t="shared" si="0"/>
        <v>69</v>
      </c>
      <c r="B77" s="27" t="str">
        <f>'WP12 Condensed Sch. Level Costs'!A72</f>
        <v>53E - Company Owned</v>
      </c>
      <c r="C77" s="27"/>
      <c r="D77" s="327" t="str">
        <f>'WP12 Condensed Sch. Level Costs'!C72</f>
        <v>Metal Halide</v>
      </c>
      <c r="E77" s="41" t="str">
        <f>'WP12 Condensed Sch. Level Costs'!D72</f>
        <v>MH 400</v>
      </c>
      <c r="F77" s="14">
        <f t="shared" si="1"/>
        <v>350</v>
      </c>
      <c r="G77" s="14">
        <f>'WP12 Condensed Sch. Level Costs'!O72</f>
        <v>140</v>
      </c>
      <c r="H77" s="328">
        <f>ROUND('WP12 Condensed Sch. Level Costs'!T72,2)</f>
        <v>0.05</v>
      </c>
      <c r="I77" s="328">
        <f>ROUND('WP12 Condensed Sch. Level Costs'!Y72,2)</f>
        <v>7.64</v>
      </c>
    </row>
    <row r="78" spans="1:9" x14ac:dyDescent="0.2">
      <c r="A78" s="32">
        <f t="shared" si="0"/>
        <v>70</v>
      </c>
      <c r="B78" s="27"/>
      <c r="C78" s="27"/>
      <c r="D78" s="327"/>
      <c r="E78" s="41"/>
      <c r="F78" s="14"/>
      <c r="G78" s="14"/>
      <c r="H78" s="342"/>
      <c r="I78" s="328"/>
    </row>
    <row r="79" spans="1:9" x14ac:dyDescent="0.2">
      <c r="A79" s="32">
        <f t="shared" si="0"/>
        <v>71</v>
      </c>
      <c r="B79" s="27" t="str">
        <f>'WP12 Condensed Sch. Level Costs'!A74</f>
        <v>53E - Company Owned</v>
      </c>
      <c r="C79" s="27"/>
      <c r="D79" s="327" t="str">
        <f>'WP12 Condensed Sch. Level Costs'!C74</f>
        <v>Light Emitting Diode</v>
      </c>
      <c r="E79" s="41" t="str">
        <f>'WP12 Condensed Sch. Level Costs'!D74</f>
        <v>LED 0-030</v>
      </c>
      <c r="F79" s="14">
        <f t="shared" si="1"/>
        <v>350</v>
      </c>
      <c r="G79" s="14">
        <f>'WP12 Condensed Sch. Level Costs'!O74</f>
        <v>5.25</v>
      </c>
      <c r="H79" s="328">
        <f>ROUND('WP12 Condensed Sch. Level Costs'!T74,2)</f>
        <v>0.05</v>
      </c>
      <c r="I79" s="328">
        <f>ROUND('WP12 Condensed Sch. Level Costs'!Y74,2)</f>
        <v>0.28999999999999998</v>
      </c>
    </row>
    <row r="80" spans="1:9" x14ac:dyDescent="0.2">
      <c r="A80" s="32">
        <f t="shared" si="0"/>
        <v>72</v>
      </c>
      <c r="B80" s="27" t="str">
        <f>'WP12 Condensed Sch. Level Costs'!A75</f>
        <v>53E - Company Owned</v>
      </c>
      <c r="C80" s="27"/>
      <c r="D80" s="327" t="str">
        <f>'WP12 Condensed Sch. Level Costs'!C75</f>
        <v>Light Emitting Diode</v>
      </c>
      <c r="E80" s="41" t="str">
        <f>'WP12 Condensed Sch. Level Costs'!D75</f>
        <v>LED 030.01-060</v>
      </c>
      <c r="F80" s="14">
        <f t="shared" si="1"/>
        <v>350</v>
      </c>
      <c r="G80" s="14">
        <f>'WP12 Condensed Sch. Level Costs'!O75</f>
        <v>15.75</v>
      </c>
      <c r="H80" s="328">
        <f>ROUND('WP12 Condensed Sch. Level Costs'!T75,2)</f>
        <v>0.05</v>
      </c>
      <c r="I80" s="328">
        <f>ROUND('WP12 Condensed Sch. Level Costs'!Y75,2)</f>
        <v>0.86</v>
      </c>
    </row>
    <row r="81" spans="1:9" x14ac:dyDescent="0.2">
      <c r="A81" s="32">
        <f t="shared" si="0"/>
        <v>73</v>
      </c>
      <c r="B81" s="27" t="str">
        <f>'WP12 Condensed Sch. Level Costs'!A76</f>
        <v>53E - Company Owned</v>
      </c>
      <c r="C81" s="27"/>
      <c r="D81" s="327" t="str">
        <f>'WP12 Condensed Sch. Level Costs'!C76</f>
        <v>Light Emitting Diode</v>
      </c>
      <c r="E81" s="41" t="str">
        <f>'WP12 Condensed Sch. Level Costs'!D76</f>
        <v>LED 060.01-090</v>
      </c>
      <c r="F81" s="14">
        <f t="shared" si="1"/>
        <v>350</v>
      </c>
      <c r="G81" s="14">
        <f>'WP12 Condensed Sch. Level Costs'!O76</f>
        <v>26.25</v>
      </c>
      <c r="H81" s="328">
        <f>ROUND('WP12 Condensed Sch. Level Costs'!T76,2)</f>
        <v>0.05</v>
      </c>
      <c r="I81" s="328">
        <f>ROUND('WP12 Condensed Sch. Level Costs'!Y76,2)</f>
        <v>1.43</v>
      </c>
    </row>
    <row r="82" spans="1:9" x14ac:dyDescent="0.2">
      <c r="A82" s="32">
        <f t="shared" si="0"/>
        <v>74</v>
      </c>
      <c r="B82" s="27" t="str">
        <f>'WP12 Condensed Sch. Level Costs'!A77</f>
        <v>53E - Company Owned</v>
      </c>
      <c r="C82" s="27"/>
      <c r="D82" s="327" t="str">
        <f>'WP12 Condensed Sch. Level Costs'!C77</f>
        <v>Light Emitting Diode</v>
      </c>
      <c r="E82" s="41" t="str">
        <f>'WP12 Condensed Sch. Level Costs'!D77</f>
        <v>LED 090.01-120</v>
      </c>
      <c r="F82" s="14">
        <f t="shared" si="1"/>
        <v>350</v>
      </c>
      <c r="G82" s="14">
        <f>'WP12 Condensed Sch. Level Costs'!O77</f>
        <v>36.75</v>
      </c>
      <c r="H82" s="328">
        <f>ROUND('WP12 Condensed Sch. Level Costs'!T77,2)</f>
        <v>0.05</v>
      </c>
      <c r="I82" s="328">
        <f>ROUND('WP12 Condensed Sch. Level Costs'!Y77,2)</f>
        <v>2</v>
      </c>
    </row>
    <row r="83" spans="1:9" x14ac:dyDescent="0.2">
      <c r="A83" s="32">
        <f t="shared" si="0"/>
        <v>75</v>
      </c>
      <c r="B83" s="27" t="str">
        <f>'WP12 Condensed Sch. Level Costs'!A78</f>
        <v>53E - Company Owned</v>
      </c>
      <c r="C83" s="27"/>
      <c r="D83" s="327" t="str">
        <f>'WP12 Condensed Sch. Level Costs'!C78</f>
        <v>Light Emitting Diode</v>
      </c>
      <c r="E83" s="41" t="str">
        <f>'WP12 Condensed Sch. Level Costs'!D78</f>
        <v>LED 120.01-150</v>
      </c>
      <c r="F83" s="14">
        <f t="shared" si="1"/>
        <v>350</v>
      </c>
      <c r="G83" s="14">
        <f>'WP12 Condensed Sch. Level Costs'!O78</f>
        <v>47.25</v>
      </c>
      <c r="H83" s="328">
        <f>ROUND('WP12 Condensed Sch. Level Costs'!T78,2)</f>
        <v>0.05</v>
      </c>
      <c r="I83" s="328">
        <f>ROUND('WP12 Condensed Sch. Level Costs'!Y78,2)</f>
        <v>2.58</v>
      </c>
    </row>
    <row r="84" spans="1:9" x14ac:dyDescent="0.2">
      <c r="A84" s="32">
        <f t="shared" si="0"/>
        <v>76</v>
      </c>
      <c r="B84" s="27" t="str">
        <f>'WP12 Condensed Sch. Level Costs'!A79</f>
        <v>53E - Company Owned</v>
      </c>
      <c r="C84" s="27"/>
      <c r="D84" s="327" t="str">
        <f>'WP12 Condensed Sch. Level Costs'!C79</f>
        <v>Light Emitting Diode</v>
      </c>
      <c r="E84" s="41" t="str">
        <f>'WP12 Condensed Sch. Level Costs'!D79</f>
        <v>LED 150.01-180</v>
      </c>
      <c r="F84" s="14">
        <f t="shared" si="1"/>
        <v>350</v>
      </c>
      <c r="G84" s="14">
        <f>'WP12 Condensed Sch. Level Costs'!O79</f>
        <v>57.75</v>
      </c>
      <c r="H84" s="328">
        <f>ROUND('WP12 Condensed Sch. Level Costs'!T79,2)</f>
        <v>0.05</v>
      </c>
      <c r="I84" s="328">
        <f>ROUND('WP12 Condensed Sch. Level Costs'!Y79,2)</f>
        <v>3.15</v>
      </c>
    </row>
    <row r="85" spans="1:9" x14ac:dyDescent="0.2">
      <c r="A85" s="32">
        <f t="shared" si="0"/>
        <v>77</v>
      </c>
      <c r="B85" s="27" t="str">
        <f>'WP12 Condensed Sch. Level Costs'!A80</f>
        <v>53E - Company Owned</v>
      </c>
      <c r="C85" s="27"/>
      <c r="D85" s="327" t="str">
        <f>'WP12 Condensed Sch. Level Costs'!C80</f>
        <v>Light Emitting Diode</v>
      </c>
      <c r="E85" s="41" t="str">
        <f>'WP12 Condensed Sch. Level Costs'!D80</f>
        <v>LED 180.01-210</v>
      </c>
      <c r="F85" s="14">
        <f t="shared" si="1"/>
        <v>350</v>
      </c>
      <c r="G85" s="14">
        <f>'WP12 Condensed Sch. Level Costs'!O80</f>
        <v>68.25</v>
      </c>
      <c r="H85" s="328">
        <f>ROUND('WP12 Condensed Sch. Level Costs'!T80,2)</f>
        <v>0.05</v>
      </c>
      <c r="I85" s="328">
        <f>ROUND('WP12 Condensed Sch. Level Costs'!Y80,2)</f>
        <v>3.72</v>
      </c>
    </row>
    <row r="86" spans="1:9" x14ac:dyDescent="0.2">
      <c r="A86" s="32">
        <f t="shared" si="0"/>
        <v>78</v>
      </c>
      <c r="B86" s="27" t="str">
        <f>'WP12 Condensed Sch. Level Costs'!A81</f>
        <v>53E - Company Owned</v>
      </c>
      <c r="C86" s="27"/>
      <c r="D86" s="327" t="str">
        <f>'WP12 Condensed Sch. Level Costs'!C81</f>
        <v>Light Emitting Diode</v>
      </c>
      <c r="E86" s="41" t="str">
        <f>'WP12 Condensed Sch. Level Costs'!D81</f>
        <v>LED 210.01-240</v>
      </c>
      <c r="F86" s="14">
        <f t="shared" si="1"/>
        <v>350</v>
      </c>
      <c r="G86" s="14">
        <f>'WP12 Condensed Sch. Level Costs'!O81</f>
        <v>78.75</v>
      </c>
      <c r="H86" s="328">
        <f>ROUND('WP12 Condensed Sch. Level Costs'!T81,2)</f>
        <v>0.05</v>
      </c>
      <c r="I86" s="328">
        <f>ROUND('WP12 Condensed Sch. Level Costs'!Y81,2)</f>
        <v>4.3</v>
      </c>
    </row>
    <row r="87" spans="1:9" x14ac:dyDescent="0.2">
      <c r="A87" s="32">
        <f t="shared" si="0"/>
        <v>79</v>
      </c>
      <c r="B87" s="27" t="str">
        <f>'WP12 Condensed Sch. Level Costs'!A82</f>
        <v>53E - Company Owned</v>
      </c>
      <c r="C87" s="27"/>
      <c r="D87" s="327" t="str">
        <f>'WP12 Condensed Sch. Level Costs'!C82</f>
        <v>Light Emitting Diode</v>
      </c>
      <c r="E87" s="41" t="str">
        <f>'WP12 Condensed Sch. Level Costs'!D82</f>
        <v>LED 240.01-270</v>
      </c>
      <c r="F87" s="14">
        <f t="shared" si="1"/>
        <v>350</v>
      </c>
      <c r="G87" s="14">
        <f>'WP12 Condensed Sch. Level Costs'!O82</f>
        <v>89.25</v>
      </c>
      <c r="H87" s="328">
        <f>ROUND('WP12 Condensed Sch. Level Costs'!T82,2)</f>
        <v>0.05</v>
      </c>
      <c r="I87" s="328">
        <f>ROUND('WP12 Condensed Sch. Level Costs'!Y82,2)</f>
        <v>4.87</v>
      </c>
    </row>
    <row r="88" spans="1:9" x14ac:dyDescent="0.2">
      <c r="A88" s="32">
        <f t="shared" si="0"/>
        <v>80</v>
      </c>
      <c r="B88" s="27" t="str">
        <f>'WP12 Condensed Sch. Level Costs'!A83</f>
        <v>53E - Company Owned</v>
      </c>
      <c r="C88" s="27"/>
      <c r="D88" s="327" t="str">
        <f>'WP12 Condensed Sch. Level Costs'!C83</f>
        <v>Light Emitting Diode</v>
      </c>
      <c r="E88" s="41" t="str">
        <f>'WP12 Condensed Sch. Level Costs'!D83</f>
        <v>LED 270.01-300</v>
      </c>
      <c r="F88" s="14">
        <f t="shared" si="1"/>
        <v>350</v>
      </c>
      <c r="G88" s="14">
        <f>'WP12 Condensed Sch. Level Costs'!O83</f>
        <v>99.75</v>
      </c>
      <c r="H88" s="328">
        <f>ROUND('WP12 Condensed Sch. Level Costs'!T83,2)</f>
        <v>0.05</v>
      </c>
      <c r="I88" s="328">
        <f>ROUND('WP12 Condensed Sch. Level Costs'!Y83,2)</f>
        <v>5.44</v>
      </c>
    </row>
    <row r="89" spans="1:9" x14ac:dyDescent="0.2">
      <c r="A89" s="32">
        <f t="shared" si="0"/>
        <v>81</v>
      </c>
      <c r="B89" s="27"/>
      <c r="C89" s="27"/>
      <c r="D89" s="327"/>
      <c r="E89" s="41"/>
      <c r="F89" s="14"/>
      <c r="G89" s="14"/>
      <c r="H89" s="342"/>
      <c r="I89" s="328"/>
    </row>
    <row r="90" spans="1:9" x14ac:dyDescent="0.2">
      <c r="A90" s="32">
        <f t="shared" ref="A90:A101" si="2">A89+1</f>
        <v>82</v>
      </c>
      <c r="B90" s="27" t="str">
        <f>'WP12 Condensed Sch. Level Costs'!A85</f>
        <v>53E - Company Owned</v>
      </c>
      <c r="C90" s="27"/>
      <c r="D90" s="327" t="str">
        <f>'WP12 Condensed Sch. Level Costs'!C85</f>
        <v>Light Emitting Diode</v>
      </c>
      <c r="E90" s="41" t="str">
        <f>'WP12 Condensed Sch. Level Costs'!D85</f>
        <v>LED 0-030</v>
      </c>
      <c r="F90" s="14">
        <f t="shared" si="1"/>
        <v>350</v>
      </c>
      <c r="G90" s="14">
        <f>'WP12 Condensed Sch. Level Costs'!O85</f>
        <v>5.25</v>
      </c>
      <c r="H90" s="328">
        <f>ROUND('WP12 Condensed Sch. Level Costs'!T85,2)</f>
        <v>0.05</v>
      </c>
      <c r="I90" s="339">
        <f>ROUND('WP12 Condensed Sch. Level Costs'!AF85,6)</f>
        <v>5.4556E-2</v>
      </c>
    </row>
    <row r="91" spans="1:9" x14ac:dyDescent="0.2">
      <c r="A91" s="32">
        <f t="shared" si="2"/>
        <v>83</v>
      </c>
      <c r="B91" s="27" t="str">
        <f>'WP12 Condensed Sch. Level Costs'!A86</f>
        <v>53E - Company Owned</v>
      </c>
      <c r="C91" s="27"/>
      <c r="D91" s="327" t="str">
        <f>'WP12 Condensed Sch. Level Costs'!C86</f>
        <v>Light Emitting Diode</v>
      </c>
      <c r="E91" s="41" t="str">
        <f>'WP12 Condensed Sch. Level Costs'!D86</f>
        <v>LED 030.01-060</v>
      </c>
      <c r="F91" s="14">
        <f t="shared" si="1"/>
        <v>350</v>
      </c>
      <c r="G91" s="14">
        <f>'WP12 Condensed Sch. Level Costs'!O86</f>
        <v>15.75</v>
      </c>
      <c r="H91" s="328">
        <f>ROUND('WP12 Condensed Sch. Level Costs'!T86,2)</f>
        <v>0.05</v>
      </c>
      <c r="I91" s="339">
        <f>ROUND('WP12 Condensed Sch. Level Costs'!AF86,6)</f>
        <v>5.4556E-2</v>
      </c>
    </row>
    <row r="92" spans="1:9" x14ac:dyDescent="0.2">
      <c r="A92" s="32">
        <f t="shared" si="2"/>
        <v>84</v>
      </c>
      <c r="B92" s="27" t="str">
        <f>'WP12 Condensed Sch. Level Costs'!A87</f>
        <v>53E - Company Owned</v>
      </c>
      <c r="C92" s="27"/>
      <c r="D92" s="327" t="str">
        <f>'WP12 Condensed Sch. Level Costs'!C87</f>
        <v>Light Emitting Diode</v>
      </c>
      <c r="E92" s="41" t="str">
        <f>'WP12 Condensed Sch. Level Costs'!D87</f>
        <v>LED 060.01-090</v>
      </c>
      <c r="F92" s="14">
        <f t="shared" si="1"/>
        <v>350</v>
      </c>
      <c r="G92" s="14">
        <f>'WP12 Condensed Sch. Level Costs'!O87</f>
        <v>26.25</v>
      </c>
      <c r="H92" s="328">
        <f>ROUND('WP12 Condensed Sch. Level Costs'!T87,2)</f>
        <v>0.05</v>
      </c>
      <c r="I92" s="339">
        <f>ROUND('WP12 Condensed Sch. Level Costs'!AF87,6)</f>
        <v>5.4556E-2</v>
      </c>
    </row>
    <row r="93" spans="1:9" x14ac:dyDescent="0.2">
      <c r="A93" s="32">
        <f t="shared" si="2"/>
        <v>85</v>
      </c>
      <c r="B93" s="27" t="str">
        <f>'WP12 Condensed Sch. Level Costs'!A88</f>
        <v>53E - Company Owned</v>
      </c>
      <c r="C93" s="27"/>
      <c r="D93" s="327" t="str">
        <f>'WP12 Condensed Sch. Level Costs'!C88</f>
        <v>Light Emitting Diode</v>
      </c>
      <c r="E93" s="41" t="str">
        <f>'WP12 Condensed Sch. Level Costs'!D88</f>
        <v>LED 090.01-120</v>
      </c>
      <c r="F93" s="14">
        <f t="shared" si="1"/>
        <v>350</v>
      </c>
      <c r="G93" s="14">
        <f>'WP12 Condensed Sch. Level Costs'!O88</f>
        <v>36.75</v>
      </c>
      <c r="H93" s="328">
        <f>ROUND('WP12 Condensed Sch. Level Costs'!T88,2)</f>
        <v>0.05</v>
      </c>
      <c r="I93" s="339">
        <f>ROUND('WP12 Condensed Sch. Level Costs'!AF88,6)</f>
        <v>5.4556E-2</v>
      </c>
    </row>
    <row r="94" spans="1:9" x14ac:dyDescent="0.2">
      <c r="A94" s="32">
        <f t="shared" si="2"/>
        <v>86</v>
      </c>
      <c r="B94" s="27" t="str">
        <f>'WP12 Condensed Sch. Level Costs'!A89</f>
        <v>53E - Company Owned</v>
      </c>
      <c r="C94" s="27"/>
      <c r="D94" s="327" t="str">
        <f>'WP12 Condensed Sch. Level Costs'!C89</f>
        <v>Light Emitting Diode</v>
      </c>
      <c r="E94" s="41" t="str">
        <f>'WP12 Condensed Sch. Level Costs'!D89</f>
        <v>LED 120.01-150</v>
      </c>
      <c r="F94" s="14">
        <f t="shared" si="1"/>
        <v>350</v>
      </c>
      <c r="G94" s="14">
        <f>'WP12 Condensed Sch. Level Costs'!O89</f>
        <v>47.25</v>
      </c>
      <c r="H94" s="328">
        <f>ROUND('WP12 Condensed Sch. Level Costs'!T89,2)</f>
        <v>0.05</v>
      </c>
      <c r="I94" s="339">
        <f>ROUND('WP12 Condensed Sch. Level Costs'!AF89,6)</f>
        <v>5.4556E-2</v>
      </c>
    </row>
    <row r="95" spans="1:9" x14ac:dyDescent="0.2">
      <c r="A95" s="32">
        <f t="shared" si="2"/>
        <v>87</v>
      </c>
      <c r="B95" s="27" t="str">
        <f>'WP12 Condensed Sch. Level Costs'!A90</f>
        <v>53E - Company Owned</v>
      </c>
      <c r="C95" s="27"/>
      <c r="D95" s="327" t="str">
        <f>'WP12 Condensed Sch. Level Costs'!C90</f>
        <v>Light Emitting Diode</v>
      </c>
      <c r="E95" s="41" t="str">
        <f>'WP12 Condensed Sch. Level Costs'!D90</f>
        <v>LED 150.01-180</v>
      </c>
      <c r="F95" s="14">
        <f t="shared" si="1"/>
        <v>350</v>
      </c>
      <c r="G95" s="14">
        <f>'WP12 Condensed Sch. Level Costs'!O90</f>
        <v>57.75</v>
      </c>
      <c r="H95" s="328">
        <f>ROUND('WP12 Condensed Sch. Level Costs'!T90,2)</f>
        <v>0.05</v>
      </c>
      <c r="I95" s="339">
        <f>ROUND('WP12 Condensed Sch. Level Costs'!AF90,6)</f>
        <v>5.4556E-2</v>
      </c>
    </row>
    <row r="96" spans="1:9" x14ac:dyDescent="0.2">
      <c r="A96" s="32">
        <f t="shared" si="2"/>
        <v>88</v>
      </c>
      <c r="B96" s="27" t="str">
        <f>'WP12 Condensed Sch. Level Costs'!A91</f>
        <v>53E - Company Owned</v>
      </c>
      <c r="C96" s="27"/>
      <c r="D96" s="327" t="str">
        <f>'WP12 Condensed Sch. Level Costs'!C91</f>
        <v>Light Emitting Diode</v>
      </c>
      <c r="E96" s="41" t="str">
        <f>'WP12 Condensed Sch. Level Costs'!D91</f>
        <v>LED 180.01-210</v>
      </c>
      <c r="F96" s="14">
        <f t="shared" si="1"/>
        <v>350</v>
      </c>
      <c r="G96" s="14">
        <f>'WP12 Condensed Sch. Level Costs'!O91</f>
        <v>68.25</v>
      </c>
      <c r="H96" s="328">
        <f>ROUND('WP12 Condensed Sch. Level Costs'!T91,2)</f>
        <v>0.05</v>
      </c>
      <c r="I96" s="339">
        <f>ROUND('WP12 Condensed Sch. Level Costs'!AF91,6)</f>
        <v>5.4556E-2</v>
      </c>
    </row>
    <row r="97" spans="1:9" x14ac:dyDescent="0.2">
      <c r="A97" s="32">
        <f t="shared" si="2"/>
        <v>89</v>
      </c>
      <c r="B97" s="27" t="str">
        <f>'WP12 Condensed Sch. Level Costs'!A92</f>
        <v>53E - Company Owned</v>
      </c>
      <c r="C97" s="27"/>
      <c r="D97" s="327" t="str">
        <f>'WP12 Condensed Sch. Level Costs'!C92</f>
        <v>Light Emitting Diode</v>
      </c>
      <c r="E97" s="41" t="str">
        <f>'WP12 Condensed Sch. Level Costs'!D92</f>
        <v>LED 210.01-240</v>
      </c>
      <c r="F97" s="14">
        <f t="shared" si="1"/>
        <v>350</v>
      </c>
      <c r="G97" s="14">
        <f>'WP12 Condensed Sch. Level Costs'!O92</f>
        <v>78.75</v>
      </c>
      <c r="H97" s="328">
        <f>ROUND('WP12 Condensed Sch. Level Costs'!T92,2)</f>
        <v>0.05</v>
      </c>
      <c r="I97" s="339">
        <f>ROUND('WP12 Condensed Sch. Level Costs'!AF92,6)</f>
        <v>5.4556E-2</v>
      </c>
    </row>
    <row r="98" spans="1:9" x14ac:dyDescent="0.2">
      <c r="A98" s="32">
        <f t="shared" si="2"/>
        <v>90</v>
      </c>
      <c r="B98" s="27" t="str">
        <f>'WP12 Condensed Sch. Level Costs'!A93</f>
        <v>53E - Company Owned</v>
      </c>
      <c r="C98" s="27"/>
      <c r="D98" s="327" t="str">
        <f>'WP12 Condensed Sch. Level Costs'!C93</f>
        <v>Light Emitting Diode</v>
      </c>
      <c r="E98" s="41" t="str">
        <f>'WP12 Condensed Sch. Level Costs'!D93</f>
        <v>LED 240.01-270</v>
      </c>
      <c r="F98" s="14">
        <f t="shared" si="1"/>
        <v>350</v>
      </c>
      <c r="G98" s="14">
        <f>'WP12 Condensed Sch. Level Costs'!O93</f>
        <v>89.25</v>
      </c>
      <c r="H98" s="328">
        <f>ROUND('WP12 Condensed Sch. Level Costs'!T93,2)</f>
        <v>0.05</v>
      </c>
      <c r="I98" s="339">
        <f>ROUND('WP12 Condensed Sch. Level Costs'!AF93,6)</f>
        <v>5.4556E-2</v>
      </c>
    </row>
    <row r="99" spans="1:9" x14ac:dyDescent="0.2">
      <c r="A99" s="32">
        <f t="shared" si="2"/>
        <v>91</v>
      </c>
      <c r="B99" s="27" t="str">
        <f>'WP12 Condensed Sch. Level Costs'!A94</f>
        <v>53E - Company Owned</v>
      </c>
      <c r="C99" s="27"/>
      <c r="D99" s="327" t="str">
        <f>'WP12 Condensed Sch. Level Costs'!C94</f>
        <v>Light Emitting Diode</v>
      </c>
      <c r="E99" s="41" t="str">
        <f>'WP12 Condensed Sch. Level Costs'!D94</f>
        <v>LED 270.01-300</v>
      </c>
      <c r="F99" s="14">
        <f t="shared" si="1"/>
        <v>350</v>
      </c>
      <c r="G99" s="14">
        <f>'WP12 Condensed Sch. Level Costs'!O94</f>
        <v>99.75</v>
      </c>
      <c r="H99" s="328">
        <f>ROUND('WP12 Condensed Sch. Level Costs'!T94,2)</f>
        <v>0.05</v>
      </c>
      <c r="I99" s="339">
        <f>ROUND('WP12 Condensed Sch. Level Costs'!AF94,6)</f>
        <v>5.4556E-2</v>
      </c>
    </row>
    <row r="100" spans="1:9" x14ac:dyDescent="0.2">
      <c r="A100" s="32">
        <f t="shared" si="2"/>
        <v>92</v>
      </c>
      <c r="B100" s="27"/>
      <c r="C100" s="27"/>
      <c r="D100" s="327"/>
      <c r="E100" s="41"/>
      <c r="F100" s="14"/>
      <c r="G100" s="14"/>
      <c r="H100" s="342"/>
      <c r="I100" s="328"/>
    </row>
    <row r="101" spans="1:9" x14ac:dyDescent="0.2">
      <c r="A101" s="32">
        <f t="shared" si="2"/>
        <v>93</v>
      </c>
      <c r="B101" s="27" t="str">
        <f>'WP12 Condensed Sch. Level Costs'!A96</f>
        <v>53E - Customer Owned</v>
      </c>
      <c r="C101" s="27"/>
      <c r="D101" s="327" t="str">
        <f>'WP12 Condensed Sch. Level Costs'!C96</f>
        <v>Sodium Vapor</v>
      </c>
      <c r="E101" s="41" t="str">
        <f>'WP12 Condensed Sch. Level Costs'!D96</f>
        <v>SV 050</v>
      </c>
      <c r="F101" s="14">
        <f t="shared" si="1"/>
        <v>350</v>
      </c>
      <c r="G101" s="14">
        <f>'WP12 Condensed Sch. Level Costs'!O96</f>
        <v>17.5</v>
      </c>
      <c r="H101" s="328">
        <f>ROUND('WP12 Condensed Sch. Level Costs'!T96,2)</f>
        <v>0.05</v>
      </c>
      <c r="I101" s="328">
        <f>ROUND('WP12 Condensed Sch. Level Costs'!Y96,2)</f>
        <v>0.95</v>
      </c>
    </row>
    <row r="102" spans="1:9" x14ac:dyDescent="0.2">
      <c r="A102" s="32">
        <f t="shared" ref="A102:A165" si="3">A101+1</f>
        <v>94</v>
      </c>
      <c r="B102" s="27" t="str">
        <f>'WP12 Condensed Sch. Level Costs'!A97</f>
        <v>53E - Customer Owned</v>
      </c>
      <c r="C102" s="27"/>
      <c r="D102" s="327" t="str">
        <f>'WP12 Condensed Sch. Level Costs'!C97</f>
        <v>Sodium Vapor</v>
      </c>
      <c r="E102" s="41" t="str">
        <f>'WP12 Condensed Sch. Level Costs'!D97</f>
        <v>SV 070</v>
      </c>
      <c r="F102" s="14">
        <f t="shared" ref="F102:F170" si="4">4200/12</f>
        <v>350</v>
      </c>
      <c r="G102" s="14">
        <f>'WP12 Condensed Sch. Level Costs'!O97</f>
        <v>24.5</v>
      </c>
      <c r="H102" s="328">
        <f>ROUND('WP12 Condensed Sch. Level Costs'!T97,2)</f>
        <v>0.05</v>
      </c>
      <c r="I102" s="328">
        <f>ROUND('WP12 Condensed Sch. Level Costs'!Y97,2)</f>
        <v>1.34</v>
      </c>
    </row>
    <row r="103" spans="1:9" x14ac:dyDescent="0.2">
      <c r="A103" s="32">
        <f t="shared" si="3"/>
        <v>95</v>
      </c>
      <c r="B103" s="27" t="str">
        <f>'WP12 Condensed Sch. Level Costs'!A98</f>
        <v>53E - Customer Owned</v>
      </c>
      <c r="C103" s="27"/>
      <c r="D103" s="327" t="str">
        <f>'WP12 Condensed Sch. Level Costs'!C98</f>
        <v>Sodium Vapor</v>
      </c>
      <c r="E103" s="41" t="str">
        <f>'WP12 Condensed Sch. Level Costs'!D98</f>
        <v>SV 100</v>
      </c>
      <c r="F103" s="14">
        <f t="shared" si="4"/>
        <v>350</v>
      </c>
      <c r="G103" s="14">
        <f>'WP12 Condensed Sch. Level Costs'!O98</f>
        <v>35</v>
      </c>
      <c r="H103" s="328">
        <f>ROUND('WP12 Condensed Sch. Level Costs'!T98,2)</f>
        <v>0.05</v>
      </c>
      <c r="I103" s="328">
        <f>ROUND('WP12 Condensed Sch. Level Costs'!Y98,2)</f>
        <v>1.91</v>
      </c>
    </row>
    <row r="104" spans="1:9" x14ac:dyDescent="0.2">
      <c r="A104" s="32">
        <f t="shared" si="3"/>
        <v>96</v>
      </c>
      <c r="B104" s="27" t="str">
        <f>'WP12 Condensed Sch. Level Costs'!A99</f>
        <v>53E - Customer Owned</v>
      </c>
      <c r="C104" s="27"/>
      <c r="D104" s="327" t="str">
        <f>'WP12 Condensed Sch. Level Costs'!C99</f>
        <v>Sodium Vapor</v>
      </c>
      <c r="E104" s="41" t="str">
        <f>'WP12 Condensed Sch. Level Costs'!D99</f>
        <v>SV 150</v>
      </c>
      <c r="F104" s="14">
        <f t="shared" si="4"/>
        <v>350</v>
      </c>
      <c r="G104" s="14">
        <f>'WP12 Condensed Sch. Level Costs'!O99</f>
        <v>52.5</v>
      </c>
      <c r="H104" s="328">
        <f>ROUND('WP12 Condensed Sch. Level Costs'!T99,2)</f>
        <v>0.05</v>
      </c>
      <c r="I104" s="328">
        <f>ROUND('WP12 Condensed Sch. Level Costs'!Y99,2)</f>
        <v>2.86</v>
      </c>
    </row>
    <row r="105" spans="1:9" x14ac:dyDescent="0.2">
      <c r="A105" s="32">
        <f t="shared" si="3"/>
        <v>97</v>
      </c>
      <c r="B105" s="27" t="str">
        <f>'WP12 Condensed Sch. Level Costs'!A100</f>
        <v>53E - Customer Owned</v>
      </c>
      <c r="C105" s="27"/>
      <c r="D105" s="327" t="str">
        <f>'WP12 Condensed Sch. Level Costs'!C100</f>
        <v>Sodium Vapor</v>
      </c>
      <c r="E105" s="41" t="str">
        <f>'WP12 Condensed Sch. Level Costs'!D100</f>
        <v>SV 200</v>
      </c>
      <c r="F105" s="14">
        <f t="shared" si="4"/>
        <v>350</v>
      </c>
      <c r="G105" s="14">
        <f>'WP12 Condensed Sch. Level Costs'!O100</f>
        <v>70</v>
      </c>
      <c r="H105" s="328">
        <f>ROUND('WP12 Condensed Sch. Level Costs'!T100,2)</f>
        <v>0.05</v>
      </c>
      <c r="I105" s="328">
        <f>ROUND('WP12 Condensed Sch. Level Costs'!Y100,2)</f>
        <v>3.82</v>
      </c>
    </row>
    <row r="106" spans="1:9" x14ac:dyDescent="0.2">
      <c r="A106" s="32">
        <f t="shared" si="3"/>
        <v>98</v>
      </c>
      <c r="B106" s="27" t="str">
        <f>'WP12 Condensed Sch. Level Costs'!A101</f>
        <v>53E - Customer Owned</v>
      </c>
      <c r="C106" s="27"/>
      <c r="D106" s="327" t="str">
        <f>'WP12 Condensed Sch. Level Costs'!C101</f>
        <v>Sodium Vapor</v>
      </c>
      <c r="E106" s="41" t="str">
        <f>'WP12 Condensed Sch. Level Costs'!D101</f>
        <v>SV 250</v>
      </c>
      <c r="F106" s="14">
        <f t="shared" si="4"/>
        <v>350</v>
      </c>
      <c r="G106" s="14">
        <f>'WP12 Condensed Sch. Level Costs'!O101</f>
        <v>87.5</v>
      </c>
      <c r="H106" s="328">
        <f>ROUND('WP12 Condensed Sch. Level Costs'!T101,2)</f>
        <v>0.05</v>
      </c>
      <c r="I106" s="328">
        <f>ROUND('WP12 Condensed Sch. Level Costs'!Y101,2)</f>
        <v>4.7699999999999996</v>
      </c>
    </row>
    <row r="107" spans="1:9" x14ac:dyDescent="0.2">
      <c r="A107" s="32">
        <f t="shared" si="3"/>
        <v>99</v>
      </c>
      <c r="B107" s="27" t="str">
        <f>'WP12 Condensed Sch. Level Costs'!A102</f>
        <v>53E - Customer Owned</v>
      </c>
      <c r="C107" s="27"/>
      <c r="D107" s="327" t="str">
        <f>'WP12 Condensed Sch. Level Costs'!C102</f>
        <v>Sodium Vapor</v>
      </c>
      <c r="E107" s="41" t="str">
        <f>'WP12 Condensed Sch. Level Costs'!D102</f>
        <v>SV 310</v>
      </c>
      <c r="F107" s="14">
        <f t="shared" si="4"/>
        <v>350</v>
      </c>
      <c r="G107" s="14">
        <f>'WP12 Condensed Sch. Level Costs'!O102</f>
        <v>108.5</v>
      </c>
      <c r="H107" s="328">
        <f>ROUND('WP12 Condensed Sch. Level Costs'!T102,2)</f>
        <v>0.05</v>
      </c>
      <c r="I107" s="328">
        <f>ROUND('WP12 Condensed Sch. Level Costs'!Y102,2)</f>
        <v>5.92</v>
      </c>
    </row>
    <row r="108" spans="1:9" x14ac:dyDescent="0.2">
      <c r="A108" s="32">
        <f t="shared" si="3"/>
        <v>100</v>
      </c>
      <c r="B108" s="27" t="str">
        <f>'WP12 Condensed Sch. Level Costs'!A103</f>
        <v>53E - Customer Owned</v>
      </c>
      <c r="C108" s="27"/>
      <c r="D108" s="327" t="str">
        <f>'WP12 Condensed Sch. Level Costs'!C103</f>
        <v>Sodium Vapor</v>
      </c>
      <c r="E108" s="41" t="str">
        <f>'WP12 Condensed Sch. Level Costs'!D103</f>
        <v>SV 400</v>
      </c>
      <c r="F108" s="14">
        <f t="shared" si="4"/>
        <v>350</v>
      </c>
      <c r="G108" s="14">
        <f>'WP12 Condensed Sch. Level Costs'!O103</f>
        <v>140</v>
      </c>
      <c r="H108" s="328">
        <f>ROUND('WP12 Condensed Sch. Level Costs'!T103,2)</f>
        <v>0.05</v>
      </c>
      <c r="I108" s="328">
        <f>ROUND('WP12 Condensed Sch. Level Costs'!Y103,2)</f>
        <v>7.64</v>
      </c>
    </row>
    <row r="109" spans="1:9" x14ac:dyDescent="0.2">
      <c r="A109" s="32">
        <f t="shared" si="3"/>
        <v>101</v>
      </c>
      <c r="B109" s="27" t="str">
        <f>'WP12 Condensed Sch. Level Costs'!A104</f>
        <v>53E - Customer Owned</v>
      </c>
      <c r="C109" s="27"/>
      <c r="D109" s="327" t="str">
        <f>'WP12 Condensed Sch. Level Costs'!C104</f>
        <v>Sodium Vapor</v>
      </c>
      <c r="E109" s="41" t="str">
        <f>'WP12 Condensed Sch. Level Costs'!D104</f>
        <v>SV 1000</v>
      </c>
      <c r="F109" s="14">
        <f t="shared" si="4"/>
        <v>350</v>
      </c>
      <c r="G109" s="14">
        <f>'WP12 Condensed Sch. Level Costs'!O104</f>
        <v>350</v>
      </c>
      <c r="H109" s="328">
        <f>ROUND('WP12 Condensed Sch. Level Costs'!T104,2)</f>
        <v>0.05</v>
      </c>
      <c r="I109" s="328">
        <f>ROUND('WP12 Condensed Sch. Level Costs'!Y104,2)</f>
        <v>19.09</v>
      </c>
    </row>
    <row r="110" spans="1:9" x14ac:dyDescent="0.2">
      <c r="A110" s="32">
        <f t="shared" si="3"/>
        <v>102</v>
      </c>
      <c r="B110" s="27"/>
      <c r="C110" s="27"/>
      <c r="D110" s="327"/>
      <c r="E110" s="41"/>
      <c r="F110" s="14"/>
      <c r="G110" s="14"/>
      <c r="H110" s="342"/>
      <c r="I110" s="328"/>
    </row>
    <row r="111" spans="1:9" x14ac:dyDescent="0.2">
      <c r="A111" s="32">
        <f t="shared" si="3"/>
        <v>103</v>
      </c>
      <c r="B111" s="27" t="str">
        <f>'WP12 Condensed Sch. Level Costs'!A106</f>
        <v>53E - Customer Owned</v>
      </c>
      <c r="C111" s="27"/>
      <c r="D111" s="327" t="str">
        <f>'WP12 Condensed Sch. Level Costs'!C106</f>
        <v>Metal Halide</v>
      </c>
      <c r="E111" s="41" t="str">
        <f>'WP12 Condensed Sch. Level Costs'!D106</f>
        <v>MH 70</v>
      </c>
      <c r="F111" s="14">
        <f t="shared" si="4"/>
        <v>350</v>
      </c>
      <c r="G111" s="14">
        <f>'WP12 Condensed Sch. Level Costs'!O106</f>
        <v>24.5</v>
      </c>
      <c r="H111" s="328">
        <f>ROUND('WP12 Condensed Sch. Level Costs'!T106,2)</f>
        <v>0.05</v>
      </c>
      <c r="I111" s="328">
        <f>ROUND('WP12 Condensed Sch. Level Costs'!Y106,2)</f>
        <v>1.34</v>
      </c>
    </row>
    <row r="112" spans="1:9" x14ac:dyDescent="0.2">
      <c r="A112" s="32">
        <f t="shared" si="3"/>
        <v>104</v>
      </c>
      <c r="B112" s="27" t="str">
        <f>'WP12 Condensed Sch. Level Costs'!A107</f>
        <v>53E - Customer Owned</v>
      </c>
      <c r="C112" s="27"/>
      <c r="D112" s="327" t="str">
        <f>'WP12 Condensed Sch. Level Costs'!C107</f>
        <v>Metal Halide</v>
      </c>
      <c r="E112" s="41" t="str">
        <f>'WP12 Condensed Sch. Level Costs'!D107</f>
        <v>MH 100</v>
      </c>
      <c r="F112" s="14">
        <f t="shared" si="4"/>
        <v>350</v>
      </c>
      <c r="G112" s="14">
        <f>'WP12 Condensed Sch. Level Costs'!O107</f>
        <v>35</v>
      </c>
      <c r="H112" s="328">
        <f>ROUND('WP12 Condensed Sch. Level Costs'!T107,2)</f>
        <v>0.05</v>
      </c>
      <c r="I112" s="328">
        <f>ROUND('WP12 Condensed Sch. Level Costs'!Y107,2)</f>
        <v>1.91</v>
      </c>
    </row>
    <row r="113" spans="1:9" x14ac:dyDescent="0.2">
      <c r="A113" s="32">
        <f t="shared" si="3"/>
        <v>105</v>
      </c>
      <c r="B113" s="27" t="str">
        <f>'WP12 Condensed Sch. Level Costs'!A108</f>
        <v>53E - Customer Owned</v>
      </c>
      <c r="C113" s="27"/>
      <c r="D113" s="327" t="str">
        <f>'WP12 Condensed Sch. Level Costs'!C108</f>
        <v>Metal Halide</v>
      </c>
      <c r="E113" s="41" t="str">
        <f>'WP12 Condensed Sch. Level Costs'!D108</f>
        <v>MH 150</v>
      </c>
      <c r="F113" s="14">
        <f t="shared" si="4"/>
        <v>350</v>
      </c>
      <c r="G113" s="14">
        <f>'WP12 Condensed Sch. Level Costs'!O108</f>
        <v>52.5</v>
      </c>
      <c r="H113" s="328">
        <f>ROUND('WP12 Condensed Sch. Level Costs'!T108,2)</f>
        <v>0.05</v>
      </c>
      <c r="I113" s="328">
        <f>ROUND('WP12 Condensed Sch. Level Costs'!Y108,2)</f>
        <v>2.86</v>
      </c>
    </row>
    <row r="114" spans="1:9" x14ac:dyDescent="0.2">
      <c r="A114" s="32">
        <f t="shared" si="3"/>
        <v>106</v>
      </c>
      <c r="B114" s="27" t="str">
        <f>'WP12 Condensed Sch. Level Costs'!A109</f>
        <v>53E - Customer Owned</v>
      </c>
      <c r="C114" s="27"/>
      <c r="D114" s="327" t="str">
        <f>'WP12 Condensed Sch. Level Costs'!C109</f>
        <v>Metal Halide</v>
      </c>
      <c r="E114" s="41" t="str">
        <f>'WP12 Condensed Sch. Level Costs'!D109</f>
        <v>MH 175</v>
      </c>
      <c r="F114" s="14">
        <f t="shared" si="4"/>
        <v>350</v>
      </c>
      <c r="G114" s="14">
        <f>'WP12 Condensed Sch. Level Costs'!O109</f>
        <v>61.25</v>
      </c>
      <c r="H114" s="328">
        <f>ROUND('WP12 Condensed Sch. Level Costs'!T109,2)</f>
        <v>0.05</v>
      </c>
      <c r="I114" s="328">
        <f>ROUND('WP12 Condensed Sch. Level Costs'!Y109,2)</f>
        <v>3.34</v>
      </c>
    </row>
    <row r="115" spans="1:9" x14ac:dyDescent="0.2">
      <c r="A115" s="32">
        <f t="shared" si="3"/>
        <v>107</v>
      </c>
      <c r="B115" s="27" t="str">
        <f>'WP12 Condensed Sch. Level Costs'!A110</f>
        <v>53E - Customer Owned</v>
      </c>
      <c r="C115" s="27"/>
      <c r="D115" s="327" t="str">
        <f>'WP12 Condensed Sch. Level Costs'!C110</f>
        <v>Metal Halide</v>
      </c>
      <c r="E115" s="41" t="str">
        <f>'WP12 Condensed Sch. Level Costs'!D110</f>
        <v>MH 250</v>
      </c>
      <c r="F115" s="14">
        <f t="shared" si="4"/>
        <v>350</v>
      </c>
      <c r="G115" s="14">
        <f>'WP12 Condensed Sch. Level Costs'!O110</f>
        <v>87.5</v>
      </c>
      <c r="H115" s="328">
        <f>ROUND('WP12 Condensed Sch. Level Costs'!T110,2)</f>
        <v>0.05</v>
      </c>
      <c r="I115" s="328">
        <f>ROUND('WP12 Condensed Sch. Level Costs'!Y110,2)</f>
        <v>4.7699999999999996</v>
      </c>
    </row>
    <row r="116" spans="1:9" x14ac:dyDescent="0.2">
      <c r="A116" s="32">
        <f t="shared" si="3"/>
        <v>108</v>
      </c>
      <c r="B116" s="27" t="str">
        <f>'WP12 Condensed Sch. Level Costs'!A111</f>
        <v>53E - Customer Owned</v>
      </c>
      <c r="C116" s="27"/>
      <c r="D116" s="327" t="str">
        <f>'WP12 Condensed Sch. Level Costs'!C111</f>
        <v>Metal Halide</v>
      </c>
      <c r="E116" s="41" t="str">
        <f>'WP12 Condensed Sch. Level Costs'!D111</f>
        <v>MH 400</v>
      </c>
      <c r="F116" s="14">
        <f t="shared" si="4"/>
        <v>350</v>
      </c>
      <c r="G116" s="14">
        <f>'WP12 Condensed Sch. Level Costs'!O111</f>
        <v>140</v>
      </c>
      <c r="H116" s="328">
        <f>ROUND('WP12 Condensed Sch. Level Costs'!T111,2)</f>
        <v>0.05</v>
      </c>
      <c r="I116" s="328">
        <f>ROUND('WP12 Condensed Sch. Level Costs'!Y111,2)</f>
        <v>7.64</v>
      </c>
    </row>
    <row r="117" spans="1:9" x14ac:dyDescent="0.2">
      <c r="A117" s="32">
        <f t="shared" si="3"/>
        <v>109</v>
      </c>
      <c r="B117" s="27"/>
      <c r="C117" s="27"/>
      <c r="D117" s="327"/>
      <c r="E117" s="41"/>
      <c r="F117" s="14"/>
      <c r="G117" s="14"/>
      <c r="H117" s="342"/>
      <c r="I117" s="328"/>
    </row>
    <row r="118" spans="1:9" x14ac:dyDescent="0.2">
      <c r="A118" s="32">
        <f t="shared" si="3"/>
        <v>110</v>
      </c>
      <c r="B118" s="27" t="str">
        <f>'WP12 Condensed Sch. Level Costs'!A113</f>
        <v>53E - Customer Owned</v>
      </c>
      <c r="C118" s="27"/>
      <c r="D118" s="327" t="str">
        <f>'WP12 Condensed Sch. Level Costs'!C113</f>
        <v>Light Emitting Diode</v>
      </c>
      <c r="E118" s="41" t="str">
        <f>'WP12 Condensed Sch. Level Costs'!D113</f>
        <v>LED 0-030</v>
      </c>
      <c r="F118" s="14">
        <f t="shared" si="4"/>
        <v>350</v>
      </c>
      <c r="G118" s="14">
        <f>'WP12 Condensed Sch. Level Costs'!O113</f>
        <v>5.25</v>
      </c>
      <c r="H118" s="328">
        <f>ROUND('WP12 Condensed Sch. Level Costs'!T113,2)</f>
        <v>0.05</v>
      </c>
      <c r="I118" s="328">
        <f>ROUND('WP12 Condensed Sch. Level Costs'!Y113,2)</f>
        <v>0.28999999999999998</v>
      </c>
    </row>
    <row r="119" spans="1:9" x14ac:dyDescent="0.2">
      <c r="A119" s="32">
        <f t="shared" si="3"/>
        <v>111</v>
      </c>
      <c r="B119" s="27" t="str">
        <f>'WP12 Condensed Sch. Level Costs'!A114</f>
        <v>53E - Customer Owned</v>
      </c>
      <c r="C119" s="27"/>
      <c r="D119" s="327" t="str">
        <f>'WP12 Condensed Sch. Level Costs'!C114</f>
        <v>Light Emitting Diode</v>
      </c>
      <c r="E119" s="41" t="str">
        <f>'WP12 Condensed Sch. Level Costs'!D114</f>
        <v>LED 030.01-060</v>
      </c>
      <c r="F119" s="14">
        <f t="shared" si="4"/>
        <v>350</v>
      </c>
      <c r="G119" s="14">
        <f>'WP12 Condensed Sch. Level Costs'!O114</f>
        <v>15.75</v>
      </c>
      <c r="H119" s="328">
        <f>ROUND('WP12 Condensed Sch. Level Costs'!T114,2)</f>
        <v>0.05</v>
      </c>
      <c r="I119" s="328">
        <f>ROUND('WP12 Condensed Sch. Level Costs'!Y114,2)</f>
        <v>0.86</v>
      </c>
    </row>
    <row r="120" spans="1:9" x14ac:dyDescent="0.2">
      <c r="A120" s="32">
        <f t="shared" si="3"/>
        <v>112</v>
      </c>
      <c r="B120" s="27" t="str">
        <f>'WP12 Condensed Sch. Level Costs'!A115</f>
        <v>53E - Customer Owned</v>
      </c>
      <c r="C120" s="27"/>
      <c r="D120" s="327" t="str">
        <f>'WP12 Condensed Sch. Level Costs'!C115</f>
        <v>Light Emitting Diode</v>
      </c>
      <c r="E120" s="41" t="str">
        <f>'WP12 Condensed Sch. Level Costs'!D115</f>
        <v>LED 060.01-090</v>
      </c>
      <c r="F120" s="14">
        <f t="shared" si="4"/>
        <v>350</v>
      </c>
      <c r="G120" s="14">
        <f>'WP12 Condensed Sch. Level Costs'!O115</f>
        <v>26.25</v>
      </c>
      <c r="H120" s="328">
        <f>ROUND('WP12 Condensed Sch. Level Costs'!T115,2)</f>
        <v>0.05</v>
      </c>
      <c r="I120" s="328">
        <f>ROUND('WP12 Condensed Sch. Level Costs'!Y115,2)</f>
        <v>1.43</v>
      </c>
    </row>
    <row r="121" spans="1:9" x14ac:dyDescent="0.2">
      <c r="A121" s="32">
        <f t="shared" si="3"/>
        <v>113</v>
      </c>
      <c r="B121" s="27" t="str">
        <f>'WP12 Condensed Sch. Level Costs'!A116</f>
        <v>53E - Customer Owned</v>
      </c>
      <c r="C121" s="27"/>
      <c r="D121" s="327" t="str">
        <f>'WP12 Condensed Sch. Level Costs'!C116</f>
        <v>Light Emitting Diode</v>
      </c>
      <c r="E121" s="41" t="str">
        <f>'WP12 Condensed Sch. Level Costs'!D116</f>
        <v>LED 090.01-120</v>
      </c>
      <c r="F121" s="14">
        <f t="shared" si="4"/>
        <v>350</v>
      </c>
      <c r="G121" s="14">
        <f>'WP12 Condensed Sch. Level Costs'!O116</f>
        <v>36.75</v>
      </c>
      <c r="H121" s="328">
        <f>ROUND('WP12 Condensed Sch. Level Costs'!T116,2)</f>
        <v>0.05</v>
      </c>
      <c r="I121" s="328">
        <f>ROUND('WP12 Condensed Sch. Level Costs'!Y116,2)</f>
        <v>2</v>
      </c>
    </row>
    <row r="122" spans="1:9" x14ac:dyDescent="0.2">
      <c r="A122" s="32">
        <f t="shared" si="3"/>
        <v>114</v>
      </c>
      <c r="B122" s="27" t="str">
        <f>'WP12 Condensed Sch. Level Costs'!A117</f>
        <v>53E - Customer Owned</v>
      </c>
      <c r="C122" s="27"/>
      <c r="D122" s="327" t="str">
        <f>'WP12 Condensed Sch. Level Costs'!C117</f>
        <v>Light Emitting Diode</v>
      </c>
      <c r="E122" s="41" t="str">
        <f>'WP12 Condensed Sch. Level Costs'!D117</f>
        <v>LED 120.01-150</v>
      </c>
      <c r="F122" s="14">
        <f t="shared" si="4"/>
        <v>350</v>
      </c>
      <c r="G122" s="14">
        <f>'WP12 Condensed Sch. Level Costs'!O117</f>
        <v>47.25</v>
      </c>
      <c r="H122" s="328">
        <f>ROUND('WP12 Condensed Sch. Level Costs'!T117,2)</f>
        <v>0.05</v>
      </c>
      <c r="I122" s="328">
        <f>ROUND('WP12 Condensed Sch. Level Costs'!Y117,2)</f>
        <v>2.58</v>
      </c>
    </row>
    <row r="123" spans="1:9" x14ac:dyDescent="0.2">
      <c r="A123" s="32">
        <f t="shared" si="3"/>
        <v>115</v>
      </c>
      <c r="B123" s="27" t="str">
        <f>'WP12 Condensed Sch. Level Costs'!A118</f>
        <v>53E - Customer Owned</v>
      </c>
      <c r="C123" s="27"/>
      <c r="D123" s="327" t="str">
        <f>'WP12 Condensed Sch. Level Costs'!C118</f>
        <v>Light Emitting Diode</v>
      </c>
      <c r="E123" s="41" t="str">
        <f>'WP12 Condensed Sch. Level Costs'!D118</f>
        <v>LED 150.01-180</v>
      </c>
      <c r="F123" s="14">
        <f t="shared" si="4"/>
        <v>350</v>
      </c>
      <c r="G123" s="14">
        <f>'WP12 Condensed Sch. Level Costs'!O118</f>
        <v>57.75</v>
      </c>
      <c r="H123" s="328">
        <f>ROUND('WP12 Condensed Sch. Level Costs'!T118,2)</f>
        <v>0.05</v>
      </c>
      <c r="I123" s="328">
        <f>ROUND('WP12 Condensed Sch. Level Costs'!Y118,2)</f>
        <v>3.15</v>
      </c>
    </row>
    <row r="124" spans="1:9" x14ac:dyDescent="0.2">
      <c r="A124" s="32">
        <f t="shared" si="3"/>
        <v>116</v>
      </c>
      <c r="B124" s="27" t="str">
        <f>'WP12 Condensed Sch. Level Costs'!A119</f>
        <v>53E - Customer Owned</v>
      </c>
      <c r="C124" s="27"/>
      <c r="D124" s="327" t="str">
        <f>'WP12 Condensed Sch. Level Costs'!C119</f>
        <v>Light Emitting Diode</v>
      </c>
      <c r="E124" s="41" t="str">
        <f>'WP12 Condensed Sch. Level Costs'!D119</f>
        <v>LED 180.01-210</v>
      </c>
      <c r="F124" s="14">
        <f t="shared" si="4"/>
        <v>350</v>
      </c>
      <c r="G124" s="14">
        <f>'WP12 Condensed Sch. Level Costs'!O119</f>
        <v>68.25</v>
      </c>
      <c r="H124" s="328">
        <f>ROUND('WP12 Condensed Sch. Level Costs'!T119,2)</f>
        <v>0.05</v>
      </c>
      <c r="I124" s="328">
        <f>ROUND('WP12 Condensed Sch. Level Costs'!Y119,2)</f>
        <v>3.72</v>
      </c>
    </row>
    <row r="125" spans="1:9" x14ac:dyDescent="0.2">
      <c r="A125" s="32">
        <f t="shared" si="3"/>
        <v>117</v>
      </c>
      <c r="B125" s="27" t="str">
        <f>'WP12 Condensed Sch. Level Costs'!A120</f>
        <v>53E - Customer Owned</v>
      </c>
      <c r="C125" s="27"/>
      <c r="D125" s="327" t="str">
        <f>'WP12 Condensed Sch. Level Costs'!C120</f>
        <v>Light Emitting Diode</v>
      </c>
      <c r="E125" s="41" t="str">
        <f>'WP12 Condensed Sch. Level Costs'!D120</f>
        <v>LED 210.01-240</v>
      </c>
      <c r="F125" s="14">
        <f t="shared" si="4"/>
        <v>350</v>
      </c>
      <c r="G125" s="14">
        <f>'WP12 Condensed Sch. Level Costs'!O120</f>
        <v>78.75</v>
      </c>
      <c r="H125" s="328">
        <f>ROUND('WP12 Condensed Sch. Level Costs'!T120,2)</f>
        <v>0.05</v>
      </c>
      <c r="I125" s="328">
        <f>ROUND('WP12 Condensed Sch. Level Costs'!Y120,2)</f>
        <v>4.3</v>
      </c>
    </row>
    <row r="126" spans="1:9" x14ac:dyDescent="0.2">
      <c r="A126" s="32">
        <f t="shared" si="3"/>
        <v>118</v>
      </c>
      <c r="B126" s="27" t="str">
        <f>'WP12 Condensed Sch. Level Costs'!A121</f>
        <v>53E - Customer Owned</v>
      </c>
      <c r="C126" s="27"/>
      <c r="D126" s="327" t="str">
        <f>'WP12 Condensed Sch. Level Costs'!C121</f>
        <v>Light Emitting Diode</v>
      </c>
      <c r="E126" s="41" t="str">
        <f>'WP12 Condensed Sch. Level Costs'!D121</f>
        <v>LED 240.01-270</v>
      </c>
      <c r="F126" s="14">
        <f t="shared" si="4"/>
        <v>350</v>
      </c>
      <c r="G126" s="14">
        <f>'WP12 Condensed Sch. Level Costs'!O121</f>
        <v>89.25</v>
      </c>
      <c r="H126" s="328">
        <f>ROUND('WP12 Condensed Sch. Level Costs'!T121,2)</f>
        <v>0.05</v>
      </c>
      <c r="I126" s="328">
        <f>ROUND('WP12 Condensed Sch. Level Costs'!Y121,2)</f>
        <v>4.87</v>
      </c>
    </row>
    <row r="127" spans="1:9" x14ac:dyDescent="0.2">
      <c r="A127" s="32">
        <f t="shared" si="3"/>
        <v>119</v>
      </c>
      <c r="B127" s="27" t="str">
        <f>'WP12 Condensed Sch. Level Costs'!A122</f>
        <v>53E - Customer Owned</v>
      </c>
      <c r="C127" s="27"/>
      <c r="D127" s="327" t="str">
        <f>'WP12 Condensed Sch. Level Costs'!C122</f>
        <v>Light Emitting Diode</v>
      </c>
      <c r="E127" s="41" t="str">
        <f>'WP12 Condensed Sch. Level Costs'!D122</f>
        <v>LED 270.01-300</v>
      </c>
      <c r="F127" s="14">
        <f t="shared" si="4"/>
        <v>350</v>
      </c>
      <c r="G127" s="14">
        <f>'WP12 Condensed Sch. Level Costs'!O122</f>
        <v>99.75</v>
      </c>
      <c r="H127" s="328">
        <f>ROUND('WP12 Condensed Sch. Level Costs'!T122,2)</f>
        <v>0.05</v>
      </c>
      <c r="I127" s="328">
        <f>ROUND('WP12 Condensed Sch. Level Costs'!Y122,2)</f>
        <v>5.44</v>
      </c>
    </row>
    <row r="128" spans="1:9" x14ac:dyDescent="0.2">
      <c r="A128" s="32">
        <f t="shared" si="3"/>
        <v>120</v>
      </c>
      <c r="B128" s="27"/>
      <c r="C128" s="27"/>
      <c r="D128" s="327"/>
      <c r="E128" s="41"/>
      <c r="F128" s="14"/>
      <c r="G128" s="14"/>
      <c r="H128" s="342"/>
      <c r="I128" s="328"/>
    </row>
    <row r="129" spans="1:9" x14ac:dyDescent="0.2">
      <c r="A129" s="32">
        <f t="shared" si="3"/>
        <v>121</v>
      </c>
      <c r="B129" s="27" t="str">
        <f>'WP12 Condensed Sch. Level Costs'!A123</f>
        <v>Sch 54E</v>
      </c>
      <c r="C129" s="27"/>
      <c r="D129" s="327"/>
      <c r="E129" s="41"/>
      <c r="F129" s="14"/>
      <c r="G129" s="14"/>
      <c r="H129" s="342"/>
      <c r="I129" s="328"/>
    </row>
    <row r="130" spans="1:9" x14ac:dyDescent="0.2">
      <c r="A130" s="32">
        <f t="shared" si="3"/>
        <v>122</v>
      </c>
      <c r="B130" s="27" t="str">
        <f>'WP12 Condensed Sch. Level Costs'!A124</f>
        <v>54E</v>
      </c>
      <c r="C130" s="27"/>
      <c r="D130" s="327" t="str">
        <f>'WP12 Condensed Sch. Level Costs'!C124</f>
        <v>Sodium Vapor</v>
      </c>
      <c r="E130" s="41" t="str">
        <f>'WP12 Condensed Sch. Level Costs'!D124</f>
        <v>SV 050</v>
      </c>
      <c r="F130" s="14">
        <f t="shared" si="4"/>
        <v>350</v>
      </c>
      <c r="G130" s="14">
        <f>'WP12 Condensed Sch. Level Costs'!O124</f>
        <v>17.5</v>
      </c>
      <c r="H130" s="328">
        <f>ROUND('WP12 Condensed Sch. Level Costs'!T124,2)</f>
        <v>0.05</v>
      </c>
      <c r="I130" s="328">
        <f>ROUND('WP12 Condensed Sch. Level Costs'!Y124,2)</f>
        <v>0.95</v>
      </c>
    </row>
    <row r="131" spans="1:9" x14ac:dyDescent="0.2">
      <c r="A131" s="32">
        <f t="shared" si="3"/>
        <v>123</v>
      </c>
      <c r="B131" s="27" t="str">
        <f>'WP12 Condensed Sch. Level Costs'!A125</f>
        <v>54E</v>
      </c>
      <c r="C131" s="27"/>
      <c r="D131" s="327" t="str">
        <f>'WP12 Condensed Sch. Level Costs'!C125</f>
        <v>Sodium Vapor</v>
      </c>
      <c r="E131" s="41" t="str">
        <f>'WP12 Condensed Sch. Level Costs'!D125</f>
        <v>SV 070</v>
      </c>
      <c r="F131" s="14">
        <f t="shared" si="4"/>
        <v>350</v>
      </c>
      <c r="G131" s="14">
        <f>'WP12 Condensed Sch. Level Costs'!O125</f>
        <v>24.5</v>
      </c>
      <c r="H131" s="328">
        <f>ROUND('WP12 Condensed Sch. Level Costs'!T125,2)</f>
        <v>0.05</v>
      </c>
      <c r="I131" s="328">
        <f>ROUND('WP12 Condensed Sch. Level Costs'!Y125,2)</f>
        <v>1.34</v>
      </c>
    </row>
    <row r="132" spans="1:9" x14ac:dyDescent="0.2">
      <c r="A132" s="32">
        <f t="shared" si="3"/>
        <v>124</v>
      </c>
      <c r="B132" s="27" t="str">
        <f>'WP12 Condensed Sch. Level Costs'!A126</f>
        <v>54E</v>
      </c>
      <c r="C132" s="27"/>
      <c r="D132" s="327" t="str">
        <f>'WP12 Condensed Sch. Level Costs'!C126</f>
        <v>Sodium Vapor</v>
      </c>
      <c r="E132" s="41" t="str">
        <f>'WP12 Condensed Sch. Level Costs'!D126</f>
        <v>SV 100</v>
      </c>
      <c r="F132" s="14">
        <f t="shared" si="4"/>
        <v>350</v>
      </c>
      <c r="G132" s="14">
        <f>'WP12 Condensed Sch. Level Costs'!O126</f>
        <v>35</v>
      </c>
      <c r="H132" s="328">
        <f>ROUND('WP12 Condensed Sch. Level Costs'!T126,2)</f>
        <v>0.05</v>
      </c>
      <c r="I132" s="328">
        <f>ROUND('WP12 Condensed Sch. Level Costs'!Y126,2)</f>
        <v>1.91</v>
      </c>
    </row>
    <row r="133" spans="1:9" x14ac:dyDescent="0.2">
      <c r="A133" s="32">
        <f t="shared" si="3"/>
        <v>125</v>
      </c>
      <c r="B133" s="27" t="str">
        <f>'WP12 Condensed Sch. Level Costs'!A127</f>
        <v>54E</v>
      </c>
      <c r="C133" s="27"/>
      <c r="D133" s="327" t="str">
        <f>'WP12 Condensed Sch. Level Costs'!C127</f>
        <v>Sodium Vapor</v>
      </c>
      <c r="E133" s="41" t="str">
        <f>'WP12 Condensed Sch. Level Costs'!D127</f>
        <v>SV 150</v>
      </c>
      <c r="F133" s="14">
        <f t="shared" si="4"/>
        <v>350</v>
      </c>
      <c r="G133" s="14">
        <f>'WP12 Condensed Sch. Level Costs'!O127</f>
        <v>52.5</v>
      </c>
      <c r="H133" s="328">
        <f>ROUND('WP12 Condensed Sch. Level Costs'!T127,2)</f>
        <v>0.05</v>
      </c>
      <c r="I133" s="328">
        <f>ROUND('WP12 Condensed Sch. Level Costs'!Y127,2)</f>
        <v>2.86</v>
      </c>
    </row>
    <row r="134" spans="1:9" x14ac:dyDescent="0.2">
      <c r="A134" s="32">
        <f t="shared" si="3"/>
        <v>126</v>
      </c>
      <c r="B134" s="27" t="str">
        <f>'WP12 Condensed Sch. Level Costs'!A128</f>
        <v>54E</v>
      </c>
      <c r="C134" s="27"/>
      <c r="D134" s="327" t="str">
        <f>'WP12 Condensed Sch. Level Costs'!C128</f>
        <v>Sodium Vapor</v>
      </c>
      <c r="E134" s="41" t="str">
        <f>'WP12 Condensed Sch. Level Costs'!D128</f>
        <v>SV 200</v>
      </c>
      <c r="F134" s="14">
        <f t="shared" si="4"/>
        <v>350</v>
      </c>
      <c r="G134" s="14">
        <f>'WP12 Condensed Sch. Level Costs'!O128</f>
        <v>70</v>
      </c>
      <c r="H134" s="328">
        <f>ROUND('WP12 Condensed Sch. Level Costs'!T128,2)</f>
        <v>0.05</v>
      </c>
      <c r="I134" s="328">
        <f>ROUND('WP12 Condensed Sch. Level Costs'!Y128,2)</f>
        <v>3.82</v>
      </c>
    </row>
    <row r="135" spans="1:9" x14ac:dyDescent="0.2">
      <c r="A135" s="32">
        <f t="shared" si="3"/>
        <v>127</v>
      </c>
      <c r="B135" s="27" t="str">
        <f>'WP12 Condensed Sch. Level Costs'!A129</f>
        <v>54E</v>
      </c>
      <c r="C135" s="27"/>
      <c r="D135" s="327" t="str">
        <f>'WP12 Condensed Sch. Level Costs'!C129</f>
        <v>Sodium Vapor</v>
      </c>
      <c r="E135" s="41" t="str">
        <f>'WP12 Condensed Sch. Level Costs'!D129</f>
        <v>SV 250</v>
      </c>
      <c r="F135" s="14">
        <f t="shared" si="4"/>
        <v>350</v>
      </c>
      <c r="G135" s="14">
        <f>'WP12 Condensed Sch. Level Costs'!O129</f>
        <v>87.5</v>
      </c>
      <c r="H135" s="328">
        <f>ROUND('WP12 Condensed Sch. Level Costs'!T129,2)</f>
        <v>0.05</v>
      </c>
      <c r="I135" s="328">
        <f>ROUND('WP12 Condensed Sch. Level Costs'!Y129,2)</f>
        <v>4.7699999999999996</v>
      </c>
    </row>
    <row r="136" spans="1:9" x14ac:dyDescent="0.2">
      <c r="A136" s="32">
        <f t="shared" si="3"/>
        <v>128</v>
      </c>
      <c r="B136" s="27" t="str">
        <f>'WP12 Condensed Sch. Level Costs'!A130</f>
        <v>54E</v>
      </c>
      <c r="C136" s="27"/>
      <c r="D136" s="327" t="str">
        <f>'WP12 Condensed Sch. Level Costs'!C130</f>
        <v>Sodium Vapor</v>
      </c>
      <c r="E136" s="41" t="str">
        <f>'WP12 Condensed Sch. Level Costs'!D130</f>
        <v>SV 310</v>
      </c>
      <c r="F136" s="14">
        <f t="shared" si="4"/>
        <v>350</v>
      </c>
      <c r="G136" s="14">
        <f>'WP12 Condensed Sch. Level Costs'!O130</f>
        <v>108.5</v>
      </c>
      <c r="H136" s="328">
        <f>ROUND('WP12 Condensed Sch. Level Costs'!T130,2)</f>
        <v>0.05</v>
      </c>
      <c r="I136" s="328">
        <f>ROUND('WP12 Condensed Sch. Level Costs'!Y130,2)</f>
        <v>5.92</v>
      </c>
    </row>
    <row r="137" spans="1:9" x14ac:dyDescent="0.2">
      <c r="A137" s="32">
        <f t="shared" si="3"/>
        <v>129</v>
      </c>
      <c r="B137" s="27" t="str">
        <f>'WP12 Condensed Sch. Level Costs'!A131</f>
        <v>54E</v>
      </c>
      <c r="C137" s="27"/>
      <c r="D137" s="327" t="str">
        <f>'WP12 Condensed Sch. Level Costs'!C131</f>
        <v>Sodium Vapor</v>
      </c>
      <c r="E137" s="41" t="str">
        <f>'WP12 Condensed Sch. Level Costs'!D131</f>
        <v>SV 400</v>
      </c>
      <c r="F137" s="14">
        <f t="shared" si="4"/>
        <v>350</v>
      </c>
      <c r="G137" s="14">
        <f>'WP12 Condensed Sch. Level Costs'!O131</f>
        <v>140</v>
      </c>
      <c r="H137" s="328">
        <f>ROUND('WP12 Condensed Sch. Level Costs'!T131,2)</f>
        <v>0.05</v>
      </c>
      <c r="I137" s="328">
        <f>ROUND('WP12 Condensed Sch. Level Costs'!Y131,2)</f>
        <v>7.64</v>
      </c>
    </row>
    <row r="138" spans="1:9" x14ac:dyDescent="0.2">
      <c r="A138" s="32">
        <f t="shared" si="3"/>
        <v>130</v>
      </c>
      <c r="B138" s="27" t="str">
        <f>'WP12 Condensed Sch. Level Costs'!A132</f>
        <v>54E</v>
      </c>
      <c r="C138" s="27"/>
      <c r="D138" s="327" t="str">
        <f>'WP12 Condensed Sch. Level Costs'!C132</f>
        <v>Sodium Vapor</v>
      </c>
      <c r="E138" s="41" t="str">
        <f>'WP12 Condensed Sch. Level Costs'!D132</f>
        <v>SV 1000</v>
      </c>
      <c r="F138" s="14">
        <f t="shared" si="4"/>
        <v>350</v>
      </c>
      <c r="G138" s="14">
        <f>'WP12 Condensed Sch. Level Costs'!O132</f>
        <v>350</v>
      </c>
      <c r="H138" s="328">
        <f>ROUND('WP12 Condensed Sch. Level Costs'!T132,2)</f>
        <v>0.05</v>
      </c>
      <c r="I138" s="328">
        <f>ROUND('WP12 Condensed Sch. Level Costs'!Y132,2)</f>
        <v>19.09</v>
      </c>
    </row>
    <row r="139" spans="1:9" x14ac:dyDescent="0.2">
      <c r="A139" s="32">
        <f t="shared" si="3"/>
        <v>131</v>
      </c>
      <c r="B139" s="27"/>
      <c r="C139" s="27"/>
      <c r="D139" s="327"/>
      <c r="E139" s="41"/>
      <c r="F139" s="14"/>
      <c r="G139" s="14"/>
      <c r="H139" s="342"/>
      <c r="I139" s="328"/>
    </row>
    <row r="140" spans="1:9" x14ac:dyDescent="0.2">
      <c r="A140" s="32">
        <f t="shared" si="3"/>
        <v>132</v>
      </c>
      <c r="B140" s="27" t="str">
        <f>'WP12 Condensed Sch. Level Costs'!A134</f>
        <v>54E</v>
      </c>
      <c r="C140" s="27"/>
      <c r="D140" s="327" t="str">
        <f>'WP12 Condensed Sch. Level Costs'!C134</f>
        <v>Light Emitting Diode</v>
      </c>
      <c r="E140" s="41" t="str">
        <f>'WP12 Condensed Sch. Level Costs'!D134</f>
        <v>LED 0-030</v>
      </c>
      <c r="F140" s="14">
        <f t="shared" si="4"/>
        <v>350</v>
      </c>
      <c r="G140" s="14">
        <f>'WP12 Condensed Sch. Level Costs'!O134</f>
        <v>5.25</v>
      </c>
      <c r="H140" s="328">
        <f>ROUND('WP12 Condensed Sch. Level Costs'!T134,2)</f>
        <v>0.05</v>
      </c>
      <c r="I140" s="328">
        <f>ROUND('WP12 Condensed Sch. Level Costs'!Y134,2)</f>
        <v>0.28999999999999998</v>
      </c>
    </row>
    <row r="141" spans="1:9" x14ac:dyDescent="0.2">
      <c r="A141" s="32">
        <f t="shared" si="3"/>
        <v>133</v>
      </c>
      <c r="B141" s="27" t="str">
        <f>'WP12 Condensed Sch. Level Costs'!A135</f>
        <v>54E</v>
      </c>
      <c r="C141" s="27"/>
      <c r="D141" s="327" t="str">
        <f>'WP12 Condensed Sch. Level Costs'!C135</f>
        <v>Light Emitting Diode</v>
      </c>
      <c r="E141" s="41" t="str">
        <f>'WP12 Condensed Sch. Level Costs'!D135</f>
        <v>LED 030.01-060</v>
      </c>
      <c r="F141" s="14">
        <f t="shared" si="4"/>
        <v>350</v>
      </c>
      <c r="G141" s="14">
        <f>'WP12 Condensed Sch. Level Costs'!O135</f>
        <v>15.75</v>
      </c>
      <c r="H141" s="328">
        <f>ROUND('WP12 Condensed Sch. Level Costs'!T135,2)</f>
        <v>0.05</v>
      </c>
      <c r="I141" s="328">
        <f>ROUND('WP12 Condensed Sch. Level Costs'!Y135,2)</f>
        <v>0.86</v>
      </c>
    </row>
    <row r="142" spans="1:9" x14ac:dyDescent="0.2">
      <c r="A142" s="32">
        <f t="shared" si="3"/>
        <v>134</v>
      </c>
      <c r="B142" s="27" t="str">
        <f>'WP12 Condensed Sch. Level Costs'!A136</f>
        <v>54E</v>
      </c>
      <c r="C142" s="27"/>
      <c r="D142" s="327" t="str">
        <f>'WP12 Condensed Sch. Level Costs'!C136</f>
        <v>Light Emitting Diode</v>
      </c>
      <c r="E142" s="41" t="str">
        <f>'WP12 Condensed Sch. Level Costs'!D136</f>
        <v>LED 060.01-090</v>
      </c>
      <c r="F142" s="14">
        <f t="shared" si="4"/>
        <v>350</v>
      </c>
      <c r="G142" s="14">
        <f>'WP12 Condensed Sch. Level Costs'!O136</f>
        <v>26.25</v>
      </c>
      <c r="H142" s="328">
        <f>ROUND('WP12 Condensed Sch. Level Costs'!T136,2)</f>
        <v>0.05</v>
      </c>
      <c r="I142" s="328">
        <f>ROUND('WP12 Condensed Sch. Level Costs'!Y136,2)</f>
        <v>1.43</v>
      </c>
    </row>
    <row r="143" spans="1:9" x14ac:dyDescent="0.2">
      <c r="A143" s="32">
        <f t="shared" si="3"/>
        <v>135</v>
      </c>
      <c r="B143" s="27" t="str">
        <f>'WP12 Condensed Sch. Level Costs'!A137</f>
        <v>54E</v>
      </c>
      <c r="C143" s="27"/>
      <c r="D143" s="327" t="str">
        <f>'WP12 Condensed Sch. Level Costs'!C137</f>
        <v>Light Emitting Diode</v>
      </c>
      <c r="E143" s="41" t="str">
        <f>'WP12 Condensed Sch. Level Costs'!D137</f>
        <v>LED 090.01-120</v>
      </c>
      <c r="F143" s="14">
        <f t="shared" si="4"/>
        <v>350</v>
      </c>
      <c r="G143" s="14">
        <f>'WP12 Condensed Sch. Level Costs'!O137</f>
        <v>36.75</v>
      </c>
      <c r="H143" s="328">
        <f>ROUND('WP12 Condensed Sch. Level Costs'!T137,2)</f>
        <v>0.05</v>
      </c>
      <c r="I143" s="328">
        <f>ROUND('WP12 Condensed Sch. Level Costs'!Y137,2)</f>
        <v>2</v>
      </c>
    </row>
    <row r="144" spans="1:9" x14ac:dyDescent="0.2">
      <c r="A144" s="32">
        <f t="shared" si="3"/>
        <v>136</v>
      </c>
      <c r="B144" s="27" t="str">
        <f>'WP12 Condensed Sch. Level Costs'!A138</f>
        <v>54E</v>
      </c>
      <c r="C144" s="27"/>
      <c r="D144" s="327" t="str">
        <f>'WP12 Condensed Sch. Level Costs'!C138</f>
        <v>Light Emitting Diode</v>
      </c>
      <c r="E144" s="41" t="str">
        <f>'WP12 Condensed Sch. Level Costs'!D138</f>
        <v>LED 120.01-150</v>
      </c>
      <c r="F144" s="14">
        <f t="shared" si="4"/>
        <v>350</v>
      </c>
      <c r="G144" s="14">
        <f>'WP12 Condensed Sch. Level Costs'!O138</f>
        <v>47.25</v>
      </c>
      <c r="H144" s="328">
        <f>ROUND('WP12 Condensed Sch. Level Costs'!T138,2)</f>
        <v>0.05</v>
      </c>
      <c r="I144" s="328">
        <f>ROUND('WP12 Condensed Sch. Level Costs'!Y138,2)</f>
        <v>2.58</v>
      </c>
    </row>
    <row r="145" spans="1:9" x14ac:dyDescent="0.2">
      <c r="A145" s="32">
        <f t="shared" si="3"/>
        <v>137</v>
      </c>
      <c r="B145" s="27" t="str">
        <f>'WP12 Condensed Sch. Level Costs'!A139</f>
        <v>54E</v>
      </c>
      <c r="C145" s="27"/>
      <c r="D145" s="327" t="str">
        <f>'WP12 Condensed Sch. Level Costs'!C139</f>
        <v>Light Emitting Diode</v>
      </c>
      <c r="E145" s="41" t="str">
        <f>'WP12 Condensed Sch. Level Costs'!D139</f>
        <v>LED 150.01-180</v>
      </c>
      <c r="F145" s="14">
        <f t="shared" si="4"/>
        <v>350</v>
      </c>
      <c r="G145" s="14">
        <f>'WP12 Condensed Sch. Level Costs'!O139</f>
        <v>57.75</v>
      </c>
      <c r="H145" s="328">
        <f>ROUND('WP12 Condensed Sch. Level Costs'!T139,2)</f>
        <v>0.05</v>
      </c>
      <c r="I145" s="328">
        <f>ROUND('WP12 Condensed Sch. Level Costs'!Y139,2)</f>
        <v>3.15</v>
      </c>
    </row>
    <row r="146" spans="1:9" x14ac:dyDescent="0.2">
      <c r="A146" s="32">
        <f t="shared" si="3"/>
        <v>138</v>
      </c>
      <c r="B146" s="27" t="str">
        <f>'WP12 Condensed Sch. Level Costs'!A140</f>
        <v>54E</v>
      </c>
      <c r="C146" s="27"/>
      <c r="D146" s="327" t="str">
        <f>'WP12 Condensed Sch. Level Costs'!C140</f>
        <v>Light Emitting Diode</v>
      </c>
      <c r="E146" s="41" t="str">
        <f>'WP12 Condensed Sch. Level Costs'!D140</f>
        <v>LED 180.01-210</v>
      </c>
      <c r="F146" s="14">
        <f t="shared" si="4"/>
        <v>350</v>
      </c>
      <c r="G146" s="14">
        <f>'WP12 Condensed Sch. Level Costs'!O140</f>
        <v>68.25</v>
      </c>
      <c r="H146" s="328">
        <f>ROUND('WP12 Condensed Sch. Level Costs'!T140,2)</f>
        <v>0.05</v>
      </c>
      <c r="I146" s="328">
        <f>ROUND('WP12 Condensed Sch. Level Costs'!Y140,2)</f>
        <v>3.72</v>
      </c>
    </row>
    <row r="147" spans="1:9" x14ac:dyDescent="0.2">
      <c r="A147" s="32">
        <f t="shared" si="3"/>
        <v>139</v>
      </c>
      <c r="B147" s="27" t="str">
        <f>'WP12 Condensed Sch. Level Costs'!A141</f>
        <v>54E</v>
      </c>
      <c r="C147" s="27"/>
      <c r="D147" s="327" t="str">
        <f>'WP12 Condensed Sch. Level Costs'!C141</f>
        <v>Light Emitting Diode</v>
      </c>
      <c r="E147" s="41" t="str">
        <f>'WP12 Condensed Sch. Level Costs'!D141</f>
        <v>LED 210.01-240</v>
      </c>
      <c r="F147" s="14">
        <f t="shared" si="4"/>
        <v>350</v>
      </c>
      <c r="G147" s="14">
        <f>'WP12 Condensed Sch. Level Costs'!O141</f>
        <v>78.75</v>
      </c>
      <c r="H147" s="328">
        <f>ROUND('WP12 Condensed Sch. Level Costs'!T141,2)</f>
        <v>0.05</v>
      </c>
      <c r="I147" s="328">
        <f>ROUND('WP12 Condensed Sch. Level Costs'!Y141,2)</f>
        <v>4.3</v>
      </c>
    </row>
    <row r="148" spans="1:9" x14ac:dyDescent="0.2">
      <c r="A148" s="32">
        <f t="shared" si="3"/>
        <v>140</v>
      </c>
      <c r="B148" s="27" t="str">
        <f>'WP12 Condensed Sch. Level Costs'!A142</f>
        <v>54E</v>
      </c>
      <c r="C148" s="27"/>
      <c r="D148" s="327" t="str">
        <f>'WP12 Condensed Sch. Level Costs'!C142</f>
        <v>Light Emitting Diode</v>
      </c>
      <c r="E148" s="41" t="str">
        <f>'WP12 Condensed Sch. Level Costs'!D142</f>
        <v>LED 240.01-270</v>
      </c>
      <c r="F148" s="14">
        <f t="shared" si="4"/>
        <v>350</v>
      </c>
      <c r="G148" s="14">
        <f>'WP12 Condensed Sch. Level Costs'!O142</f>
        <v>89.25</v>
      </c>
      <c r="H148" s="328">
        <f>ROUND('WP12 Condensed Sch. Level Costs'!T142,2)</f>
        <v>0.05</v>
      </c>
      <c r="I148" s="328">
        <f>ROUND('WP12 Condensed Sch. Level Costs'!Y142,2)</f>
        <v>4.87</v>
      </c>
    </row>
    <row r="149" spans="1:9" x14ac:dyDescent="0.2">
      <c r="A149" s="32">
        <f t="shared" si="3"/>
        <v>141</v>
      </c>
      <c r="B149" s="27" t="str">
        <f>'WP12 Condensed Sch. Level Costs'!A143</f>
        <v>54E</v>
      </c>
      <c r="C149" s="27"/>
      <c r="D149" s="327" t="str">
        <f>'WP12 Condensed Sch. Level Costs'!C143</f>
        <v>Light Emitting Diode</v>
      </c>
      <c r="E149" s="41" t="str">
        <f>'WP12 Condensed Sch. Level Costs'!D143</f>
        <v>LED 270.01-300</v>
      </c>
      <c r="F149" s="14">
        <f t="shared" si="4"/>
        <v>350</v>
      </c>
      <c r="G149" s="14">
        <f>'WP12 Condensed Sch. Level Costs'!O143</f>
        <v>99.75</v>
      </c>
      <c r="H149" s="328">
        <f>ROUND('WP12 Condensed Sch. Level Costs'!T143,2)</f>
        <v>0.05</v>
      </c>
      <c r="I149" s="328">
        <f>ROUND('WP12 Condensed Sch. Level Costs'!Y143,2)</f>
        <v>5.44</v>
      </c>
    </row>
    <row r="150" spans="1:9" x14ac:dyDescent="0.2">
      <c r="A150" s="32">
        <f t="shared" si="3"/>
        <v>142</v>
      </c>
      <c r="B150" s="27"/>
      <c r="C150" s="27"/>
      <c r="D150" s="327"/>
      <c r="E150" s="41"/>
      <c r="F150" s="14"/>
      <c r="G150" s="14"/>
      <c r="H150" s="342"/>
      <c r="I150" s="328"/>
    </row>
    <row r="151" spans="1:9" x14ac:dyDescent="0.2">
      <c r="A151" s="32">
        <f t="shared" si="3"/>
        <v>143</v>
      </c>
      <c r="B151" s="27" t="str">
        <f>'WP12 Condensed Sch. Level Costs'!A144</f>
        <v>Sch 55 &amp; 56</v>
      </c>
      <c r="C151" s="27"/>
      <c r="D151" s="327"/>
      <c r="E151" s="41"/>
      <c r="F151" s="14"/>
      <c r="G151" s="14"/>
      <c r="H151" s="342"/>
      <c r="I151" s="328"/>
    </row>
    <row r="152" spans="1:9" x14ac:dyDescent="0.2">
      <c r="A152" s="32">
        <f t="shared" si="3"/>
        <v>144</v>
      </c>
      <c r="B152" s="27" t="str">
        <f>'WP12 Condensed Sch. Level Costs'!A145</f>
        <v>55E &amp; 56E</v>
      </c>
      <c r="C152" s="27"/>
      <c r="D152" s="327" t="str">
        <f>'WP12 Condensed Sch. Level Costs'!C145</f>
        <v>Sodium Vapor</v>
      </c>
      <c r="E152" s="41" t="str">
        <f>'WP12 Condensed Sch. Level Costs'!D145</f>
        <v>SV 070</v>
      </c>
      <c r="F152" s="14">
        <f t="shared" si="4"/>
        <v>350</v>
      </c>
      <c r="G152" s="14">
        <f>'WP12 Condensed Sch. Level Costs'!O145</f>
        <v>24.5</v>
      </c>
      <c r="H152" s="328">
        <f>ROUND('WP12 Condensed Sch. Level Costs'!T145,2)</f>
        <v>0.05</v>
      </c>
      <c r="I152" s="328">
        <f>ROUND('WP12 Condensed Sch. Level Costs'!Y145,2)</f>
        <v>1.34</v>
      </c>
    </row>
    <row r="153" spans="1:9" x14ac:dyDescent="0.2">
      <c r="A153" s="32">
        <f t="shared" si="3"/>
        <v>145</v>
      </c>
      <c r="B153" s="27" t="str">
        <f>'WP12 Condensed Sch. Level Costs'!A146</f>
        <v>55E &amp; 56E</v>
      </c>
      <c r="C153" s="27"/>
      <c r="D153" s="327" t="str">
        <f>'WP12 Condensed Sch. Level Costs'!C146</f>
        <v>Sodium Vapor</v>
      </c>
      <c r="E153" s="41" t="str">
        <f>'WP12 Condensed Sch. Level Costs'!D146</f>
        <v>SV 100</v>
      </c>
      <c r="F153" s="14">
        <f t="shared" si="4"/>
        <v>350</v>
      </c>
      <c r="G153" s="14">
        <f>'WP12 Condensed Sch. Level Costs'!O146</f>
        <v>35</v>
      </c>
      <c r="H153" s="328">
        <f>ROUND('WP12 Condensed Sch. Level Costs'!T146,2)</f>
        <v>0.05</v>
      </c>
      <c r="I153" s="328">
        <f>ROUND('WP12 Condensed Sch. Level Costs'!Y146,2)</f>
        <v>1.91</v>
      </c>
    </row>
    <row r="154" spans="1:9" x14ac:dyDescent="0.2">
      <c r="A154" s="32">
        <f t="shared" si="3"/>
        <v>146</v>
      </c>
      <c r="B154" s="27" t="str">
        <f>'WP12 Condensed Sch. Level Costs'!A147</f>
        <v>55E &amp; 56E</v>
      </c>
      <c r="C154" s="27"/>
      <c r="D154" s="327" t="str">
        <f>'WP12 Condensed Sch. Level Costs'!C147</f>
        <v>Sodium Vapor</v>
      </c>
      <c r="E154" s="41" t="str">
        <f>'WP12 Condensed Sch. Level Costs'!D147</f>
        <v>SV 150</v>
      </c>
      <c r="F154" s="14">
        <f t="shared" si="4"/>
        <v>350</v>
      </c>
      <c r="G154" s="14">
        <f>'WP12 Condensed Sch. Level Costs'!O147</f>
        <v>52.5</v>
      </c>
      <c r="H154" s="328">
        <f>ROUND('WP12 Condensed Sch. Level Costs'!T147,2)</f>
        <v>0.05</v>
      </c>
      <c r="I154" s="328">
        <f>ROUND('WP12 Condensed Sch. Level Costs'!Y147,2)</f>
        <v>2.86</v>
      </c>
    </row>
    <row r="155" spans="1:9" x14ac:dyDescent="0.2">
      <c r="A155" s="32">
        <f t="shared" si="3"/>
        <v>147</v>
      </c>
      <c r="B155" s="27" t="str">
        <f>'WP12 Condensed Sch. Level Costs'!A148</f>
        <v>55E &amp; 56E</v>
      </c>
      <c r="C155" s="27"/>
      <c r="D155" s="327" t="str">
        <f>'WP12 Condensed Sch. Level Costs'!C148</f>
        <v>Sodium Vapor</v>
      </c>
      <c r="E155" s="41" t="str">
        <f>'WP12 Condensed Sch. Level Costs'!D148</f>
        <v>SV 200</v>
      </c>
      <c r="F155" s="14">
        <f t="shared" si="4"/>
        <v>350</v>
      </c>
      <c r="G155" s="14">
        <f>'WP12 Condensed Sch. Level Costs'!O148</f>
        <v>70</v>
      </c>
      <c r="H155" s="328">
        <f>ROUND('WP12 Condensed Sch. Level Costs'!T148,2)</f>
        <v>0.05</v>
      </c>
      <c r="I155" s="328">
        <f>ROUND('WP12 Condensed Sch. Level Costs'!Y148,2)</f>
        <v>3.82</v>
      </c>
    </row>
    <row r="156" spans="1:9" x14ac:dyDescent="0.2">
      <c r="A156" s="32">
        <f t="shared" si="3"/>
        <v>148</v>
      </c>
      <c r="B156" s="27" t="str">
        <f>'WP12 Condensed Sch. Level Costs'!A149</f>
        <v>55E &amp; 56E</v>
      </c>
      <c r="C156" s="27"/>
      <c r="D156" s="327" t="str">
        <f>'WP12 Condensed Sch. Level Costs'!C149</f>
        <v>Sodium Vapor</v>
      </c>
      <c r="E156" s="41" t="str">
        <f>'WP12 Condensed Sch. Level Costs'!D149</f>
        <v>SV 250</v>
      </c>
      <c r="F156" s="14">
        <f t="shared" si="4"/>
        <v>350</v>
      </c>
      <c r="G156" s="14">
        <f>'WP12 Condensed Sch. Level Costs'!O149</f>
        <v>87.5</v>
      </c>
      <c r="H156" s="328">
        <f>ROUND('WP12 Condensed Sch. Level Costs'!T149,2)</f>
        <v>0.05</v>
      </c>
      <c r="I156" s="328">
        <f>ROUND('WP12 Condensed Sch. Level Costs'!Y149,2)</f>
        <v>4.7699999999999996</v>
      </c>
    </row>
    <row r="157" spans="1:9" x14ac:dyDescent="0.2">
      <c r="A157" s="32">
        <f t="shared" si="3"/>
        <v>149</v>
      </c>
      <c r="B157" s="27" t="str">
        <f>'WP12 Condensed Sch. Level Costs'!A150</f>
        <v>55E &amp; 56E</v>
      </c>
      <c r="C157" s="27"/>
      <c r="D157" s="327" t="str">
        <f>'WP12 Condensed Sch. Level Costs'!C150</f>
        <v>Sodium Vapor</v>
      </c>
      <c r="E157" s="41" t="str">
        <f>'WP12 Condensed Sch. Level Costs'!D150</f>
        <v>SV 400</v>
      </c>
      <c r="F157" s="14">
        <f t="shared" si="4"/>
        <v>350</v>
      </c>
      <c r="G157" s="14">
        <f>'WP12 Condensed Sch. Level Costs'!O150</f>
        <v>140</v>
      </c>
      <c r="H157" s="328">
        <f>ROUND('WP12 Condensed Sch. Level Costs'!T150,2)</f>
        <v>0.05</v>
      </c>
      <c r="I157" s="328">
        <f>ROUND('WP12 Condensed Sch. Level Costs'!Y150,2)</f>
        <v>7.64</v>
      </c>
    </row>
    <row r="158" spans="1:9" x14ac:dyDescent="0.2">
      <c r="A158" s="32">
        <f t="shared" si="3"/>
        <v>150</v>
      </c>
      <c r="B158" s="27"/>
      <c r="C158" s="27"/>
      <c r="D158" s="327"/>
      <c r="E158" s="41"/>
      <c r="F158" s="14"/>
      <c r="G158" s="14"/>
      <c r="H158" s="342"/>
      <c r="I158" s="328"/>
    </row>
    <row r="159" spans="1:9" x14ac:dyDescent="0.2">
      <c r="A159" s="32">
        <f t="shared" si="3"/>
        <v>151</v>
      </c>
      <c r="B159" s="27" t="str">
        <f>'WP12 Condensed Sch. Level Costs'!A152</f>
        <v>55E &amp; 56E</v>
      </c>
      <c r="C159" s="27"/>
      <c r="D159" s="327" t="str">
        <f>'WP12 Condensed Sch. Level Costs'!C152</f>
        <v>Metal Halide</v>
      </c>
      <c r="E159" s="41" t="str">
        <f>'WP12 Condensed Sch. Level Costs'!D152</f>
        <v>MH 250</v>
      </c>
      <c r="F159" s="14">
        <f t="shared" si="4"/>
        <v>350</v>
      </c>
      <c r="G159" s="14">
        <f>'WP12 Condensed Sch. Level Costs'!O152</f>
        <v>87.5</v>
      </c>
      <c r="H159" s="328">
        <f>ROUND('WP12 Condensed Sch. Level Costs'!T152,2)</f>
        <v>0.05</v>
      </c>
      <c r="I159" s="328">
        <f>ROUND('WP12 Condensed Sch. Level Costs'!Y152,2)</f>
        <v>4.7699999999999996</v>
      </c>
    </row>
    <row r="160" spans="1:9" x14ac:dyDescent="0.2">
      <c r="A160" s="32">
        <f t="shared" si="3"/>
        <v>152</v>
      </c>
      <c r="B160" s="27"/>
      <c r="C160" s="27"/>
      <c r="D160" s="327"/>
      <c r="E160" s="41"/>
      <c r="F160" s="14"/>
      <c r="G160" s="14"/>
      <c r="H160" s="342"/>
      <c r="I160" s="328"/>
    </row>
    <row r="161" spans="1:9" x14ac:dyDescent="0.2">
      <c r="A161" s="32">
        <f t="shared" si="3"/>
        <v>153</v>
      </c>
      <c r="B161" s="27" t="str">
        <f>'WP12 Condensed Sch. Level Costs'!A154</f>
        <v>55E &amp; 56E</v>
      </c>
      <c r="C161" s="27"/>
      <c r="D161" s="327" t="str">
        <f>'WP12 Condensed Sch. Level Costs'!C154</f>
        <v>Light Emitting Diode</v>
      </c>
      <c r="E161" s="41" t="str">
        <f>'WP12 Condensed Sch. Level Costs'!D154</f>
        <v>LED 0-030</v>
      </c>
      <c r="F161" s="14">
        <f t="shared" si="4"/>
        <v>350</v>
      </c>
      <c r="G161" s="14">
        <f>'WP12 Condensed Sch. Level Costs'!O154</f>
        <v>5.25</v>
      </c>
      <c r="H161" s="328">
        <f>ROUND('WP12 Condensed Sch. Level Costs'!T154,2)</f>
        <v>0.05</v>
      </c>
      <c r="I161" s="328">
        <f>ROUND('WP12 Condensed Sch. Level Costs'!Y154,2)</f>
        <v>0.28999999999999998</v>
      </c>
    </row>
    <row r="162" spans="1:9" x14ac:dyDescent="0.2">
      <c r="A162" s="32">
        <f t="shared" si="3"/>
        <v>154</v>
      </c>
      <c r="B162" s="27" t="str">
        <f>'WP12 Condensed Sch. Level Costs'!A155</f>
        <v>55E &amp; 56E</v>
      </c>
      <c r="C162" s="27"/>
      <c r="D162" s="327" t="str">
        <f>'WP12 Condensed Sch. Level Costs'!C155</f>
        <v>Light Emitting Diode</v>
      </c>
      <c r="E162" s="41" t="str">
        <f>'WP12 Condensed Sch. Level Costs'!D155</f>
        <v>LED 030.01-060</v>
      </c>
      <c r="F162" s="14">
        <f t="shared" si="4"/>
        <v>350</v>
      </c>
      <c r="G162" s="14">
        <f>'WP12 Condensed Sch. Level Costs'!O155</f>
        <v>15.75</v>
      </c>
      <c r="H162" s="328">
        <f>ROUND('WP12 Condensed Sch. Level Costs'!T155,2)</f>
        <v>0.05</v>
      </c>
      <c r="I162" s="328">
        <f>ROUND('WP12 Condensed Sch. Level Costs'!Y155,2)</f>
        <v>0.86</v>
      </c>
    </row>
    <row r="163" spans="1:9" x14ac:dyDescent="0.2">
      <c r="A163" s="32">
        <f t="shared" si="3"/>
        <v>155</v>
      </c>
      <c r="B163" s="27" t="str">
        <f>'WP12 Condensed Sch. Level Costs'!A156</f>
        <v>55E &amp; 56E</v>
      </c>
      <c r="C163" s="27"/>
      <c r="D163" s="327" t="str">
        <f>'WP12 Condensed Sch. Level Costs'!C156</f>
        <v>Light Emitting Diode</v>
      </c>
      <c r="E163" s="41" t="str">
        <f>'WP12 Condensed Sch. Level Costs'!D156</f>
        <v>LED 060.01-090</v>
      </c>
      <c r="F163" s="14">
        <f t="shared" si="4"/>
        <v>350</v>
      </c>
      <c r="G163" s="14">
        <f>'WP12 Condensed Sch. Level Costs'!O156</f>
        <v>26.25</v>
      </c>
      <c r="H163" s="328">
        <f>ROUND('WP12 Condensed Sch. Level Costs'!T156,2)</f>
        <v>0.05</v>
      </c>
      <c r="I163" s="328">
        <f>ROUND('WP12 Condensed Sch. Level Costs'!Y156,2)</f>
        <v>1.43</v>
      </c>
    </row>
    <row r="164" spans="1:9" x14ac:dyDescent="0.2">
      <c r="A164" s="32">
        <f t="shared" si="3"/>
        <v>156</v>
      </c>
      <c r="B164" s="27" t="str">
        <f>'WP12 Condensed Sch. Level Costs'!A157</f>
        <v>55E &amp; 56E</v>
      </c>
      <c r="C164" s="27"/>
      <c r="D164" s="327" t="str">
        <f>'WP12 Condensed Sch. Level Costs'!C157</f>
        <v>Light Emitting Diode</v>
      </c>
      <c r="E164" s="41" t="str">
        <f>'WP12 Condensed Sch. Level Costs'!D157</f>
        <v>LED 090.01-120</v>
      </c>
      <c r="F164" s="14">
        <f t="shared" si="4"/>
        <v>350</v>
      </c>
      <c r="G164" s="14">
        <f>'WP12 Condensed Sch. Level Costs'!O157</f>
        <v>36.75</v>
      </c>
      <c r="H164" s="328">
        <f>ROUND('WP12 Condensed Sch. Level Costs'!T157,2)</f>
        <v>0.05</v>
      </c>
      <c r="I164" s="328">
        <f>ROUND('WP12 Condensed Sch. Level Costs'!Y157,2)</f>
        <v>2</v>
      </c>
    </row>
    <row r="165" spans="1:9" x14ac:dyDescent="0.2">
      <c r="A165" s="32">
        <f t="shared" si="3"/>
        <v>157</v>
      </c>
      <c r="B165" s="27" t="str">
        <f>'WP12 Condensed Sch. Level Costs'!A158</f>
        <v>55E &amp; 56E</v>
      </c>
      <c r="C165" s="27"/>
      <c r="D165" s="327" t="str">
        <f>'WP12 Condensed Sch. Level Costs'!C158</f>
        <v>Light Emitting Diode</v>
      </c>
      <c r="E165" s="41" t="str">
        <f>'WP12 Condensed Sch. Level Costs'!D158</f>
        <v>LED 120.01-150</v>
      </c>
      <c r="F165" s="14">
        <f t="shared" si="4"/>
        <v>350</v>
      </c>
      <c r="G165" s="14">
        <f>'WP12 Condensed Sch. Level Costs'!O158</f>
        <v>47.25</v>
      </c>
      <c r="H165" s="328">
        <f>ROUND('WP12 Condensed Sch. Level Costs'!T158,2)</f>
        <v>0.05</v>
      </c>
      <c r="I165" s="328">
        <f>ROUND('WP12 Condensed Sch. Level Costs'!Y158,2)</f>
        <v>2.58</v>
      </c>
    </row>
    <row r="166" spans="1:9" x14ac:dyDescent="0.2">
      <c r="A166" s="32">
        <f t="shared" ref="A166" si="5">A165+1</f>
        <v>158</v>
      </c>
      <c r="B166" s="27" t="str">
        <f>'WP12 Condensed Sch. Level Costs'!A159</f>
        <v>55E &amp; 56E</v>
      </c>
      <c r="C166" s="27"/>
      <c r="D166" s="327" t="str">
        <f>'WP12 Condensed Sch. Level Costs'!C159</f>
        <v>Light Emitting Diode</v>
      </c>
      <c r="E166" s="41" t="str">
        <f>'WP12 Condensed Sch. Level Costs'!D159</f>
        <v>LED 150.01-180</v>
      </c>
      <c r="F166" s="14">
        <f t="shared" si="4"/>
        <v>350</v>
      </c>
      <c r="G166" s="14">
        <f>'WP12 Condensed Sch. Level Costs'!O159</f>
        <v>57.75</v>
      </c>
      <c r="H166" s="328">
        <f>ROUND('WP12 Condensed Sch. Level Costs'!T159,2)</f>
        <v>0.05</v>
      </c>
      <c r="I166" s="328">
        <f>ROUND('WP12 Condensed Sch. Level Costs'!Y159,2)</f>
        <v>3.15</v>
      </c>
    </row>
    <row r="167" spans="1:9" x14ac:dyDescent="0.2">
      <c r="A167" s="32">
        <f t="shared" ref="A167:A217" si="6">A166+1</f>
        <v>159</v>
      </c>
      <c r="B167" s="27" t="str">
        <f>'WP12 Condensed Sch. Level Costs'!A160</f>
        <v>55E &amp; 56E</v>
      </c>
      <c r="C167" s="27"/>
      <c r="D167" s="327" t="str">
        <f>'WP12 Condensed Sch. Level Costs'!C160</f>
        <v>Light Emitting Diode</v>
      </c>
      <c r="E167" s="41" t="str">
        <f>'WP12 Condensed Sch. Level Costs'!D160</f>
        <v>LED 180.01-210</v>
      </c>
      <c r="F167" s="14">
        <f t="shared" si="4"/>
        <v>350</v>
      </c>
      <c r="G167" s="14">
        <f>'WP12 Condensed Sch. Level Costs'!O160</f>
        <v>68.25</v>
      </c>
      <c r="H167" s="328">
        <f>ROUND('WP12 Condensed Sch. Level Costs'!T160,2)</f>
        <v>0.05</v>
      </c>
      <c r="I167" s="328">
        <f>ROUND('WP12 Condensed Sch. Level Costs'!Y160,2)</f>
        <v>3.72</v>
      </c>
    </row>
    <row r="168" spans="1:9" x14ac:dyDescent="0.2">
      <c r="A168" s="32">
        <f t="shared" si="6"/>
        <v>160</v>
      </c>
      <c r="B168" s="27" t="str">
        <f>'WP12 Condensed Sch. Level Costs'!A161</f>
        <v>55E &amp; 56E</v>
      </c>
      <c r="C168" s="27"/>
      <c r="D168" s="327" t="str">
        <f>'WP12 Condensed Sch. Level Costs'!C161</f>
        <v>Light Emitting Diode</v>
      </c>
      <c r="E168" s="41" t="str">
        <f>'WP12 Condensed Sch. Level Costs'!D161</f>
        <v>LED 210.01-240</v>
      </c>
      <c r="F168" s="14">
        <f t="shared" si="4"/>
        <v>350</v>
      </c>
      <c r="G168" s="14">
        <f>'WP12 Condensed Sch. Level Costs'!O161</f>
        <v>78.75</v>
      </c>
      <c r="H168" s="328">
        <f>ROUND('WP12 Condensed Sch. Level Costs'!T161,2)</f>
        <v>0.05</v>
      </c>
      <c r="I168" s="328">
        <f>ROUND('WP12 Condensed Sch. Level Costs'!Y161,2)</f>
        <v>4.3</v>
      </c>
    </row>
    <row r="169" spans="1:9" x14ac:dyDescent="0.2">
      <c r="A169" s="32">
        <f t="shared" si="6"/>
        <v>161</v>
      </c>
      <c r="B169" s="27" t="str">
        <f>'WP12 Condensed Sch. Level Costs'!A162</f>
        <v>55E &amp; 56E</v>
      </c>
      <c r="C169" s="27"/>
      <c r="D169" s="327" t="str">
        <f>'WP12 Condensed Sch. Level Costs'!C162</f>
        <v>Light Emitting Diode</v>
      </c>
      <c r="E169" s="41" t="str">
        <f>'WP12 Condensed Sch. Level Costs'!D162</f>
        <v>LED 240.01-270</v>
      </c>
      <c r="F169" s="14">
        <f t="shared" si="4"/>
        <v>350</v>
      </c>
      <c r="G169" s="14">
        <f>'WP12 Condensed Sch. Level Costs'!O162</f>
        <v>89.25</v>
      </c>
      <c r="H169" s="328">
        <f>ROUND('WP12 Condensed Sch. Level Costs'!T162,2)</f>
        <v>0.05</v>
      </c>
      <c r="I169" s="328">
        <f>ROUND('WP12 Condensed Sch. Level Costs'!Y162,2)</f>
        <v>4.87</v>
      </c>
    </row>
    <row r="170" spans="1:9" x14ac:dyDescent="0.2">
      <c r="A170" s="32">
        <f t="shared" si="6"/>
        <v>162</v>
      </c>
      <c r="B170" s="27" t="str">
        <f>'WP12 Condensed Sch. Level Costs'!A163</f>
        <v>55E &amp; 56E</v>
      </c>
      <c r="C170" s="27"/>
      <c r="D170" s="327" t="str">
        <f>'WP12 Condensed Sch. Level Costs'!C163</f>
        <v>Light Emitting Diode</v>
      </c>
      <c r="E170" s="41" t="str">
        <f>'WP12 Condensed Sch. Level Costs'!D163</f>
        <v>LED 270.01-300</v>
      </c>
      <c r="F170" s="14">
        <f t="shared" si="4"/>
        <v>350</v>
      </c>
      <c r="G170" s="14">
        <f>'WP12 Condensed Sch. Level Costs'!O163</f>
        <v>99.75</v>
      </c>
      <c r="H170" s="328">
        <f>ROUND('WP12 Condensed Sch. Level Costs'!T163,2)</f>
        <v>0.05</v>
      </c>
      <c r="I170" s="328">
        <f>ROUND('WP12 Condensed Sch. Level Costs'!Y163,2)</f>
        <v>5.44</v>
      </c>
    </row>
    <row r="171" spans="1:9" x14ac:dyDescent="0.2">
      <c r="A171" s="32">
        <f t="shared" si="6"/>
        <v>163</v>
      </c>
      <c r="B171" s="27"/>
      <c r="C171" s="27"/>
      <c r="D171" s="327"/>
      <c r="E171" s="41"/>
      <c r="F171" s="14"/>
      <c r="G171" s="14"/>
      <c r="H171" s="342"/>
      <c r="I171" s="328"/>
    </row>
    <row r="172" spans="1:9" x14ac:dyDescent="0.2">
      <c r="A172" s="32">
        <f t="shared" si="6"/>
        <v>164</v>
      </c>
      <c r="B172" s="27" t="str">
        <f>'WP12 Condensed Sch. Level Costs'!A164</f>
        <v>Sch 58 &amp; 59</v>
      </c>
      <c r="C172" s="27"/>
      <c r="D172" s="327"/>
      <c r="E172" s="41"/>
      <c r="F172" s="14"/>
      <c r="G172" s="14"/>
      <c r="H172" s="342"/>
      <c r="I172" s="328"/>
    </row>
    <row r="173" spans="1:9" x14ac:dyDescent="0.2">
      <c r="A173" s="32">
        <f t="shared" si="6"/>
        <v>165</v>
      </c>
      <c r="B173" s="27" t="str">
        <f>'WP12 Condensed Sch. Level Costs'!A165</f>
        <v>58E &amp; 59E</v>
      </c>
      <c r="C173" s="27"/>
      <c r="D173" s="327" t="str">
        <f>'WP12 Condensed Sch. Level Costs'!C165</f>
        <v>Sodium Vapor</v>
      </c>
      <c r="E173" s="41" t="str">
        <f>'WP12 Condensed Sch. Level Costs'!D165</f>
        <v>DSV 070</v>
      </c>
      <c r="F173" s="14">
        <f t="shared" ref="F173:F217" si="7">4200/12</f>
        <v>350</v>
      </c>
      <c r="G173" s="14">
        <f>'WP12 Condensed Sch. Level Costs'!O165</f>
        <v>24.5</v>
      </c>
      <c r="H173" s="328">
        <f>ROUND('WP12 Condensed Sch. Level Costs'!T165,2)</f>
        <v>0.05</v>
      </c>
      <c r="I173" s="328">
        <f>ROUND('WP12 Condensed Sch. Level Costs'!Y165,2)</f>
        <v>1.34</v>
      </c>
    </row>
    <row r="174" spans="1:9" x14ac:dyDescent="0.2">
      <c r="A174" s="32">
        <f t="shared" si="6"/>
        <v>166</v>
      </c>
      <c r="B174" s="27" t="str">
        <f>'WP12 Condensed Sch. Level Costs'!A166</f>
        <v>58E &amp; 59E</v>
      </c>
      <c r="C174" s="27"/>
      <c r="D174" s="327" t="str">
        <f>'WP12 Condensed Sch. Level Costs'!C166</f>
        <v>Sodium Vapor</v>
      </c>
      <c r="E174" s="41" t="str">
        <f>'WP12 Condensed Sch. Level Costs'!D166</f>
        <v>DSV 100</v>
      </c>
      <c r="F174" s="14">
        <f t="shared" si="7"/>
        <v>350</v>
      </c>
      <c r="G174" s="14">
        <f>'WP12 Condensed Sch. Level Costs'!O166</f>
        <v>35</v>
      </c>
      <c r="H174" s="328">
        <f>ROUND('WP12 Condensed Sch. Level Costs'!T166,2)</f>
        <v>0.05</v>
      </c>
      <c r="I174" s="328">
        <f>ROUND('WP12 Condensed Sch. Level Costs'!Y166,2)</f>
        <v>1.91</v>
      </c>
    </row>
    <row r="175" spans="1:9" x14ac:dyDescent="0.2">
      <c r="A175" s="32">
        <f t="shared" si="6"/>
        <v>167</v>
      </c>
      <c r="B175" s="27" t="str">
        <f>'WP12 Condensed Sch. Level Costs'!A167</f>
        <v>58E &amp; 59E</v>
      </c>
      <c r="C175" s="27"/>
      <c r="D175" s="327" t="str">
        <f>'WP12 Condensed Sch. Level Costs'!C167</f>
        <v>Sodium Vapor</v>
      </c>
      <c r="E175" s="41" t="str">
        <f>'WP12 Condensed Sch. Level Costs'!D167</f>
        <v>DSV 150</v>
      </c>
      <c r="F175" s="14">
        <f t="shared" si="7"/>
        <v>350</v>
      </c>
      <c r="G175" s="14">
        <f>'WP12 Condensed Sch. Level Costs'!O167</f>
        <v>52.5</v>
      </c>
      <c r="H175" s="328">
        <f>ROUND('WP12 Condensed Sch. Level Costs'!T167,2)</f>
        <v>0.05</v>
      </c>
      <c r="I175" s="328">
        <f>ROUND('WP12 Condensed Sch. Level Costs'!Y167,2)</f>
        <v>2.86</v>
      </c>
    </row>
    <row r="176" spans="1:9" x14ac:dyDescent="0.2">
      <c r="A176" s="32">
        <f t="shared" si="6"/>
        <v>168</v>
      </c>
      <c r="B176" s="27" t="str">
        <f>'WP12 Condensed Sch. Level Costs'!A168</f>
        <v>58E &amp; 59E</v>
      </c>
      <c r="C176" s="27"/>
      <c r="D176" s="327" t="str">
        <f>'WP12 Condensed Sch. Level Costs'!C168</f>
        <v>Sodium Vapor</v>
      </c>
      <c r="E176" s="41" t="str">
        <f>'WP12 Condensed Sch. Level Costs'!D168</f>
        <v>DSV 200</v>
      </c>
      <c r="F176" s="14">
        <f t="shared" si="7"/>
        <v>350</v>
      </c>
      <c r="G176" s="14">
        <f>'WP12 Condensed Sch. Level Costs'!O168</f>
        <v>70</v>
      </c>
      <c r="H176" s="328">
        <f>ROUND('WP12 Condensed Sch. Level Costs'!T168,2)</f>
        <v>0.05</v>
      </c>
      <c r="I176" s="328">
        <f>ROUND('WP12 Condensed Sch. Level Costs'!Y168,2)</f>
        <v>3.82</v>
      </c>
    </row>
    <row r="177" spans="1:9" x14ac:dyDescent="0.2">
      <c r="A177" s="32">
        <f t="shared" si="6"/>
        <v>169</v>
      </c>
      <c r="B177" s="27" t="str">
        <f>'WP12 Condensed Sch. Level Costs'!A169</f>
        <v>58E &amp; 59E</v>
      </c>
      <c r="C177" s="27"/>
      <c r="D177" s="327" t="str">
        <f>'WP12 Condensed Sch. Level Costs'!C169</f>
        <v>Sodium Vapor</v>
      </c>
      <c r="E177" s="41" t="str">
        <f>'WP12 Condensed Sch. Level Costs'!D169</f>
        <v>DSV 250</v>
      </c>
      <c r="F177" s="14">
        <f t="shared" si="7"/>
        <v>350</v>
      </c>
      <c r="G177" s="14">
        <f>'WP12 Condensed Sch. Level Costs'!O169</f>
        <v>87.5</v>
      </c>
      <c r="H177" s="328">
        <f>ROUND('WP12 Condensed Sch. Level Costs'!T169,2)</f>
        <v>0.05</v>
      </c>
      <c r="I177" s="328">
        <f>ROUND('WP12 Condensed Sch. Level Costs'!Y169,2)</f>
        <v>4.7699999999999996</v>
      </c>
    </row>
    <row r="178" spans="1:9" x14ac:dyDescent="0.2">
      <c r="A178" s="32">
        <f t="shared" si="6"/>
        <v>170</v>
      </c>
      <c r="B178" s="27" t="str">
        <f>'WP12 Condensed Sch. Level Costs'!A170</f>
        <v>58E &amp; 59E</v>
      </c>
      <c r="C178" s="27"/>
      <c r="D178" s="327" t="str">
        <f>'WP12 Condensed Sch. Level Costs'!C170</f>
        <v>Sodium Vapor</v>
      </c>
      <c r="E178" s="41" t="str">
        <f>'WP12 Condensed Sch. Level Costs'!D170</f>
        <v>DSV 400</v>
      </c>
      <c r="F178" s="14">
        <f t="shared" si="7"/>
        <v>350</v>
      </c>
      <c r="G178" s="14">
        <f>'WP12 Condensed Sch. Level Costs'!O170</f>
        <v>140</v>
      </c>
      <c r="H178" s="328">
        <f>ROUND('WP12 Condensed Sch. Level Costs'!T170,2)</f>
        <v>0.05</v>
      </c>
      <c r="I178" s="328">
        <f>ROUND('WP12 Condensed Sch. Level Costs'!Y170,2)</f>
        <v>7.64</v>
      </c>
    </row>
    <row r="179" spans="1:9" x14ac:dyDescent="0.2">
      <c r="A179" s="32">
        <f t="shared" si="6"/>
        <v>171</v>
      </c>
      <c r="B179" s="27"/>
      <c r="C179" s="27"/>
      <c r="D179" s="327"/>
      <c r="E179" s="41"/>
      <c r="F179" s="14"/>
      <c r="G179" s="14"/>
      <c r="H179" s="342"/>
      <c r="I179" s="328"/>
    </row>
    <row r="180" spans="1:9" x14ac:dyDescent="0.2">
      <c r="A180" s="32">
        <f t="shared" si="6"/>
        <v>172</v>
      </c>
      <c r="B180" s="27" t="str">
        <f>'WP12 Condensed Sch. Level Costs'!A172</f>
        <v>58E &amp; 59E</v>
      </c>
      <c r="C180" s="27"/>
      <c r="D180" s="327" t="str">
        <f>'WP12 Condensed Sch. Level Costs'!C172</f>
        <v>Sodium Vapor</v>
      </c>
      <c r="E180" s="41" t="str">
        <f>'WP12 Condensed Sch. Level Costs'!D172</f>
        <v>HSV 100</v>
      </c>
      <c r="F180" s="14">
        <f t="shared" si="7"/>
        <v>350</v>
      </c>
      <c r="G180" s="14">
        <f>'WP12 Condensed Sch. Level Costs'!O172</f>
        <v>35</v>
      </c>
      <c r="H180" s="328">
        <f>ROUND('WP12 Condensed Sch. Level Costs'!T172,2)</f>
        <v>0.05</v>
      </c>
      <c r="I180" s="328">
        <f>ROUND('WP12 Condensed Sch. Level Costs'!Y172,2)</f>
        <v>1.91</v>
      </c>
    </row>
    <row r="181" spans="1:9" x14ac:dyDescent="0.2">
      <c r="A181" s="32">
        <f t="shared" si="6"/>
        <v>173</v>
      </c>
      <c r="B181" s="27" t="str">
        <f>'WP12 Condensed Sch. Level Costs'!A173</f>
        <v>58E &amp; 59E</v>
      </c>
      <c r="C181" s="27"/>
      <c r="D181" s="327" t="str">
        <f>'WP12 Condensed Sch. Level Costs'!C173</f>
        <v>Sodium Vapor</v>
      </c>
      <c r="E181" s="41" t="str">
        <f>'WP12 Condensed Sch. Level Costs'!D173</f>
        <v>HSV 150</v>
      </c>
      <c r="F181" s="14">
        <f t="shared" si="7"/>
        <v>350</v>
      </c>
      <c r="G181" s="14">
        <f>'WP12 Condensed Sch. Level Costs'!O173</f>
        <v>52.5</v>
      </c>
      <c r="H181" s="328">
        <f>ROUND('WP12 Condensed Sch. Level Costs'!T173,2)</f>
        <v>0.05</v>
      </c>
      <c r="I181" s="328">
        <f>ROUND('WP12 Condensed Sch. Level Costs'!Y173,2)</f>
        <v>2.86</v>
      </c>
    </row>
    <row r="182" spans="1:9" x14ac:dyDescent="0.2">
      <c r="A182" s="32">
        <f t="shared" si="6"/>
        <v>174</v>
      </c>
      <c r="B182" s="27" t="str">
        <f>'WP12 Condensed Sch. Level Costs'!A174</f>
        <v>58E &amp; 59E</v>
      </c>
      <c r="C182" s="27"/>
      <c r="D182" s="327" t="str">
        <f>'WP12 Condensed Sch. Level Costs'!C174</f>
        <v>Sodium Vapor</v>
      </c>
      <c r="E182" s="41" t="str">
        <f>'WP12 Condensed Sch. Level Costs'!D174</f>
        <v>HSV 200</v>
      </c>
      <c r="F182" s="14">
        <f t="shared" si="7"/>
        <v>350</v>
      </c>
      <c r="G182" s="14">
        <f>'WP12 Condensed Sch. Level Costs'!O174</f>
        <v>70</v>
      </c>
      <c r="H182" s="328">
        <f>ROUND('WP12 Condensed Sch. Level Costs'!T174,2)</f>
        <v>0.05</v>
      </c>
      <c r="I182" s="328">
        <f>ROUND('WP12 Condensed Sch. Level Costs'!Y174,2)</f>
        <v>3.82</v>
      </c>
    </row>
    <row r="183" spans="1:9" x14ac:dyDescent="0.2">
      <c r="A183" s="32">
        <f t="shared" si="6"/>
        <v>175</v>
      </c>
      <c r="B183" s="27" t="str">
        <f>'WP12 Condensed Sch. Level Costs'!A175</f>
        <v>58E &amp; 59E</v>
      </c>
      <c r="C183" s="27"/>
      <c r="D183" s="327" t="str">
        <f>'WP12 Condensed Sch. Level Costs'!C175</f>
        <v>Sodium Vapor</v>
      </c>
      <c r="E183" s="41" t="str">
        <f>'WP12 Condensed Sch. Level Costs'!D175</f>
        <v>HSV 250</v>
      </c>
      <c r="F183" s="14">
        <f t="shared" si="7"/>
        <v>350</v>
      </c>
      <c r="G183" s="14">
        <f>'WP12 Condensed Sch. Level Costs'!O175</f>
        <v>87.5</v>
      </c>
      <c r="H183" s="328">
        <f>ROUND('WP12 Condensed Sch. Level Costs'!T175,2)</f>
        <v>0.05</v>
      </c>
      <c r="I183" s="328">
        <f>ROUND('WP12 Condensed Sch. Level Costs'!Y175,2)</f>
        <v>4.7699999999999996</v>
      </c>
    </row>
    <row r="184" spans="1:9" x14ac:dyDescent="0.2">
      <c r="A184" s="32">
        <f t="shared" si="6"/>
        <v>176</v>
      </c>
      <c r="B184" s="27" t="str">
        <f>'WP12 Condensed Sch. Level Costs'!A176</f>
        <v>58E &amp; 59E</v>
      </c>
      <c r="C184" s="27"/>
      <c r="D184" s="327" t="str">
        <f>'WP12 Condensed Sch. Level Costs'!C176</f>
        <v>Sodium Vapor</v>
      </c>
      <c r="E184" s="41" t="str">
        <f>'WP12 Condensed Sch. Level Costs'!D176</f>
        <v>HSV 400</v>
      </c>
      <c r="F184" s="14">
        <f t="shared" si="7"/>
        <v>350</v>
      </c>
      <c r="G184" s="14">
        <f>'WP12 Condensed Sch. Level Costs'!O176</f>
        <v>140</v>
      </c>
      <c r="H184" s="328">
        <f>ROUND('WP12 Condensed Sch. Level Costs'!T176,2)</f>
        <v>0.05</v>
      </c>
      <c r="I184" s="328">
        <f>ROUND('WP12 Condensed Sch. Level Costs'!Y176,2)</f>
        <v>7.64</v>
      </c>
    </row>
    <row r="185" spans="1:9" x14ac:dyDescent="0.2">
      <c r="A185" s="32">
        <f t="shared" si="6"/>
        <v>177</v>
      </c>
      <c r="B185" s="27"/>
      <c r="C185" s="27"/>
      <c r="D185" s="327"/>
      <c r="E185" s="41"/>
      <c r="F185" s="14"/>
      <c r="G185" s="14"/>
      <c r="H185" s="342"/>
      <c r="I185" s="328"/>
    </row>
    <row r="186" spans="1:9" x14ac:dyDescent="0.2">
      <c r="A186" s="32">
        <f t="shared" si="6"/>
        <v>178</v>
      </c>
      <c r="B186" s="27" t="str">
        <f>'WP12 Condensed Sch. Level Costs'!A178</f>
        <v>58E &amp; 59E</v>
      </c>
      <c r="C186" s="27"/>
      <c r="D186" s="327" t="str">
        <f>'WP12 Condensed Sch. Level Costs'!C178</f>
        <v>Metal Halide</v>
      </c>
      <c r="E186" s="41" t="str">
        <f>'WP12 Condensed Sch. Level Costs'!D178</f>
        <v>DMH 175</v>
      </c>
      <c r="F186" s="14">
        <f t="shared" si="7"/>
        <v>350</v>
      </c>
      <c r="G186" s="14">
        <f>'WP12 Condensed Sch. Level Costs'!O178</f>
        <v>61.25</v>
      </c>
      <c r="H186" s="328">
        <f>ROUND('WP12 Condensed Sch. Level Costs'!T178,2)</f>
        <v>0.05</v>
      </c>
      <c r="I186" s="328">
        <f>ROUND('WP12 Condensed Sch. Level Costs'!Y178,2)</f>
        <v>3.34</v>
      </c>
    </row>
    <row r="187" spans="1:9" x14ac:dyDescent="0.2">
      <c r="A187" s="32">
        <f t="shared" si="6"/>
        <v>179</v>
      </c>
      <c r="B187" s="27" t="str">
        <f>'WP12 Condensed Sch. Level Costs'!A179</f>
        <v>58E &amp; 59E</v>
      </c>
      <c r="C187" s="27"/>
      <c r="D187" s="327" t="str">
        <f>'WP12 Condensed Sch. Level Costs'!C179</f>
        <v>Metal Halide</v>
      </c>
      <c r="E187" s="41" t="str">
        <f>'WP12 Condensed Sch. Level Costs'!D179</f>
        <v>DMH 250</v>
      </c>
      <c r="F187" s="14">
        <f t="shared" si="7"/>
        <v>350</v>
      </c>
      <c r="G187" s="14">
        <f>'WP12 Condensed Sch. Level Costs'!O179</f>
        <v>87.5</v>
      </c>
      <c r="H187" s="328">
        <f>ROUND('WP12 Condensed Sch. Level Costs'!T179,2)</f>
        <v>0.05</v>
      </c>
      <c r="I187" s="328">
        <f>ROUND('WP12 Condensed Sch. Level Costs'!Y179,2)</f>
        <v>4.7699999999999996</v>
      </c>
    </row>
    <row r="188" spans="1:9" x14ac:dyDescent="0.2">
      <c r="A188" s="32">
        <f t="shared" si="6"/>
        <v>180</v>
      </c>
      <c r="B188" s="27" t="str">
        <f>'WP12 Condensed Sch. Level Costs'!A180</f>
        <v>58E &amp; 59E</v>
      </c>
      <c r="C188" s="27"/>
      <c r="D188" s="327" t="str">
        <f>'WP12 Condensed Sch. Level Costs'!C180</f>
        <v>Metal Halide</v>
      </c>
      <c r="E188" s="41" t="str">
        <f>'WP12 Condensed Sch. Level Costs'!D180</f>
        <v>DMH 400</v>
      </c>
      <c r="F188" s="14">
        <f t="shared" si="7"/>
        <v>350</v>
      </c>
      <c r="G188" s="14">
        <f>'WP12 Condensed Sch. Level Costs'!O180</f>
        <v>140</v>
      </c>
      <c r="H188" s="328">
        <f>ROUND('WP12 Condensed Sch. Level Costs'!T180,2)</f>
        <v>0.05</v>
      </c>
      <c r="I188" s="328">
        <f>ROUND('WP12 Condensed Sch. Level Costs'!Y180,2)</f>
        <v>7.64</v>
      </c>
    </row>
    <row r="189" spans="1:9" x14ac:dyDescent="0.2">
      <c r="A189" s="32">
        <f t="shared" si="6"/>
        <v>181</v>
      </c>
      <c r="B189" s="27" t="str">
        <f>'WP12 Condensed Sch. Level Costs'!A181</f>
        <v>58E &amp; 59E</v>
      </c>
      <c r="C189" s="27"/>
      <c r="D189" s="327" t="str">
        <f>'WP12 Condensed Sch. Level Costs'!C181</f>
        <v>Metal Halide</v>
      </c>
      <c r="E189" s="41" t="str">
        <f>'WP12 Condensed Sch. Level Costs'!D181</f>
        <v>DMH 1000</v>
      </c>
      <c r="F189" s="14">
        <f t="shared" si="7"/>
        <v>350</v>
      </c>
      <c r="G189" s="14">
        <f>'WP12 Condensed Sch. Level Costs'!O181</f>
        <v>350</v>
      </c>
      <c r="H189" s="328">
        <f>ROUND('WP12 Condensed Sch. Level Costs'!T181,2)</f>
        <v>0.05</v>
      </c>
      <c r="I189" s="328">
        <f>ROUND('WP12 Condensed Sch. Level Costs'!Y181,2)</f>
        <v>19.09</v>
      </c>
    </row>
    <row r="190" spans="1:9" x14ac:dyDescent="0.2">
      <c r="A190" s="32">
        <f t="shared" si="6"/>
        <v>182</v>
      </c>
      <c r="B190" s="27"/>
      <c r="C190" s="27"/>
      <c r="D190" s="327"/>
      <c r="E190" s="41"/>
      <c r="F190" s="14"/>
      <c r="G190" s="14"/>
      <c r="H190" s="342"/>
      <c r="I190" s="328"/>
    </row>
    <row r="191" spans="1:9" x14ac:dyDescent="0.2">
      <c r="A191" s="32">
        <f t="shared" si="6"/>
        <v>183</v>
      </c>
      <c r="B191" s="27" t="str">
        <f>'WP12 Condensed Sch. Level Costs'!A183</f>
        <v>58E &amp; 59E</v>
      </c>
      <c r="C191" s="27"/>
      <c r="D191" s="327" t="str">
        <f>'WP12 Condensed Sch. Level Costs'!C183</f>
        <v>Metal Halide</v>
      </c>
      <c r="E191" s="41" t="str">
        <f>'WP12 Condensed Sch. Level Costs'!D183</f>
        <v>HMH 250</v>
      </c>
      <c r="F191" s="14">
        <f t="shared" si="7"/>
        <v>350</v>
      </c>
      <c r="G191" s="14">
        <f>'WP12 Condensed Sch. Level Costs'!O183</f>
        <v>87.5</v>
      </c>
      <c r="H191" s="328">
        <f>ROUND('WP12 Condensed Sch. Level Costs'!T183,2)</f>
        <v>0.05</v>
      </c>
      <c r="I191" s="328">
        <f>ROUND('WP12 Condensed Sch. Level Costs'!Y183,2)</f>
        <v>4.7699999999999996</v>
      </c>
    </row>
    <row r="192" spans="1:9" x14ac:dyDescent="0.2">
      <c r="A192" s="32">
        <f t="shared" si="6"/>
        <v>184</v>
      </c>
      <c r="B192" s="27" t="str">
        <f>'WP12 Condensed Sch. Level Costs'!A184</f>
        <v>58E &amp; 59E</v>
      </c>
      <c r="C192" s="27"/>
      <c r="D192" s="327" t="str">
        <f>'WP12 Condensed Sch. Level Costs'!C184</f>
        <v>Metal Halide</v>
      </c>
      <c r="E192" s="41" t="str">
        <f>'WP12 Condensed Sch. Level Costs'!D184</f>
        <v>HMH 400</v>
      </c>
      <c r="F192" s="14">
        <f t="shared" si="7"/>
        <v>350</v>
      </c>
      <c r="G192" s="14">
        <f>'WP12 Condensed Sch. Level Costs'!O184</f>
        <v>140</v>
      </c>
      <c r="H192" s="328">
        <f>ROUND('WP12 Condensed Sch. Level Costs'!T184,2)</f>
        <v>0.05</v>
      </c>
      <c r="I192" s="328">
        <f>ROUND('WP12 Condensed Sch. Level Costs'!Y184,2)</f>
        <v>7.64</v>
      </c>
    </row>
    <row r="193" spans="1:9" x14ac:dyDescent="0.2">
      <c r="A193" s="32">
        <f t="shared" si="6"/>
        <v>185</v>
      </c>
      <c r="B193" s="27"/>
      <c r="C193" s="27"/>
      <c r="D193" s="327"/>
      <c r="E193" s="41"/>
      <c r="F193" s="14"/>
      <c r="G193" s="14"/>
      <c r="H193" s="342"/>
      <c r="I193" s="328"/>
    </row>
    <row r="194" spans="1:9" x14ac:dyDescent="0.2">
      <c r="A194" s="32">
        <f t="shared" si="6"/>
        <v>186</v>
      </c>
      <c r="B194" s="27" t="str">
        <f>'WP12 Condensed Sch. Level Costs'!A186</f>
        <v>58E &amp; 59E</v>
      </c>
      <c r="C194" s="27"/>
      <c r="D194" s="327" t="str">
        <f>'WP12 Condensed Sch. Level Costs'!C186</f>
        <v>Light Emitting Diode</v>
      </c>
      <c r="E194" s="41" t="str">
        <f>'WP12 Condensed Sch. Level Costs'!D186</f>
        <v>LED 0-030</v>
      </c>
      <c r="F194" s="14">
        <f t="shared" si="7"/>
        <v>350</v>
      </c>
      <c r="G194" s="14">
        <f>'WP12 Condensed Sch. Level Costs'!O186</f>
        <v>5.25</v>
      </c>
      <c r="H194" s="328">
        <f>ROUND('WP12 Condensed Sch. Level Costs'!T186,2)</f>
        <v>0.05</v>
      </c>
      <c r="I194" s="328">
        <f>ROUND('WP12 Condensed Sch. Level Costs'!Y186,2)</f>
        <v>0.28999999999999998</v>
      </c>
    </row>
    <row r="195" spans="1:9" x14ac:dyDescent="0.2">
      <c r="A195" s="32">
        <f t="shared" si="6"/>
        <v>187</v>
      </c>
      <c r="B195" s="27" t="str">
        <f>'WP12 Condensed Sch. Level Costs'!A187</f>
        <v>58E &amp; 59E</v>
      </c>
      <c r="C195" s="27"/>
      <c r="D195" s="327" t="str">
        <f>'WP12 Condensed Sch. Level Costs'!C187</f>
        <v>Light Emitting Diode</v>
      </c>
      <c r="E195" s="41" t="str">
        <f>'WP12 Condensed Sch. Level Costs'!D187</f>
        <v>LED 030.01-060</v>
      </c>
      <c r="F195" s="14">
        <f t="shared" si="7"/>
        <v>350</v>
      </c>
      <c r="G195" s="14">
        <f>'WP12 Condensed Sch. Level Costs'!O187</f>
        <v>15.75</v>
      </c>
      <c r="H195" s="328">
        <f>ROUND('WP12 Condensed Sch. Level Costs'!T187,2)</f>
        <v>0.05</v>
      </c>
      <c r="I195" s="328">
        <f>ROUND('WP12 Condensed Sch. Level Costs'!Y187,2)</f>
        <v>0.86</v>
      </c>
    </row>
    <row r="196" spans="1:9" x14ac:dyDescent="0.2">
      <c r="A196" s="32">
        <f t="shared" si="6"/>
        <v>188</v>
      </c>
      <c r="B196" s="27" t="str">
        <f>'WP12 Condensed Sch. Level Costs'!A188</f>
        <v>58E &amp; 59E</v>
      </c>
      <c r="C196" s="27"/>
      <c r="D196" s="327" t="str">
        <f>'WP12 Condensed Sch. Level Costs'!C188</f>
        <v>Light Emitting Diode</v>
      </c>
      <c r="E196" s="41" t="str">
        <f>'WP12 Condensed Sch. Level Costs'!D188</f>
        <v>LED 060.01-090</v>
      </c>
      <c r="F196" s="14">
        <f t="shared" si="7"/>
        <v>350</v>
      </c>
      <c r="G196" s="14">
        <f>'WP12 Condensed Sch. Level Costs'!O188</f>
        <v>26.25</v>
      </c>
      <c r="H196" s="328">
        <f>ROUND('WP12 Condensed Sch. Level Costs'!T188,2)</f>
        <v>0.05</v>
      </c>
      <c r="I196" s="328">
        <f>ROUND('WP12 Condensed Sch. Level Costs'!Y188,2)</f>
        <v>1.43</v>
      </c>
    </row>
    <row r="197" spans="1:9" x14ac:dyDescent="0.2">
      <c r="A197" s="32">
        <f t="shared" si="6"/>
        <v>189</v>
      </c>
      <c r="B197" s="27" t="str">
        <f>'WP12 Condensed Sch. Level Costs'!A189</f>
        <v>58E &amp; 59E</v>
      </c>
      <c r="C197" s="27"/>
      <c r="D197" s="327" t="str">
        <f>'WP12 Condensed Sch. Level Costs'!C189</f>
        <v>Light Emitting Diode</v>
      </c>
      <c r="E197" s="41" t="str">
        <f>'WP12 Condensed Sch. Level Costs'!D189</f>
        <v>LED 090.01-120</v>
      </c>
      <c r="F197" s="14">
        <f t="shared" si="7"/>
        <v>350</v>
      </c>
      <c r="G197" s="14">
        <f>'WP12 Condensed Sch. Level Costs'!O189</f>
        <v>36.75</v>
      </c>
      <c r="H197" s="328">
        <f>ROUND('WP12 Condensed Sch. Level Costs'!T189,2)</f>
        <v>0.05</v>
      </c>
      <c r="I197" s="328">
        <f>ROUND('WP12 Condensed Sch. Level Costs'!Y189,2)</f>
        <v>2</v>
      </c>
    </row>
    <row r="198" spans="1:9" x14ac:dyDescent="0.2">
      <c r="A198" s="32">
        <f t="shared" si="6"/>
        <v>190</v>
      </c>
      <c r="B198" s="27" t="str">
        <f>'WP12 Condensed Sch. Level Costs'!A190</f>
        <v>58E &amp; 59E</v>
      </c>
      <c r="C198" s="27"/>
      <c r="D198" s="327" t="str">
        <f>'WP12 Condensed Sch. Level Costs'!C190</f>
        <v>Light Emitting Diode</v>
      </c>
      <c r="E198" s="41" t="str">
        <f>'WP12 Condensed Sch. Level Costs'!D190</f>
        <v>LED 120.01-150</v>
      </c>
      <c r="F198" s="14">
        <f t="shared" si="7"/>
        <v>350</v>
      </c>
      <c r="G198" s="14">
        <f>'WP12 Condensed Sch. Level Costs'!O190</f>
        <v>47.25</v>
      </c>
      <c r="H198" s="328">
        <f>ROUND('WP12 Condensed Sch. Level Costs'!T190,2)</f>
        <v>0.05</v>
      </c>
      <c r="I198" s="328">
        <f>ROUND('WP12 Condensed Sch. Level Costs'!Y190,2)</f>
        <v>2.58</v>
      </c>
    </row>
    <row r="199" spans="1:9" x14ac:dyDescent="0.2">
      <c r="A199" s="32">
        <f t="shared" si="6"/>
        <v>191</v>
      </c>
      <c r="B199" s="27" t="str">
        <f>'WP12 Condensed Sch. Level Costs'!A191</f>
        <v>58E &amp; 59E</v>
      </c>
      <c r="C199" s="27"/>
      <c r="D199" s="327" t="str">
        <f>'WP12 Condensed Sch. Level Costs'!C191</f>
        <v>Light Emitting Diode</v>
      </c>
      <c r="E199" s="41" t="str">
        <f>'WP12 Condensed Sch. Level Costs'!D191</f>
        <v>LED 150.01-180</v>
      </c>
      <c r="F199" s="14">
        <f t="shared" si="7"/>
        <v>350</v>
      </c>
      <c r="G199" s="14">
        <f>'WP12 Condensed Sch. Level Costs'!O191</f>
        <v>57.75</v>
      </c>
      <c r="H199" s="328">
        <f>ROUND('WP12 Condensed Sch. Level Costs'!T191,2)</f>
        <v>0.05</v>
      </c>
      <c r="I199" s="328">
        <f>ROUND('WP12 Condensed Sch. Level Costs'!Y191,2)</f>
        <v>3.15</v>
      </c>
    </row>
    <row r="200" spans="1:9" x14ac:dyDescent="0.2">
      <c r="A200" s="32">
        <f t="shared" si="6"/>
        <v>192</v>
      </c>
      <c r="B200" s="27" t="str">
        <f>'WP12 Condensed Sch. Level Costs'!A192</f>
        <v>58E &amp; 59E</v>
      </c>
      <c r="C200" s="27"/>
      <c r="D200" s="327" t="str">
        <f>'WP12 Condensed Sch. Level Costs'!C192</f>
        <v>Light Emitting Diode</v>
      </c>
      <c r="E200" s="41" t="str">
        <f>'WP12 Condensed Sch. Level Costs'!D192</f>
        <v>LED 180.01-210</v>
      </c>
      <c r="F200" s="14">
        <f t="shared" si="7"/>
        <v>350</v>
      </c>
      <c r="G200" s="14">
        <f>'WP12 Condensed Sch. Level Costs'!O192</f>
        <v>68.25</v>
      </c>
      <c r="H200" s="328">
        <f>ROUND('WP12 Condensed Sch. Level Costs'!T192,2)</f>
        <v>0.05</v>
      </c>
      <c r="I200" s="328">
        <f>ROUND('WP12 Condensed Sch. Level Costs'!Y192,2)</f>
        <v>3.72</v>
      </c>
    </row>
    <row r="201" spans="1:9" x14ac:dyDescent="0.2">
      <c r="A201" s="32">
        <f t="shared" si="6"/>
        <v>193</v>
      </c>
      <c r="B201" s="27" t="str">
        <f>'WP12 Condensed Sch. Level Costs'!A193</f>
        <v>58E &amp; 59E</v>
      </c>
      <c r="C201" s="27"/>
      <c r="D201" s="327" t="str">
        <f>'WP12 Condensed Sch. Level Costs'!C193</f>
        <v>Light Emitting Diode</v>
      </c>
      <c r="E201" s="41" t="str">
        <f>'WP12 Condensed Sch. Level Costs'!D193</f>
        <v>LED 210.01-240</v>
      </c>
      <c r="F201" s="14">
        <f t="shared" si="7"/>
        <v>350</v>
      </c>
      <c r="G201" s="14">
        <f>'WP12 Condensed Sch. Level Costs'!O193</f>
        <v>78.75</v>
      </c>
      <c r="H201" s="328">
        <f>ROUND('WP12 Condensed Sch. Level Costs'!T193,2)</f>
        <v>0.05</v>
      </c>
      <c r="I201" s="328">
        <f>ROUND('WP12 Condensed Sch. Level Costs'!Y193,2)</f>
        <v>4.3</v>
      </c>
    </row>
    <row r="202" spans="1:9" x14ac:dyDescent="0.2">
      <c r="A202" s="32">
        <f t="shared" si="6"/>
        <v>194</v>
      </c>
      <c r="B202" s="27" t="str">
        <f>'WP12 Condensed Sch. Level Costs'!A194</f>
        <v>58E &amp; 59E</v>
      </c>
      <c r="C202" s="27"/>
      <c r="D202" s="327" t="str">
        <f>'WP12 Condensed Sch. Level Costs'!C194</f>
        <v>Light Emitting Diode</v>
      </c>
      <c r="E202" s="41" t="str">
        <f>'WP12 Condensed Sch. Level Costs'!D194</f>
        <v>LED 240.01-270</v>
      </c>
      <c r="F202" s="14">
        <f t="shared" si="7"/>
        <v>350</v>
      </c>
      <c r="G202" s="14">
        <f>'WP12 Condensed Sch. Level Costs'!O194</f>
        <v>89.25</v>
      </c>
      <c r="H202" s="328">
        <f>ROUND('WP12 Condensed Sch. Level Costs'!T194,2)</f>
        <v>0.05</v>
      </c>
      <c r="I202" s="328">
        <f>ROUND('WP12 Condensed Sch. Level Costs'!Y194,2)</f>
        <v>4.87</v>
      </c>
    </row>
    <row r="203" spans="1:9" x14ac:dyDescent="0.2">
      <c r="A203" s="32">
        <f t="shared" si="6"/>
        <v>195</v>
      </c>
      <c r="B203" s="27" t="str">
        <f>'WP12 Condensed Sch. Level Costs'!A195</f>
        <v>58E &amp; 59E</v>
      </c>
      <c r="C203" s="27"/>
      <c r="D203" s="327" t="str">
        <f>'WP12 Condensed Sch. Level Costs'!C195</f>
        <v>Light Emitting Diode</v>
      </c>
      <c r="E203" s="41" t="str">
        <f>'WP12 Condensed Sch. Level Costs'!D195</f>
        <v>LED 270.01-300</v>
      </c>
      <c r="F203" s="14">
        <f t="shared" si="7"/>
        <v>350</v>
      </c>
      <c r="G203" s="14">
        <f>'WP12 Condensed Sch. Level Costs'!O195</f>
        <v>99.75</v>
      </c>
      <c r="H203" s="328">
        <f>ROUND('WP12 Condensed Sch. Level Costs'!T195,2)</f>
        <v>0.05</v>
      </c>
      <c r="I203" s="328">
        <f>ROUND('WP12 Condensed Sch. Level Costs'!Y195,2)</f>
        <v>5.44</v>
      </c>
    </row>
    <row r="204" spans="1:9" x14ac:dyDescent="0.2">
      <c r="A204" s="32">
        <f t="shared" si="6"/>
        <v>196</v>
      </c>
      <c r="B204" s="27" t="str">
        <f>'WP12 Condensed Sch. Level Costs'!A196</f>
        <v>58E &amp; 59E</v>
      </c>
      <c r="C204" s="27"/>
      <c r="D204" s="327" t="str">
        <f>'WP12 Condensed Sch. Level Costs'!C196</f>
        <v>Light Emitting Diode</v>
      </c>
      <c r="E204" s="41" t="str">
        <f>'WP12 Condensed Sch. Level Costs'!D196</f>
        <v>LED 300.01-400</v>
      </c>
      <c r="F204" s="14">
        <f t="shared" si="7"/>
        <v>350</v>
      </c>
      <c r="G204" s="14">
        <f>'WP12 Condensed Sch. Level Costs'!O196</f>
        <v>122.5</v>
      </c>
      <c r="H204" s="328">
        <f>ROUND('WP12 Condensed Sch. Level Costs'!T196,2)</f>
        <v>0.05</v>
      </c>
      <c r="I204" s="328">
        <f>ROUND('WP12 Condensed Sch. Level Costs'!Y196,2)</f>
        <v>6.68</v>
      </c>
    </row>
    <row r="205" spans="1:9" x14ac:dyDescent="0.2">
      <c r="A205" s="32">
        <f t="shared" si="6"/>
        <v>197</v>
      </c>
      <c r="B205" s="27" t="str">
        <f>'WP12 Condensed Sch. Level Costs'!A197</f>
        <v>58E &amp; 59E</v>
      </c>
      <c r="C205" s="27"/>
      <c r="D205" s="327" t="str">
        <f>'WP12 Condensed Sch. Level Costs'!C197</f>
        <v>Light Emitting Diode</v>
      </c>
      <c r="E205" s="41" t="str">
        <f>'WP12 Condensed Sch. Level Costs'!D197</f>
        <v>LED 400.01-500</v>
      </c>
      <c r="F205" s="14">
        <f t="shared" si="7"/>
        <v>350</v>
      </c>
      <c r="G205" s="14">
        <f>'WP12 Condensed Sch. Level Costs'!O197</f>
        <v>157.5</v>
      </c>
      <c r="H205" s="328">
        <f>ROUND('WP12 Condensed Sch. Level Costs'!T197,2)</f>
        <v>0.05</v>
      </c>
      <c r="I205" s="328">
        <f>ROUND('WP12 Condensed Sch. Level Costs'!Y197,2)</f>
        <v>8.59</v>
      </c>
    </row>
    <row r="206" spans="1:9" x14ac:dyDescent="0.2">
      <c r="A206" s="32">
        <f t="shared" si="6"/>
        <v>198</v>
      </c>
      <c r="B206" s="27" t="str">
        <f>'WP12 Condensed Sch. Level Costs'!A198</f>
        <v>58E &amp; 59E</v>
      </c>
      <c r="C206" s="27"/>
      <c r="D206" s="327" t="str">
        <f>'WP12 Condensed Sch. Level Costs'!C198</f>
        <v>Light Emitting Diode</v>
      </c>
      <c r="E206" s="41" t="str">
        <f>'WP12 Condensed Sch. Level Costs'!D198</f>
        <v>LED 500.01-600</v>
      </c>
      <c r="F206" s="14">
        <f t="shared" si="7"/>
        <v>350</v>
      </c>
      <c r="G206" s="14">
        <f>'WP12 Condensed Sch. Level Costs'!O198</f>
        <v>192.5</v>
      </c>
      <c r="H206" s="328">
        <f>ROUND('WP12 Condensed Sch. Level Costs'!T198,2)</f>
        <v>0.05</v>
      </c>
      <c r="I206" s="328">
        <f>ROUND('WP12 Condensed Sch. Level Costs'!Y198,2)</f>
        <v>10.5</v>
      </c>
    </row>
    <row r="207" spans="1:9" x14ac:dyDescent="0.2">
      <c r="A207" s="32">
        <f t="shared" si="6"/>
        <v>199</v>
      </c>
      <c r="B207" s="27" t="str">
        <f>'WP12 Condensed Sch. Level Costs'!A199</f>
        <v>58E &amp; 59E</v>
      </c>
      <c r="C207" s="27"/>
      <c r="D207" s="327" t="str">
        <f>'WP12 Condensed Sch. Level Costs'!C199</f>
        <v>Light Emitting Diode</v>
      </c>
      <c r="E207" s="41" t="str">
        <f>'WP12 Condensed Sch. Level Costs'!D199</f>
        <v>LED 600.01-700</v>
      </c>
      <c r="F207" s="14">
        <f t="shared" si="7"/>
        <v>350</v>
      </c>
      <c r="G207" s="14">
        <f>'WP12 Condensed Sch. Level Costs'!O199</f>
        <v>227.5</v>
      </c>
      <c r="H207" s="328">
        <f>ROUND('WP12 Condensed Sch. Level Costs'!T199,2)</f>
        <v>0.05</v>
      </c>
      <c r="I207" s="328">
        <f>ROUND('WP12 Condensed Sch. Level Costs'!Y199,2)</f>
        <v>12.41</v>
      </c>
    </row>
    <row r="208" spans="1:9" x14ac:dyDescent="0.2">
      <c r="A208" s="32">
        <f t="shared" si="6"/>
        <v>200</v>
      </c>
      <c r="B208" s="27" t="str">
        <f>'WP12 Condensed Sch. Level Costs'!A200</f>
        <v>58E &amp; 59E</v>
      </c>
      <c r="C208" s="27"/>
      <c r="D208" s="327" t="str">
        <f>'WP12 Condensed Sch. Level Costs'!C200</f>
        <v>Light Emitting Diode</v>
      </c>
      <c r="E208" s="41" t="str">
        <f>'WP12 Condensed Sch. Level Costs'!D200</f>
        <v>LED 700.01-800</v>
      </c>
      <c r="F208" s="14">
        <f t="shared" si="7"/>
        <v>350</v>
      </c>
      <c r="G208" s="14">
        <f>'WP12 Condensed Sch. Level Costs'!O200</f>
        <v>262.5</v>
      </c>
      <c r="H208" s="328">
        <f>ROUND('WP12 Condensed Sch. Level Costs'!T200,2)</f>
        <v>0.05</v>
      </c>
      <c r="I208" s="328">
        <f>ROUND('WP12 Condensed Sch. Level Costs'!Y200,2)</f>
        <v>14.32</v>
      </c>
    </row>
    <row r="209" spans="1:11" x14ac:dyDescent="0.2">
      <c r="A209" s="32">
        <f t="shared" si="6"/>
        <v>201</v>
      </c>
      <c r="B209" s="27" t="str">
        <f>'WP12 Condensed Sch. Level Costs'!A201</f>
        <v>58E &amp; 59E</v>
      </c>
      <c r="C209" s="27"/>
      <c r="D209" s="327" t="str">
        <f>'WP12 Condensed Sch. Level Costs'!C201</f>
        <v>Light Emitting Diode</v>
      </c>
      <c r="E209" s="41" t="str">
        <f>'WP12 Condensed Sch. Level Costs'!D201</f>
        <v>LED 800.01-900</v>
      </c>
      <c r="F209" s="14">
        <f t="shared" si="7"/>
        <v>350</v>
      </c>
      <c r="G209" s="14">
        <f>'WP12 Condensed Sch. Level Costs'!O201</f>
        <v>297.5</v>
      </c>
      <c r="H209" s="328">
        <f>ROUND('WP12 Condensed Sch. Level Costs'!T201,2)</f>
        <v>0.05</v>
      </c>
      <c r="I209" s="328">
        <f>ROUND('WP12 Condensed Sch. Level Costs'!Y201,2)</f>
        <v>16.23</v>
      </c>
    </row>
    <row r="210" spans="1:11" x14ac:dyDescent="0.2">
      <c r="A210" s="32">
        <f t="shared" si="6"/>
        <v>202</v>
      </c>
      <c r="B210" s="27"/>
      <c r="C210" s="27"/>
      <c r="D210" s="327"/>
      <c r="E210" s="41"/>
      <c r="F210" s="14"/>
      <c r="G210" s="14"/>
      <c r="H210" s="342"/>
      <c r="I210" s="328"/>
    </row>
    <row r="211" spans="1:11" x14ac:dyDescent="0.2">
      <c r="A211" s="32">
        <f t="shared" si="6"/>
        <v>203</v>
      </c>
      <c r="B211" s="27" t="str">
        <f>'WP12 Condensed Sch. Level Costs'!A202</f>
        <v>Sch 57</v>
      </c>
      <c r="C211" s="27"/>
      <c r="D211" s="327"/>
      <c r="E211" s="41"/>
      <c r="F211" s="14"/>
      <c r="G211" s="14"/>
      <c r="H211" s="342"/>
      <c r="I211" s="328"/>
    </row>
    <row r="212" spans="1:11" x14ac:dyDescent="0.2">
      <c r="A212" s="32">
        <f t="shared" si="6"/>
        <v>204</v>
      </c>
      <c r="B212" s="27" t="str">
        <f>'WP12 Condensed Sch. Level Costs'!A203</f>
        <v>57E</v>
      </c>
      <c r="C212" s="27"/>
      <c r="D212" s="327" t="str">
        <f>'WP12 Condensed Sch. Level Costs'!C203</f>
        <v>Per W charge</v>
      </c>
      <c r="E212" s="341">
        <f>'WP12 Condensed Sch. Level Costs'!E203</f>
        <v>935514.08333333337</v>
      </c>
      <c r="F212" s="14">
        <f>8760/12</f>
        <v>730</v>
      </c>
      <c r="G212" s="282">
        <f>'WP12 Condensed Sch. Level Costs'!O203</f>
        <v>682925.28083333338</v>
      </c>
      <c r="H212" s="328">
        <f>ROUND('WP12 Condensed Sch. Level Costs'!T203,2)</f>
        <v>0.05</v>
      </c>
      <c r="I212" s="328">
        <f>ROUND('WP12 Condensed Sch. Level Costs'!Y203,2)</f>
        <v>37257.5</v>
      </c>
    </row>
    <row r="213" spans="1:11" x14ac:dyDescent="0.2">
      <c r="A213" s="32">
        <f t="shared" si="6"/>
        <v>205</v>
      </c>
      <c r="B213" s="27"/>
      <c r="C213" s="27"/>
      <c r="D213" s="327"/>
      <c r="E213" s="41"/>
      <c r="F213" s="14"/>
      <c r="G213" s="14"/>
      <c r="H213" s="342"/>
      <c r="I213" s="328"/>
    </row>
    <row r="214" spans="1:11" x14ac:dyDescent="0.2">
      <c r="A214" s="32">
        <f t="shared" si="6"/>
        <v>206</v>
      </c>
      <c r="B214" s="27" t="str">
        <f>'WP12 Condensed Sch. Level Costs'!A205</f>
        <v>55 &amp; 56</v>
      </c>
      <c r="C214" s="27"/>
      <c r="D214" s="327" t="str">
        <f>'WP12 Condensed Sch. Level Costs'!C205</f>
        <v>Pole</v>
      </c>
      <c r="E214" s="41" t="str">
        <f>'WP12 Condensed Sch. Level Costs'!D205</f>
        <v>Old</v>
      </c>
      <c r="F214" s="14">
        <f t="shared" si="7"/>
        <v>350</v>
      </c>
      <c r="G214" s="14">
        <f>'WP12 Condensed Sch. Level Costs'!O205</f>
        <v>0</v>
      </c>
      <c r="H214" s="328">
        <f>ROUND('WP12 Condensed Sch. Level Costs'!T205,2)</f>
        <v>0.05</v>
      </c>
      <c r="I214" s="328">
        <f>ROUND('WP12 Condensed Sch. Level Costs'!Y205,2)</f>
        <v>0</v>
      </c>
    </row>
    <row r="215" spans="1:11" x14ac:dyDescent="0.2">
      <c r="A215" s="32">
        <f t="shared" si="6"/>
        <v>207</v>
      </c>
      <c r="B215" s="27" t="str">
        <f>'WP12 Condensed Sch. Level Costs'!A206</f>
        <v>55 &amp; 56</v>
      </c>
      <c r="C215" s="27"/>
      <c r="D215" s="327" t="str">
        <f>'WP12 Condensed Sch. Level Costs'!C206</f>
        <v>Pole</v>
      </c>
      <c r="E215" s="41" t="str">
        <f>'WP12 Condensed Sch. Level Costs'!D206</f>
        <v>New</v>
      </c>
      <c r="F215" s="14">
        <f t="shared" si="7"/>
        <v>350</v>
      </c>
      <c r="G215" s="14">
        <f>'WP12 Condensed Sch. Level Costs'!O206</f>
        <v>0</v>
      </c>
      <c r="H215" s="328">
        <f>ROUND('WP12 Condensed Sch. Level Costs'!T206,2)</f>
        <v>0.05</v>
      </c>
      <c r="I215" s="328">
        <f>ROUND('WP12 Condensed Sch. Level Costs'!Y206,2)</f>
        <v>0</v>
      </c>
    </row>
    <row r="216" spans="1:11" x14ac:dyDescent="0.2">
      <c r="A216" s="32">
        <f t="shared" si="6"/>
        <v>208</v>
      </c>
      <c r="B216" s="27"/>
      <c r="C216" s="27"/>
      <c r="D216" s="327"/>
      <c r="E216" s="41"/>
      <c r="F216" s="14"/>
      <c r="G216" s="14"/>
      <c r="H216" s="342"/>
      <c r="I216" s="328"/>
    </row>
    <row r="217" spans="1:11" x14ac:dyDescent="0.2">
      <c r="A217" s="32">
        <f t="shared" si="6"/>
        <v>209</v>
      </c>
      <c r="B217" s="27" t="str">
        <f>'WP12 Condensed Sch. Level Costs'!A208</f>
        <v>58 &amp; 59</v>
      </c>
      <c r="C217" s="27"/>
      <c r="D217" s="327" t="str">
        <f>'WP12 Condensed Sch. Level Costs'!C208</f>
        <v>Pole</v>
      </c>
      <c r="E217" s="41" t="str">
        <f>'WP12 Condensed Sch. Level Costs'!D208</f>
        <v>New</v>
      </c>
      <c r="F217" s="14">
        <f t="shared" si="7"/>
        <v>350</v>
      </c>
      <c r="G217" s="14">
        <f>'WP12 Condensed Sch. Level Costs'!O208</f>
        <v>0</v>
      </c>
      <c r="H217" s="328">
        <f>ROUND('WP12 Condensed Sch. Level Costs'!T208,2)</f>
        <v>0.05</v>
      </c>
      <c r="I217" s="328">
        <f>ROUND('WP12 Condensed Sch. Level Costs'!Y208,2)</f>
        <v>0</v>
      </c>
    </row>
    <row r="218" spans="1:11" x14ac:dyDescent="0.2">
      <c r="B218" s="27"/>
      <c r="C218" s="27"/>
      <c r="D218" s="327"/>
      <c r="E218" s="41"/>
      <c r="F218" s="14"/>
      <c r="G218" s="14"/>
      <c r="H218" s="342"/>
      <c r="I218" s="342"/>
      <c r="J218" s="70"/>
      <c r="K218" s="70"/>
    </row>
    <row r="219" spans="1:11" x14ac:dyDescent="0.2">
      <c r="B219" s="27"/>
      <c r="C219" s="27"/>
      <c r="D219" s="327"/>
      <c r="E219" s="41"/>
      <c r="F219" s="14"/>
      <c r="G219" s="14"/>
      <c r="H219" s="342"/>
      <c r="I219" s="342"/>
    </row>
    <row r="220" spans="1:11" x14ac:dyDescent="0.2">
      <c r="B220" s="27"/>
      <c r="C220" s="27"/>
      <c r="D220" s="327"/>
      <c r="E220" s="41"/>
      <c r="F220" s="14"/>
      <c r="G220" s="14"/>
      <c r="H220" s="342"/>
      <c r="I220" s="342"/>
    </row>
    <row r="221" spans="1:11" x14ac:dyDescent="0.2">
      <c r="B221" s="27"/>
      <c r="C221" s="27"/>
      <c r="D221" s="327"/>
      <c r="E221" s="41"/>
      <c r="F221" s="14"/>
      <c r="G221" s="14"/>
      <c r="H221" s="342"/>
      <c r="I221" s="342"/>
    </row>
    <row r="222" spans="1:11" x14ac:dyDescent="0.2">
      <c r="B222" s="27"/>
      <c r="C222" s="27"/>
      <c r="D222" s="327"/>
      <c r="E222" s="41"/>
      <c r="F222" s="14"/>
      <c r="G222" s="14"/>
      <c r="H222" s="342"/>
      <c r="I222" s="342"/>
    </row>
    <row r="223" spans="1:11" x14ac:dyDescent="0.2">
      <c r="B223" s="27"/>
      <c r="C223" s="27"/>
      <c r="D223" s="327"/>
      <c r="E223" s="41"/>
      <c r="F223" s="14"/>
      <c r="G223" s="14"/>
      <c r="H223" s="342"/>
      <c r="I223" s="342"/>
    </row>
    <row r="224" spans="1:11" x14ac:dyDescent="0.2">
      <c r="B224" s="27"/>
      <c r="C224" s="27"/>
      <c r="D224" s="327"/>
      <c r="E224" s="41"/>
      <c r="F224" s="14"/>
      <c r="G224" s="14"/>
      <c r="H224" s="342"/>
      <c r="I224" s="342"/>
    </row>
    <row r="225" spans="2:6" x14ac:dyDescent="0.2">
      <c r="F225" s="2"/>
    </row>
    <row r="226" spans="2:6" x14ac:dyDescent="0.2">
      <c r="B226" s="20"/>
      <c r="C226" s="20"/>
    </row>
    <row r="228" spans="2:6" x14ac:dyDescent="0.2">
      <c r="B228" s="20"/>
      <c r="C228" s="20"/>
    </row>
    <row r="229" spans="2:6" x14ac:dyDescent="0.2">
      <c r="B229" s="20"/>
      <c r="C229" s="2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"/>
  <sheetViews>
    <sheetView workbookViewId="0">
      <selection activeCell="N31" sqref="N31"/>
    </sheetView>
  </sheetViews>
  <sheetFormatPr defaultRowHeight="14.4" x14ac:dyDescent="0.3"/>
  <sheetData>
    <row r="29" spans="2:2" x14ac:dyDescent="0.3">
      <c r="B29" s="50"/>
    </row>
  </sheetData>
  <pageMargins left="0.7" right="0.7" top="0.75" bottom="0.75" header="0.3" footer="0.3"/>
  <customProperties>
    <customPr name="_pios_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A42"/>
  <sheetViews>
    <sheetView topLeftCell="H1" zoomScaleNormal="100" workbookViewId="0">
      <selection activeCell="Y27" sqref="Y27"/>
    </sheetView>
  </sheetViews>
  <sheetFormatPr defaultColWidth="10" defaultRowHeight="10.199999999999999" x14ac:dyDescent="0.2"/>
  <cols>
    <col min="1" max="1" width="7.6640625" style="113" customWidth="1"/>
    <col min="2" max="2" width="30.44140625" style="113" customWidth="1"/>
    <col min="3" max="3" width="12.88671875" style="113" bestFit="1" customWidth="1"/>
    <col min="4" max="5" width="9.88671875" style="113" bestFit="1" customWidth="1"/>
    <col min="6" max="6" width="15.44140625" style="113" bestFit="1" customWidth="1"/>
    <col min="7" max="7" width="11.6640625" style="113" customWidth="1"/>
    <col min="8" max="8" width="8" style="113" bestFit="1" customWidth="1"/>
    <col min="9" max="9" width="10.88671875" style="113" bestFit="1" customWidth="1"/>
    <col min="10" max="10" width="8.88671875" style="113" bestFit="1" customWidth="1"/>
    <col min="11" max="11" width="10.44140625" style="113" bestFit="1" customWidth="1"/>
    <col min="12" max="12" width="0.6640625" style="113" customWidth="1"/>
    <col min="13" max="13" width="13" style="113" bestFit="1" customWidth="1"/>
    <col min="14" max="14" width="11.44140625" style="113" bestFit="1" customWidth="1"/>
    <col min="15" max="15" width="10.88671875" style="113" bestFit="1" customWidth="1"/>
    <col min="16" max="16" width="0.6640625" style="113" customWidth="1"/>
    <col min="17" max="17" width="9" style="113" customWidth="1"/>
    <col min="18" max="18" width="0.6640625" style="113" customWidth="1"/>
    <col min="19" max="19" width="10.44140625" style="113" bestFit="1" customWidth="1"/>
    <col min="20" max="20" width="8.6640625" style="113" customWidth="1"/>
    <col min="21" max="21" width="12.109375" style="113" bestFit="1" customWidth="1"/>
    <col min="22" max="22" width="11.6640625" style="113" bestFit="1" customWidth="1"/>
    <col min="23" max="23" width="11.5546875" style="113" bestFit="1" customWidth="1"/>
    <col min="24" max="24" width="0.6640625" style="113" customWidth="1"/>
    <col min="25" max="25" width="11.6640625" style="113" bestFit="1" customWidth="1"/>
    <col min="26" max="26" width="12.109375" style="113" bestFit="1" customWidth="1"/>
    <col min="27" max="27" width="11.5546875" style="113" bestFit="1" customWidth="1"/>
    <col min="28" max="16384" width="10" style="113"/>
  </cols>
  <sheetData>
    <row r="1" spans="1:27" ht="14.4" x14ac:dyDescent="0.3">
      <c r="A1" s="780" t="str">
        <f>'BDJ-6 Base Revenue (Summary)'!A1:I1</f>
        <v>Puget Sound Energy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</row>
    <row r="2" spans="1:27" ht="11.25" customHeight="1" x14ac:dyDescent="0.3">
      <c r="A2" s="780" t="str">
        <f>'BDJ-6 Base Revenue (Summary)'!A4:I4</f>
        <v>2022 General Rate Case (GRC)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</row>
    <row r="3" spans="1:27" ht="11.25" customHeight="1" x14ac:dyDescent="0.3">
      <c r="A3" s="780" t="s">
        <v>417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</row>
    <row r="4" spans="1:27" ht="11.25" customHeight="1" x14ac:dyDescent="0.3">
      <c r="A4" s="780" t="str">
        <f>'BDJ-6 Base Revenue (Summary)'!A5:I5</f>
        <v>Test Year Ending June 30, 2021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</row>
    <row r="5" spans="1:27" ht="15" customHeight="1" x14ac:dyDescent="0.2">
      <c r="B5" s="140"/>
      <c r="C5" s="140"/>
      <c r="D5" s="140"/>
      <c r="E5" s="140"/>
      <c r="F5" s="140"/>
      <c r="G5" s="140"/>
      <c r="H5" s="140"/>
      <c r="I5" s="140"/>
      <c r="J5" s="140"/>
      <c r="K5" s="140"/>
      <c r="U5" s="778" t="s">
        <v>695</v>
      </c>
      <c r="V5" s="779"/>
      <c r="W5" s="779"/>
      <c r="Y5" s="765" t="s">
        <v>696</v>
      </c>
      <c r="Z5" s="776"/>
      <c r="AA5" s="777"/>
    </row>
    <row r="6" spans="1:27" ht="51" x14ac:dyDescent="0.2">
      <c r="A6" s="139" t="s">
        <v>1</v>
      </c>
      <c r="B6" s="139" t="s">
        <v>418</v>
      </c>
      <c r="C6" s="139" t="s">
        <v>53</v>
      </c>
      <c r="D6" s="138" t="s">
        <v>419</v>
      </c>
      <c r="E6" s="138" t="s">
        <v>1073</v>
      </c>
      <c r="F6" s="138" t="str">
        <f>'[1]Exhibit No.__(BDJ-Rate Spread)'!F5</f>
        <v>Proposed Base
Change
Effective
January 2023
($)</v>
      </c>
      <c r="G6" s="138" t="s">
        <v>512</v>
      </c>
      <c r="H6" s="138" t="s">
        <v>513</v>
      </c>
      <c r="I6" s="138" t="s">
        <v>420</v>
      </c>
      <c r="J6" s="138" t="s">
        <v>421</v>
      </c>
      <c r="K6" s="138" t="s">
        <v>422</v>
      </c>
      <c r="M6" s="367" t="s">
        <v>450</v>
      </c>
      <c r="N6" s="367" t="s">
        <v>956</v>
      </c>
      <c r="O6" s="367" t="s">
        <v>451</v>
      </c>
      <c r="Q6" s="138" t="str">
        <f>'[1]Exhibit No.__(BDJ-Rate Spread)'!O5</f>
        <v>ECOS Parity Ratio</v>
      </c>
      <c r="S6" s="138" t="str">
        <f>'[1]Exhibit No.__(BDJ-Rate Spread)'!Q5</f>
        <v>ECOS
Ratebase
(Note 1)</v>
      </c>
      <c r="T6" s="138" t="str">
        <f>'[1]Exhibit No.__(BDJ-Rate Spread)'!R5</f>
        <v>ECOS Ratebase (Note 1) %</v>
      </c>
      <c r="U6" s="138" t="str">
        <f>'[1]Exhibit No.__(BDJ-Rate Spread)'!S5</f>
        <v>MYRP 2023 Increase</v>
      </c>
      <c r="V6" s="138" t="str">
        <f>'[1]Exhibit No.__(BDJ-Rate Spread)'!T5</f>
        <v>MYRP 2024 Increase</v>
      </c>
      <c r="W6" s="138" t="str">
        <f>'[1]Exhibit No.__(BDJ-Rate Spread)'!U5</f>
        <v>MYRP 2025 Increase</v>
      </c>
      <c r="Y6" s="138" t="str">
        <f>'[1]Exhibit No.__(BDJ-Rate Spread)'!W5</f>
        <v>MYRP 2023 Increase</v>
      </c>
      <c r="Z6" s="138" t="str">
        <f>'[1]Exhibit No.__(BDJ-Rate Spread)'!X5</f>
        <v>MYRP 2024 Increase</v>
      </c>
      <c r="AA6" s="138" t="str">
        <f>'[1]Exhibit No.__(BDJ-Rate Spread)'!Y5</f>
        <v>MYRP 2025 Increase</v>
      </c>
    </row>
    <row r="7" spans="1:27" x14ac:dyDescent="0.2">
      <c r="A7" s="134"/>
      <c r="B7" s="136"/>
      <c r="C7" s="135"/>
      <c r="D7" s="135" t="s">
        <v>208</v>
      </c>
      <c r="E7" s="135" t="s">
        <v>423</v>
      </c>
      <c r="F7" s="134" t="s">
        <v>209</v>
      </c>
      <c r="G7" s="135" t="s">
        <v>210</v>
      </c>
      <c r="H7" s="134" t="s">
        <v>424</v>
      </c>
      <c r="I7" s="134" t="s">
        <v>108</v>
      </c>
      <c r="J7" s="137" t="s">
        <v>425</v>
      </c>
      <c r="K7" s="137" t="s">
        <v>426</v>
      </c>
    </row>
    <row r="8" spans="1:27" x14ac:dyDescent="0.2">
      <c r="A8" s="134"/>
      <c r="B8" s="136"/>
      <c r="C8" s="135"/>
      <c r="D8" s="135"/>
      <c r="E8" s="135"/>
      <c r="F8" s="134"/>
      <c r="G8" s="135"/>
      <c r="H8" s="134"/>
      <c r="I8" s="134"/>
      <c r="J8" s="134"/>
      <c r="K8" s="134"/>
    </row>
    <row r="9" spans="1:27" x14ac:dyDescent="0.2">
      <c r="A9" s="115">
        <v>1</v>
      </c>
      <c r="B9" s="131" t="s">
        <v>427</v>
      </c>
      <c r="C9" s="128">
        <v>7</v>
      </c>
      <c r="D9" s="368">
        <f>'[1]Exhibit No.__(BDJ-Rate Spread)'!D8</f>
        <v>11355354.571603522</v>
      </c>
      <c r="E9" s="266">
        <f>'[1]Exhibit No.__(BDJ-Rate Spread)'!E8</f>
        <v>1231055.182</v>
      </c>
      <c r="F9" s="117"/>
      <c r="G9" s="4">
        <f>E9/(E$33-E$31-$E$25)</f>
        <v>0.58575177186179395</v>
      </c>
      <c r="H9" s="369">
        <f>'[1]Exhibit No.__(BDJ-Rate Spread)'!H8</f>
        <v>1</v>
      </c>
      <c r="I9" s="518">
        <f>+$I$39*H9</f>
        <v>-1.925194309837586E-2</v>
      </c>
      <c r="J9" s="266">
        <f>+E9*I9</f>
        <v>-23700.204314824739</v>
      </c>
      <c r="K9" s="266">
        <f>+E9+J9</f>
        <v>1207354.9776851754</v>
      </c>
      <c r="Q9" s="639">
        <f>'[1]Exhibit No.__(BDJ-Rate Spread)'!O8</f>
        <v>0.99</v>
      </c>
      <c r="R9" s="177"/>
      <c r="S9" s="266">
        <f>'[1]Exhibit No.__(BDJ-Rate Spread)'!Q8</f>
        <v>3193663.6951851835</v>
      </c>
      <c r="T9" s="518">
        <f>'[1]Exhibit No.__(BDJ-Rate Spread)'!R8</f>
        <v>0.60120247304236629</v>
      </c>
      <c r="U9" s="266">
        <f>'[1]Exhibit No.__(BDJ-Rate Spread)'!S8</f>
        <v>138878.87931888</v>
      </c>
      <c r="V9" s="266">
        <f>'[1]Exhibit No.__(BDJ-Rate Spread)'!T8</f>
        <v>94358.163785459823</v>
      </c>
      <c r="W9" s="266">
        <f>'[1]Exhibit No.__(BDJ-Rate Spread)'!U8</f>
        <v>0</v>
      </c>
      <c r="X9" s="177"/>
      <c r="Y9" s="266">
        <f>'[1]Exhibit No.__(BDJ-Rate Spread)'!W8</f>
        <v>25961.523441204605</v>
      </c>
      <c r="Z9" s="266">
        <f>'[1]Exhibit No.__(BDJ-Rate Spread)'!X8</f>
        <v>89676.632544441381</v>
      </c>
      <c r="AA9" s="3">
        <f>'[1]Exhibit No.__(BDJ-Rate Spread)'!Y8</f>
        <v>0</v>
      </c>
    </row>
    <row r="10" spans="1:27" x14ac:dyDescent="0.2">
      <c r="A10" s="115">
        <v>2</v>
      </c>
      <c r="B10" s="117"/>
      <c r="C10" s="128"/>
      <c r="D10" s="5"/>
      <c r="E10" s="106"/>
      <c r="F10" s="117"/>
      <c r="G10" s="7"/>
      <c r="H10" s="117"/>
      <c r="I10" s="177"/>
      <c r="J10" s="295"/>
      <c r="K10" s="295"/>
      <c r="Q10" s="639"/>
      <c r="R10" s="177"/>
      <c r="S10" s="295"/>
      <c r="T10" s="177"/>
      <c r="U10" s="295"/>
      <c r="V10" s="295"/>
      <c r="W10" s="295"/>
      <c r="X10" s="177"/>
      <c r="Y10" s="295"/>
      <c r="Z10" s="295"/>
      <c r="AA10" s="6"/>
    </row>
    <row r="11" spans="1:27" x14ac:dyDescent="0.2">
      <c r="A11" s="115">
        <v>3</v>
      </c>
      <c r="B11" s="117" t="s">
        <v>428</v>
      </c>
      <c r="C11" s="128"/>
      <c r="D11" s="5"/>
      <c r="E11" s="106"/>
      <c r="F11" s="117"/>
      <c r="G11" s="7"/>
      <c r="H11" s="117"/>
      <c r="I11" s="177"/>
      <c r="J11" s="295"/>
      <c r="K11" s="295"/>
      <c r="Q11" s="639"/>
      <c r="R11" s="177"/>
      <c r="S11" s="295"/>
      <c r="T11" s="177"/>
      <c r="U11" s="295"/>
      <c r="V11" s="295"/>
      <c r="W11" s="295"/>
      <c r="X11" s="177"/>
      <c r="Y11" s="295"/>
      <c r="Z11" s="295"/>
      <c r="AA11" s="6"/>
    </row>
    <row r="12" spans="1:27" x14ac:dyDescent="0.2">
      <c r="A12" s="115">
        <v>4</v>
      </c>
      <c r="B12" s="133" t="s">
        <v>429</v>
      </c>
      <c r="C12" s="129" t="s">
        <v>430</v>
      </c>
      <c r="D12" s="370">
        <f>'[1]Exhibit No.__(BDJ-Rate Spread)'!D11</f>
        <v>2658833.1030243803</v>
      </c>
      <c r="E12" s="106">
        <f>'[1]Exhibit No.__(BDJ-Rate Spread)'!E11</f>
        <v>271509.06</v>
      </c>
      <c r="F12" s="117"/>
      <c r="G12" s="4">
        <f>E12/(E$33-E$31-$E$25)</f>
        <v>0.12918747696846145</v>
      </c>
      <c r="H12" s="369">
        <f>'[1]Exhibit No.__(BDJ-Rate Spread)'!H11</f>
        <v>1</v>
      </c>
      <c r="I12" s="518">
        <f>+$I$39*H12</f>
        <v>-1.925194309837586E-2</v>
      </c>
      <c r="J12" s="295">
        <f>+E12*I12</f>
        <v>-5227.0769738135168</v>
      </c>
      <c r="K12" s="295">
        <f>+E12+J12</f>
        <v>266281.98302618647</v>
      </c>
      <c r="Q12" s="639">
        <f>'[1]Exhibit No.__(BDJ-Rate Spread)'!O11</f>
        <v>1.05</v>
      </c>
      <c r="R12" s="177"/>
      <c r="S12" s="295">
        <f>'[1]Exhibit No.__(BDJ-Rate Spread)'!Q11</f>
        <v>612809.4117816377</v>
      </c>
      <c r="T12" s="518">
        <f>'[1]Exhibit No.__(BDJ-Rate Spread)'!R11</f>
        <v>0.11536046654574114</v>
      </c>
      <c r="U12" s="295">
        <f>'[1]Exhibit No.__(BDJ-Rate Spread)'!S11</f>
        <v>26648.480387150172</v>
      </c>
      <c r="V12" s="295">
        <f>'[1]Exhibit No.__(BDJ-Rate Spread)'!T11</f>
        <v>18105.716933607873</v>
      </c>
      <c r="W12" s="295">
        <f>'[1]Exhibit No.__(BDJ-Rate Spread)'!U11</f>
        <v>0</v>
      </c>
      <c r="X12" s="177"/>
      <c r="Y12" s="295">
        <f>'[1]Exhibit No.__(BDJ-Rate Spread)'!W11</f>
        <v>4981.5720837936533</v>
      </c>
      <c r="Z12" s="295">
        <f>'[1]Exhibit No.__(BDJ-Rate Spread)'!X11</f>
        <v>17207.411200799797</v>
      </c>
      <c r="AA12" s="6">
        <f>'[1]Exhibit No.__(BDJ-Rate Spread)'!Y11</f>
        <v>0</v>
      </c>
    </row>
    <row r="13" spans="1:27" x14ac:dyDescent="0.2">
      <c r="A13" s="115">
        <v>5</v>
      </c>
      <c r="B13" s="133" t="s">
        <v>431</v>
      </c>
      <c r="C13" s="129" t="s">
        <v>432</v>
      </c>
      <c r="D13" s="370">
        <f>'[1]Exhibit No.__(BDJ-Rate Spread)'!D12</f>
        <v>2871339.5605844581</v>
      </c>
      <c r="E13" s="106">
        <f>'[1]Exhibit No.__(BDJ-Rate Spread)'!E12</f>
        <v>267613.61300000001</v>
      </c>
      <c r="F13" s="117"/>
      <c r="G13" s="4">
        <f>E13/(E$33-E$31-$E$25)</f>
        <v>0.12733397355463666</v>
      </c>
      <c r="H13" s="369">
        <f>'[1]Exhibit No.__(BDJ-Rate Spread)'!H12</f>
        <v>1</v>
      </c>
      <c r="I13" s="518">
        <f>+$I$39*H13</f>
        <v>-1.925194309837586E-2</v>
      </c>
      <c r="J13" s="295">
        <f>+E13*I13</f>
        <v>-5152.0820498267785</v>
      </c>
      <c r="K13" s="295">
        <f>+E13+J13</f>
        <v>262461.53095017321</v>
      </c>
      <c r="Q13" s="639">
        <f>'[1]Exhibit No.__(BDJ-Rate Spread)'!O12</f>
        <v>0.99</v>
      </c>
      <c r="R13" s="177"/>
      <c r="S13" s="295">
        <f>'[1]Exhibit No.__(BDJ-Rate Spread)'!Q12</f>
        <v>689430.47311563278</v>
      </c>
      <c r="T13" s="518">
        <f>'[1]Exhibit No.__(BDJ-Rate Spread)'!R12</f>
        <v>0.12978426815972341</v>
      </c>
      <c r="U13" s="295">
        <f>'[1]Exhibit No.__(BDJ-Rate Spread)'!S12</f>
        <v>29980.405143764652</v>
      </c>
      <c r="V13" s="295">
        <f>'[1]Exhibit No.__(BDJ-Rate Spread)'!T12</f>
        <v>20369.519057065219</v>
      </c>
      <c r="W13" s="295">
        <f>'[1]Exhibit No.__(BDJ-Rate Spread)'!U12</f>
        <v>0</v>
      </c>
      <c r="X13" s="177"/>
      <c r="Y13" s="295">
        <f>'[1]Exhibit No.__(BDJ-Rate Spread)'!W12</f>
        <v>5604.4302397452129</v>
      </c>
      <c r="Z13" s="295">
        <f>'[1]Exhibit No.__(BDJ-Rate Spread)'!X12</f>
        <v>19358.895958813853</v>
      </c>
      <c r="AA13" s="6">
        <f>'[1]Exhibit No.__(BDJ-Rate Spread)'!Y12</f>
        <v>0</v>
      </c>
    </row>
    <row r="14" spans="1:27" x14ac:dyDescent="0.2">
      <c r="A14" s="115">
        <v>6</v>
      </c>
      <c r="B14" s="133" t="s">
        <v>433</v>
      </c>
      <c r="C14" s="129" t="s">
        <v>434</v>
      </c>
      <c r="D14" s="370">
        <f>'[1]Exhibit No.__(BDJ-Rate Spread)'!D13</f>
        <v>1761911.047761543</v>
      </c>
      <c r="E14" s="106">
        <f>'[1]Exhibit No.__(BDJ-Rate Spread)'!E13</f>
        <v>151320.842</v>
      </c>
      <c r="F14" s="117"/>
      <c r="G14" s="4">
        <f>E14/(E$33-E$31-$E$25)</f>
        <v>7.2000388461155571E-2</v>
      </c>
      <c r="H14" s="369">
        <f>'[1]Exhibit No.__(BDJ-Rate Spread)'!H13</f>
        <v>1</v>
      </c>
      <c r="I14" s="518">
        <f>+$I$39*H14</f>
        <v>-1.925194309837586E-2</v>
      </c>
      <c r="J14" s="295">
        <f>+E14*I14</f>
        <v>-2913.2202397823239</v>
      </c>
      <c r="K14" s="295">
        <f>+E14+J14</f>
        <v>148407.62176021768</v>
      </c>
      <c r="Q14" s="639">
        <f>'[1]Exhibit No.__(BDJ-Rate Spread)'!O13</f>
        <v>0.97</v>
      </c>
      <c r="R14" s="177"/>
      <c r="S14" s="295">
        <f>'[1]Exhibit No.__(BDJ-Rate Spread)'!Q13</f>
        <v>378181.08324080287</v>
      </c>
      <c r="T14" s="518">
        <f>'[1]Exhibit No.__(BDJ-Rate Spread)'!R13</f>
        <v>7.1192030283272534E-2</v>
      </c>
      <c r="U14" s="295">
        <f>'[1]Exhibit No.__(BDJ-Rate Spread)'!S13</f>
        <v>16445.49020589262</v>
      </c>
      <c r="V14" s="295">
        <f>'[1]Exhibit No.__(BDJ-Rate Spread)'!T13</f>
        <v>11173.522323842912</v>
      </c>
      <c r="W14" s="295">
        <f>'[1]Exhibit No.__(BDJ-Rate Spread)'!U13</f>
        <v>0</v>
      </c>
      <c r="X14" s="177"/>
      <c r="Y14" s="295">
        <f>'[1]Exhibit No.__(BDJ-Rate Spread)'!W13</f>
        <v>3074.2614109238416</v>
      </c>
      <c r="Z14" s="295">
        <f>'[1]Exhibit No.__(BDJ-Rate Spread)'!X13</f>
        <v>10619.153822668792</v>
      </c>
      <c r="AA14" s="6">
        <f>'[1]Exhibit No.__(BDJ-Rate Spread)'!Y13</f>
        <v>0</v>
      </c>
    </row>
    <row r="15" spans="1:27" x14ac:dyDescent="0.2">
      <c r="A15" s="115">
        <v>7</v>
      </c>
      <c r="B15" s="130" t="s">
        <v>435</v>
      </c>
      <c r="C15" s="128"/>
      <c r="D15" s="8">
        <f>SUM(D12:D14)</f>
        <v>7292083.7113703806</v>
      </c>
      <c r="E15" s="8">
        <f>SUM(E12:E14)</f>
        <v>690443.5149999999</v>
      </c>
      <c r="F15" s="117"/>
      <c r="G15" s="7"/>
      <c r="H15" s="117"/>
      <c r="I15" s="177"/>
      <c r="J15" s="266">
        <f>SUM(J12:J14)</f>
        <v>-13292.379263422619</v>
      </c>
      <c r="K15" s="266">
        <f>SUM(K12:K14)</f>
        <v>677151.13573657745</v>
      </c>
      <c r="Q15" s="639"/>
      <c r="R15" s="177"/>
      <c r="S15" s="266">
        <f t="shared" ref="S15:W15" si="0">SUM(S12:S14)</f>
        <v>1680420.9681380733</v>
      </c>
      <c r="T15" s="177"/>
      <c r="U15" s="266">
        <f t="shared" si="0"/>
        <v>73074.375736807444</v>
      </c>
      <c r="V15" s="266">
        <f t="shared" si="0"/>
        <v>49648.758314516002</v>
      </c>
      <c r="W15" s="266">
        <f t="shared" si="0"/>
        <v>0</v>
      </c>
      <c r="X15" s="177"/>
      <c r="Y15" s="266">
        <f t="shared" ref="Y15" si="1">SUM(Y12:Y14)</f>
        <v>13660.263734462707</v>
      </c>
      <c r="Z15" s="266">
        <f t="shared" ref="Z15:AA15" si="2">SUM(Z12:Z14)</f>
        <v>47185.460982282442</v>
      </c>
      <c r="AA15" s="3">
        <f t="shared" si="2"/>
        <v>0</v>
      </c>
    </row>
    <row r="16" spans="1:27" x14ac:dyDescent="0.2">
      <c r="A16" s="115">
        <v>8</v>
      </c>
      <c r="B16" s="117"/>
      <c r="C16" s="128"/>
      <c r="D16" s="9"/>
      <c r="E16" s="106"/>
      <c r="F16" s="117"/>
      <c r="G16" s="7"/>
      <c r="H16" s="117"/>
      <c r="I16" s="177"/>
      <c r="J16" s="295"/>
      <c r="K16" s="295"/>
      <c r="Q16" s="639"/>
      <c r="R16" s="177"/>
      <c r="S16" s="295"/>
      <c r="T16" s="177"/>
      <c r="U16" s="295"/>
      <c r="V16" s="295"/>
      <c r="W16" s="295"/>
      <c r="X16" s="177"/>
      <c r="Y16" s="295"/>
      <c r="Z16" s="295"/>
      <c r="AA16" s="6"/>
    </row>
    <row r="17" spans="1:27" x14ac:dyDescent="0.2">
      <c r="A17" s="115">
        <v>9</v>
      </c>
      <c r="B17" s="117" t="s">
        <v>436</v>
      </c>
      <c r="C17" s="128"/>
      <c r="D17" s="9"/>
      <c r="E17" s="106"/>
      <c r="F17" s="117"/>
      <c r="G17" s="7"/>
      <c r="H17" s="117"/>
      <c r="I17" s="177"/>
      <c r="J17" s="295"/>
      <c r="K17" s="295"/>
      <c r="Q17" s="639"/>
      <c r="R17" s="177"/>
      <c r="S17" s="295"/>
      <c r="T17" s="177"/>
      <c r="U17" s="295"/>
      <c r="V17" s="295"/>
      <c r="W17" s="295"/>
      <c r="X17" s="177"/>
      <c r="Y17" s="295"/>
      <c r="Z17" s="295"/>
      <c r="AA17" s="6"/>
    </row>
    <row r="18" spans="1:27" x14ac:dyDescent="0.2">
      <c r="A18" s="115">
        <v>10</v>
      </c>
      <c r="B18" s="133" t="s">
        <v>504</v>
      </c>
      <c r="C18" s="129" t="s">
        <v>505</v>
      </c>
      <c r="D18" s="370">
        <f>'[1]Exhibit No.__(BDJ-Rate Spread)'!D17</f>
        <v>1307770.0591754341</v>
      </c>
      <c r="E18" s="106">
        <f>'[1]Exhibit No.__(BDJ-Rate Spread)'!E17</f>
        <v>110792.823</v>
      </c>
      <c r="F18" s="117"/>
      <c r="G18" s="4">
        <f>E18/(E$33-E$31-$E$25)</f>
        <v>5.2716639619993989E-2</v>
      </c>
      <c r="H18" s="369">
        <f>'[1]Exhibit No.__(BDJ-Rate Spread)'!H17</f>
        <v>1</v>
      </c>
      <c r="I18" s="518">
        <f>+$I$39*H18</f>
        <v>-1.925194309837586E-2</v>
      </c>
      <c r="J18" s="295">
        <f>+E18*I18</f>
        <v>-2132.9771241044282</v>
      </c>
      <c r="K18" s="295">
        <f>+E18+J18</f>
        <v>108659.84587589558</v>
      </c>
      <c r="Q18" s="639">
        <f>'[1]Exhibit No.__(BDJ-Rate Spread)'!O17</f>
        <v>0.99</v>
      </c>
      <c r="R18" s="177"/>
      <c r="S18" s="295">
        <f>'[1]Exhibit No.__(BDJ-Rate Spread)'!Q17</f>
        <v>266575.57436243602</v>
      </c>
      <c r="T18" s="518">
        <f>'[1]Exhibit No.__(BDJ-Rate Spread)'!R17</f>
        <v>5.0182458096951495E-2</v>
      </c>
      <c r="U18" s="295">
        <f>'[1]Exhibit No.__(BDJ-Rate Spread)'!S17</f>
        <v>11592.240309164794</v>
      </c>
      <c r="V18" s="295">
        <f>'[1]Exhibit No.__(BDJ-Rate Spread)'!T17</f>
        <v>7876.08969122694</v>
      </c>
      <c r="W18" s="295">
        <f>'[1]Exhibit No.__(BDJ-Rate Spread)'!U17</f>
        <v>0</v>
      </c>
      <c r="X18" s="177"/>
      <c r="Y18" s="295">
        <f>'[1]Exhibit No.__(BDJ-Rate Spread)'!W17</f>
        <v>2167.0121475522701</v>
      </c>
      <c r="Z18" s="295">
        <f>'[1]Exhibit No.__(BDJ-Rate Spread)'!X17</f>
        <v>7485.3215958411747</v>
      </c>
      <c r="AA18" s="6">
        <f>'[1]Exhibit No.__(BDJ-Rate Spread)'!Y17</f>
        <v>0</v>
      </c>
    </row>
    <row r="19" spans="1:27" x14ac:dyDescent="0.2">
      <c r="A19" s="115">
        <v>11</v>
      </c>
      <c r="B19" s="133" t="s">
        <v>506</v>
      </c>
      <c r="C19" s="129">
        <v>35</v>
      </c>
      <c r="D19" s="370">
        <f>'[1]Exhibit No.__(BDJ-Rate Spread)'!D18</f>
        <v>4387.6440000000002</v>
      </c>
      <c r="E19" s="106">
        <f>'[1]Exhibit No.__(BDJ-Rate Spread)'!E18</f>
        <v>275.553</v>
      </c>
      <c r="F19" s="117"/>
      <c r="G19" s="4">
        <f>E19/(E$33-E$31-$E$25)</f>
        <v>1.3111163524742216E-4</v>
      </c>
      <c r="H19" s="369">
        <f>'[1]Exhibit No.__(BDJ-Rate Spread)'!H18</f>
        <v>0</v>
      </c>
      <c r="I19" s="518">
        <f>+$I$39*H19</f>
        <v>0</v>
      </c>
      <c r="J19" s="295">
        <f>+E19*I19</f>
        <v>0</v>
      </c>
      <c r="K19" s="295">
        <f>+E19+J19</f>
        <v>275.553</v>
      </c>
      <c r="Q19" s="639">
        <f>'[1]Exhibit No.__(BDJ-Rate Spread)'!O18</f>
        <v>0.61</v>
      </c>
      <c r="R19" s="177"/>
      <c r="S19" s="295">
        <f>'[1]Exhibit No.__(BDJ-Rate Spread)'!Q18</f>
        <v>1313.9304218680002</v>
      </c>
      <c r="T19" s="518">
        <f>'[1]Exhibit No.__(BDJ-Rate Spread)'!R18</f>
        <v>2.4734546102132306E-4</v>
      </c>
      <c r="U19" s="295">
        <f>'[1]Exhibit No.__(BDJ-Rate Spread)'!S18</f>
        <v>57.137257365926317</v>
      </c>
      <c r="V19" s="295">
        <f>'[1]Exhibit No.__(BDJ-Rate Spread)'!T18</f>
        <v>38.820637920089496</v>
      </c>
      <c r="W19" s="295">
        <f>'[1]Exhibit No.__(BDJ-Rate Spread)'!U18</f>
        <v>0</v>
      </c>
      <c r="X19" s="177"/>
      <c r="Y19" s="295">
        <f>'[1]Exhibit No.__(BDJ-Rate Spread)'!W18</f>
        <v>10.681035545121787</v>
      </c>
      <c r="Z19" s="295">
        <f>'[1]Exhibit No.__(BDJ-Rate Spread)'!X18</f>
        <v>36.894572151870626</v>
      </c>
      <c r="AA19" s="6">
        <f>'[1]Exhibit No.__(BDJ-Rate Spread)'!Y18</f>
        <v>0</v>
      </c>
    </row>
    <row r="20" spans="1:27" x14ac:dyDescent="0.2">
      <c r="A20" s="115">
        <f t="shared" ref="A20:A39" si="3">A19+1</f>
        <v>12</v>
      </c>
      <c r="B20" s="132" t="s">
        <v>437</v>
      </c>
      <c r="C20" s="128">
        <v>43</v>
      </c>
      <c r="D20" s="370">
        <f>'[1]Exhibit No.__(BDJ-Rate Spread)'!D19</f>
        <v>114099.11728442684</v>
      </c>
      <c r="E20" s="106">
        <f>'[1]Exhibit No.__(BDJ-Rate Spread)'!E19</f>
        <v>10372.369000000001</v>
      </c>
      <c r="F20" s="117"/>
      <c r="G20" s="4">
        <f>E20/(E$33-E$31-$E$25)</f>
        <v>4.935305589050633E-3</v>
      </c>
      <c r="H20" s="369">
        <f>'[1]Exhibit No.__(BDJ-Rate Spread)'!H19</f>
        <v>1.25</v>
      </c>
      <c r="I20" s="518">
        <f>+$I$39*H20</f>
        <v>-2.4064928872969824E-2</v>
      </c>
      <c r="J20" s="295">
        <f>+E20*I20</f>
        <v>-249.61032222919715</v>
      </c>
      <c r="K20" s="295">
        <f>+E20+J20</f>
        <v>10122.758677770804</v>
      </c>
      <c r="Q20" s="639">
        <f>'[1]Exhibit No.__(BDJ-Rate Spread)'!O19</f>
        <v>1.08</v>
      </c>
      <c r="R20" s="177"/>
      <c r="S20" s="295">
        <f>'[1]Exhibit No.__(BDJ-Rate Spread)'!Q19</f>
        <v>21337.337501212609</v>
      </c>
      <c r="T20" s="518">
        <f>'[1]Exhibit No.__(BDJ-Rate Spread)'!R19</f>
        <v>4.0167222657815933E-3</v>
      </c>
      <c r="U20" s="295">
        <f>'[1]Exhibit No.__(BDJ-Rate Spread)'!S19</f>
        <v>927.87024641468781</v>
      </c>
      <c r="V20" s="295">
        <f>'[1]Exhibit No.__(BDJ-Rate Spread)'!T19</f>
        <v>630.42078905190112</v>
      </c>
      <c r="W20" s="295">
        <f>'[1]Exhibit No.__(BDJ-Rate Spread)'!U19</f>
        <v>0</v>
      </c>
      <c r="X20" s="177"/>
      <c r="Y20" s="295">
        <f>'[1]Exhibit No.__(BDJ-Rate Spread)'!W19</f>
        <v>173.4527616498157</v>
      </c>
      <c r="Z20" s="295">
        <f>'[1]Exhibit No.__(BDJ-Rate Spread)'!X19</f>
        <v>599.14278934808783</v>
      </c>
      <c r="AA20" s="6">
        <f>'[1]Exhibit No.__(BDJ-Rate Spread)'!Y19</f>
        <v>0</v>
      </c>
    </row>
    <row r="21" spans="1:27" x14ac:dyDescent="0.2">
      <c r="A21" s="115">
        <f t="shared" si="3"/>
        <v>13</v>
      </c>
      <c r="B21" s="131" t="s">
        <v>438</v>
      </c>
      <c r="C21" s="128"/>
      <c r="D21" s="8">
        <f>SUM(D18:D20)</f>
        <v>1426256.8204598611</v>
      </c>
      <c r="E21" s="8">
        <f>SUM(E18:E20)</f>
        <v>121440.74500000001</v>
      </c>
      <c r="F21" s="117"/>
      <c r="G21" s="7"/>
      <c r="H21" s="117"/>
      <c r="I21" s="177"/>
      <c r="J21" s="266">
        <f>SUM(J18:J20)</f>
        <v>-2382.5874463336254</v>
      </c>
      <c r="K21" s="266">
        <f>SUM(K18:K20)</f>
        <v>119058.15755366639</v>
      </c>
      <c r="Q21" s="639"/>
      <c r="R21" s="177"/>
      <c r="S21" s="266">
        <f t="shared" ref="S21:W21" si="4">SUM(S18:S20)</f>
        <v>289226.84228551661</v>
      </c>
      <c r="T21" s="177"/>
      <c r="U21" s="266">
        <f t="shared" si="4"/>
        <v>12577.247812945408</v>
      </c>
      <c r="V21" s="266">
        <f t="shared" si="4"/>
        <v>8545.3311181989302</v>
      </c>
      <c r="W21" s="266">
        <f t="shared" si="4"/>
        <v>0</v>
      </c>
      <c r="X21" s="177"/>
      <c r="Y21" s="266">
        <f t="shared" ref="Y21" si="5">SUM(Y18:Y20)</f>
        <v>2351.1459447472075</v>
      </c>
      <c r="Z21" s="266">
        <f t="shared" ref="Z21:AA21" si="6">SUM(Z18:Z20)</f>
        <v>8121.3589573411327</v>
      </c>
      <c r="AA21" s="3">
        <f t="shared" si="6"/>
        <v>0</v>
      </c>
    </row>
    <row r="22" spans="1:27" x14ac:dyDescent="0.2">
      <c r="A22" s="115">
        <f t="shared" si="3"/>
        <v>14</v>
      </c>
      <c r="B22" s="117"/>
      <c r="C22" s="128"/>
      <c r="D22" s="10"/>
      <c r="E22" s="107"/>
      <c r="F22" s="177"/>
      <c r="G22" s="518"/>
      <c r="H22" s="177"/>
      <c r="I22" s="177"/>
      <c r="J22" s="177"/>
      <c r="K22" s="177"/>
      <c r="L22" s="177"/>
      <c r="M22" s="177"/>
      <c r="N22" s="177"/>
      <c r="O22" s="177"/>
      <c r="Q22" s="639"/>
      <c r="R22" s="177"/>
      <c r="S22" s="177"/>
      <c r="T22" s="177"/>
      <c r="U22" s="177"/>
      <c r="V22" s="177"/>
      <c r="W22" s="177"/>
      <c r="X22" s="177"/>
      <c r="Y22" s="177"/>
      <c r="Z22" s="177"/>
      <c r="AA22" s="117"/>
    </row>
    <row r="23" spans="1:27" x14ac:dyDescent="0.2">
      <c r="A23" s="115">
        <f t="shared" si="3"/>
        <v>15</v>
      </c>
      <c r="B23" s="130" t="s">
        <v>439</v>
      </c>
      <c r="C23" s="128" t="s">
        <v>440</v>
      </c>
      <c r="D23" s="368">
        <f>'[1]Exhibit No.__(BDJ-Rate Spread)'!D22</f>
        <v>614103.78800000006</v>
      </c>
      <c r="E23" s="266">
        <f>'[1]Exhibit No.__(BDJ-Rate Spread)'!E22</f>
        <v>40943.816999999995</v>
      </c>
      <c r="F23" s="177"/>
      <c r="G23" s="247">
        <f>E23/(E$33-E$31-$E$25)</f>
        <v>1.9481590837846809E-2</v>
      </c>
      <c r="H23" s="539">
        <f>'[1]Exhibit No.__(BDJ-Rate Spread)'!H22</f>
        <v>1.5</v>
      </c>
      <c r="I23" s="518">
        <f>+$I$39*H23</f>
        <v>-2.8877914647563792E-2</v>
      </c>
      <c r="J23" s="266">
        <f>+E23*I23</f>
        <v>-1182.3720526714712</v>
      </c>
      <c r="K23" s="266">
        <f>+E23+J23</f>
        <v>39761.444947328528</v>
      </c>
      <c r="L23" s="177"/>
      <c r="M23" s="177"/>
      <c r="N23" s="177"/>
      <c r="O23" s="177"/>
      <c r="Q23" s="639">
        <f>'[1]Exhibit No.__(BDJ-Rate Spread)'!O22</f>
        <v>1.1399999999999999</v>
      </c>
      <c r="R23" s="177"/>
      <c r="S23" s="266">
        <f>'[1]Exhibit No.__(BDJ-Rate Spread)'!Q22</f>
        <v>64617.314942933976</v>
      </c>
      <c r="T23" s="518">
        <f>'[1]Exhibit No.__(BDJ-Rate Spread)'!R22</f>
        <v>1.2164114087409182E-2</v>
      </c>
      <c r="U23" s="266">
        <f>'[1]Exhibit No.__(BDJ-Rate Spread)'!S22</f>
        <v>2809.9327732594697</v>
      </c>
      <c r="V23" s="266">
        <f>'[1]Exhibit No.__(BDJ-Rate Spread)'!T22</f>
        <v>1909.1462873671369</v>
      </c>
      <c r="W23" s="266">
        <f>'[1]Exhibit No.__(BDJ-Rate Spread)'!U22</f>
        <v>0</v>
      </c>
      <c r="X23" s="177"/>
      <c r="Y23" s="266">
        <f>'[1]Exhibit No.__(BDJ-Rate Spread)'!W22</f>
        <v>525.27883231030307</v>
      </c>
      <c r="Z23" s="266">
        <f>'[1]Exhibit No.__(BDJ-Rate Spread)'!X22</f>
        <v>1814.4249868519516</v>
      </c>
      <c r="AA23" s="3">
        <f>'[1]Exhibit No.__(BDJ-Rate Spread)'!Y22</f>
        <v>0</v>
      </c>
    </row>
    <row r="24" spans="1:27" x14ac:dyDescent="0.2">
      <c r="A24" s="115">
        <f t="shared" si="3"/>
        <v>16</v>
      </c>
      <c r="B24" s="117"/>
      <c r="C24" s="128"/>
      <c r="D24" s="10"/>
      <c r="E24" s="107"/>
      <c r="F24" s="177"/>
      <c r="G24" s="518"/>
      <c r="H24" s="177"/>
      <c r="I24" s="177"/>
      <c r="J24" s="244"/>
      <c r="K24" s="244"/>
      <c r="L24" s="177"/>
      <c r="M24" s="177"/>
      <c r="N24" s="177"/>
      <c r="O24" s="177"/>
      <c r="Q24" s="639"/>
      <c r="R24" s="177"/>
      <c r="S24" s="244"/>
      <c r="T24" s="177"/>
      <c r="U24" s="244"/>
      <c r="V24" s="244"/>
      <c r="W24" s="244"/>
      <c r="X24" s="177"/>
      <c r="Y24" s="244"/>
      <c r="Z24" s="244"/>
      <c r="AA24" s="121"/>
    </row>
    <row r="25" spans="1:27" x14ac:dyDescent="0.2">
      <c r="A25" s="115">
        <f t="shared" si="3"/>
        <v>17</v>
      </c>
      <c r="B25" s="131" t="s">
        <v>633</v>
      </c>
      <c r="C25" s="129" t="s">
        <v>634</v>
      </c>
      <c r="D25" s="371">
        <f>'[1]Exhibit No.__(BDJ-Rate Spread)'!D24</f>
        <v>2223284.478162</v>
      </c>
      <c r="E25" s="266">
        <f>'[1]Exhibit No.__(BDJ-Rate Spread)'!E24</f>
        <v>13316.672930000001</v>
      </c>
      <c r="F25" s="177"/>
      <c r="G25" s="247"/>
      <c r="H25" s="539"/>
      <c r="I25" s="518">
        <f>((J25)/E25)</f>
        <v>-6.6844094217758943E-2</v>
      </c>
      <c r="J25" s="266">
        <f>'[1]Exhibit No.__(BDJ-Rate Spread)'!$J$24</f>
        <v>-890.14094</v>
      </c>
      <c r="K25" s="266">
        <f>+E25+J25</f>
        <v>12426.531990000001</v>
      </c>
      <c r="L25" s="177"/>
      <c r="M25" s="177"/>
      <c r="N25" s="177"/>
      <c r="O25" s="177"/>
      <c r="Q25" s="639"/>
      <c r="R25" s="177"/>
      <c r="S25" s="266">
        <f>'[1]Exhibit No.__(BDJ-Rate Spread)'!Q24</f>
        <v>18575.415267488221</v>
      </c>
      <c r="T25" s="518">
        <f>'[1]Exhibit No.__(BDJ-Rate Spread)'!R24</f>
        <v>3.4967944851047625E-3</v>
      </c>
      <c r="U25" s="266">
        <f>'[1]Exhibit No.__(BDJ-Rate Spread)'!S24</f>
        <v>807.76597082555145</v>
      </c>
      <c r="V25" s="266">
        <f>'[1]Exhibit No.__(BDJ-Rate Spread)'!T24</f>
        <v>548.81861193933651</v>
      </c>
      <c r="W25" s="266">
        <f>'[1]Exhibit No.__(BDJ-Rate Spread)'!U24</f>
        <v>0</v>
      </c>
      <c r="X25" s="177"/>
      <c r="Y25" s="266">
        <f>'[1]Exhibit No.__(BDJ-Rate Spread)'!W24</f>
        <v>151.0008958125575</v>
      </c>
      <c r="Z25" s="266">
        <f>'[1]Exhibit No.__(BDJ-Rate Spread)'!X24</f>
        <v>521.58926182938558</v>
      </c>
      <c r="AA25" s="3">
        <f>'[1]Exhibit No.__(BDJ-Rate Spread)'!Y24</f>
        <v>0</v>
      </c>
    </row>
    <row r="26" spans="1:27" x14ac:dyDescent="0.2">
      <c r="A26" s="115">
        <f t="shared" si="3"/>
        <v>18</v>
      </c>
      <c r="B26" s="117"/>
      <c r="C26" s="128"/>
      <c r="D26" s="10"/>
      <c r="E26" s="107"/>
      <c r="F26" s="177"/>
      <c r="G26" s="518"/>
      <c r="H26" s="177"/>
      <c r="I26" s="177"/>
      <c r="J26" s="177"/>
      <c r="K26" s="177"/>
      <c r="L26" s="177"/>
      <c r="M26" s="177"/>
      <c r="N26" s="177"/>
      <c r="O26" s="177"/>
      <c r="Q26" s="639"/>
      <c r="R26" s="177"/>
      <c r="S26" s="177"/>
      <c r="T26" s="177"/>
      <c r="U26" s="177"/>
      <c r="V26" s="177"/>
      <c r="W26" s="177"/>
      <c r="X26" s="177"/>
      <c r="Y26" s="177"/>
      <c r="Z26" s="177"/>
      <c r="AA26" s="117"/>
    </row>
    <row r="27" spans="1:27" ht="10.8" thickBot="1" x14ac:dyDescent="0.25">
      <c r="A27" s="115">
        <f t="shared" si="3"/>
        <v>19</v>
      </c>
      <c r="B27" s="117" t="s">
        <v>441</v>
      </c>
      <c r="C27" s="128" t="s">
        <v>442</v>
      </c>
      <c r="D27" s="371">
        <f>'[1]Exhibit No.__(BDJ-Rate Spread)'!D26</f>
        <v>69892.887000000002</v>
      </c>
      <c r="E27" s="266">
        <f>'[1]Exhibit No.__(BDJ-Rate Spread)'!E26</f>
        <v>17783.762999999999</v>
      </c>
      <c r="F27" s="177"/>
      <c r="G27" s="247">
        <f>E27/(E$33-E$31-$E$25)</f>
        <v>8.4617414718134148E-3</v>
      </c>
      <c r="H27" s="539">
        <f>'[1]Exhibit No.__(BDJ-Rate Spread)'!H26</f>
        <v>1</v>
      </c>
      <c r="I27" s="518">
        <f>+$I$39*H27</f>
        <v>-1.925194309837586E-2</v>
      </c>
      <c r="J27" s="266">
        <f>+E27*I27</f>
        <v>-342.37199335100195</v>
      </c>
      <c r="K27" s="266">
        <f>+E27+J27</f>
        <v>17441.391006648999</v>
      </c>
      <c r="L27" s="177"/>
      <c r="M27" s="675">
        <f>K27*1000</f>
        <v>17441391.006648999</v>
      </c>
      <c r="N27" s="675">
        <f>'[1]Exhibit No.__(BDJ-LIGHT RD) '!$I$22</f>
        <v>17128252</v>
      </c>
      <c r="O27" s="675">
        <f>M27-N27</f>
        <v>313139.00664899871</v>
      </c>
      <c r="Q27" s="639">
        <f>'[1]Exhibit No.__(BDJ-Rate Spread)'!O26</f>
        <v>0.99</v>
      </c>
      <c r="R27" s="177"/>
      <c r="S27" s="266">
        <f>'[1]Exhibit No.__(BDJ-Rate Spread)'!Q26</f>
        <v>64215.680771018015</v>
      </c>
      <c r="T27" s="518">
        <f>'[1]Exhibit No.__(BDJ-Rate Spread)'!R26</f>
        <v>1.2088507047826953E-2</v>
      </c>
      <c r="U27" s="266">
        <f>'[1]Exhibit No.__(BDJ-Rate Spread)'!S26</f>
        <v>2792.4674077684363</v>
      </c>
      <c r="V27" s="266">
        <f>'[1]Exhibit No.__(BDJ-Rate Spread)'!T26</f>
        <v>1897.2798334782635</v>
      </c>
      <c r="W27" s="266">
        <f>'[1]Exhibit No.__(BDJ-Rate Spread)'!U26</f>
        <v>0</v>
      </c>
      <c r="X27" s="177"/>
      <c r="Y27" s="266">
        <f>'[1]Exhibit No.__(BDJ-Rate Spread)'!W26</f>
        <v>522.01391904322838</v>
      </c>
      <c r="Z27" s="266">
        <f>'[1]Exhibit No.__(BDJ-Rate Spread)'!X26</f>
        <v>1803.1472809036081</v>
      </c>
      <c r="AA27" s="3">
        <f>'[1]Exhibit No.__(BDJ-Rate Spread)'!Y26</f>
        <v>0</v>
      </c>
    </row>
    <row r="28" spans="1:27" x14ac:dyDescent="0.2">
      <c r="A28" s="115">
        <f t="shared" si="3"/>
        <v>20</v>
      </c>
      <c r="B28" s="117"/>
      <c r="C28" s="128"/>
      <c r="D28" s="11"/>
      <c r="E28" s="107"/>
      <c r="F28" s="177"/>
      <c r="G28" s="209"/>
      <c r="H28" s="177"/>
      <c r="I28" s="177"/>
      <c r="J28" s="177"/>
      <c r="K28" s="177"/>
      <c r="L28" s="177"/>
      <c r="M28" s="177"/>
      <c r="N28" s="177"/>
      <c r="O28" s="177"/>
      <c r="Q28" s="639"/>
      <c r="R28" s="177"/>
      <c r="S28" s="177"/>
      <c r="T28" s="177"/>
      <c r="U28" s="177"/>
      <c r="V28" s="177"/>
      <c r="W28" s="177"/>
      <c r="X28" s="177"/>
      <c r="Y28" s="177"/>
      <c r="Z28" s="177"/>
      <c r="AA28" s="117"/>
    </row>
    <row r="29" spans="1:27" ht="10.8" thickBot="1" x14ac:dyDescent="0.25">
      <c r="A29" s="115">
        <f t="shared" si="3"/>
        <v>21</v>
      </c>
      <c r="B29" s="130" t="s">
        <v>443</v>
      </c>
      <c r="C29" s="128"/>
      <c r="D29" s="109">
        <f>SUM(D27,D25,D23,D21,D15,D9)</f>
        <v>22980976.256595764</v>
      </c>
      <c r="E29" s="110">
        <f>SUM(E27,E25,E23,E21,E15,E9)</f>
        <v>2114983.6949300002</v>
      </c>
      <c r="F29" s="177"/>
      <c r="G29" s="177"/>
      <c r="H29" s="177"/>
      <c r="I29" s="518">
        <f>((J29)/E29)</f>
        <v>-1.9759044058250567E-2</v>
      </c>
      <c r="J29" s="147">
        <f>SUM(J27,J25,J23,J21,J15,J9)</f>
        <v>-41790.056010603454</v>
      </c>
      <c r="K29" s="147">
        <f>SUM(K27,K25,K23,K21,K15,K9)</f>
        <v>2073193.6389193968</v>
      </c>
      <c r="L29" s="177"/>
      <c r="M29" s="177"/>
      <c r="N29" s="177"/>
      <c r="O29" s="177"/>
      <c r="Q29" s="640"/>
      <c r="R29" s="177"/>
      <c r="S29" s="147">
        <f t="shared" ref="S29:W29" si="7">SUM(S27,S25,S23,S21,S15,S9)</f>
        <v>5310719.9165902138</v>
      </c>
      <c r="T29" s="518"/>
      <c r="U29" s="147">
        <f t="shared" si="7"/>
        <v>230940.6690204863</v>
      </c>
      <c r="V29" s="147">
        <f t="shared" si="7"/>
        <v>156907.49795095949</v>
      </c>
      <c r="W29" s="147">
        <f t="shared" si="7"/>
        <v>0</v>
      </c>
      <c r="X29" s="177"/>
      <c r="Y29" s="147">
        <f t="shared" ref="Y29" si="8">SUM(Y27,Y25,Y23,Y21,Y15,Y9)</f>
        <v>43171.226767580607</v>
      </c>
      <c r="Z29" s="147">
        <f t="shared" ref="Z29:AA29" si="9">SUM(Z27,Z25,Z23,Z21,Z15,Z9)</f>
        <v>149122.6140136499</v>
      </c>
      <c r="AA29" s="13">
        <f t="shared" si="9"/>
        <v>0</v>
      </c>
    </row>
    <row r="30" spans="1:27" ht="10.8" thickTop="1" x14ac:dyDescent="0.2">
      <c r="A30" s="115">
        <f t="shared" si="3"/>
        <v>22</v>
      </c>
      <c r="B30" s="117"/>
      <c r="C30" s="128"/>
      <c r="D30" s="10"/>
      <c r="E30" s="107"/>
      <c r="F30" s="177"/>
      <c r="G30" s="518"/>
      <c r="H30" s="177"/>
      <c r="I30" s="177"/>
      <c r="J30" s="244"/>
      <c r="K30" s="244"/>
      <c r="L30" s="177"/>
      <c r="M30" s="177"/>
      <c r="N30" s="177"/>
      <c r="O30" s="177"/>
      <c r="Q30" s="640"/>
      <c r="R30" s="177"/>
      <c r="S30" s="244"/>
      <c r="T30" s="177"/>
      <c r="U30" s="244"/>
      <c r="V30" s="244"/>
      <c r="W30" s="244"/>
      <c r="X30" s="177"/>
      <c r="Y30" s="244"/>
      <c r="Z30" s="244"/>
      <c r="AA30" s="121"/>
    </row>
    <row r="31" spans="1:27" x14ac:dyDescent="0.2">
      <c r="A31" s="115">
        <f t="shared" si="3"/>
        <v>23</v>
      </c>
      <c r="B31" s="130" t="s">
        <v>343</v>
      </c>
      <c r="C31" s="129"/>
      <c r="D31" s="371">
        <f>'[1]Exhibit No.__(BDJ-Rate Spread)'!D30</f>
        <v>7372.3372879022108</v>
      </c>
      <c r="E31" s="266">
        <f>'[1]Exhibit No.__(BDJ-Rate Spread)'!E30</f>
        <v>345.54538000000002</v>
      </c>
      <c r="F31" s="177"/>
      <c r="G31" s="247"/>
      <c r="H31" s="518"/>
      <c r="I31" s="518">
        <f>((J31)/E31)</f>
        <v>0.66062992941766419</v>
      </c>
      <c r="J31" s="266">
        <f>'[1]Exhibit No.__(BDJ-Rate Spread)'!$J$30</f>
        <v>228.27761999999996</v>
      </c>
      <c r="K31" s="266">
        <f>+E31+J31</f>
        <v>573.82299999999998</v>
      </c>
      <c r="L31" s="177"/>
      <c r="M31" s="177"/>
      <c r="N31" s="177"/>
      <c r="O31" s="177"/>
      <c r="Q31" s="640"/>
      <c r="R31" s="177"/>
      <c r="S31" s="266">
        <f>'[1]Exhibit No.__(BDJ-Rate Spread)'!Q30</f>
        <v>1406.7601743514979</v>
      </c>
      <c r="T31" s="518">
        <f>'[1]Exhibit No.__(BDJ-Rate Spread)'!R30</f>
        <v>2.6482052480124725E-4</v>
      </c>
      <c r="U31" s="266">
        <f>'[1]Exhibit No.__(BDJ-Rate Spread)'!S30</f>
        <v>61.174029306501488</v>
      </c>
      <c r="V31" s="266">
        <f>'[1]Exhibit No.__(BDJ-Rate Spread)'!T30</f>
        <v>41.563332776222005</v>
      </c>
      <c r="W31" s="266">
        <f>'[1]Exhibit No.__(BDJ-Rate Spread)'!U30</f>
        <v>0</v>
      </c>
      <c r="X31" s="177"/>
      <c r="Y31" s="266">
        <f>'[1]Exhibit No.__(BDJ-Rate Spread)'!W30</f>
        <v>11.435655325149002</v>
      </c>
      <c r="Z31" s="266">
        <f>'[1]Exhibit No.__(BDJ-Rate Spread)'!X30</f>
        <v>39.501189628596315</v>
      </c>
      <c r="AA31" s="3">
        <f>'[1]Exhibit No.__(BDJ-Rate Spread)'!Y30</f>
        <v>0</v>
      </c>
    </row>
    <row r="32" spans="1:27" x14ac:dyDescent="0.2">
      <c r="A32" s="115">
        <f t="shared" si="3"/>
        <v>24</v>
      </c>
      <c r="B32" s="117"/>
      <c r="C32" s="128"/>
      <c r="D32" s="11"/>
      <c r="E32" s="107"/>
      <c r="F32" s="177"/>
      <c r="G32" s="209"/>
      <c r="H32" s="177"/>
      <c r="I32" s="177"/>
      <c r="J32" s="177"/>
      <c r="K32" s="177"/>
      <c r="L32" s="177"/>
      <c r="M32" s="177"/>
      <c r="N32" s="177"/>
      <c r="O32" s="177"/>
      <c r="Q32" s="640"/>
      <c r="R32" s="177"/>
      <c r="S32" s="177"/>
      <c r="T32" s="177"/>
      <c r="U32" s="177"/>
      <c r="V32" s="177"/>
      <c r="W32" s="177"/>
      <c r="X32" s="177"/>
      <c r="Y32" s="177"/>
      <c r="Z32" s="177"/>
      <c r="AA32" s="117"/>
    </row>
    <row r="33" spans="1:27" ht="10.8" thickBot="1" x14ac:dyDescent="0.25">
      <c r="A33" s="115">
        <f t="shared" si="3"/>
        <v>25</v>
      </c>
      <c r="B33" s="117" t="s">
        <v>444</v>
      </c>
      <c r="C33" s="128"/>
      <c r="D33" s="12">
        <f>SUM(D31,D29)</f>
        <v>22988348.593883667</v>
      </c>
      <c r="E33" s="108">
        <f>SUM(E31,E29)</f>
        <v>2115329.2403100003</v>
      </c>
      <c r="F33" s="147">
        <f>'[1]Exhibit No.__(BDJ-Rate Spread)'!F32</f>
        <v>-41561778.390603453</v>
      </c>
      <c r="G33" s="270">
        <f>SUM(G9:G31)</f>
        <v>0.99999999999999989</v>
      </c>
      <c r="H33" s="177"/>
      <c r="I33" s="270">
        <f>(+F33/1000)/E33</f>
        <v>-1.9647900477427618E-2</v>
      </c>
      <c r="J33" s="147">
        <f>SUM(J31,J29)</f>
        <v>-41561.778390603453</v>
      </c>
      <c r="K33" s="147">
        <f>SUM(K31,K29)</f>
        <v>2073767.4619193969</v>
      </c>
      <c r="L33" s="177"/>
      <c r="M33" s="177"/>
      <c r="N33" s="177"/>
      <c r="O33" s="177"/>
      <c r="Q33" s="640"/>
      <c r="R33" s="177"/>
      <c r="S33" s="147">
        <f t="shared" ref="S33:W33" si="10">SUM(S31,S29)</f>
        <v>5312126.6767645655</v>
      </c>
      <c r="T33" s="270">
        <f>SUM(T9:T32)</f>
        <v>1</v>
      </c>
      <c r="U33" s="147">
        <f t="shared" si="10"/>
        <v>231001.84304979281</v>
      </c>
      <c r="V33" s="147">
        <f t="shared" si="10"/>
        <v>156949.0612837357</v>
      </c>
      <c r="W33" s="147">
        <f t="shared" si="10"/>
        <v>0</v>
      </c>
      <c r="X33" s="177"/>
      <c r="Y33" s="147">
        <f t="shared" ref="Y33" si="11">SUM(Y31,Y29)</f>
        <v>43182.662422905756</v>
      </c>
      <c r="Z33" s="147">
        <f t="shared" ref="Z33:AA33" si="12">SUM(Z31,Z29)</f>
        <v>149162.11520327849</v>
      </c>
      <c r="AA33" s="13">
        <f t="shared" si="12"/>
        <v>0</v>
      </c>
    </row>
    <row r="34" spans="1:27" ht="10.8" thickTop="1" x14ac:dyDescent="0.2">
      <c r="A34" s="115">
        <f t="shared" si="3"/>
        <v>26</v>
      </c>
      <c r="B34" s="117"/>
      <c r="C34" s="128"/>
      <c r="D34" s="5"/>
      <c r="E34" s="6"/>
      <c r="F34" s="295"/>
      <c r="G34" s="247"/>
      <c r="H34" s="295"/>
      <c r="I34" s="247"/>
      <c r="J34" s="496"/>
      <c r="K34" s="295"/>
      <c r="L34" s="177"/>
      <c r="M34" s="177"/>
      <c r="N34" s="177"/>
      <c r="O34" s="177"/>
      <c r="Q34" s="640"/>
      <c r="R34" s="177"/>
      <c r="S34" s="177"/>
      <c r="T34" s="177"/>
    </row>
    <row r="35" spans="1:27" ht="10.8" thickBot="1" x14ac:dyDescent="0.25">
      <c r="A35" s="115">
        <f t="shared" si="3"/>
        <v>27</v>
      </c>
      <c r="B35" s="117"/>
      <c r="C35" s="128"/>
      <c r="D35" s="128"/>
      <c r="E35" s="117"/>
      <c r="F35" s="177"/>
      <c r="G35" s="177"/>
      <c r="H35" s="177"/>
      <c r="I35" s="177"/>
      <c r="J35" s="209"/>
      <c r="K35" s="209"/>
      <c r="L35" s="177"/>
      <c r="M35" s="177"/>
      <c r="N35" s="177"/>
      <c r="O35" s="177"/>
      <c r="P35" s="28"/>
      <c r="Q35" s="28"/>
      <c r="S35" s="372" t="str">
        <f>'[1]Exhibit No.__(BDJ-Rate Spread)'!Q34</f>
        <v>SEF-4 Sch 141N/141R</v>
      </c>
      <c r="U35" s="685">
        <f>'[1]Exhibit No.__(BDJ-Rate Spread)'!S34</f>
        <v>231533223.30184406</v>
      </c>
      <c r="V35" s="685">
        <f>'[1]Exhibit No.__(BDJ-Rate Spread)'!T34</f>
        <v>157112808.5643931</v>
      </c>
      <c r="W35" s="108">
        <f>'[1]Exhibit No.__(BDJ-Rate Spread)'!U34</f>
        <v>0</v>
      </c>
      <c r="Y35" s="147">
        <f>'[1]Exhibit No.__(BDJ-Rate Spread)'!W34</f>
        <v>43182662.422905758</v>
      </c>
      <c r="Z35" s="147">
        <f>'[1]Exhibit No.__(BDJ-Rate Spread)'!X34</f>
        <v>149162115.20327851</v>
      </c>
      <c r="AA35" s="108">
        <f>'[1]Exhibit No.__(BDJ-Rate Spread)'!Y34</f>
        <v>0</v>
      </c>
    </row>
    <row r="36" spans="1:27" ht="10.8" thickTop="1" x14ac:dyDescent="0.2">
      <c r="A36" s="115">
        <f t="shared" si="3"/>
        <v>28</v>
      </c>
      <c r="B36" s="127" t="s">
        <v>445</v>
      </c>
      <c r="C36" s="126"/>
      <c r="D36" s="126"/>
      <c r="E36" s="126"/>
      <c r="F36" s="684">
        <f>G33</f>
        <v>0.99999999999999989</v>
      </c>
      <c r="G36" s="410"/>
      <c r="H36" s="684"/>
      <c r="I36" s="524">
        <f>'[1]Exhibit No.__(BDJ-Rate Spread)'!I35</f>
        <v>-1.9647900477427618E-2</v>
      </c>
      <c r="J36" s="177"/>
      <c r="K36" s="177"/>
      <c r="L36" s="177"/>
      <c r="M36" s="177"/>
      <c r="N36" s="177"/>
      <c r="O36" s="177"/>
      <c r="P36" s="28"/>
      <c r="Q36" s="34"/>
      <c r="S36" s="372" t="str">
        <f>'[1]Exhibit No.__(BDJ-Rate Spread)'!Q35</f>
        <v>Base Rev Adj for Load</v>
      </c>
      <c r="U36" s="209">
        <f>'[1]Exhibit No.__(BDJ-Rate Spread)'!S35</f>
        <v>-531380.25205124728</v>
      </c>
      <c r="V36" s="209">
        <f>'[1]Exhibit No.__(BDJ-Rate Spread)'!T35</f>
        <v>-163747.28065737145</v>
      </c>
      <c r="W36" s="209">
        <f>'[1]Exhibit No.__(BDJ-Rate Spread)'!U35</f>
        <v>0</v>
      </c>
      <c r="X36" s="177"/>
      <c r="Y36" s="209"/>
      <c r="Z36" s="209"/>
      <c r="AA36" s="209"/>
    </row>
    <row r="37" spans="1:27" x14ac:dyDescent="0.2">
      <c r="A37" s="115">
        <f t="shared" si="3"/>
        <v>29</v>
      </c>
      <c r="B37" s="125" t="s">
        <v>446</v>
      </c>
      <c r="C37" s="124"/>
      <c r="D37" s="124"/>
      <c r="E37" s="124"/>
      <c r="F37" s="121"/>
      <c r="G37" s="121"/>
      <c r="H37" s="121"/>
      <c r="I37" s="676">
        <f>'[1]Exhibit No.__(BDJ-Rate Spread)'!I36</f>
        <v>-1.9460701739365947E-2</v>
      </c>
      <c r="J37" s="117"/>
      <c r="K37" s="116"/>
      <c r="P37" s="28"/>
      <c r="Q37" s="28"/>
      <c r="S37" s="372" t="str">
        <f>'[1]Exhibit No.__(BDJ-Rate Spread)'!Q36</f>
        <v>$ to Recover Sch 141N</v>
      </c>
      <c r="U37" s="209">
        <f>'[1]Exhibit No.__(BDJ-Rate Spread)'!S36</f>
        <v>231001843.04979283</v>
      </c>
      <c r="V37" s="209">
        <f>'[1]Exhibit No.__(BDJ-Rate Spread)'!T36</f>
        <v>156949061.28373572</v>
      </c>
      <c r="W37" s="209">
        <f>'[1]Exhibit No.__(BDJ-Rate Spread)'!U36</f>
        <v>0</v>
      </c>
      <c r="X37" s="177"/>
      <c r="Y37" s="209"/>
      <c r="Z37" s="209"/>
      <c r="AA37" s="209"/>
    </row>
    <row r="38" spans="1:27" x14ac:dyDescent="0.2">
      <c r="A38" s="115">
        <f t="shared" si="3"/>
        <v>30</v>
      </c>
      <c r="B38" s="123" t="s">
        <v>447</v>
      </c>
      <c r="C38" s="122"/>
      <c r="D38" s="122"/>
      <c r="E38" s="122"/>
      <c r="F38" s="121"/>
      <c r="G38" s="121"/>
      <c r="H38" s="121"/>
      <c r="I38" s="677">
        <f>'[1]Exhibit No.__(BDJ-Rate Spread)'!I37</f>
        <v>0.98927281021075397</v>
      </c>
      <c r="J38" s="117"/>
      <c r="K38" s="116"/>
      <c r="P38" s="28"/>
      <c r="Q38" s="28"/>
      <c r="S38" s="372"/>
      <c r="U38" s="107"/>
      <c r="V38" s="107"/>
      <c r="W38" s="107"/>
      <c r="Y38" s="107"/>
      <c r="Z38" s="107"/>
      <c r="AA38" s="107"/>
    </row>
    <row r="39" spans="1:27" ht="10.8" thickBot="1" x14ac:dyDescent="0.25">
      <c r="A39" s="115">
        <f t="shared" si="3"/>
        <v>31</v>
      </c>
      <c r="B39" s="120" t="s">
        <v>448</v>
      </c>
      <c r="C39" s="119"/>
      <c r="D39" s="119"/>
      <c r="E39" s="119"/>
      <c r="F39" s="118"/>
      <c r="G39" s="118"/>
      <c r="H39" s="118"/>
      <c r="I39" s="678">
        <f>'[1]Exhibit No.__(BDJ-Rate Spread)'!I38</f>
        <v>-1.925194309837586E-2</v>
      </c>
      <c r="J39" s="117"/>
      <c r="K39" s="116"/>
      <c r="O39" s="28"/>
      <c r="P39" s="28"/>
      <c r="Q39" s="28"/>
      <c r="S39" s="634" t="str">
        <f>'[1]Exhibit No.__(BDJ-Rate Spread)'!Q38</f>
        <v>Rounding Difference</v>
      </c>
      <c r="T39" s="635"/>
      <c r="U39" s="636">
        <f>'[1]Exhibit No.__(BDJ-Rate Spread)'!S38</f>
        <v>-9802.6605399209075</v>
      </c>
      <c r="V39" s="636">
        <f>'[1]Exhibit No.__(BDJ-Rate Spread)'!T38</f>
        <v>29702.351145271678</v>
      </c>
      <c r="W39" s="107">
        <f>'[1]Exhibit No.__(BDJ-Rate Spread)'!U38</f>
        <v>0</v>
      </c>
      <c r="Y39" s="107"/>
      <c r="Z39" s="107"/>
      <c r="AA39" s="107"/>
    </row>
    <row r="40" spans="1:27" x14ac:dyDescent="0.2">
      <c r="A40" s="115"/>
      <c r="B40" s="114"/>
      <c r="C40" s="114"/>
      <c r="D40" s="114"/>
      <c r="E40" s="114"/>
      <c r="F40" s="114"/>
      <c r="G40" s="114"/>
      <c r="O40" s="28"/>
      <c r="P40" s="28"/>
    </row>
    <row r="42" spans="1:27" ht="13.8" x14ac:dyDescent="0.3">
      <c r="A42" s="641" t="s">
        <v>1165</v>
      </c>
    </row>
  </sheetData>
  <mergeCells count="6">
    <mergeCell ref="Y5:AA5"/>
    <mergeCell ref="U5:W5"/>
    <mergeCell ref="A1:AA1"/>
    <mergeCell ref="A2:AA2"/>
    <mergeCell ref="A3:AA3"/>
    <mergeCell ref="A4:AA4"/>
  </mergeCells>
  <printOptions horizontalCentered="1"/>
  <pageMargins left="0.7" right="0.7" top="0.75" bottom="0.82" header="0.3" footer="0.3"/>
  <pageSetup scale="45" orientation="landscape" r:id="rId1"/>
  <headerFooter alignWithMargins="0">
    <oddFooter>&amp;C
&amp;R&amp;F
&amp;A
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Y30"/>
  <sheetViews>
    <sheetView zoomScaleNormal="100" workbookViewId="0">
      <selection activeCell="H13" sqref="H13"/>
    </sheetView>
  </sheetViews>
  <sheetFormatPr defaultColWidth="9.109375" defaultRowHeight="10.199999999999999" x14ac:dyDescent="0.2"/>
  <cols>
    <col min="1" max="1" width="6.109375" style="39" customWidth="1"/>
    <col min="2" max="2" width="8.33203125" style="46" bestFit="1" customWidth="1"/>
    <col min="3" max="3" width="6.5546875" style="39" bestFit="1" customWidth="1"/>
    <col min="4" max="4" width="16.88671875" style="39" bestFit="1" customWidth="1"/>
    <col min="5" max="5" width="9.88671875" style="39" bestFit="1" customWidth="1"/>
    <col min="6" max="6" width="10.109375" style="39" bestFit="1" customWidth="1"/>
    <col min="7" max="7" width="9.88671875" style="39" bestFit="1" customWidth="1"/>
    <col min="8" max="8" width="10.88671875" style="39" customWidth="1"/>
    <col min="9" max="9" width="10.33203125" style="39" bestFit="1" customWidth="1"/>
    <col min="10" max="10" width="10.5546875" style="39" bestFit="1" customWidth="1"/>
    <col min="11" max="11" width="11" style="39" customWidth="1"/>
    <col min="12" max="12" width="7.88671875" style="39" bestFit="1" customWidth="1"/>
    <col min="13" max="13" width="13.109375" style="39" customWidth="1"/>
    <col min="14" max="15" width="8.6640625" style="39" bestFit="1" customWidth="1"/>
    <col min="16" max="16" width="0.88671875" style="39" customWidth="1"/>
    <col min="17" max="17" width="6.109375" style="39" customWidth="1"/>
    <col min="18" max="19" width="9.109375" style="39"/>
    <col min="20" max="20" width="16.88671875" style="39" bestFit="1" customWidth="1"/>
    <col min="21" max="21" width="9.88671875" style="39" bestFit="1" customWidth="1"/>
    <col min="22" max="22" width="8.44140625" style="39" customWidth="1"/>
    <col min="23" max="23" width="12.88671875" style="39" customWidth="1"/>
    <col min="24" max="24" width="8.6640625" style="39" bestFit="1" customWidth="1"/>
    <col min="25" max="25" width="12.6640625" style="39" customWidth="1"/>
    <col min="26" max="26" width="10.33203125" style="39" bestFit="1" customWidth="1"/>
    <col min="27" max="27" width="12" style="39" customWidth="1"/>
    <col min="28" max="28" width="8.6640625" style="39" bestFit="1" customWidth="1"/>
    <col min="29" max="29" width="11.44140625" style="39" customWidth="1"/>
    <col min="30" max="30" width="7.88671875" style="39" bestFit="1" customWidth="1"/>
    <col min="31" max="31" width="11.88671875" style="39" customWidth="1"/>
    <col min="32" max="33" width="8.6640625" style="39" bestFit="1" customWidth="1"/>
    <col min="34" max="34" width="0.88671875" style="39" customWidth="1"/>
    <col min="35" max="35" width="5.88671875" style="39" customWidth="1"/>
    <col min="36" max="37" width="9.109375" style="39"/>
    <col min="38" max="38" width="16.88671875" style="39" bestFit="1" customWidth="1"/>
    <col min="39" max="39" width="9.88671875" style="39" bestFit="1" customWidth="1"/>
    <col min="40" max="40" width="9" style="39" bestFit="1" customWidth="1"/>
    <col min="41" max="41" width="10.88671875" style="39" customWidth="1"/>
    <col min="42" max="42" width="8.6640625" style="39" bestFit="1" customWidth="1"/>
    <col min="43" max="43" width="11.33203125" style="39" customWidth="1"/>
    <col min="44" max="44" width="10.33203125" style="39" bestFit="1" customWidth="1"/>
    <col min="45" max="45" width="11.44140625" style="39" customWidth="1"/>
    <col min="46" max="46" width="8.6640625" style="39" bestFit="1" customWidth="1"/>
    <col min="47" max="47" width="12.109375" style="39" customWidth="1"/>
    <col min="48" max="48" width="7.88671875" style="39" bestFit="1" customWidth="1"/>
    <col min="49" max="49" width="11.6640625" style="39" customWidth="1"/>
    <col min="50" max="51" width="8.6640625" style="39" bestFit="1" customWidth="1"/>
    <col min="52" max="16384" width="9.109375" style="39"/>
  </cols>
  <sheetData>
    <row r="1" spans="1:51" x14ac:dyDescent="0.2">
      <c r="A1" s="736" t="str">
        <f>'BDJ-6 Base Revenue (Summary)'!A1:I1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Q1" s="736" t="str">
        <f>A1</f>
        <v>Puget Sound Energy</v>
      </c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I1" s="736" t="str">
        <f>Q1</f>
        <v>Puget Sound Energy</v>
      </c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</row>
    <row r="2" spans="1:51" x14ac:dyDescent="0.2">
      <c r="A2" s="736" t="s">
        <v>1074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Q2" s="736" t="str">
        <f>A2</f>
        <v>ProForma Proposed Revenue</v>
      </c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I2" s="736" t="str">
        <f>Q2</f>
        <v>ProForma Proposed Revenue</v>
      </c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</row>
    <row r="3" spans="1:51" x14ac:dyDescent="0.2">
      <c r="A3" s="736" t="str">
        <f>'BDJ-6 Base Revenue (Summary)'!A4:I4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Q3" s="736" t="str">
        <f>A3</f>
        <v>2022 General Rate Case (GRC)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I3" s="736" t="str">
        <f>Q3</f>
        <v>2022 General Rate Case (GRC)</v>
      </c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</row>
    <row r="4" spans="1:51" x14ac:dyDescent="0.2">
      <c r="A4" s="736" t="str">
        <f>'BDJ-6 Base Revenue (Summary)'!A5:I5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Q4" s="736" t="str">
        <f>A4</f>
        <v>Test Year Ending June 30, 2021</v>
      </c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I4" s="736" t="str">
        <f>Q4</f>
        <v>Test Year Ending June 30, 2021</v>
      </c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</row>
    <row r="5" spans="1:51" x14ac:dyDescent="0.2">
      <c r="A5" s="736" t="s">
        <v>473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Q5" s="736" t="str">
        <f>A5</f>
        <v>Schedule 50 - Limited Street Lighting Service</v>
      </c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I5" s="736" t="str">
        <f>Q5</f>
        <v>Schedule 50 - Limited Street Lighting Service</v>
      </c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</row>
    <row r="6" spans="1:51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Q6" s="736" t="s">
        <v>882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I6" s="736" t="s">
        <v>881</v>
      </c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</row>
    <row r="7" spans="1:51" x14ac:dyDescent="0.2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</row>
    <row r="8" spans="1:51" ht="14.25" customHeight="1" x14ac:dyDescent="0.3">
      <c r="A8" s="260"/>
      <c r="B8" s="260"/>
      <c r="C8" s="260"/>
      <c r="D8" s="260"/>
      <c r="E8" s="260"/>
      <c r="F8" s="260"/>
      <c r="G8" s="260"/>
      <c r="H8" s="260"/>
      <c r="I8" s="260"/>
      <c r="J8" s="765" t="s">
        <v>653</v>
      </c>
      <c r="K8" s="782"/>
      <c r="L8" s="782"/>
      <c r="M8" s="782"/>
      <c r="N8" s="782"/>
      <c r="O8" s="783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765" t="s">
        <v>653</v>
      </c>
      <c r="AC8" s="782"/>
      <c r="AD8" s="782"/>
      <c r="AE8" s="782"/>
      <c r="AF8" s="782"/>
      <c r="AG8" s="783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765" t="s">
        <v>653</v>
      </c>
      <c r="AU8" s="782"/>
      <c r="AV8" s="782"/>
      <c r="AW8" s="782"/>
      <c r="AX8" s="782"/>
      <c r="AY8" s="783"/>
    </row>
    <row r="9" spans="1:51" s="626" customFormat="1" ht="71.400000000000006" x14ac:dyDescent="0.2">
      <c r="A9" s="632" t="s">
        <v>1</v>
      </c>
      <c r="B9" s="632" t="s">
        <v>53</v>
      </c>
      <c r="C9" s="631" t="s">
        <v>66</v>
      </c>
      <c r="D9" s="632" t="s">
        <v>67</v>
      </c>
      <c r="E9" s="632" t="s">
        <v>889</v>
      </c>
      <c r="F9" s="374" t="str">
        <f>'WP2 Current Light Rates'!E8</f>
        <v>Base Rates
Effective
10-1-2021</v>
      </c>
      <c r="G9" s="632" t="s">
        <v>880</v>
      </c>
      <c r="H9" s="632" t="s">
        <v>1191</v>
      </c>
      <c r="I9" s="631" t="s">
        <v>886</v>
      </c>
      <c r="J9" s="631" t="s">
        <v>879</v>
      </c>
      <c r="K9" s="81" t="s">
        <v>1192</v>
      </c>
      <c r="L9" s="632" t="s">
        <v>878</v>
      </c>
      <c r="M9" s="81" t="s">
        <v>1193</v>
      </c>
      <c r="N9" s="632" t="s">
        <v>887</v>
      </c>
      <c r="O9" s="632" t="s">
        <v>958</v>
      </c>
      <c r="Q9" s="632" t="s">
        <v>1</v>
      </c>
      <c r="R9" s="632" t="s">
        <v>53</v>
      </c>
      <c r="S9" s="631" t="s">
        <v>66</v>
      </c>
      <c r="T9" s="632" t="s">
        <v>67</v>
      </c>
      <c r="U9" s="632" t="s">
        <v>889</v>
      </c>
      <c r="V9" s="374" t="s">
        <v>888</v>
      </c>
      <c r="W9" s="632" t="s">
        <v>1194</v>
      </c>
      <c r="X9" s="632" t="s">
        <v>880</v>
      </c>
      <c r="Y9" s="632" t="s">
        <v>1191</v>
      </c>
      <c r="Z9" s="631" t="s">
        <v>886</v>
      </c>
      <c r="AA9" s="632" t="s">
        <v>1195</v>
      </c>
      <c r="AB9" s="631" t="s">
        <v>879</v>
      </c>
      <c r="AC9" s="632" t="s">
        <v>1192</v>
      </c>
      <c r="AD9" s="632" t="s">
        <v>878</v>
      </c>
      <c r="AE9" s="632" t="s">
        <v>1196</v>
      </c>
      <c r="AF9" s="632" t="s">
        <v>887</v>
      </c>
      <c r="AG9" s="632" t="s">
        <v>958</v>
      </c>
      <c r="AI9" s="632" t="s">
        <v>1</v>
      </c>
      <c r="AJ9" s="632" t="s">
        <v>53</v>
      </c>
      <c r="AK9" s="631" t="s">
        <v>66</v>
      </c>
      <c r="AL9" s="632" t="s">
        <v>67</v>
      </c>
      <c r="AM9" s="632" t="s">
        <v>889</v>
      </c>
      <c r="AN9" s="374" t="s">
        <v>885</v>
      </c>
      <c r="AO9" s="632" t="s">
        <v>1197</v>
      </c>
      <c r="AP9" s="632" t="s">
        <v>880</v>
      </c>
      <c r="AQ9" s="632" t="s">
        <v>1191</v>
      </c>
      <c r="AR9" s="631" t="s">
        <v>886</v>
      </c>
      <c r="AS9" s="632" t="s">
        <v>1195</v>
      </c>
      <c r="AT9" s="631" t="s">
        <v>879</v>
      </c>
      <c r="AU9" s="632" t="s">
        <v>1192</v>
      </c>
      <c r="AV9" s="632" t="s">
        <v>878</v>
      </c>
      <c r="AW9" s="632" t="s">
        <v>1193</v>
      </c>
      <c r="AX9" s="632" t="s">
        <v>887</v>
      </c>
      <c r="AY9" s="632" t="s">
        <v>958</v>
      </c>
    </row>
    <row r="10" spans="1:51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169" t="s">
        <v>13</v>
      </c>
      <c r="Q10" s="98"/>
      <c r="R10" s="98" t="s">
        <v>3</v>
      </c>
      <c r="S10" s="169" t="s">
        <v>4</v>
      </c>
      <c r="T10" s="169" t="s">
        <v>5</v>
      </c>
      <c r="U10" s="169" t="s">
        <v>6</v>
      </c>
      <c r="V10" s="169" t="s">
        <v>390</v>
      </c>
      <c r="W10" s="169" t="s">
        <v>21</v>
      </c>
      <c r="X10" s="169" t="s">
        <v>8</v>
      </c>
      <c r="Y10" s="169" t="s">
        <v>9</v>
      </c>
      <c r="Z10" s="169" t="s">
        <v>22</v>
      </c>
      <c r="AA10" s="169" t="s">
        <v>23</v>
      </c>
      <c r="AB10" s="169" t="s">
        <v>10</v>
      </c>
      <c r="AC10" s="169" t="s">
        <v>11</v>
      </c>
      <c r="AD10" s="169" t="s">
        <v>12</v>
      </c>
      <c r="AE10" s="169" t="s">
        <v>13</v>
      </c>
      <c r="AF10" s="169" t="s">
        <v>14</v>
      </c>
      <c r="AG10" s="169" t="s">
        <v>877</v>
      </c>
      <c r="AI10" s="98"/>
      <c r="AJ10" s="98" t="s">
        <v>3</v>
      </c>
      <c r="AK10" s="169" t="s">
        <v>4</v>
      </c>
      <c r="AL10" s="169" t="s">
        <v>5</v>
      </c>
      <c r="AM10" s="169" t="s">
        <v>6</v>
      </c>
      <c r="AN10" s="169" t="s">
        <v>390</v>
      </c>
      <c r="AO10" s="169" t="s">
        <v>21</v>
      </c>
      <c r="AP10" s="169" t="s">
        <v>8</v>
      </c>
      <c r="AQ10" s="169" t="s">
        <v>9</v>
      </c>
      <c r="AR10" s="169" t="s">
        <v>22</v>
      </c>
      <c r="AS10" s="169" t="s">
        <v>23</v>
      </c>
      <c r="AT10" s="169" t="s">
        <v>10</v>
      </c>
      <c r="AU10" s="169" t="s">
        <v>11</v>
      </c>
      <c r="AV10" s="169" t="s">
        <v>12</v>
      </c>
      <c r="AW10" s="169" t="s">
        <v>13</v>
      </c>
      <c r="AX10" s="169" t="s">
        <v>14</v>
      </c>
      <c r="AY10" s="169" t="s">
        <v>877</v>
      </c>
    </row>
    <row r="11" spans="1:51" s="627" customFormat="1" ht="20.399999999999999" x14ac:dyDescent="0.2">
      <c r="A11" s="98" t="s">
        <v>396</v>
      </c>
      <c r="B11" s="98"/>
      <c r="C11" s="169"/>
      <c r="D11" s="169"/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416</v>
      </c>
      <c r="J11" s="169" t="s">
        <v>483</v>
      </c>
      <c r="K11" s="169" t="s">
        <v>484</v>
      </c>
      <c r="L11" s="169" t="s">
        <v>492</v>
      </c>
      <c r="M11" s="169" t="s">
        <v>398</v>
      </c>
      <c r="N11" s="169" t="s">
        <v>399</v>
      </c>
      <c r="O11" s="169" t="s">
        <v>876</v>
      </c>
      <c r="Q11" s="98" t="s">
        <v>396</v>
      </c>
      <c r="R11" s="98"/>
      <c r="S11" s="169"/>
      <c r="T11" s="169"/>
      <c r="U11" s="169" t="s">
        <v>397</v>
      </c>
      <c r="V11" s="169" t="s">
        <v>397</v>
      </c>
      <c r="W11" s="169" t="s">
        <v>397</v>
      </c>
      <c r="X11" s="169" t="s">
        <v>397</v>
      </c>
      <c r="Y11" s="169" t="s">
        <v>397</v>
      </c>
      <c r="Z11" s="169" t="s">
        <v>416</v>
      </c>
      <c r="AA11" s="169" t="s">
        <v>483</v>
      </c>
      <c r="AB11" s="169" t="s">
        <v>484</v>
      </c>
      <c r="AC11" s="169" t="s">
        <v>875</v>
      </c>
      <c r="AD11" s="169" t="s">
        <v>493</v>
      </c>
      <c r="AE11" s="169" t="s">
        <v>874</v>
      </c>
      <c r="AF11" s="169" t="s">
        <v>873</v>
      </c>
      <c r="AG11" s="169" t="s">
        <v>872</v>
      </c>
      <c r="AI11" s="98" t="s">
        <v>396</v>
      </c>
      <c r="AJ11" s="98"/>
      <c r="AK11" s="169"/>
      <c r="AL11" s="169"/>
      <c r="AM11" s="169" t="s">
        <v>397</v>
      </c>
      <c r="AN11" s="169" t="s">
        <v>397</v>
      </c>
      <c r="AO11" s="169" t="s">
        <v>397</v>
      </c>
      <c r="AP11" s="169" t="s">
        <v>397</v>
      </c>
      <c r="AQ11" s="169" t="s">
        <v>397</v>
      </c>
      <c r="AR11" s="169" t="s">
        <v>416</v>
      </c>
      <c r="AS11" s="169" t="s">
        <v>483</v>
      </c>
      <c r="AT11" s="169" t="s">
        <v>484</v>
      </c>
      <c r="AU11" s="169" t="s">
        <v>875</v>
      </c>
      <c r="AV11" s="169" t="s">
        <v>493</v>
      </c>
      <c r="AW11" s="169" t="s">
        <v>874</v>
      </c>
      <c r="AX11" s="169" t="s">
        <v>873</v>
      </c>
      <c r="AY11" s="169" t="s">
        <v>872</v>
      </c>
    </row>
    <row r="12" spans="1:51" s="627" customFormat="1" x14ac:dyDescent="0.2">
      <c r="A12" s="98"/>
      <c r="B12" s="9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Q12" s="98"/>
      <c r="R12" s="98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I12" s="98"/>
      <c r="AJ12" s="98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</row>
    <row r="13" spans="1:51" s="627" customFormat="1" x14ac:dyDescent="0.2">
      <c r="A13" s="630">
        <v>1</v>
      </c>
      <c r="B13" s="129" t="s">
        <v>871</v>
      </c>
      <c r="C13" s="165">
        <v>22</v>
      </c>
      <c r="D13" s="170" t="s">
        <v>928</v>
      </c>
      <c r="E13" s="35">
        <f>'WP1 Light Inventory'!J9</f>
        <v>59</v>
      </c>
      <c r="F13" s="330">
        <f>'WP2 Current Light Rates'!E10</f>
        <v>0.7</v>
      </c>
      <c r="G13" s="330">
        <f>'BDJ-6 Combined Charges'!K12</f>
        <v>0.64999999999999991</v>
      </c>
      <c r="H13" s="330">
        <f>'Sch 141A Lighting Tariff'!J10+'Sch 141C Lighting Tariff'!J10+'Sch 141N Lighting Tariff'!J12+'Sch 141R Lighting Tariff'!J12+G13</f>
        <v>1.0699999999999998</v>
      </c>
      <c r="I13" s="209">
        <f>(+F13*$E13*12)</f>
        <v>495.59999999999997</v>
      </c>
      <c r="J13" s="209">
        <f>(+G13*$E13*12)</f>
        <v>460.19999999999993</v>
      </c>
      <c r="K13" s="209">
        <f>(H13)*E13*12</f>
        <v>757.55999999999983</v>
      </c>
      <c r="L13" s="209">
        <f>+J13-I13</f>
        <v>-35.400000000000034</v>
      </c>
      <c r="M13" s="209">
        <f>+K13-I13</f>
        <v>261.95999999999987</v>
      </c>
      <c r="N13" s="36">
        <f>IF(+L13=0,"0%",L13/I13)</f>
        <v>-7.1428571428571508E-2</v>
      </c>
      <c r="O13" s="36">
        <f>IF(+M13=0,"0%",M13/I13)</f>
        <v>0.52857142857142836</v>
      </c>
      <c r="Q13" s="630">
        <v>1</v>
      </c>
      <c r="R13" s="129" t="s">
        <v>871</v>
      </c>
      <c r="S13" s="165">
        <v>22</v>
      </c>
      <c r="T13" s="170" t="s">
        <v>928</v>
      </c>
      <c r="U13" s="35">
        <f>E13</f>
        <v>59</v>
      </c>
      <c r="V13" s="330">
        <f>G13</f>
        <v>0.64999999999999991</v>
      </c>
      <c r="W13" s="330">
        <f>H13</f>
        <v>1.0699999999999998</v>
      </c>
      <c r="X13" s="330">
        <f>V13</f>
        <v>0.64999999999999991</v>
      </c>
      <c r="Y13" s="330">
        <f>'Sch 141A Lighting Tariff'!N10+'Sch 141C Lighting Tariff'!N10+'Sch 141N Lighting Tariff'!N12+'Sch 141R Lighting Tariff'!N12+X13</f>
        <v>1.1399999999999999</v>
      </c>
      <c r="Z13" s="209">
        <f>(+V13*$U13*12)</f>
        <v>460.19999999999993</v>
      </c>
      <c r="AA13" s="209">
        <f>(+W13*$U13*12)</f>
        <v>757.55999999999983</v>
      </c>
      <c r="AB13" s="209">
        <f>(+X13*$U13*12)</f>
        <v>460.19999999999993</v>
      </c>
      <c r="AC13" s="209">
        <f>(+Y13*$U13*12)</f>
        <v>807.11999999999989</v>
      </c>
      <c r="AD13" s="209">
        <f>+AB13-Z13</f>
        <v>0</v>
      </c>
      <c r="AE13" s="209">
        <f>+AC13-AA13</f>
        <v>49.560000000000059</v>
      </c>
      <c r="AF13" s="36" t="str">
        <f>IF(+AD13=0,"0%",AD13/Z13)</f>
        <v>0%</v>
      </c>
      <c r="AG13" s="36">
        <f>IF(+AE13=0,"0%",AE13/AA13)</f>
        <v>6.5420560747663642E-2</v>
      </c>
      <c r="AI13" s="630">
        <v>1</v>
      </c>
      <c r="AJ13" s="129" t="s">
        <v>871</v>
      </c>
      <c r="AK13" s="165">
        <v>22</v>
      </c>
      <c r="AL13" s="170" t="s">
        <v>928</v>
      </c>
      <c r="AM13" s="35"/>
      <c r="AN13" s="330"/>
      <c r="AO13" s="330"/>
      <c r="AP13" s="330"/>
      <c r="AQ13" s="330"/>
      <c r="AR13" s="209"/>
      <c r="AS13" s="209"/>
      <c r="AT13" s="209"/>
      <c r="AU13" s="209"/>
      <c r="AV13" s="209"/>
      <c r="AW13" s="209"/>
      <c r="AX13" s="36"/>
      <c r="AY13" s="36"/>
    </row>
    <row r="14" spans="1:51" s="627" customFormat="1" x14ac:dyDescent="0.2">
      <c r="A14" s="630">
        <f>+A13+1</f>
        <v>2</v>
      </c>
      <c r="B14" s="630" t="str">
        <f>B13</f>
        <v>3E</v>
      </c>
      <c r="C14" s="368"/>
      <c r="D14" s="368" t="str">
        <f>D13</f>
        <v>Compact Fluorescent</v>
      </c>
      <c r="E14" s="368">
        <f>SUM(E12:E13)</f>
        <v>59</v>
      </c>
      <c r="F14" s="42"/>
      <c r="G14" s="42"/>
      <c r="H14" s="42"/>
      <c r="I14" s="266">
        <f>SUM(I12:I13)</f>
        <v>495.59999999999997</v>
      </c>
      <c r="J14" s="266">
        <f>SUM(J12:J13)</f>
        <v>460.19999999999993</v>
      </c>
      <c r="K14" s="266">
        <f>SUM(K12:K13)</f>
        <v>757.55999999999983</v>
      </c>
      <c r="L14" s="266">
        <f>SUM(L12:L13)</f>
        <v>-35.400000000000034</v>
      </c>
      <c r="M14" s="266">
        <f>SUM(M12:M13)</f>
        <v>261.95999999999987</v>
      </c>
      <c r="N14" s="267">
        <f>IF(+L14=0,"0%",L14/I14)</f>
        <v>-7.1428571428571508E-2</v>
      </c>
      <c r="O14" s="267">
        <f>IF(+M14=0,"0%",M14/I14)</f>
        <v>0.52857142857142836</v>
      </c>
      <c r="Q14" s="630">
        <f>+Q13+1</f>
        <v>2</v>
      </c>
      <c r="R14" s="630" t="str">
        <f>R13</f>
        <v>3E</v>
      </c>
      <c r="S14" s="368"/>
      <c r="T14" s="368" t="str">
        <f>T13</f>
        <v>Compact Fluorescent</v>
      </c>
      <c r="U14" s="368">
        <f>SUM(U12:U13)</f>
        <v>59</v>
      </c>
      <c r="V14" s="42"/>
      <c r="W14" s="42"/>
      <c r="X14" s="42"/>
      <c r="Y14" s="42"/>
      <c r="Z14" s="266">
        <f t="shared" ref="Z14:AE14" si="0">SUM(Z12:Z13)</f>
        <v>460.19999999999993</v>
      </c>
      <c r="AA14" s="266">
        <f t="shared" si="0"/>
        <v>757.55999999999983</v>
      </c>
      <c r="AB14" s="266">
        <f t="shared" si="0"/>
        <v>460.19999999999993</v>
      </c>
      <c r="AC14" s="266">
        <f t="shared" si="0"/>
        <v>807.11999999999989</v>
      </c>
      <c r="AD14" s="266">
        <f t="shared" si="0"/>
        <v>0</v>
      </c>
      <c r="AE14" s="266">
        <f t="shared" si="0"/>
        <v>49.560000000000059</v>
      </c>
      <c r="AF14" s="267" t="str">
        <f>IF(+AD14=0,"0%",AD14/Z14)</f>
        <v>0%</v>
      </c>
      <c r="AG14" s="267">
        <f>IF(+AE14=0,"0%",AE14/AA14)</f>
        <v>6.5420560747663642E-2</v>
      </c>
      <c r="AI14" s="630">
        <f>+AI13+1</f>
        <v>2</v>
      </c>
      <c r="AJ14" s="630" t="str">
        <f>AJ13</f>
        <v>3E</v>
      </c>
      <c r="AK14" s="368"/>
      <c r="AL14" s="368" t="str">
        <f>AL13</f>
        <v>Compact Fluorescent</v>
      </c>
      <c r="AM14" s="368"/>
      <c r="AN14" s="42"/>
      <c r="AO14" s="42"/>
      <c r="AP14" s="42"/>
      <c r="AQ14" s="42"/>
      <c r="AR14" s="266"/>
      <c r="AS14" s="266"/>
      <c r="AT14" s="266"/>
      <c r="AU14" s="266"/>
      <c r="AV14" s="266"/>
      <c r="AW14" s="266"/>
      <c r="AX14" s="267"/>
      <c r="AY14" s="267"/>
    </row>
    <row r="15" spans="1:51" s="627" customFormat="1" x14ac:dyDescent="0.2">
      <c r="A15" s="630">
        <f>+A14+1</f>
        <v>3</v>
      </c>
      <c r="B15" s="98"/>
      <c r="C15" s="169"/>
      <c r="D15" s="169"/>
      <c r="E15" s="364"/>
      <c r="F15" s="496"/>
      <c r="G15" s="330"/>
      <c r="H15" s="330"/>
      <c r="I15" s="295"/>
      <c r="J15" s="295"/>
      <c r="K15" s="209"/>
      <c r="L15" s="295"/>
      <c r="M15" s="209"/>
      <c r="N15" s="247"/>
      <c r="O15" s="268"/>
      <c r="Q15" s="630">
        <f>+Q14+1</f>
        <v>3</v>
      </c>
      <c r="R15" s="98"/>
      <c r="S15" s="169"/>
      <c r="T15" s="169"/>
      <c r="U15" s="364"/>
      <c r="V15" s="496"/>
      <c r="W15" s="330"/>
      <c r="X15" s="330"/>
      <c r="Y15" s="330"/>
      <c r="Z15" s="295"/>
      <c r="AA15" s="209"/>
      <c r="AB15" s="295"/>
      <c r="AC15" s="209"/>
      <c r="AD15" s="295"/>
      <c r="AE15" s="209"/>
      <c r="AF15" s="247"/>
      <c r="AG15" s="268"/>
      <c r="AI15" s="630">
        <f>+AI14+1</f>
        <v>3</v>
      </c>
      <c r="AJ15" s="98"/>
      <c r="AK15" s="169"/>
      <c r="AL15" s="169"/>
      <c r="AM15" s="364"/>
      <c r="AN15" s="496"/>
      <c r="AO15" s="330"/>
      <c r="AP15" s="330"/>
      <c r="AQ15" s="330"/>
      <c r="AR15" s="295"/>
      <c r="AS15" s="209"/>
      <c r="AT15" s="295"/>
      <c r="AU15" s="209"/>
      <c r="AV15" s="295"/>
      <c r="AW15" s="209"/>
      <c r="AX15" s="247"/>
      <c r="AY15" s="268"/>
    </row>
    <row r="16" spans="1:51" s="177" customFormat="1" x14ac:dyDescent="0.2">
      <c r="A16" s="630">
        <f>+A15+1</f>
        <v>4</v>
      </c>
      <c r="B16" s="630" t="s">
        <v>55</v>
      </c>
      <c r="C16" s="426">
        <v>100</v>
      </c>
      <c r="D16" s="426" t="s">
        <v>74</v>
      </c>
      <c r="E16" s="426">
        <f>'WP1 Light Inventory'!J11</f>
        <v>2</v>
      </c>
      <c r="F16" s="330">
        <f>'WP2 Current Light Rates'!E12</f>
        <v>4.82</v>
      </c>
      <c r="G16" s="330">
        <f>'BDJ-6 Combined Charges'!K14</f>
        <v>5.2</v>
      </c>
      <c r="H16" s="330">
        <f>'Sch 141A Lighting Tariff'!J12+'Sch 141C Lighting Tariff'!J12+'Sch 141N Lighting Tariff'!J14+'Sch 141R Lighting Tariff'!J14+G16</f>
        <v>7.1400000000000006</v>
      </c>
      <c r="I16" s="209">
        <f t="shared" ref="I16:I18" si="1">(+F16*$E16*12)</f>
        <v>115.68</v>
      </c>
      <c r="J16" s="209">
        <f t="shared" ref="J16:J18" si="2">(+G16*$E16*12)</f>
        <v>124.80000000000001</v>
      </c>
      <c r="K16" s="209">
        <f t="shared" ref="K16:K18" si="3">(H16)*E16*12</f>
        <v>171.36</v>
      </c>
      <c r="L16" s="209">
        <f t="shared" ref="L16:L18" si="4">+J16-I16</f>
        <v>9.1200000000000045</v>
      </c>
      <c r="M16" s="209">
        <f t="shared" ref="M16:M18" si="5">+K16-I16</f>
        <v>55.680000000000007</v>
      </c>
      <c r="N16" s="36">
        <f t="shared" ref="N16:N18" si="6">IF(+L16=0,"0%",L16/I16)</f>
        <v>7.883817427385896E-2</v>
      </c>
      <c r="O16" s="36">
        <f t="shared" ref="O16:O18" si="7">IF(+M16=0,"0%",M16/I16)</f>
        <v>0.48132780082987553</v>
      </c>
      <c r="Q16" s="630">
        <f>+Q15+1</f>
        <v>4</v>
      </c>
      <c r="R16" s="630" t="s">
        <v>55</v>
      </c>
      <c r="S16" s="426">
        <v>100</v>
      </c>
      <c r="T16" s="426" t="s">
        <v>74</v>
      </c>
      <c r="U16" s="35">
        <f>E16</f>
        <v>2</v>
      </c>
      <c r="V16" s="330">
        <f t="shared" ref="V16:W18" si="8">G16</f>
        <v>5.2</v>
      </c>
      <c r="W16" s="330">
        <f t="shared" si="8"/>
        <v>7.1400000000000006</v>
      </c>
      <c r="X16" s="330">
        <f>V16</f>
        <v>5.2</v>
      </c>
      <c r="Y16" s="330">
        <f>'Sch 141A Lighting Tariff'!N12+'Sch 141C Lighting Tariff'!N12+'Sch 141N Lighting Tariff'!N14+'Sch 141R Lighting Tariff'!N14+X16</f>
        <v>7.4</v>
      </c>
      <c r="Z16" s="209">
        <f t="shared" ref="Z16:Z18" si="9">(+V16*$U16*12)</f>
        <v>124.80000000000001</v>
      </c>
      <c r="AA16" s="209">
        <f t="shared" ref="AA16:AA18" si="10">(+W16*$U16*12)</f>
        <v>171.36</v>
      </c>
      <c r="AB16" s="209">
        <f t="shared" ref="AB16:AB18" si="11">(+X16*$U16*12)</f>
        <v>124.80000000000001</v>
      </c>
      <c r="AC16" s="209">
        <f t="shared" ref="AC16:AC18" si="12">(+Y16*$U16*12)</f>
        <v>177.60000000000002</v>
      </c>
      <c r="AD16" s="209">
        <f t="shared" ref="AD16:AD18" si="13">+AB16-Z16</f>
        <v>0</v>
      </c>
      <c r="AE16" s="209">
        <f t="shared" ref="AE16:AE18" si="14">+AC16-AA16</f>
        <v>6.2400000000000091</v>
      </c>
      <c r="AF16" s="36" t="str">
        <f t="shared" ref="AF16:AF18" si="15">IF(+AD16=0,"0%",AD16/Z16)</f>
        <v>0%</v>
      </c>
      <c r="AG16" s="36">
        <f t="shared" ref="AG16:AG18" si="16">IF(+AE16=0,"0%",AE16/AA16)</f>
        <v>3.6414565826330583E-2</v>
      </c>
      <c r="AI16" s="630">
        <f>+AI15+1</f>
        <v>4</v>
      </c>
      <c r="AJ16" s="630" t="s">
        <v>55</v>
      </c>
      <c r="AK16" s="426">
        <v>100</v>
      </c>
      <c r="AL16" s="426" t="s">
        <v>74</v>
      </c>
      <c r="AM16" s="35"/>
      <c r="AN16" s="330"/>
      <c r="AO16" s="330"/>
      <c r="AP16" s="330"/>
      <c r="AQ16" s="330"/>
      <c r="AR16" s="209"/>
      <c r="AS16" s="209"/>
      <c r="AT16" s="209"/>
      <c r="AU16" s="209"/>
      <c r="AV16" s="209"/>
      <c r="AW16" s="209"/>
      <c r="AX16" s="36"/>
      <c r="AY16" s="36"/>
    </row>
    <row r="17" spans="1:51" s="177" customFormat="1" x14ac:dyDescent="0.2">
      <c r="A17" s="630">
        <f>+A16+1</f>
        <v>5</v>
      </c>
      <c r="B17" s="630" t="str">
        <f>+B16</f>
        <v>50E-A</v>
      </c>
      <c r="C17" s="426">
        <v>175</v>
      </c>
      <c r="D17" s="426" t="str">
        <f>+D16</f>
        <v>Mercury Vapor</v>
      </c>
      <c r="E17" s="426">
        <f>'WP1 Light Inventory'!J12</f>
        <v>19</v>
      </c>
      <c r="F17" s="330">
        <f>'WP2 Current Light Rates'!E13</f>
        <v>7.21</v>
      </c>
      <c r="G17" s="330">
        <f>'BDJ-6 Combined Charges'!K15</f>
        <v>7.3999999999999995</v>
      </c>
      <c r="H17" s="330">
        <f>'Sch 141A Lighting Tariff'!J13+'Sch 141C Lighting Tariff'!J13+'Sch 141N Lighting Tariff'!J15+'Sch 141R Lighting Tariff'!J15+G17</f>
        <v>10.8</v>
      </c>
      <c r="I17" s="209">
        <f t="shared" si="1"/>
        <v>1643.88</v>
      </c>
      <c r="J17" s="209">
        <f t="shared" si="2"/>
        <v>1687.1999999999998</v>
      </c>
      <c r="K17" s="209">
        <f t="shared" si="3"/>
        <v>2462.4</v>
      </c>
      <c r="L17" s="209">
        <f t="shared" si="4"/>
        <v>43.319999999999709</v>
      </c>
      <c r="M17" s="209">
        <f t="shared" si="5"/>
        <v>818.52</v>
      </c>
      <c r="N17" s="36">
        <f t="shared" si="6"/>
        <v>2.635228848821064E-2</v>
      </c>
      <c r="O17" s="36">
        <f t="shared" si="7"/>
        <v>0.4979195561719833</v>
      </c>
      <c r="Q17" s="630">
        <f>+Q16+1</f>
        <v>5</v>
      </c>
      <c r="R17" s="630" t="str">
        <f>+R16</f>
        <v>50E-A</v>
      </c>
      <c r="S17" s="426">
        <v>175</v>
      </c>
      <c r="T17" s="426" t="str">
        <f>+T16</f>
        <v>Mercury Vapor</v>
      </c>
      <c r="U17" s="35">
        <f>E17</f>
        <v>19</v>
      </c>
      <c r="V17" s="330">
        <f t="shared" si="8"/>
        <v>7.3999999999999995</v>
      </c>
      <c r="W17" s="330">
        <f t="shared" si="8"/>
        <v>10.8</v>
      </c>
      <c r="X17" s="330">
        <f>V17</f>
        <v>7.3999999999999995</v>
      </c>
      <c r="Y17" s="330">
        <f>'Sch 141A Lighting Tariff'!N13+'Sch 141C Lighting Tariff'!N13+'Sch 141N Lighting Tariff'!N15+'Sch 141R Lighting Tariff'!N15+X17</f>
        <v>11.26</v>
      </c>
      <c r="Z17" s="209">
        <f t="shared" si="9"/>
        <v>1687.1999999999998</v>
      </c>
      <c r="AA17" s="209">
        <f t="shared" si="10"/>
        <v>2462.4</v>
      </c>
      <c r="AB17" s="209">
        <f t="shared" si="11"/>
        <v>1687.1999999999998</v>
      </c>
      <c r="AC17" s="209">
        <f t="shared" si="12"/>
        <v>2567.2799999999997</v>
      </c>
      <c r="AD17" s="209">
        <f t="shared" si="13"/>
        <v>0</v>
      </c>
      <c r="AE17" s="209">
        <f t="shared" si="14"/>
        <v>104.87999999999965</v>
      </c>
      <c r="AF17" s="36" t="str">
        <f t="shared" si="15"/>
        <v>0%</v>
      </c>
      <c r="AG17" s="36">
        <f t="shared" si="16"/>
        <v>4.2592592592592453E-2</v>
      </c>
      <c r="AI17" s="630">
        <f>+AI16+1</f>
        <v>5</v>
      </c>
      <c r="AJ17" s="630" t="str">
        <f>+AJ16</f>
        <v>50E-A</v>
      </c>
      <c r="AK17" s="426">
        <v>175</v>
      </c>
      <c r="AL17" s="426" t="str">
        <f>+AL16</f>
        <v>Mercury Vapor</v>
      </c>
      <c r="AM17" s="35"/>
      <c r="AN17" s="330"/>
      <c r="AO17" s="330"/>
      <c r="AP17" s="330"/>
      <c r="AQ17" s="330"/>
      <c r="AR17" s="209"/>
      <c r="AS17" s="209"/>
      <c r="AT17" s="209"/>
      <c r="AU17" s="209"/>
      <c r="AV17" s="209"/>
      <c r="AW17" s="209"/>
      <c r="AX17" s="36"/>
      <c r="AY17" s="36"/>
    </row>
    <row r="18" spans="1:51" s="177" customFormat="1" x14ac:dyDescent="0.2">
      <c r="A18" s="630">
        <f>+A17+1</f>
        <v>6</v>
      </c>
      <c r="B18" s="630" t="str">
        <f>+B17</f>
        <v>50E-A</v>
      </c>
      <c r="C18" s="426">
        <v>400</v>
      </c>
      <c r="D18" s="426" t="str">
        <f>+D17</f>
        <v>Mercury Vapor</v>
      </c>
      <c r="E18" s="426">
        <f>'WP1 Light Inventory'!J13</f>
        <v>20</v>
      </c>
      <c r="F18" s="330">
        <f>'WP2 Current Light Rates'!E14</f>
        <v>14.37</v>
      </c>
      <c r="G18" s="330">
        <f>'BDJ-6 Combined Charges'!K16</f>
        <v>14.03</v>
      </c>
      <c r="H18" s="330">
        <f>'Sch 141A Lighting Tariff'!J14+'Sch 141C Lighting Tariff'!J14+'Sch 141N Lighting Tariff'!J16+'Sch 141R Lighting Tariff'!J16+G18</f>
        <v>21.79</v>
      </c>
      <c r="I18" s="209">
        <f t="shared" si="1"/>
        <v>3448.7999999999997</v>
      </c>
      <c r="J18" s="209">
        <f t="shared" si="2"/>
        <v>3367.2</v>
      </c>
      <c r="K18" s="209">
        <f t="shared" si="3"/>
        <v>5229.5999999999995</v>
      </c>
      <c r="L18" s="209">
        <f t="shared" si="4"/>
        <v>-81.599999999999909</v>
      </c>
      <c r="M18" s="209">
        <f t="shared" si="5"/>
        <v>1780.7999999999997</v>
      </c>
      <c r="N18" s="36">
        <f t="shared" si="6"/>
        <v>-2.366040361864994E-2</v>
      </c>
      <c r="O18" s="36">
        <f t="shared" si="7"/>
        <v>0.51635351426583154</v>
      </c>
      <c r="Q18" s="630">
        <f>+Q17+1</f>
        <v>6</v>
      </c>
      <c r="R18" s="630" t="str">
        <f>+R17</f>
        <v>50E-A</v>
      </c>
      <c r="S18" s="426">
        <v>400</v>
      </c>
      <c r="T18" s="426" t="str">
        <f>+T17</f>
        <v>Mercury Vapor</v>
      </c>
      <c r="U18" s="35">
        <f>E18</f>
        <v>20</v>
      </c>
      <c r="V18" s="330">
        <f t="shared" si="8"/>
        <v>14.03</v>
      </c>
      <c r="W18" s="330">
        <f t="shared" si="8"/>
        <v>21.79</v>
      </c>
      <c r="X18" s="330">
        <f>V18</f>
        <v>14.03</v>
      </c>
      <c r="Y18" s="330">
        <f>'Sch 141A Lighting Tariff'!N14+'Sch 141C Lighting Tariff'!N14+'Sch 141N Lighting Tariff'!N16+'Sch 141R Lighting Tariff'!N16+X18</f>
        <v>22.85</v>
      </c>
      <c r="Z18" s="209">
        <f t="shared" si="9"/>
        <v>3367.2</v>
      </c>
      <c r="AA18" s="209">
        <f t="shared" si="10"/>
        <v>5229.5999999999995</v>
      </c>
      <c r="AB18" s="209">
        <f t="shared" si="11"/>
        <v>3367.2</v>
      </c>
      <c r="AC18" s="209">
        <f t="shared" si="12"/>
        <v>5484</v>
      </c>
      <c r="AD18" s="209">
        <f t="shared" si="13"/>
        <v>0</v>
      </c>
      <c r="AE18" s="209">
        <f t="shared" si="14"/>
        <v>254.40000000000055</v>
      </c>
      <c r="AF18" s="36" t="str">
        <f t="shared" si="15"/>
        <v>0%</v>
      </c>
      <c r="AG18" s="36">
        <f t="shared" si="16"/>
        <v>4.8646167966957428E-2</v>
      </c>
      <c r="AI18" s="630">
        <f>+AI17+1</f>
        <v>6</v>
      </c>
      <c r="AJ18" s="630" t="str">
        <f>+AJ17</f>
        <v>50E-A</v>
      </c>
      <c r="AK18" s="426">
        <v>400</v>
      </c>
      <c r="AL18" s="426" t="str">
        <f>+AL17</f>
        <v>Mercury Vapor</v>
      </c>
      <c r="AM18" s="35"/>
      <c r="AN18" s="330"/>
      <c r="AO18" s="330"/>
      <c r="AP18" s="330"/>
      <c r="AQ18" s="330"/>
      <c r="AR18" s="209"/>
      <c r="AS18" s="209"/>
      <c r="AT18" s="209"/>
      <c r="AU18" s="209"/>
      <c r="AV18" s="209"/>
      <c r="AW18" s="209"/>
      <c r="AX18" s="36"/>
      <c r="AY18" s="36"/>
    </row>
    <row r="19" spans="1:51" s="177" customFormat="1" x14ac:dyDescent="0.2">
      <c r="A19" s="630">
        <f t="shared" ref="A19:A27" si="17">A18+1</f>
        <v>7</v>
      </c>
      <c r="B19" s="630" t="str">
        <f>B18</f>
        <v>50E-A</v>
      </c>
      <c r="C19" s="368"/>
      <c r="D19" s="368" t="str">
        <f>D18</f>
        <v>Mercury Vapor</v>
      </c>
      <c r="E19" s="368">
        <f>SUM(E16:E18)</f>
        <v>41</v>
      </c>
      <c r="F19" s="42"/>
      <c r="G19" s="42"/>
      <c r="H19" s="42"/>
      <c r="I19" s="266">
        <f>SUM(I16:I18)</f>
        <v>5208.3599999999997</v>
      </c>
      <c r="J19" s="266">
        <f>SUM(J16:J18)</f>
        <v>5179.2</v>
      </c>
      <c r="K19" s="266">
        <f>SUM(K16:K18)</f>
        <v>7863.36</v>
      </c>
      <c r="L19" s="266">
        <f>SUM(L16:L18)</f>
        <v>-29.160000000000196</v>
      </c>
      <c r="M19" s="266">
        <f>SUM(M16:M18)</f>
        <v>2655</v>
      </c>
      <c r="N19" s="267">
        <f>IF(+L19=0,"0%",L19/I19)</f>
        <v>-5.5986913347004039E-3</v>
      </c>
      <c r="O19" s="267">
        <f>IF(+M19=0,"0%",M19/I19)</f>
        <v>0.50975739004216303</v>
      </c>
      <c r="Q19" s="630">
        <f t="shared" ref="Q19:Q27" si="18">Q18+1</f>
        <v>7</v>
      </c>
      <c r="R19" s="630" t="str">
        <f>R18</f>
        <v>50E-A</v>
      </c>
      <c r="S19" s="368"/>
      <c r="T19" s="368" t="str">
        <f>T18</f>
        <v>Mercury Vapor</v>
      </c>
      <c r="U19" s="368">
        <f>SUM(U16:U18)</f>
        <v>41</v>
      </c>
      <c r="V19" s="42"/>
      <c r="W19" s="42"/>
      <c r="X19" s="42"/>
      <c r="Y19" s="42"/>
      <c r="Z19" s="266">
        <f t="shared" ref="Z19:AE19" si="19">SUM(Z16:Z18)</f>
        <v>5179.2</v>
      </c>
      <c r="AA19" s="266">
        <f t="shared" si="19"/>
        <v>7863.36</v>
      </c>
      <c r="AB19" s="266">
        <f t="shared" si="19"/>
        <v>5179.2</v>
      </c>
      <c r="AC19" s="266">
        <f t="shared" si="19"/>
        <v>8228.8799999999992</v>
      </c>
      <c r="AD19" s="266">
        <f t="shared" si="19"/>
        <v>0</v>
      </c>
      <c r="AE19" s="266">
        <f t="shared" si="19"/>
        <v>365.52000000000021</v>
      </c>
      <c r="AF19" s="267" t="str">
        <f t="shared" ref="AF19:AG19" si="20">IF(+AD19=0,"0%",AD19/Z19)</f>
        <v>0%</v>
      </c>
      <c r="AG19" s="267">
        <f t="shared" si="20"/>
        <v>4.6483945794164358E-2</v>
      </c>
      <c r="AI19" s="630">
        <f t="shared" ref="AI19:AI27" si="21">AI18+1</f>
        <v>7</v>
      </c>
      <c r="AJ19" s="630" t="str">
        <f>AJ18</f>
        <v>50E-A</v>
      </c>
      <c r="AK19" s="368"/>
      <c r="AL19" s="368" t="str">
        <f>AL18</f>
        <v>Mercury Vapor</v>
      </c>
      <c r="AM19" s="368"/>
      <c r="AN19" s="42"/>
      <c r="AO19" s="42"/>
      <c r="AP19" s="42"/>
      <c r="AQ19" s="42"/>
      <c r="AR19" s="266"/>
      <c r="AS19" s="266"/>
      <c r="AT19" s="266"/>
      <c r="AU19" s="266"/>
      <c r="AV19" s="266"/>
      <c r="AW19" s="266"/>
      <c r="AX19" s="267"/>
      <c r="AY19" s="267"/>
    </row>
    <row r="20" spans="1:51" s="177" customFormat="1" x14ac:dyDescent="0.2">
      <c r="A20" s="630">
        <f t="shared" si="17"/>
        <v>8</v>
      </c>
      <c r="B20" s="630"/>
      <c r="C20" s="426"/>
      <c r="D20" s="426"/>
      <c r="E20" s="426"/>
      <c r="F20" s="330"/>
      <c r="G20" s="330"/>
      <c r="H20" s="330"/>
      <c r="I20" s="209"/>
      <c r="J20" s="209"/>
      <c r="K20" s="209"/>
      <c r="L20" s="209"/>
      <c r="M20" s="209"/>
      <c r="N20" s="518"/>
      <c r="O20" s="36"/>
      <c r="Q20" s="630">
        <f t="shared" si="18"/>
        <v>8</v>
      </c>
      <c r="R20" s="630"/>
      <c r="S20" s="426"/>
      <c r="T20" s="426"/>
      <c r="U20" s="426"/>
      <c r="V20" s="330"/>
      <c r="W20" s="330"/>
      <c r="X20" s="330"/>
      <c r="Y20" s="330"/>
      <c r="Z20" s="209"/>
      <c r="AA20" s="209"/>
      <c r="AB20" s="209"/>
      <c r="AC20" s="209"/>
      <c r="AD20" s="209"/>
      <c r="AE20" s="209"/>
      <c r="AF20" s="518"/>
      <c r="AG20" s="36"/>
      <c r="AI20" s="630">
        <f t="shared" si="21"/>
        <v>8</v>
      </c>
      <c r="AJ20" s="630"/>
      <c r="AK20" s="426"/>
      <c r="AL20" s="426"/>
      <c r="AM20" s="426"/>
      <c r="AN20" s="330"/>
      <c r="AO20" s="330"/>
      <c r="AP20" s="330"/>
      <c r="AQ20" s="330"/>
      <c r="AR20" s="209"/>
      <c r="AS20" s="209"/>
      <c r="AT20" s="209"/>
      <c r="AU20" s="209"/>
      <c r="AV20" s="209"/>
      <c r="AW20" s="209"/>
      <c r="AX20" s="518"/>
      <c r="AY20" s="36"/>
    </row>
    <row r="21" spans="1:51" s="177" customFormat="1" x14ac:dyDescent="0.2">
      <c r="A21" s="630">
        <f t="shared" si="17"/>
        <v>9</v>
      </c>
      <c r="B21" s="630" t="s">
        <v>56</v>
      </c>
      <c r="C21" s="426">
        <v>100</v>
      </c>
      <c r="D21" s="426" t="str">
        <f>+D18</f>
        <v>Mercury Vapor</v>
      </c>
      <c r="E21" s="426">
        <f>'WP1 Light Inventory'!J15</f>
        <v>0</v>
      </c>
      <c r="F21" s="330">
        <f>'WP2 Current Light Rates'!E16</f>
        <v>3.19</v>
      </c>
      <c r="G21" s="330">
        <f>'BDJ-6 Combined Charges'!K18</f>
        <v>2.95</v>
      </c>
      <c r="H21" s="330">
        <f>'Sch 141A Lighting Tariff'!J16+'Sch 141C Lighting Tariff'!J16+'Sch 141N Lighting Tariff'!J18+'Sch 141R Lighting Tariff'!J18+G21</f>
        <v>4.8900000000000006</v>
      </c>
      <c r="I21" s="209">
        <f t="shared" ref="I21:I24" si="22">(+F21*$E21*12)</f>
        <v>0</v>
      </c>
      <c r="J21" s="209">
        <f t="shared" ref="J21:J24" si="23">(+G21*$E21*12)</f>
        <v>0</v>
      </c>
      <c r="K21" s="209">
        <f t="shared" ref="K21:K24" si="24">(H21)*E21*12</f>
        <v>0</v>
      </c>
      <c r="L21" s="209">
        <f t="shared" ref="L21:L24" si="25">+J21-I21</f>
        <v>0</v>
      </c>
      <c r="M21" s="209">
        <f t="shared" ref="M21:M24" si="26">+K21-I21</f>
        <v>0</v>
      </c>
      <c r="N21" s="36" t="str">
        <f t="shared" ref="N21:N24" si="27">IF(+L21=0,"0%",L21/I21)</f>
        <v>0%</v>
      </c>
      <c r="O21" s="36" t="str">
        <f t="shared" ref="O21:O24" si="28">IF(+M21=0,"0%",M21/I21)</f>
        <v>0%</v>
      </c>
      <c r="Q21" s="630">
        <f t="shared" si="18"/>
        <v>9</v>
      </c>
      <c r="R21" s="630" t="s">
        <v>56</v>
      </c>
      <c r="S21" s="426">
        <v>100</v>
      </c>
      <c r="T21" s="426" t="str">
        <f>+T18</f>
        <v>Mercury Vapor</v>
      </c>
      <c r="U21" s="35">
        <f>E21</f>
        <v>0</v>
      </c>
      <c r="V21" s="330">
        <f t="shared" ref="V21:W24" si="29">G21</f>
        <v>2.95</v>
      </c>
      <c r="W21" s="330">
        <f t="shared" si="29"/>
        <v>4.8900000000000006</v>
      </c>
      <c r="X21" s="330">
        <f>V21</f>
        <v>2.95</v>
      </c>
      <c r="Y21" s="330">
        <f>'Sch 141A Lighting Tariff'!N16+'Sch 141C Lighting Tariff'!N16+'Sch 141N Lighting Tariff'!N18+'Sch 141R Lighting Tariff'!N18+X21</f>
        <v>5.15</v>
      </c>
      <c r="Z21" s="209">
        <f t="shared" ref="Z21:Z24" si="30">(+V21*$U21*12)</f>
        <v>0</v>
      </c>
      <c r="AA21" s="209">
        <f t="shared" ref="AA21:AA24" si="31">(+W21*$U21*12)</f>
        <v>0</v>
      </c>
      <c r="AB21" s="209">
        <f t="shared" ref="AB21:AB24" si="32">(+X21*$U21*12)</f>
        <v>0</v>
      </c>
      <c r="AC21" s="209">
        <f t="shared" ref="AC21:AC24" si="33">(+Y21*$U21*12)</f>
        <v>0</v>
      </c>
      <c r="AD21" s="209">
        <f t="shared" ref="AD21:AD24" si="34">+AB21-Z21</f>
        <v>0</v>
      </c>
      <c r="AE21" s="209">
        <f t="shared" ref="AE21:AE24" si="35">+AC21-AA21</f>
        <v>0</v>
      </c>
      <c r="AF21" s="36" t="str">
        <f t="shared" ref="AF21:AF24" si="36">IF(+AD21=0,"0%",AD21/Z21)</f>
        <v>0%</v>
      </c>
      <c r="AG21" s="36" t="str">
        <f t="shared" ref="AG21:AG24" si="37">IF(+AE21=0,"0%",AE21/AA21)</f>
        <v>0%</v>
      </c>
      <c r="AI21" s="630">
        <f t="shared" si="21"/>
        <v>9</v>
      </c>
      <c r="AJ21" s="630" t="s">
        <v>56</v>
      </c>
      <c r="AK21" s="426">
        <v>100</v>
      </c>
      <c r="AL21" s="426" t="str">
        <f>+AL18</f>
        <v>Mercury Vapor</v>
      </c>
      <c r="AM21" s="35"/>
      <c r="AN21" s="330"/>
      <c r="AO21" s="330"/>
      <c r="AP21" s="330"/>
      <c r="AQ21" s="330"/>
      <c r="AR21" s="209"/>
      <c r="AS21" s="209"/>
      <c r="AT21" s="209"/>
      <c r="AU21" s="209"/>
      <c r="AV21" s="209"/>
      <c r="AW21" s="209"/>
      <c r="AX21" s="36"/>
      <c r="AY21" s="36"/>
    </row>
    <row r="22" spans="1:51" s="177" customFormat="1" x14ac:dyDescent="0.2">
      <c r="A22" s="630">
        <f t="shared" si="17"/>
        <v>10</v>
      </c>
      <c r="B22" s="630" t="str">
        <f>+B21</f>
        <v>50E-B</v>
      </c>
      <c r="C22" s="426">
        <v>175</v>
      </c>
      <c r="D22" s="426" t="str">
        <f>+D21</f>
        <v>Mercury Vapor</v>
      </c>
      <c r="E22" s="426">
        <f>'WP1 Light Inventory'!J16</f>
        <v>1</v>
      </c>
      <c r="F22" s="330">
        <f>'WP2 Current Light Rates'!E17</f>
        <v>5.57</v>
      </c>
      <c r="G22" s="330">
        <f>'BDJ-6 Combined Charges'!K19</f>
        <v>5.15</v>
      </c>
      <c r="H22" s="330">
        <f>'Sch 141A Lighting Tariff'!J17+'Sch 141C Lighting Tariff'!J17+'Sch 141N Lighting Tariff'!J19+'Sch 141R Lighting Tariff'!J19+G22</f>
        <v>8.5500000000000007</v>
      </c>
      <c r="I22" s="209">
        <f t="shared" si="22"/>
        <v>66.84</v>
      </c>
      <c r="J22" s="209">
        <f t="shared" si="23"/>
        <v>61.800000000000004</v>
      </c>
      <c r="K22" s="209">
        <f t="shared" si="24"/>
        <v>102.60000000000001</v>
      </c>
      <c r="L22" s="209">
        <f t="shared" si="25"/>
        <v>-5.0399999999999991</v>
      </c>
      <c r="M22" s="209">
        <f t="shared" si="26"/>
        <v>35.760000000000005</v>
      </c>
      <c r="N22" s="36">
        <f t="shared" si="27"/>
        <v>-7.5403949730700165E-2</v>
      </c>
      <c r="O22" s="36">
        <f t="shared" si="28"/>
        <v>0.53500897666068226</v>
      </c>
      <c r="Q22" s="630">
        <f t="shared" si="18"/>
        <v>10</v>
      </c>
      <c r="R22" s="630" t="str">
        <f>+R21</f>
        <v>50E-B</v>
      </c>
      <c r="S22" s="426">
        <v>175</v>
      </c>
      <c r="T22" s="426" t="str">
        <f>+T21</f>
        <v>Mercury Vapor</v>
      </c>
      <c r="U22" s="35">
        <f>E22</f>
        <v>1</v>
      </c>
      <c r="V22" s="330">
        <f t="shared" si="29"/>
        <v>5.15</v>
      </c>
      <c r="W22" s="330">
        <f t="shared" si="29"/>
        <v>8.5500000000000007</v>
      </c>
      <c r="X22" s="330">
        <f>V22</f>
        <v>5.15</v>
      </c>
      <c r="Y22" s="330">
        <f>'Sch 141A Lighting Tariff'!N17+'Sch 141C Lighting Tariff'!N17+'Sch 141N Lighting Tariff'!N19+'Sch 141R Lighting Tariff'!N19+X22</f>
        <v>9.0100000000000016</v>
      </c>
      <c r="Z22" s="209">
        <f t="shared" si="30"/>
        <v>61.800000000000004</v>
      </c>
      <c r="AA22" s="209">
        <f t="shared" si="31"/>
        <v>102.60000000000001</v>
      </c>
      <c r="AB22" s="209">
        <f t="shared" si="32"/>
        <v>61.800000000000004</v>
      </c>
      <c r="AC22" s="209">
        <f t="shared" si="33"/>
        <v>108.12000000000002</v>
      </c>
      <c r="AD22" s="209">
        <f t="shared" si="34"/>
        <v>0</v>
      </c>
      <c r="AE22" s="209">
        <f t="shared" si="35"/>
        <v>5.5200000000000102</v>
      </c>
      <c r="AF22" s="36" t="str">
        <f t="shared" si="36"/>
        <v>0%</v>
      </c>
      <c r="AG22" s="36">
        <f t="shared" si="37"/>
        <v>5.380116959064337E-2</v>
      </c>
      <c r="AI22" s="630">
        <f t="shared" si="21"/>
        <v>10</v>
      </c>
      <c r="AJ22" s="630" t="str">
        <f>+AJ21</f>
        <v>50E-B</v>
      </c>
      <c r="AK22" s="426">
        <v>175</v>
      </c>
      <c r="AL22" s="426" t="str">
        <f>+AL21</f>
        <v>Mercury Vapor</v>
      </c>
      <c r="AM22" s="35"/>
      <c r="AN22" s="330"/>
      <c r="AO22" s="330"/>
      <c r="AP22" s="330"/>
      <c r="AQ22" s="330"/>
      <c r="AR22" s="209"/>
      <c r="AS22" s="209"/>
      <c r="AT22" s="209"/>
      <c r="AU22" s="209"/>
      <c r="AV22" s="209"/>
      <c r="AW22" s="209"/>
      <c r="AX22" s="36"/>
      <c r="AY22" s="36"/>
    </row>
    <row r="23" spans="1:51" s="177" customFormat="1" x14ac:dyDescent="0.2">
      <c r="A23" s="630">
        <f t="shared" si="17"/>
        <v>11</v>
      </c>
      <c r="B23" s="630" t="str">
        <f>+B22</f>
        <v>50E-B</v>
      </c>
      <c r="C23" s="426">
        <v>400</v>
      </c>
      <c r="D23" s="426" t="str">
        <f>+D22</f>
        <v>Mercury Vapor</v>
      </c>
      <c r="E23" s="426">
        <f>'WP1 Light Inventory'!J17</f>
        <v>0</v>
      </c>
      <c r="F23" s="330">
        <f>'WP2 Current Light Rates'!E18</f>
        <v>12.74</v>
      </c>
      <c r="G23" s="330">
        <f>'BDJ-6 Combined Charges'!K20</f>
        <v>11.780000000000001</v>
      </c>
      <c r="H23" s="330">
        <f>'Sch 141A Lighting Tariff'!J18+'Sch 141C Lighting Tariff'!J18+'Sch 141N Lighting Tariff'!J20+'Sch 141R Lighting Tariff'!J20+G23</f>
        <v>19.540000000000003</v>
      </c>
      <c r="I23" s="209">
        <f t="shared" si="22"/>
        <v>0</v>
      </c>
      <c r="J23" s="209">
        <f t="shared" si="23"/>
        <v>0</v>
      </c>
      <c r="K23" s="209">
        <f t="shared" si="24"/>
        <v>0</v>
      </c>
      <c r="L23" s="209">
        <f t="shared" si="25"/>
        <v>0</v>
      </c>
      <c r="M23" s="209">
        <f t="shared" si="26"/>
        <v>0</v>
      </c>
      <c r="N23" s="36" t="str">
        <f t="shared" si="27"/>
        <v>0%</v>
      </c>
      <c r="O23" s="36" t="str">
        <f t="shared" si="28"/>
        <v>0%</v>
      </c>
      <c r="Q23" s="630">
        <f t="shared" si="18"/>
        <v>11</v>
      </c>
      <c r="R23" s="630" t="str">
        <f>+R22</f>
        <v>50E-B</v>
      </c>
      <c r="S23" s="426">
        <v>400</v>
      </c>
      <c r="T23" s="426" t="str">
        <f>+T22</f>
        <v>Mercury Vapor</v>
      </c>
      <c r="U23" s="35">
        <f>E23</f>
        <v>0</v>
      </c>
      <c r="V23" s="330">
        <f t="shared" si="29"/>
        <v>11.780000000000001</v>
      </c>
      <c r="W23" s="330">
        <f t="shared" si="29"/>
        <v>19.540000000000003</v>
      </c>
      <c r="X23" s="330">
        <f>V23</f>
        <v>11.780000000000001</v>
      </c>
      <c r="Y23" s="330">
        <f>'Sch 141A Lighting Tariff'!N18+'Sch 141C Lighting Tariff'!N18+'Sch 141N Lighting Tariff'!N20+'Sch 141R Lighting Tariff'!N20+X23</f>
        <v>20.6</v>
      </c>
      <c r="Z23" s="209">
        <f t="shared" si="30"/>
        <v>0</v>
      </c>
      <c r="AA23" s="209">
        <f t="shared" si="31"/>
        <v>0</v>
      </c>
      <c r="AB23" s="209">
        <f t="shared" si="32"/>
        <v>0</v>
      </c>
      <c r="AC23" s="209">
        <f t="shared" si="33"/>
        <v>0</v>
      </c>
      <c r="AD23" s="209">
        <f t="shared" si="34"/>
        <v>0</v>
      </c>
      <c r="AE23" s="209">
        <f t="shared" si="35"/>
        <v>0</v>
      </c>
      <c r="AF23" s="36" t="str">
        <f t="shared" si="36"/>
        <v>0%</v>
      </c>
      <c r="AG23" s="36" t="str">
        <f t="shared" si="37"/>
        <v>0%</v>
      </c>
      <c r="AI23" s="630">
        <f t="shared" si="21"/>
        <v>11</v>
      </c>
      <c r="AJ23" s="630" t="str">
        <f>+AJ22</f>
        <v>50E-B</v>
      </c>
      <c r="AK23" s="426">
        <v>400</v>
      </c>
      <c r="AL23" s="426" t="str">
        <f>+AL22</f>
        <v>Mercury Vapor</v>
      </c>
      <c r="AM23" s="35"/>
      <c r="AN23" s="330"/>
      <c r="AO23" s="330"/>
      <c r="AP23" s="330"/>
      <c r="AQ23" s="330"/>
      <c r="AR23" s="209"/>
      <c r="AS23" s="209"/>
      <c r="AT23" s="209"/>
      <c r="AU23" s="209"/>
      <c r="AV23" s="209"/>
      <c r="AW23" s="209"/>
      <c r="AX23" s="36"/>
      <c r="AY23" s="36"/>
    </row>
    <row r="24" spans="1:51" s="177" customFormat="1" x14ac:dyDescent="0.2">
      <c r="A24" s="630">
        <f t="shared" si="17"/>
        <v>12</v>
      </c>
      <c r="B24" s="630" t="str">
        <f>+B23</f>
        <v>50E-B</v>
      </c>
      <c r="C24" s="426">
        <v>700</v>
      </c>
      <c r="D24" s="426" t="str">
        <f>+D23</f>
        <v>Mercury Vapor</v>
      </c>
      <c r="E24" s="426">
        <f>'WP1 Light Inventory'!J18</f>
        <v>0</v>
      </c>
      <c r="F24" s="330">
        <f>'WP2 Current Light Rates'!E19</f>
        <v>22.3</v>
      </c>
      <c r="G24" s="330">
        <f>'BDJ-6 Combined Charges'!K21</f>
        <v>20.619999999999997</v>
      </c>
      <c r="H24" s="330">
        <f>'Sch 141A Lighting Tariff'!J19+'Sch 141C Lighting Tariff'!J19+'Sch 141N Lighting Tariff'!J21+'Sch 141R Lighting Tariff'!J21+G24</f>
        <v>34.200000000000003</v>
      </c>
      <c r="I24" s="209">
        <f t="shared" si="22"/>
        <v>0</v>
      </c>
      <c r="J24" s="209">
        <f t="shared" si="23"/>
        <v>0</v>
      </c>
      <c r="K24" s="209">
        <f t="shared" si="24"/>
        <v>0</v>
      </c>
      <c r="L24" s="209">
        <f t="shared" si="25"/>
        <v>0</v>
      </c>
      <c r="M24" s="209">
        <f t="shared" si="26"/>
        <v>0</v>
      </c>
      <c r="N24" s="36" t="str">
        <f t="shared" si="27"/>
        <v>0%</v>
      </c>
      <c r="O24" s="36" t="str">
        <f t="shared" si="28"/>
        <v>0%</v>
      </c>
      <c r="Q24" s="630">
        <f t="shared" si="18"/>
        <v>12</v>
      </c>
      <c r="R24" s="630" t="str">
        <f>+R23</f>
        <v>50E-B</v>
      </c>
      <c r="S24" s="426">
        <v>700</v>
      </c>
      <c r="T24" s="426" t="str">
        <f>+T23</f>
        <v>Mercury Vapor</v>
      </c>
      <c r="U24" s="35">
        <f>E24</f>
        <v>0</v>
      </c>
      <c r="V24" s="330">
        <f t="shared" si="29"/>
        <v>20.619999999999997</v>
      </c>
      <c r="W24" s="330">
        <f t="shared" si="29"/>
        <v>34.200000000000003</v>
      </c>
      <c r="X24" s="330">
        <f>V24</f>
        <v>20.619999999999997</v>
      </c>
      <c r="Y24" s="330">
        <f>'Sch 141A Lighting Tariff'!N19+'Sch 141C Lighting Tariff'!N19+'Sch 141N Lighting Tariff'!N21+'Sch 141R Lighting Tariff'!N21+X24</f>
        <v>36.06</v>
      </c>
      <c r="Z24" s="209">
        <f t="shared" si="30"/>
        <v>0</v>
      </c>
      <c r="AA24" s="209">
        <f t="shared" si="31"/>
        <v>0</v>
      </c>
      <c r="AB24" s="209">
        <f t="shared" si="32"/>
        <v>0</v>
      </c>
      <c r="AC24" s="209">
        <f t="shared" si="33"/>
        <v>0</v>
      </c>
      <c r="AD24" s="209">
        <f t="shared" si="34"/>
        <v>0</v>
      </c>
      <c r="AE24" s="209">
        <f t="shared" si="35"/>
        <v>0</v>
      </c>
      <c r="AF24" s="36" t="str">
        <f t="shared" si="36"/>
        <v>0%</v>
      </c>
      <c r="AG24" s="36" t="str">
        <f t="shared" si="37"/>
        <v>0%</v>
      </c>
      <c r="AI24" s="630">
        <f t="shared" si="21"/>
        <v>12</v>
      </c>
      <c r="AJ24" s="630" t="str">
        <f>+AJ23</f>
        <v>50E-B</v>
      </c>
      <c r="AK24" s="426">
        <v>700</v>
      </c>
      <c r="AL24" s="426" t="str">
        <f>+AL23</f>
        <v>Mercury Vapor</v>
      </c>
      <c r="AM24" s="35"/>
      <c r="AN24" s="330"/>
      <c r="AO24" s="330"/>
      <c r="AP24" s="330"/>
      <c r="AQ24" s="330"/>
      <c r="AR24" s="209"/>
      <c r="AS24" s="209"/>
      <c r="AT24" s="209"/>
      <c r="AU24" s="209"/>
      <c r="AV24" s="209"/>
      <c r="AW24" s="209"/>
      <c r="AX24" s="36"/>
      <c r="AY24" s="36"/>
    </row>
    <row r="25" spans="1:51" s="177" customFormat="1" x14ac:dyDescent="0.2">
      <c r="A25" s="630">
        <f t="shared" si="17"/>
        <v>13</v>
      </c>
      <c r="B25" s="630" t="str">
        <f>B24</f>
        <v>50E-B</v>
      </c>
      <c r="C25" s="368"/>
      <c r="D25" s="368" t="str">
        <f>D24</f>
        <v>Mercury Vapor</v>
      </c>
      <c r="E25" s="368">
        <f>SUM(E21:E24)</f>
        <v>1</v>
      </c>
      <c r="F25" s="42"/>
      <c r="G25" s="42"/>
      <c r="H25" s="42"/>
      <c r="I25" s="266">
        <f>SUM(I21:I24)</f>
        <v>66.84</v>
      </c>
      <c r="J25" s="266">
        <f>SUM(J21:J24)</f>
        <v>61.800000000000004</v>
      </c>
      <c r="K25" s="266">
        <f>SUM(K21:K24)</f>
        <v>102.60000000000001</v>
      </c>
      <c r="L25" s="266">
        <f>SUM(L21:L24)</f>
        <v>-5.0399999999999991</v>
      </c>
      <c r="M25" s="266">
        <f>SUM(M21:M24)</f>
        <v>35.760000000000005</v>
      </c>
      <c r="N25" s="267">
        <f>IF(+L25=0,"0%",L25/I25)</f>
        <v>-7.5403949730700165E-2</v>
      </c>
      <c r="O25" s="267">
        <f>IF(+M25=0,"0%",M25/I25)</f>
        <v>0.53500897666068226</v>
      </c>
      <c r="Q25" s="630">
        <f t="shared" si="18"/>
        <v>13</v>
      </c>
      <c r="R25" s="630" t="str">
        <f>R24</f>
        <v>50E-B</v>
      </c>
      <c r="S25" s="368"/>
      <c r="T25" s="368" t="str">
        <f>T24</f>
        <v>Mercury Vapor</v>
      </c>
      <c r="U25" s="368">
        <f>SUM(U21:U24)</f>
        <v>1</v>
      </c>
      <c r="V25" s="42"/>
      <c r="W25" s="42"/>
      <c r="X25" s="42"/>
      <c r="Y25" s="42"/>
      <c r="Z25" s="266">
        <f t="shared" ref="Z25:AE25" si="38">SUM(Z21:Z24)</f>
        <v>61.800000000000004</v>
      </c>
      <c r="AA25" s="266">
        <f t="shared" si="38"/>
        <v>102.60000000000001</v>
      </c>
      <c r="AB25" s="266">
        <f t="shared" si="38"/>
        <v>61.800000000000004</v>
      </c>
      <c r="AC25" s="266">
        <f t="shared" si="38"/>
        <v>108.12000000000002</v>
      </c>
      <c r="AD25" s="266">
        <f t="shared" si="38"/>
        <v>0</v>
      </c>
      <c r="AE25" s="266">
        <f t="shared" si="38"/>
        <v>5.5200000000000102</v>
      </c>
      <c r="AF25" s="267" t="str">
        <f t="shared" ref="AF25:AG25" si="39">IF(+AD25=0,"0%",AD25/Z25)</f>
        <v>0%</v>
      </c>
      <c r="AG25" s="267">
        <f t="shared" si="39"/>
        <v>5.380116959064337E-2</v>
      </c>
      <c r="AI25" s="630">
        <f t="shared" si="21"/>
        <v>13</v>
      </c>
      <c r="AJ25" s="630" t="str">
        <f>AJ24</f>
        <v>50E-B</v>
      </c>
      <c r="AK25" s="368"/>
      <c r="AL25" s="368" t="str">
        <f>AL24</f>
        <v>Mercury Vapor</v>
      </c>
      <c r="AM25" s="368"/>
      <c r="AN25" s="42"/>
      <c r="AO25" s="42"/>
      <c r="AP25" s="42"/>
      <c r="AQ25" s="42"/>
      <c r="AR25" s="266"/>
      <c r="AS25" s="266"/>
      <c r="AT25" s="266"/>
      <c r="AU25" s="266"/>
      <c r="AV25" s="266"/>
      <c r="AW25" s="266"/>
      <c r="AX25" s="267"/>
      <c r="AY25" s="267"/>
    </row>
    <row r="26" spans="1:51" s="177" customFormat="1" x14ac:dyDescent="0.2">
      <c r="A26" s="630">
        <f t="shared" si="17"/>
        <v>14</v>
      </c>
      <c r="B26" s="630"/>
      <c r="C26" s="426"/>
      <c r="D26" s="426"/>
      <c r="E26" s="426"/>
      <c r="F26" s="330"/>
      <c r="G26" s="330"/>
      <c r="H26" s="330"/>
      <c r="I26" s="209"/>
      <c r="J26" s="209"/>
      <c r="K26" s="209"/>
      <c r="L26" s="209"/>
      <c r="M26" s="209"/>
      <c r="N26" s="518"/>
      <c r="O26" s="36"/>
      <c r="Q26" s="630">
        <f t="shared" si="18"/>
        <v>14</v>
      </c>
      <c r="R26" s="630"/>
      <c r="S26" s="426"/>
      <c r="T26" s="426"/>
      <c r="U26" s="426"/>
      <c r="V26" s="330"/>
      <c r="W26" s="330"/>
      <c r="X26" s="330"/>
      <c r="Y26" s="330"/>
      <c r="Z26" s="209"/>
      <c r="AA26" s="209"/>
      <c r="AB26" s="209"/>
      <c r="AC26" s="209"/>
      <c r="AD26" s="209"/>
      <c r="AE26" s="209"/>
      <c r="AF26" s="518"/>
      <c r="AG26" s="36"/>
      <c r="AI26" s="630">
        <f t="shared" si="21"/>
        <v>14</v>
      </c>
      <c r="AJ26" s="630"/>
      <c r="AK26" s="426"/>
      <c r="AL26" s="426"/>
      <c r="AM26" s="426"/>
      <c r="AN26" s="330"/>
      <c r="AO26" s="330"/>
      <c r="AP26" s="330"/>
      <c r="AQ26" s="330"/>
      <c r="AR26" s="209"/>
      <c r="AS26" s="209"/>
      <c r="AT26" s="209"/>
      <c r="AU26" s="209"/>
      <c r="AV26" s="209"/>
      <c r="AW26" s="209"/>
      <c r="AX26" s="518"/>
      <c r="AY26" s="36"/>
    </row>
    <row r="27" spans="1:51" s="177" customFormat="1" ht="10.8" thickBot="1" x14ac:dyDescent="0.25">
      <c r="A27" s="630">
        <f t="shared" si="17"/>
        <v>15</v>
      </c>
      <c r="B27" s="630" t="s">
        <v>20</v>
      </c>
      <c r="C27" s="109"/>
      <c r="D27" s="109"/>
      <c r="E27" s="109">
        <f>SUM(E14,E25,E19)</f>
        <v>101</v>
      </c>
      <c r="F27" s="534"/>
      <c r="G27" s="534"/>
      <c r="H27" s="534"/>
      <c r="I27" s="147">
        <f>SUM(I14,I25,I19)</f>
        <v>5770.7999999999993</v>
      </c>
      <c r="J27" s="147">
        <f>SUM(J14,J25,J19)</f>
        <v>5701.2</v>
      </c>
      <c r="K27" s="147">
        <f>SUM(K14,K25,K19)</f>
        <v>8723.52</v>
      </c>
      <c r="L27" s="147">
        <f>SUM(L14,L25,L19)</f>
        <v>-69.600000000000222</v>
      </c>
      <c r="M27" s="147">
        <f>SUM(M14,M25,M19)</f>
        <v>2952.72</v>
      </c>
      <c r="N27" s="38">
        <f>IF(+L27=0,"0%",L27/I27)</f>
        <v>-1.2060719484300311E-2</v>
      </c>
      <c r="O27" s="38">
        <f>IF(+M27=0,"0%",M27/I27)</f>
        <v>0.51166562694946982</v>
      </c>
      <c r="Q27" s="630">
        <f t="shared" si="18"/>
        <v>15</v>
      </c>
      <c r="R27" s="630" t="s">
        <v>20</v>
      </c>
      <c r="S27" s="109"/>
      <c r="T27" s="109"/>
      <c r="U27" s="109">
        <f>SUM(U14,U25,U19)</f>
        <v>101</v>
      </c>
      <c r="V27" s="534"/>
      <c r="W27" s="534"/>
      <c r="X27" s="534"/>
      <c r="Y27" s="534"/>
      <c r="Z27" s="147">
        <f t="shared" ref="Z27:AE27" si="40">SUM(Z14,Z25,Z19)</f>
        <v>5701.2</v>
      </c>
      <c r="AA27" s="147">
        <f t="shared" si="40"/>
        <v>8723.52</v>
      </c>
      <c r="AB27" s="147">
        <f t="shared" si="40"/>
        <v>5701.2</v>
      </c>
      <c r="AC27" s="147">
        <f t="shared" si="40"/>
        <v>9144.119999999999</v>
      </c>
      <c r="AD27" s="147">
        <f t="shared" si="40"/>
        <v>0</v>
      </c>
      <c r="AE27" s="147">
        <f t="shared" si="40"/>
        <v>420.60000000000025</v>
      </c>
      <c r="AF27" s="38" t="str">
        <f>IF(+AD27=0,"0%",AD27/Z27)</f>
        <v>0%</v>
      </c>
      <c r="AG27" s="38">
        <f>IF(+AE27=0,"0%",AE27/AA27)</f>
        <v>4.8214482227357788E-2</v>
      </c>
      <c r="AI27" s="630">
        <f t="shared" si="21"/>
        <v>15</v>
      </c>
      <c r="AJ27" s="630" t="s">
        <v>20</v>
      </c>
      <c r="AK27" s="109"/>
      <c r="AL27" s="109"/>
      <c r="AM27" s="109"/>
      <c r="AN27" s="534"/>
      <c r="AO27" s="534"/>
      <c r="AP27" s="534"/>
      <c r="AQ27" s="534"/>
      <c r="AR27" s="147"/>
      <c r="AS27" s="147"/>
      <c r="AT27" s="147"/>
      <c r="AU27" s="147"/>
      <c r="AV27" s="147"/>
      <c r="AW27" s="147"/>
      <c r="AX27" s="38"/>
      <c r="AY27" s="38"/>
    </row>
    <row r="28" spans="1:51" ht="10.8" thickTop="1" x14ac:dyDescent="0.2"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30" spans="1:51" ht="13.8" x14ac:dyDescent="0.3">
      <c r="C30" s="633"/>
    </row>
  </sheetData>
  <mergeCells count="21">
    <mergeCell ref="A1:O1"/>
    <mergeCell ref="A2:O2"/>
    <mergeCell ref="A4:O4"/>
    <mergeCell ref="A5:O5"/>
    <mergeCell ref="A3:O3"/>
    <mergeCell ref="AT8:AY8"/>
    <mergeCell ref="J8:O8"/>
    <mergeCell ref="Q1:AG1"/>
    <mergeCell ref="Q2:AG2"/>
    <mergeCell ref="Q3:AG3"/>
    <mergeCell ref="Q4:AG4"/>
    <mergeCell ref="Q5:AG5"/>
    <mergeCell ref="Q6:AG6"/>
    <mergeCell ref="AB8:AG8"/>
    <mergeCell ref="A6:O6"/>
    <mergeCell ref="AI1:AY1"/>
    <mergeCell ref="AI2:AY2"/>
    <mergeCell ref="AI3:AY3"/>
    <mergeCell ref="AI4:AY4"/>
    <mergeCell ref="AI5:AY5"/>
    <mergeCell ref="AI6:AY6"/>
  </mergeCells>
  <printOptions horizontalCentered="1"/>
  <pageMargins left="0.25" right="0.25" top="1" bottom="1" header="0.5" footer="0.5"/>
  <pageSetup scale="77" fitToWidth="3" orientation="landscape" r:id="rId1"/>
  <headerFooter alignWithMargins="0">
    <oddFooter>&amp;R&amp;"Times New Roman,Regular"&amp;F
&amp;A
&amp;P of  &amp;N</oddFooter>
  </headerFooter>
  <colBreaks count="2" manualBreakCount="2">
    <brk id="16" max="1048575" man="1"/>
    <brk id="34" max="1048575" man="1"/>
  </colBreaks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Y27"/>
  <sheetViews>
    <sheetView zoomScaleNormal="100" zoomScalePageLayoutView="85" workbookViewId="0">
      <selection activeCell="H13" sqref="H13"/>
    </sheetView>
  </sheetViews>
  <sheetFormatPr defaultColWidth="9.109375" defaultRowHeight="10.199999999999999" x14ac:dyDescent="0.2"/>
  <cols>
    <col min="1" max="1" width="6.109375" style="39" customWidth="1"/>
    <col min="2" max="2" width="8.44140625" style="46" customWidth="1"/>
    <col min="3" max="3" width="13" style="39" bestFit="1" customWidth="1"/>
    <col min="4" max="4" width="18.109375" style="39" bestFit="1" customWidth="1"/>
    <col min="5" max="5" width="8.6640625" style="39" bestFit="1" customWidth="1"/>
    <col min="6" max="6" width="9.88671875" style="39" bestFit="1" customWidth="1"/>
    <col min="7" max="7" width="11.6640625" style="39" bestFit="1" customWidth="1"/>
    <col min="8" max="8" width="12.44140625" style="39" customWidth="1"/>
    <col min="9" max="9" width="12.5546875" style="39" customWidth="1"/>
    <col min="10" max="10" width="12.6640625" style="39" customWidth="1"/>
    <col min="11" max="11" width="11.6640625" style="39" customWidth="1"/>
    <col min="12" max="12" width="8.88671875" style="39" bestFit="1" customWidth="1"/>
    <col min="13" max="13" width="13" style="39" customWidth="1"/>
    <col min="14" max="15" width="8.88671875" style="39" bestFit="1" customWidth="1"/>
    <col min="16" max="16" width="0.88671875" style="39" customWidth="1"/>
    <col min="17" max="17" width="6.109375" style="39" customWidth="1"/>
    <col min="18" max="18" width="9.109375" style="39"/>
    <col min="19" max="19" width="13.33203125" style="39" bestFit="1" customWidth="1"/>
    <col min="20" max="20" width="18.109375" style="39" bestFit="1" customWidth="1"/>
    <col min="21" max="21" width="8.6640625" style="39" bestFit="1" customWidth="1"/>
    <col min="22" max="22" width="8.33203125" style="39" customWidth="1"/>
    <col min="23" max="23" width="10.44140625" style="39" customWidth="1"/>
    <col min="24" max="24" width="11.6640625" style="39" bestFit="1" customWidth="1"/>
    <col min="25" max="25" width="10.88671875" style="39" customWidth="1"/>
    <col min="26" max="26" width="10.33203125" style="39" customWidth="1"/>
    <col min="27" max="27" width="11.88671875" style="39" customWidth="1"/>
    <col min="28" max="28" width="9.109375" style="39" bestFit="1" customWidth="1"/>
    <col min="29" max="29" width="10.88671875" style="39" customWidth="1"/>
    <col min="30" max="30" width="8" style="39" bestFit="1" customWidth="1"/>
    <col min="31" max="31" width="11.109375" style="39" customWidth="1"/>
    <col min="32" max="32" width="7.6640625" style="39" bestFit="1" customWidth="1"/>
    <col min="33" max="33" width="8.88671875" style="39" bestFit="1" customWidth="1"/>
    <col min="34" max="34" width="0.88671875" style="39" customWidth="1"/>
    <col min="35" max="35" width="5.88671875" style="39" customWidth="1"/>
    <col min="36" max="36" width="9.109375" style="39"/>
    <col min="37" max="37" width="13.33203125" style="39" bestFit="1" customWidth="1"/>
    <col min="38" max="38" width="18.109375" style="39" bestFit="1" customWidth="1"/>
    <col min="39" max="39" width="8.5546875" style="39" bestFit="1" customWidth="1"/>
    <col min="40" max="40" width="10.44140625" style="39" bestFit="1" customWidth="1"/>
    <col min="41" max="41" width="10.109375" style="39" customWidth="1"/>
    <col min="42" max="42" width="11.5546875" style="39" bestFit="1" customWidth="1"/>
    <col min="43" max="43" width="9.6640625" style="39" customWidth="1"/>
    <col min="44" max="44" width="10.6640625" style="39" customWidth="1"/>
    <col min="45" max="45" width="11.6640625" style="39" customWidth="1"/>
    <col min="46" max="46" width="8.6640625" style="39" bestFit="1" customWidth="1"/>
    <col min="47" max="47" width="9.6640625" style="39" customWidth="1"/>
    <col min="48" max="48" width="7.88671875" style="39" bestFit="1" customWidth="1"/>
    <col min="49" max="49" width="10.88671875" style="39" customWidth="1"/>
    <col min="50" max="51" width="8.6640625" style="39" bestFit="1" customWidth="1"/>
    <col min="52" max="16384" width="9.109375" style="39"/>
  </cols>
  <sheetData>
    <row r="1" spans="1:51" x14ac:dyDescent="0.2">
      <c r="A1" s="736" t="str">
        <f>'Schedule 50E'!A1:O1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Q1" s="736" t="str">
        <f>A1</f>
        <v>Puget Sound Energy</v>
      </c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I1" s="736" t="str">
        <f>Q1</f>
        <v>Puget Sound Energy</v>
      </c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</row>
    <row r="2" spans="1:51" x14ac:dyDescent="0.2">
      <c r="A2" s="736" t="str">
        <f>'Schedule 50E'!A2:O2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Q2" s="736" t="str">
        <f>A2</f>
        <v>ProForma Proposed Revenue</v>
      </c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I2" s="736" t="str">
        <f>Q2</f>
        <v>ProForma Proposed Revenue</v>
      </c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</row>
    <row r="3" spans="1:51" x14ac:dyDescent="0.2">
      <c r="A3" s="736" t="str">
        <f>'Schedule 50E'!A3:O3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Q3" s="736" t="str">
        <f>A3</f>
        <v>2022 General Rate Case (GRC)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I3" s="736" t="str">
        <f>Q3</f>
        <v>2022 General Rate Case (GRC)</v>
      </c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</row>
    <row r="4" spans="1:51" x14ac:dyDescent="0.2">
      <c r="A4" s="736" t="str">
        <f>'Schedule 50E'!A4:O4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Q4" s="736" t="str">
        <f>A4</f>
        <v>Test Year Ending June 30, 2021</v>
      </c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I4" s="736" t="str">
        <f>Q4</f>
        <v>Test Year Ending June 30, 2021</v>
      </c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</row>
    <row r="5" spans="1:51" x14ac:dyDescent="0.2">
      <c r="A5" s="736" t="s">
        <v>474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Q5" s="736" t="str">
        <f>A5</f>
        <v>Schedule 51 - Company Owned LED (Light Emitting Diode) Lighting Service</v>
      </c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I5" s="736" t="str">
        <f>Q5</f>
        <v>Schedule 51 - Company Owned LED (Light Emitting Diode) Lighting Service</v>
      </c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</row>
    <row r="6" spans="1:51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Q6" s="736" t="s">
        <v>882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I6" s="736" t="s">
        <v>881</v>
      </c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</row>
    <row r="7" spans="1:51" x14ac:dyDescent="0.2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</row>
    <row r="8" spans="1:51" s="29" customFormat="1" ht="14.4" x14ac:dyDescent="0.3">
      <c r="A8" s="46"/>
      <c r="B8" s="46"/>
      <c r="C8" s="46"/>
      <c r="D8" s="46"/>
      <c r="E8" s="46"/>
      <c r="F8" s="46"/>
      <c r="G8" s="46"/>
      <c r="H8" s="46"/>
      <c r="I8" s="46"/>
      <c r="J8" s="765" t="s">
        <v>653</v>
      </c>
      <c r="K8" s="782"/>
      <c r="L8" s="782"/>
      <c r="M8" s="782"/>
      <c r="N8" s="782"/>
      <c r="O8" s="783"/>
      <c r="P8" s="39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765" t="s">
        <v>653</v>
      </c>
      <c r="AC8" s="782"/>
      <c r="AD8" s="782"/>
      <c r="AE8" s="782"/>
      <c r="AF8" s="782"/>
      <c r="AG8" s="783"/>
      <c r="AH8" s="39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765" t="s">
        <v>653</v>
      </c>
      <c r="AU8" s="782"/>
      <c r="AV8" s="782"/>
      <c r="AW8" s="782"/>
      <c r="AX8" s="782"/>
      <c r="AY8" s="783"/>
    </row>
    <row r="9" spans="1:51" s="627" customFormat="1" ht="71.400000000000006" x14ac:dyDescent="0.2">
      <c r="A9" s="632" t="str">
        <f>'Schedule 50E'!A9</f>
        <v>Line No.</v>
      </c>
      <c r="B9" s="632" t="str">
        <f>'Schedule 50E'!B9</f>
        <v>Schedule</v>
      </c>
      <c r="C9" s="632" t="str">
        <f>'Schedule 50E'!C9</f>
        <v>Lamp Size (Watts)</v>
      </c>
      <c r="D9" s="632" t="str">
        <f>'Schedule 50E'!D9</f>
        <v>Lamp Type</v>
      </c>
      <c r="E9" s="632" t="str">
        <f>'Schedule 50E'!E9</f>
        <v>Monthly Test Year Inventory</v>
      </c>
      <c r="F9" s="632" t="str">
        <f>'Schedule 50E'!F9</f>
        <v>Base Rates
Effective
10-1-2021</v>
      </c>
      <c r="G9" s="632" t="str">
        <f>'Schedule 50E'!G9</f>
        <v>Proposed Lamp Charge (Base)</v>
      </c>
      <c r="H9" s="632" t="str">
        <f>'Schedule 50E'!H9</f>
        <v>TOTAL Proposed Charge (Base + 141COL + 141N + 141R + 141A)</v>
      </c>
      <c r="I9" s="632" t="str">
        <f>'Schedule 50E'!I9</f>
        <v>Current Annual Rate Revenue (Base)</v>
      </c>
      <c r="J9" s="632" t="str">
        <f>'Schedule 50E'!J9</f>
        <v>Annual Revenue (Base)</v>
      </c>
      <c r="K9" s="632" t="str">
        <f>'Schedule 50E'!K9</f>
        <v>TOTAL Annual Revenue (Base + 141COL + 141N + 141R + 141A)</v>
      </c>
      <c r="L9" s="632" t="str">
        <f>'Schedule 50E'!L9</f>
        <v>Revenue Change (Base)</v>
      </c>
      <c r="M9" s="632" t="str">
        <f>'Schedule 50E'!M9</f>
        <v>TOTAL Revenue Change (Base + 141COL + 141N + 141R + 141A)</v>
      </c>
      <c r="N9" s="632" t="str">
        <f>'Schedule 50E'!N9</f>
        <v>Base Change %</v>
      </c>
      <c r="O9" s="632" t="str">
        <f>'Schedule 50E'!O9</f>
        <v>TOTAL Overall Change %</v>
      </c>
      <c r="P9" s="626"/>
      <c r="Q9" s="632" t="s">
        <v>1</v>
      </c>
      <c r="R9" s="632" t="s">
        <v>53</v>
      </c>
      <c r="S9" s="631" t="s">
        <v>66</v>
      </c>
      <c r="T9" s="632" t="s">
        <v>67</v>
      </c>
      <c r="U9" s="632" t="str">
        <f>'Schedule 50E'!U9</f>
        <v>Monthly Test Year Inventory</v>
      </c>
      <c r="V9" s="632" t="str">
        <f>'Schedule 50E'!V9</f>
        <v>Rates Effective 1-1-2023 (Base)</v>
      </c>
      <c r="W9" s="632" t="str">
        <f>'Schedule 50E'!W9</f>
        <v>TOTAL Rates Effective 1-1-2023 (Base + 141COL + 141N + 141R + 141A)</v>
      </c>
      <c r="X9" s="632" t="str">
        <f>'Schedule 50E'!X9</f>
        <v>Proposed Lamp Charge (Base)</v>
      </c>
      <c r="Y9" s="632" t="str">
        <f>'Schedule 50E'!Y9</f>
        <v>TOTAL Proposed Charge (Base + 141COL + 141N + 141R + 141A)</v>
      </c>
      <c r="Z9" s="632" t="str">
        <f>'Schedule 50E'!Z9</f>
        <v>Current Annual Rate Revenue (Base)</v>
      </c>
      <c r="AA9" s="632" t="str">
        <f>'Schedule 50E'!AA9</f>
        <v>TOTAL Current Annual Rate Revenue (Base + 141COL + 141N + 141R + 141A)</v>
      </c>
      <c r="AB9" s="632" t="str">
        <f>'Schedule 50E'!AB9</f>
        <v>Annual Revenue (Base)</v>
      </c>
      <c r="AC9" s="632" t="str">
        <f>'Schedule 50E'!AC9</f>
        <v>TOTAL Annual Revenue (Base + 141COL + 141N + 141R + 141A)</v>
      </c>
      <c r="AD9" s="632" t="str">
        <f>'Schedule 50E'!AD9</f>
        <v>Revenue Change (Base)</v>
      </c>
      <c r="AE9" s="632" t="str">
        <f>'Schedule 50E'!AE9</f>
        <v>TOTAL Revenue Change  (Base + 141COL + 141N + 141R + 141A)</v>
      </c>
      <c r="AF9" s="632" t="str">
        <f>'Schedule 50E'!AF9</f>
        <v>Base Change %</v>
      </c>
      <c r="AG9" s="632" t="str">
        <f>'Schedule 50E'!AG9</f>
        <v>TOTAL Overall Change %</v>
      </c>
      <c r="AH9" s="626"/>
      <c r="AI9" s="632" t="s">
        <v>1</v>
      </c>
      <c r="AJ9" s="632" t="s">
        <v>53</v>
      </c>
      <c r="AK9" s="631" t="s">
        <v>66</v>
      </c>
      <c r="AL9" s="632" t="s">
        <v>67</v>
      </c>
      <c r="AM9" s="632" t="str">
        <f>'Schedule 50E'!AM9</f>
        <v>Monthly Test Year Inventory</v>
      </c>
      <c r="AN9" s="632" t="str">
        <f>'Schedule 50E'!AN9</f>
        <v>Rates Effective 1-1-2024 (Base)</v>
      </c>
      <c r="AO9" s="632" t="str">
        <f>'Schedule 50E'!AO9</f>
        <v>TOTAL Rates Effective 1-1-2024 (Base + 141COL + 141N + 141R + 141A)</v>
      </c>
      <c r="AP9" s="632" t="str">
        <f>'Schedule 50E'!AP9</f>
        <v>Proposed Lamp Charge (Base)</v>
      </c>
      <c r="AQ9" s="632" t="str">
        <f>'Schedule 50E'!AQ9</f>
        <v>TOTAL Proposed Charge (Base + 141COL + 141N + 141R + 141A)</v>
      </c>
      <c r="AR9" s="632" t="str">
        <f>'Schedule 50E'!AR9</f>
        <v>Current Annual Rate Revenue (Base)</v>
      </c>
      <c r="AS9" s="632" t="str">
        <f>'Schedule 50E'!AS9</f>
        <v>TOTAL Current Annual Rate Revenue (Base + 141COL + 141N + 141R + 141A)</v>
      </c>
      <c r="AT9" s="632" t="str">
        <f>'Schedule 50E'!AT9</f>
        <v>Annual Revenue (Base)</v>
      </c>
      <c r="AU9" s="632" t="str">
        <f>'Schedule 50E'!AU9</f>
        <v>TOTAL Annual Revenue (Base + 141COL + 141N + 141R + 141A)</v>
      </c>
      <c r="AV9" s="632" t="str">
        <f>'Schedule 50E'!AV9</f>
        <v>Revenue Change (Base)</v>
      </c>
      <c r="AW9" s="632" t="str">
        <f>'Schedule 50E'!AW9</f>
        <v>TOTAL Revenue Change (Base + 141COL + 141N + 141R + 141A)</v>
      </c>
      <c r="AX9" s="632" t="str">
        <f>'Schedule 50E'!AX9</f>
        <v>Base Change %</v>
      </c>
      <c r="AY9" s="632" t="str">
        <f>'Schedule 50E'!AY9</f>
        <v>TOTAL Overall Change %</v>
      </c>
    </row>
    <row r="10" spans="1:51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169" t="s">
        <v>13</v>
      </c>
      <c r="Q10" s="98"/>
      <c r="R10" s="98" t="s">
        <v>3</v>
      </c>
      <c r="S10" s="169" t="s">
        <v>4</v>
      </c>
      <c r="T10" s="169" t="s">
        <v>5</v>
      </c>
      <c r="U10" s="169" t="s">
        <v>6</v>
      </c>
      <c r="V10" s="169" t="s">
        <v>390</v>
      </c>
      <c r="W10" s="169" t="s">
        <v>21</v>
      </c>
      <c r="X10" s="169" t="s">
        <v>8</v>
      </c>
      <c r="Y10" s="169" t="s">
        <v>9</v>
      </c>
      <c r="Z10" s="169" t="s">
        <v>22</v>
      </c>
      <c r="AA10" s="169" t="s">
        <v>23</v>
      </c>
      <c r="AB10" s="169" t="s">
        <v>10</v>
      </c>
      <c r="AC10" s="169" t="s">
        <v>11</v>
      </c>
      <c r="AD10" s="169" t="s">
        <v>12</v>
      </c>
      <c r="AE10" s="169" t="s">
        <v>13</v>
      </c>
      <c r="AF10" s="169" t="s">
        <v>14</v>
      </c>
      <c r="AG10" s="169" t="s">
        <v>877</v>
      </c>
      <c r="AI10" s="98"/>
      <c r="AJ10" s="98" t="s">
        <v>3</v>
      </c>
      <c r="AK10" s="169" t="s">
        <v>4</v>
      </c>
      <c r="AL10" s="169" t="s">
        <v>5</v>
      </c>
      <c r="AM10" s="169" t="s">
        <v>6</v>
      </c>
      <c r="AN10" s="169" t="s">
        <v>390</v>
      </c>
      <c r="AO10" s="169" t="s">
        <v>21</v>
      </c>
      <c r="AP10" s="169" t="s">
        <v>8</v>
      </c>
      <c r="AQ10" s="169" t="s">
        <v>9</v>
      </c>
      <c r="AR10" s="169" t="s">
        <v>22</v>
      </c>
      <c r="AS10" s="169" t="s">
        <v>23</v>
      </c>
      <c r="AT10" s="169" t="s">
        <v>10</v>
      </c>
      <c r="AU10" s="169" t="s">
        <v>11</v>
      </c>
      <c r="AV10" s="169" t="s">
        <v>12</v>
      </c>
      <c r="AW10" s="169" t="s">
        <v>13</v>
      </c>
      <c r="AX10" s="169" t="s">
        <v>14</v>
      </c>
      <c r="AY10" s="169" t="s">
        <v>877</v>
      </c>
    </row>
    <row r="11" spans="1:51" s="177" customFormat="1" ht="24" customHeight="1" x14ac:dyDescent="0.2">
      <c r="A11" s="98" t="s">
        <v>396</v>
      </c>
      <c r="B11" s="98"/>
      <c r="C11" s="169"/>
      <c r="D11" s="169"/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416</v>
      </c>
      <c r="J11" s="169" t="s">
        <v>483</v>
      </c>
      <c r="K11" s="169" t="s">
        <v>484</v>
      </c>
      <c r="L11" s="169" t="s">
        <v>492</v>
      </c>
      <c r="M11" s="169" t="s">
        <v>398</v>
      </c>
      <c r="N11" s="169" t="s">
        <v>399</v>
      </c>
      <c r="O11" s="169" t="s">
        <v>876</v>
      </c>
      <c r="P11" s="627"/>
      <c r="Q11" s="98" t="s">
        <v>396</v>
      </c>
      <c r="R11" s="98"/>
      <c r="S11" s="169"/>
      <c r="T11" s="169"/>
      <c r="U11" s="169" t="s">
        <v>397</v>
      </c>
      <c r="V11" s="169" t="s">
        <v>397</v>
      </c>
      <c r="W11" s="169" t="s">
        <v>397</v>
      </c>
      <c r="X11" s="169" t="s">
        <v>397</v>
      </c>
      <c r="Y11" s="169" t="s">
        <v>397</v>
      </c>
      <c r="Z11" s="169" t="s">
        <v>416</v>
      </c>
      <c r="AA11" s="169" t="s">
        <v>483</v>
      </c>
      <c r="AB11" s="169" t="s">
        <v>484</v>
      </c>
      <c r="AC11" s="169" t="s">
        <v>875</v>
      </c>
      <c r="AD11" s="169" t="s">
        <v>493</v>
      </c>
      <c r="AE11" s="169" t="s">
        <v>874</v>
      </c>
      <c r="AF11" s="169" t="s">
        <v>873</v>
      </c>
      <c r="AG11" s="169" t="s">
        <v>872</v>
      </c>
      <c r="AH11" s="627"/>
      <c r="AI11" s="98" t="s">
        <v>396</v>
      </c>
      <c r="AJ11" s="98"/>
      <c r="AK11" s="169"/>
      <c r="AL11" s="169"/>
      <c r="AM11" s="169" t="s">
        <v>397</v>
      </c>
      <c r="AN11" s="169" t="s">
        <v>397</v>
      </c>
      <c r="AO11" s="169" t="s">
        <v>397</v>
      </c>
      <c r="AP11" s="169" t="s">
        <v>397</v>
      </c>
      <c r="AQ11" s="169" t="s">
        <v>397</v>
      </c>
      <c r="AR11" s="169" t="s">
        <v>416</v>
      </c>
      <c r="AS11" s="169" t="s">
        <v>483</v>
      </c>
      <c r="AT11" s="169" t="s">
        <v>484</v>
      </c>
      <c r="AU11" s="169" t="s">
        <v>875</v>
      </c>
      <c r="AV11" s="169" t="s">
        <v>493</v>
      </c>
      <c r="AW11" s="169" t="s">
        <v>874</v>
      </c>
      <c r="AX11" s="169" t="s">
        <v>873</v>
      </c>
      <c r="AY11" s="169" t="s">
        <v>872</v>
      </c>
    </row>
    <row r="12" spans="1:51" s="177" customFormat="1" x14ac:dyDescent="0.2">
      <c r="A12" s="630"/>
      <c r="B12" s="630"/>
      <c r="C12" s="426"/>
      <c r="D12" s="426"/>
      <c r="F12" s="169"/>
      <c r="P12" s="627"/>
      <c r="Q12" s="98"/>
      <c r="R12" s="98"/>
      <c r="S12" s="169"/>
      <c r="T12" s="169"/>
      <c r="U12" s="169"/>
      <c r="V12" s="169"/>
      <c r="X12" s="169"/>
      <c r="Z12" s="169"/>
      <c r="AB12" s="169"/>
      <c r="AD12" s="169"/>
      <c r="AF12" s="169"/>
      <c r="AH12" s="627"/>
      <c r="AI12" s="98"/>
      <c r="AJ12" s="98"/>
      <c r="AK12" s="169"/>
      <c r="AL12" s="169"/>
      <c r="AM12" s="169"/>
      <c r="AN12" s="169"/>
      <c r="AP12" s="169"/>
      <c r="AR12" s="169"/>
      <c r="AT12" s="169"/>
      <c r="AV12" s="169"/>
      <c r="AX12" s="169"/>
    </row>
    <row r="13" spans="1:51" s="177" customFormat="1" x14ac:dyDescent="0.2">
      <c r="A13" s="630">
        <f>1</f>
        <v>1</v>
      </c>
      <c r="B13" s="630" t="s">
        <v>78</v>
      </c>
      <c r="C13" s="593" t="s">
        <v>933</v>
      </c>
      <c r="D13" s="426" t="s">
        <v>117</v>
      </c>
      <c r="E13" s="318">
        <f>'WP1 Light Inventory'!J20</f>
        <v>0</v>
      </c>
      <c r="F13" s="330">
        <f>'WP2 Current Light Rates'!E24</f>
        <v>1.43</v>
      </c>
      <c r="G13" s="330">
        <f>'BDJ-6 Combined Charges'!K24</f>
        <v>0.44</v>
      </c>
      <c r="H13" s="330">
        <f>'Sch 141A Lighting Tariff'!J22+'Sch 141C Lighting Tariff'!J22+'Sch 141N Lighting Tariff'!J24+'Sch 141R Lighting Tariff'!J24+G13</f>
        <v>0.72</v>
      </c>
      <c r="I13" s="209">
        <f t="shared" ref="I13" si="0">(+F13*$E13*12)</f>
        <v>0</v>
      </c>
      <c r="J13" s="209">
        <f t="shared" ref="J13" si="1">(+G13*$E13*12)</f>
        <v>0</v>
      </c>
      <c r="K13" s="209">
        <f t="shared" ref="K13" si="2">(H13)*E13*12</f>
        <v>0</v>
      </c>
      <c r="L13" s="209">
        <f t="shared" ref="L13" si="3">+J13-I13</f>
        <v>0</v>
      </c>
      <c r="M13" s="209">
        <f t="shared" ref="M13" si="4">+K13-I13</f>
        <v>0</v>
      </c>
      <c r="N13" s="36" t="str">
        <f t="shared" ref="N13" si="5">IF(+L13=0,"0%",L13/I13)</f>
        <v>0%</v>
      </c>
      <c r="O13" s="36" t="str">
        <f t="shared" ref="O13" si="6">IF(+M13=0,"0%",M13/I13)</f>
        <v>0%</v>
      </c>
      <c r="P13" s="627"/>
      <c r="Q13" s="630">
        <v>1</v>
      </c>
      <c r="R13" s="630" t="s">
        <v>78</v>
      </c>
      <c r="S13" s="593" t="s">
        <v>933</v>
      </c>
      <c r="T13" s="426" t="s">
        <v>117</v>
      </c>
      <c r="U13" s="35">
        <f t="shared" ref="U13" si="7">E13</f>
        <v>0</v>
      </c>
      <c r="V13" s="330">
        <f t="shared" ref="V13" si="8">G13</f>
        <v>0.44</v>
      </c>
      <c r="W13" s="330">
        <f t="shared" ref="W13" si="9">H13</f>
        <v>0.72</v>
      </c>
      <c r="X13" s="330">
        <f t="shared" ref="X13" si="10">V13</f>
        <v>0.44</v>
      </c>
      <c r="Y13" s="330">
        <f>'Sch 141A Lighting Tariff'!N22+'Sch 141C Lighting Tariff'!N22+'Sch 141N Lighting Tariff'!N24+'Sch 141R Lighting Tariff'!N24+X13</f>
        <v>0.76</v>
      </c>
      <c r="Z13" s="209">
        <f t="shared" ref="Z13" si="11">(+V13*$U13*12)</f>
        <v>0</v>
      </c>
      <c r="AA13" s="209">
        <f t="shared" ref="AA13" si="12">(+W13*$U13*12)</f>
        <v>0</v>
      </c>
      <c r="AB13" s="209">
        <f t="shared" ref="AB13" si="13">(+X13*$U13*12)</f>
        <v>0</v>
      </c>
      <c r="AC13" s="209">
        <f t="shared" ref="AC13" si="14">(+Y13*$U13*12)</f>
        <v>0</v>
      </c>
      <c r="AD13" s="209">
        <f t="shared" ref="AD13" si="15">+AB13-Z13</f>
        <v>0</v>
      </c>
      <c r="AE13" s="209">
        <f t="shared" ref="AE13" si="16">+AC13-AA13</f>
        <v>0</v>
      </c>
      <c r="AF13" s="36" t="str">
        <f t="shared" ref="AF13" si="17">IF(+AD13=0,"0%",AD13/Z13)</f>
        <v>0%</v>
      </c>
      <c r="AG13" s="36" t="str">
        <f t="shared" ref="AG13" si="18">IF(+AE13=0,"0%",AE13/AA13)</f>
        <v>0%</v>
      </c>
      <c r="AH13" s="627"/>
      <c r="AI13" s="630">
        <v>1</v>
      </c>
      <c r="AJ13" s="630" t="s">
        <v>78</v>
      </c>
      <c r="AK13" s="593" t="s">
        <v>933</v>
      </c>
      <c r="AL13" s="426" t="s">
        <v>117</v>
      </c>
      <c r="AM13" s="35"/>
      <c r="AN13" s="330"/>
      <c r="AO13" s="330"/>
      <c r="AP13" s="330"/>
      <c r="AQ13" s="330"/>
      <c r="AR13" s="209"/>
      <c r="AS13" s="209"/>
      <c r="AT13" s="209"/>
      <c r="AU13" s="209"/>
      <c r="AV13" s="209"/>
      <c r="AW13" s="209"/>
      <c r="AX13" s="36"/>
      <c r="AY13" s="36"/>
    </row>
    <row r="14" spans="1:51" s="177" customFormat="1" x14ac:dyDescent="0.2">
      <c r="A14" s="630">
        <f t="shared" ref="A14:A23" si="19">A13+1</f>
        <v>2</v>
      </c>
      <c r="B14" s="630" t="s">
        <v>78</v>
      </c>
      <c r="C14" s="593" t="s">
        <v>539</v>
      </c>
      <c r="D14" s="426" t="s">
        <v>117</v>
      </c>
      <c r="E14" s="318">
        <f>'WP1 Light Inventory'!J21</f>
        <v>4351</v>
      </c>
      <c r="F14" s="330">
        <f>'WP2 Current Light Rates'!E25</f>
        <v>1.43</v>
      </c>
      <c r="G14" s="330">
        <f>'BDJ-6 Combined Charges'!K25</f>
        <v>1.3199999999999998</v>
      </c>
      <c r="H14" s="330">
        <f>'Sch 141A Lighting Tariff'!J23+'Sch 141C Lighting Tariff'!J23+'Sch 141N Lighting Tariff'!J25+'Sch 141R Lighting Tariff'!J25+G14</f>
        <v>2.19</v>
      </c>
      <c r="I14" s="209">
        <f t="shared" ref="I14:I22" si="20">(+F14*$E14*12)</f>
        <v>74663.159999999989</v>
      </c>
      <c r="J14" s="209">
        <f t="shared" ref="J14:J22" si="21">(+G14*$E14*12)</f>
        <v>68919.839999999997</v>
      </c>
      <c r="K14" s="209">
        <f t="shared" ref="K14:K22" si="22">(H14)*E14*12</f>
        <v>114344.28</v>
      </c>
      <c r="L14" s="209">
        <f t="shared" ref="L14:L22" si="23">+J14-I14</f>
        <v>-5743.3199999999924</v>
      </c>
      <c r="M14" s="209">
        <f t="shared" ref="M14:M22" si="24">+K14-I14</f>
        <v>39681.12000000001</v>
      </c>
      <c r="N14" s="36">
        <f t="shared" ref="N14:N22" si="25">IF(+L14=0,"0%",L14/I14)</f>
        <v>-7.692307692307683E-2</v>
      </c>
      <c r="O14" s="36">
        <f t="shared" ref="O14:O22" si="26">IF(+M14=0,"0%",M14/I14)</f>
        <v>0.53146853146853168</v>
      </c>
      <c r="P14" s="627"/>
      <c r="Q14" s="630">
        <f t="shared" ref="Q14:Q23" si="27">Q13+1</f>
        <v>2</v>
      </c>
      <c r="R14" s="630" t="s">
        <v>78</v>
      </c>
      <c r="S14" s="593" t="s">
        <v>539</v>
      </c>
      <c r="T14" s="426" t="s">
        <v>117</v>
      </c>
      <c r="U14" s="35">
        <f t="shared" ref="U14:U22" si="28">E14</f>
        <v>4351</v>
      </c>
      <c r="V14" s="330">
        <f t="shared" ref="V14:V22" si="29">G14</f>
        <v>1.3199999999999998</v>
      </c>
      <c r="W14" s="330">
        <f t="shared" ref="W14:W22" si="30">H14</f>
        <v>2.19</v>
      </c>
      <c r="X14" s="330">
        <f t="shared" ref="X14:X22" si="31">V14</f>
        <v>1.3199999999999998</v>
      </c>
      <c r="Y14" s="330">
        <f>'Sch 141A Lighting Tariff'!N23+'Sch 141C Lighting Tariff'!N23+'Sch 141N Lighting Tariff'!N25+'Sch 141R Lighting Tariff'!N25+X14</f>
        <v>2.3099999999999996</v>
      </c>
      <c r="Z14" s="209">
        <f t="shared" ref="Z14:Z22" si="32">(+V14*$U14*12)</f>
        <v>68919.839999999997</v>
      </c>
      <c r="AA14" s="209">
        <f t="shared" ref="AA14:AA22" si="33">(+W14*$U14*12)</f>
        <v>114344.28</v>
      </c>
      <c r="AB14" s="209">
        <f t="shared" ref="AB14:AB22" si="34">(+X14*$U14*12)</f>
        <v>68919.839999999997</v>
      </c>
      <c r="AC14" s="209">
        <f t="shared" ref="AC14:AC22" si="35">(+Y14*$U14*12)</f>
        <v>120609.71999999997</v>
      </c>
      <c r="AD14" s="209">
        <f t="shared" ref="AD14:AD22" si="36">+AB14-Z14</f>
        <v>0</v>
      </c>
      <c r="AE14" s="209">
        <f t="shared" ref="AE14:AE22" si="37">+AC14-AA14</f>
        <v>6265.4399999999732</v>
      </c>
      <c r="AF14" s="36" t="str">
        <f t="shared" ref="AF14:AF22" si="38">IF(+AD14=0,"0%",AD14/Z14)</f>
        <v>0%</v>
      </c>
      <c r="AG14" s="36">
        <f t="shared" ref="AG14:AG22" si="39">IF(+AE14=0,"0%",AE14/AA14)</f>
        <v>5.4794520547944973E-2</v>
      </c>
      <c r="AH14" s="627"/>
      <c r="AI14" s="630">
        <v>1</v>
      </c>
      <c r="AJ14" s="630" t="s">
        <v>78</v>
      </c>
      <c r="AK14" s="593" t="s">
        <v>539</v>
      </c>
      <c r="AL14" s="426" t="s">
        <v>117</v>
      </c>
      <c r="AM14" s="35"/>
      <c r="AN14" s="330"/>
      <c r="AO14" s="330"/>
      <c r="AP14" s="330"/>
      <c r="AQ14" s="330"/>
      <c r="AR14" s="209"/>
      <c r="AS14" s="209"/>
      <c r="AT14" s="209"/>
      <c r="AU14" s="209"/>
      <c r="AV14" s="209"/>
      <c r="AW14" s="209"/>
      <c r="AX14" s="36"/>
      <c r="AY14" s="36"/>
    </row>
    <row r="15" spans="1:51" s="177" customFormat="1" x14ac:dyDescent="0.2">
      <c r="A15" s="630">
        <f t="shared" si="19"/>
        <v>3</v>
      </c>
      <c r="B15" s="630" t="s">
        <v>78</v>
      </c>
      <c r="C15" s="593" t="s">
        <v>543</v>
      </c>
      <c r="D15" s="426" t="s">
        <v>117</v>
      </c>
      <c r="E15" s="318">
        <f>'WP1 Light Inventory'!J22</f>
        <v>2380</v>
      </c>
      <c r="F15" s="330">
        <f>'WP2 Current Light Rates'!E26</f>
        <v>2.39</v>
      </c>
      <c r="G15" s="330">
        <f>'BDJ-6 Combined Charges'!K26</f>
        <v>2.2000000000000002</v>
      </c>
      <c r="H15" s="330">
        <f>'Sch 141A Lighting Tariff'!J24+'Sch 141C Lighting Tariff'!J24+'Sch 141N Lighting Tariff'!J26+'Sch 141R Lighting Tariff'!J26+G15</f>
        <v>3.66</v>
      </c>
      <c r="I15" s="209">
        <f t="shared" si="20"/>
        <v>68258.400000000009</v>
      </c>
      <c r="J15" s="209">
        <f t="shared" si="21"/>
        <v>62832</v>
      </c>
      <c r="K15" s="209">
        <f t="shared" si="22"/>
        <v>104529.60000000001</v>
      </c>
      <c r="L15" s="209">
        <f t="shared" si="23"/>
        <v>-5426.4000000000087</v>
      </c>
      <c r="M15" s="209">
        <f t="shared" si="24"/>
        <v>36271.199999999997</v>
      </c>
      <c r="N15" s="36">
        <f t="shared" si="25"/>
        <v>-7.9497907949790919E-2</v>
      </c>
      <c r="O15" s="36">
        <f t="shared" si="26"/>
        <v>0.5313807531380752</v>
      </c>
      <c r="P15" s="627"/>
      <c r="Q15" s="630">
        <f t="shared" si="27"/>
        <v>3</v>
      </c>
      <c r="R15" s="630" t="s">
        <v>78</v>
      </c>
      <c r="S15" s="593" t="s">
        <v>543</v>
      </c>
      <c r="T15" s="426" t="s">
        <v>117</v>
      </c>
      <c r="U15" s="35">
        <f t="shared" si="28"/>
        <v>2380</v>
      </c>
      <c r="V15" s="330">
        <f t="shared" si="29"/>
        <v>2.2000000000000002</v>
      </c>
      <c r="W15" s="330">
        <f t="shared" si="30"/>
        <v>3.66</v>
      </c>
      <c r="X15" s="330">
        <f t="shared" si="31"/>
        <v>2.2000000000000002</v>
      </c>
      <c r="Y15" s="330">
        <f>'Sch 141A Lighting Tariff'!N24+'Sch 141C Lighting Tariff'!N24+'Sch 141N Lighting Tariff'!N26+'Sch 141R Lighting Tariff'!N26+X15</f>
        <v>3.8500000000000005</v>
      </c>
      <c r="Z15" s="209">
        <f t="shared" si="32"/>
        <v>62832</v>
      </c>
      <c r="AA15" s="209">
        <f t="shared" si="33"/>
        <v>104529.60000000001</v>
      </c>
      <c r="AB15" s="209">
        <f t="shared" si="34"/>
        <v>62832</v>
      </c>
      <c r="AC15" s="209">
        <f t="shared" si="35"/>
        <v>109956.00000000003</v>
      </c>
      <c r="AD15" s="209">
        <f t="shared" si="36"/>
        <v>0</v>
      </c>
      <c r="AE15" s="209">
        <f t="shared" si="37"/>
        <v>5426.4000000000233</v>
      </c>
      <c r="AF15" s="36" t="str">
        <f t="shared" si="38"/>
        <v>0%</v>
      </c>
      <c r="AG15" s="36">
        <f t="shared" si="39"/>
        <v>5.1912568306011146E-2</v>
      </c>
      <c r="AH15" s="627"/>
      <c r="AI15" s="630">
        <f t="shared" ref="AI15:AI23" si="40">AI14+1</f>
        <v>2</v>
      </c>
      <c r="AJ15" s="630" t="s">
        <v>78</v>
      </c>
      <c r="AK15" s="593" t="s">
        <v>543</v>
      </c>
      <c r="AL15" s="426" t="s">
        <v>117</v>
      </c>
      <c r="AM15" s="35"/>
      <c r="AN15" s="330"/>
      <c r="AO15" s="330"/>
      <c r="AP15" s="330"/>
      <c r="AQ15" s="330"/>
      <c r="AR15" s="209"/>
      <c r="AS15" s="209"/>
      <c r="AT15" s="209"/>
      <c r="AU15" s="209"/>
      <c r="AV15" s="209"/>
      <c r="AW15" s="209"/>
      <c r="AX15" s="36"/>
      <c r="AY15" s="36"/>
    </row>
    <row r="16" spans="1:51" s="177" customFormat="1" x14ac:dyDescent="0.2">
      <c r="A16" s="630">
        <f t="shared" si="19"/>
        <v>4</v>
      </c>
      <c r="B16" s="630" t="s">
        <v>78</v>
      </c>
      <c r="C16" s="593" t="s">
        <v>544</v>
      </c>
      <c r="D16" s="426" t="s">
        <v>117</v>
      </c>
      <c r="E16" s="318">
        <f>'WP1 Light Inventory'!J23</f>
        <v>1030</v>
      </c>
      <c r="F16" s="330">
        <f>'WP2 Current Light Rates'!E27</f>
        <v>3.34</v>
      </c>
      <c r="G16" s="330">
        <f>'BDJ-6 Combined Charges'!K27</f>
        <v>3.08</v>
      </c>
      <c r="H16" s="330">
        <f>'Sch 141A Lighting Tariff'!J25+'Sch 141C Lighting Tariff'!J25+'Sch 141N Lighting Tariff'!J27+'Sch 141R Lighting Tariff'!J27+G16</f>
        <v>5.12</v>
      </c>
      <c r="I16" s="209">
        <f t="shared" si="20"/>
        <v>41282.399999999994</v>
      </c>
      <c r="J16" s="209">
        <f t="shared" si="21"/>
        <v>38068.800000000003</v>
      </c>
      <c r="K16" s="209">
        <f t="shared" si="22"/>
        <v>63283.200000000004</v>
      </c>
      <c r="L16" s="209">
        <f t="shared" si="23"/>
        <v>-3213.5999999999913</v>
      </c>
      <c r="M16" s="209">
        <f t="shared" si="24"/>
        <v>22000.80000000001</v>
      </c>
      <c r="N16" s="36">
        <f t="shared" si="25"/>
        <v>-7.7844311377245304E-2</v>
      </c>
      <c r="O16" s="36">
        <f t="shared" si="26"/>
        <v>0.53293413173652726</v>
      </c>
      <c r="P16" s="627"/>
      <c r="Q16" s="630">
        <f t="shared" si="27"/>
        <v>4</v>
      </c>
      <c r="R16" s="630" t="s">
        <v>78</v>
      </c>
      <c r="S16" s="593" t="s">
        <v>544</v>
      </c>
      <c r="T16" s="426" t="s">
        <v>117</v>
      </c>
      <c r="U16" s="35">
        <f t="shared" si="28"/>
        <v>1030</v>
      </c>
      <c r="V16" s="330">
        <f t="shared" si="29"/>
        <v>3.08</v>
      </c>
      <c r="W16" s="330">
        <f t="shared" si="30"/>
        <v>5.12</v>
      </c>
      <c r="X16" s="330">
        <f t="shared" si="31"/>
        <v>3.08</v>
      </c>
      <c r="Y16" s="330">
        <f>'Sch 141A Lighting Tariff'!N25+'Sch 141C Lighting Tariff'!N25+'Sch 141N Lighting Tariff'!N27+'Sch 141R Lighting Tariff'!N27+X16</f>
        <v>5.4</v>
      </c>
      <c r="Z16" s="209">
        <f t="shared" si="32"/>
        <v>38068.800000000003</v>
      </c>
      <c r="AA16" s="209">
        <f t="shared" si="33"/>
        <v>63283.200000000004</v>
      </c>
      <c r="AB16" s="209">
        <f t="shared" si="34"/>
        <v>38068.800000000003</v>
      </c>
      <c r="AC16" s="209">
        <f t="shared" si="35"/>
        <v>66744</v>
      </c>
      <c r="AD16" s="209">
        <f t="shared" si="36"/>
        <v>0</v>
      </c>
      <c r="AE16" s="209">
        <f t="shared" si="37"/>
        <v>3460.7999999999956</v>
      </c>
      <c r="AF16" s="36" t="str">
        <f t="shared" si="38"/>
        <v>0%</v>
      </c>
      <c r="AG16" s="36">
        <f t="shared" si="39"/>
        <v>5.4687499999999931E-2</v>
      </c>
      <c r="AH16" s="627"/>
      <c r="AI16" s="630">
        <f t="shared" si="40"/>
        <v>3</v>
      </c>
      <c r="AJ16" s="630" t="s">
        <v>78</v>
      </c>
      <c r="AK16" s="593" t="s">
        <v>544</v>
      </c>
      <c r="AL16" s="426" t="s">
        <v>117</v>
      </c>
      <c r="AM16" s="35"/>
      <c r="AN16" s="330"/>
      <c r="AO16" s="330"/>
      <c r="AP16" s="330"/>
      <c r="AQ16" s="330"/>
      <c r="AR16" s="209"/>
      <c r="AS16" s="209"/>
      <c r="AT16" s="209"/>
      <c r="AU16" s="209"/>
      <c r="AV16" s="209"/>
      <c r="AW16" s="209"/>
      <c r="AX16" s="36"/>
      <c r="AY16" s="36"/>
    </row>
    <row r="17" spans="1:51" s="177" customFormat="1" x14ac:dyDescent="0.2">
      <c r="A17" s="630">
        <f t="shared" si="19"/>
        <v>5</v>
      </c>
      <c r="B17" s="630" t="s">
        <v>78</v>
      </c>
      <c r="C17" s="593" t="s">
        <v>545</v>
      </c>
      <c r="D17" s="426" t="s">
        <v>117</v>
      </c>
      <c r="E17" s="318">
        <f>'WP1 Light Inventory'!J24</f>
        <v>485</v>
      </c>
      <c r="F17" s="330">
        <f>'WP2 Current Light Rates'!E28</f>
        <v>4.3</v>
      </c>
      <c r="G17" s="330">
        <f>'BDJ-6 Combined Charges'!K28</f>
        <v>3.97</v>
      </c>
      <c r="H17" s="330">
        <f>'Sch 141A Lighting Tariff'!J26+'Sch 141C Lighting Tariff'!J26+'Sch 141N Lighting Tariff'!J28+'Sch 141R Lighting Tariff'!J28+G17</f>
        <v>6.58</v>
      </c>
      <c r="I17" s="209">
        <f t="shared" si="20"/>
        <v>25026</v>
      </c>
      <c r="J17" s="209">
        <f t="shared" si="21"/>
        <v>23105.4</v>
      </c>
      <c r="K17" s="209">
        <f t="shared" si="22"/>
        <v>38295.600000000006</v>
      </c>
      <c r="L17" s="209">
        <f t="shared" si="23"/>
        <v>-1920.5999999999985</v>
      </c>
      <c r="M17" s="209">
        <f t="shared" si="24"/>
        <v>13269.600000000006</v>
      </c>
      <c r="N17" s="36">
        <f t="shared" si="25"/>
        <v>-7.6744186046511564E-2</v>
      </c>
      <c r="O17" s="36">
        <f t="shared" si="26"/>
        <v>0.53023255813953507</v>
      </c>
      <c r="Q17" s="630">
        <f t="shared" si="27"/>
        <v>5</v>
      </c>
      <c r="R17" s="630" t="s">
        <v>78</v>
      </c>
      <c r="S17" s="593" t="s">
        <v>545</v>
      </c>
      <c r="T17" s="426" t="s">
        <v>117</v>
      </c>
      <c r="U17" s="35">
        <f t="shared" si="28"/>
        <v>485</v>
      </c>
      <c r="V17" s="330">
        <f t="shared" si="29"/>
        <v>3.97</v>
      </c>
      <c r="W17" s="330">
        <f t="shared" si="30"/>
        <v>6.58</v>
      </c>
      <c r="X17" s="330">
        <f t="shared" si="31"/>
        <v>3.97</v>
      </c>
      <c r="Y17" s="330">
        <f>'Sch 141A Lighting Tariff'!N26+'Sch 141C Lighting Tariff'!N26+'Sch 141N Lighting Tariff'!N28+'Sch 141R Lighting Tariff'!N28+X17</f>
        <v>6.9499999999999993</v>
      </c>
      <c r="Z17" s="209">
        <f t="shared" si="32"/>
        <v>23105.4</v>
      </c>
      <c r="AA17" s="209">
        <f t="shared" si="33"/>
        <v>38295.600000000006</v>
      </c>
      <c r="AB17" s="209">
        <f t="shared" si="34"/>
        <v>23105.4</v>
      </c>
      <c r="AC17" s="209">
        <f t="shared" si="35"/>
        <v>40448.999999999993</v>
      </c>
      <c r="AD17" s="209">
        <f t="shared" si="36"/>
        <v>0</v>
      </c>
      <c r="AE17" s="209">
        <f t="shared" si="37"/>
        <v>2153.3999999999869</v>
      </c>
      <c r="AF17" s="36" t="str">
        <f t="shared" si="38"/>
        <v>0%</v>
      </c>
      <c r="AG17" s="36">
        <f t="shared" si="39"/>
        <v>5.6231003039513325E-2</v>
      </c>
      <c r="AI17" s="630">
        <f t="shared" si="40"/>
        <v>4</v>
      </c>
      <c r="AJ17" s="630" t="s">
        <v>78</v>
      </c>
      <c r="AK17" s="593" t="s">
        <v>545</v>
      </c>
      <c r="AL17" s="426" t="s">
        <v>117</v>
      </c>
      <c r="AM17" s="35"/>
      <c r="AN17" s="330"/>
      <c r="AO17" s="330"/>
      <c r="AP17" s="330"/>
      <c r="AQ17" s="330"/>
      <c r="AR17" s="209"/>
      <c r="AS17" s="209"/>
      <c r="AT17" s="209"/>
      <c r="AU17" s="209"/>
      <c r="AV17" s="209"/>
      <c r="AW17" s="209"/>
      <c r="AX17" s="36"/>
      <c r="AY17" s="36"/>
    </row>
    <row r="18" spans="1:51" s="177" customFormat="1" x14ac:dyDescent="0.2">
      <c r="A18" s="630">
        <f t="shared" si="19"/>
        <v>6</v>
      </c>
      <c r="B18" s="630" t="s">
        <v>78</v>
      </c>
      <c r="C18" s="593" t="s">
        <v>546</v>
      </c>
      <c r="D18" s="426" t="s">
        <v>117</v>
      </c>
      <c r="E18" s="318">
        <f>'WP1 Light Inventory'!J25</f>
        <v>69</v>
      </c>
      <c r="F18" s="330">
        <f>'WP2 Current Light Rates'!E29</f>
        <v>5.26</v>
      </c>
      <c r="G18" s="330">
        <f>'BDJ-6 Combined Charges'!K29</f>
        <v>4.8499999999999996</v>
      </c>
      <c r="H18" s="330">
        <f>'Sch 141A Lighting Tariff'!J27+'Sch 141C Lighting Tariff'!J27+'Sch 141N Lighting Tariff'!J29+'Sch 141R Lighting Tariff'!J29+G18</f>
        <v>8.0399999999999991</v>
      </c>
      <c r="I18" s="209">
        <f t="shared" si="20"/>
        <v>4355.28</v>
      </c>
      <c r="J18" s="209">
        <f t="shared" si="21"/>
        <v>4015.7999999999997</v>
      </c>
      <c r="K18" s="209">
        <f t="shared" si="22"/>
        <v>6657.12</v>
      </c>
      <c r="L18" s="209">
        <f t="shared" si="23"/>
        <v>-339.48</v>
      </c>
      <c r="M18" s="209">
        <f t="shared" si="24"/>
        <v>2301.84</v>
      </c>
      <c r="N18" s="36">
        <f t="shared" si="25"/>
        <v>-7.7946768060836516E-2</v>
      </c>
      <c r="O18" s="36">
        <f t="shared" si="26"/>
        <v>0.52851711026615977</v>
      </c>
      <c r="Q18" s="630">
        <f t="shared" si="27"/>
        <v>6</v>
      </c>
      <c r="R18" s="630" t="s">
        <v>78</v>
      </c>
      <c r="S18" s="593" t="s">
        <v>546</v>
      </c>
      <c r="T18" s="426" t="s">
        <v>117</v>
      </c>
      <c r="U18" s="35">
        <f t="shared" si="28"/>
        <v>69</v>
      </c>
      <c r="V18" s="330">
        <f t="shared" si="29"/>
        <v>4.8499999999999996</v>
      </c>
      <c r="W18" s="330">
        <f t="shared" si="30"/>
        <v>8.0399999999999991</v>
      </c>
      <c r="X18" s="330">
        <f t="shared" si="31"/>
        <v>4.8499999999999996</v>
      </c>
      <c r="Y18" s="330">
        <f>'Sch 141A Lighting Tariff'!N27+'Sch 141C Lighting Tariff'!N27+'Sch 141N Lighting Tariff'!N29+'Sch 141R Lighting Tariff'!N29+X18</f>
        <v>8.4899999999999984</v>
      </c>
      <c r="Z18" s="209">
        <f t="shared" si="32"/>
        <v>4015.7999999999997</v>
      </c>
      <c r="AA18" s="209">
        <f t="shared" si="33"/>
        <v>6657.12</v>
      </c>
      <c r="AB18" s="209">
        <f t="shared" si="34"/>
        <v>4015.7999999999997</v>
      </c>
      <c r="AC18" s="209">
        <f t="shared" si="35"/>
        <v>7029.7199999999993</v>
      </c>
      <c r="AD18" s="209">
        <f t="shared" si="36"/>
        <v>0</v>
      </c>
      <c r="AE18" s="209">
        <f t="shared" si="37"/>
        <v>372.59999999999945</v>
      </c>
      <c r="AF18" s="36" t="str">
        <f t="shared" si="38"/>
        <v>0%</v>
      </c>
      <c r="AG18" s="36">
        <f t="shared" si="39"/>
        <v>5.5970149253731262E-2</v>
      </c>
      <c r="AI18" s="630">
        <f t="shared" si="40"/>
        <v>5</v>
      </c>
      <c r="AJ18" s="630" t="s">
        <v>78</v>
      </c>
      <c r="AK18" s="593" t="s">
        <v>546</v>
      </c>
      <c r="AL18" s="426" t="s">
        <v>117</v>
      </c>
      <c r="AM18" s="35"/>
      <c r="AN18" s="330"/>
      <c r="AO18" s="330"/>
      <c r="AP18" s="330"/>
      <c r="AQ18" s="330"/>
      <c r="AR18" s="209"/>
      <c r="AS18" s="209"/>
      <c r="AT18" s="209"/>
      <c r="AU18" s="209"/>
      <c r="AV18" s="209"/>
      <c r="AW18" s="209"/>
      <c r="AX18" s="36"/>
      <c r="AY18" s="36"/>
    </row>
    <row r="19" spans="1:51" s="177" customFormat="1" x14ac:dyDescent="0.2">
      <c r="A19" s="630">
        <f t="shared" si="19"/>
        <v>7</v>
      </c>
      <c r="B19" s="630" t="s">
        <v>78</v>
      </c>
      <c r="C19" s="593" t="s">
        <v>547</v>
      </c>
      <c r="D19" s="426" t="s">
        <v>117</v>
      </c>
      <c r="E19" s="318">
        <f>'WP1 Light Inventory'!J26</f>
        <v>201</v>
      </c>
      <c r="F19" s="330">
        <f>'WP2 Current Light Rates'!E30</f>
        <v>6.21</v>
      </c>
      <c r="G19" s="330">
        <f>'BDJ-6 Combined Charges'!K30</f>
        <v>5.74</v>
      </c>
      <c r="H19" s="330">
        <f>'Sch 141A Lighting Tariff'!J28+'Sch 141C Lighting Tariff'!J28+'Sch 141N Lighting Tariff'!J30+'Sch 141R Lighting Tariff'!J30+G19</f>
        <v>9.5300000000000011</v>
      </c>
      <c r="I19" s="209">
        <f t="shared" si="20"/>
        <v>14978.52</v>
      </c>
      <c r="J19" s="209">
        <f t="shared" si="21"/>
        <v>13844.880000000001</v>
      </c>
      <c r="K19" s="209">
        <f t="shared" si="22"/>
        <v>22986.36</v>
      </c>
      <c r="L19" s="209">
        <f t="shared" si="23"/>
        <v>-1133.6399999999994</v>
      </c>
      <c r="M19" s="209">
        <f t="shared" si="24"/>
        <v>8007.84</v>
      </c>
      <c r="N19" s="36">
        <f t="shared" si="25"/>
        <v>-7.5684380032206081E-2</v>
      </c>
      <c r="O19" s="36">
        <f t="shared" si="26"/>
        <v>0.53462157809983901</v>
      </c>
      <c r="Q19" s="630">
        <f t="shared" si="27"/>
        <v>7</v>
      </c>
      <c r="R19" s="630" t="s">
        <v>78</v>
      </c>
      <c r="S19" s="593" t="s">
        <v>547</v>
      </c>
      <c r="T19" s="426" t="s">
        <v>117</v>
      </c>
      <c r="U19" s="35">
        <f t="shared" si="28"/>
        <v>201</v>
      </c>
      <c r="V19" s="330">
        <f t="shared" si="29"/>
        <v>5.74</v>
      </c>
      <c r="W19" s="330">
        <f t="shared" si="30"/>
        <v>9.5300000000000011</v>
      </c>
      <c r="X19" s="330">
        <f t="shared" si="31"/>
        <v>5.74</v>
      </c>
      <c r="Y19" s="330">
        <f>'Sch 141A Lighting Tariff'!N28+'Sch 141C Lighting Tariff'!N28+'Sch 141N Lighting Tariff'!N30+'Sch 141R Lighting Tariff'!N30+X19</f>
        <v>10.030000000000001</v>
      </c>
      <c r="Z19" s="209">
        <f t="shared" si="32"/>
        <v>13844.880000000001</v>
      </c>
      <c r="AA19" s="209">
        <f t="shared" si="33"/>
        <v>22986.36</v>
      </c>
      <c r="AB19" s="209">
        <f t="shared" si="34"/>
        <v>13844.880000000001</v>
      </c>
      <c r="AC19" s="209">
        <f t="shared" si="35"/>
        <v>24192.36</v>
      </c>
      <c r="AD19" s="209">
        <f t="shared" si="36"/>
        <v>0</v>
      </c>
      <c r="AE19" s="209">
        <f t="shared" si="37"/>
        <v>1206</v>
      </c>
      <c r="AF19" s="36" t="str">
        <f t="shared" si="38"/>
        <v>0%</v>
      </c>
      <c r="AG19" s="36">
        <f t="shared" si="39"/>
        <v>5.2465897166841552E-2</v>
      </c>
      <c r="AI19" s="630">
        <f t="shared" si="40"/>
        <v>6</v>
      </c>
      <c r="AJ19" s="630" t="s">
        <v>78</v>
      </c>
      <c r="AK19" s="593" t="s">
        <v>547</v>
      </c>
      <c r="AL19" s="426" t="s">
        <v>117</v>
      </c>
      <c r="AM19" s="35"/>
      <c r="AN19" s="330"/>
      <c r="AO19" s="330"/>
      <c r="AP19" s="330"/>
      <c r="AQ19" s="330"/>
      <c r="AR19" s="209"/>
      <c r="AS19" s="209"/>
      <c r="AT19" s="209"/>
      <c r="AU19" s="209"/>
      <c r="AV19" s="209"/>
      <c r="AW19" s="209"/>
      <c r="AX19" s="36"/>
      <c r="AY19" s="36"/>
    </row>
    <row r="20" spans="1:51" s="177" customFormat="1" x14ac:dyDescent="0.2">
      <c r="A20" s="630">
        <f t="shared" si="19"/>
        <v>8</v>
      </c>
      <c r="B20" s="630" t="s">
        <v>78</v>
      </c>
      <c r="C20" s="593" t="s">
        <v>576</v>
      </c>
      <c r="D20" s="426" t="s">
        <v>117</v>
      </c>
      <c r="E20" s="318">
        <f>'WP1 Light Inventory'!J27</f>
        <v>59</v>
      </c>
      <c r="F20" s="330">
        <f>'WP2 Current Light Rates'!E31</f>
        <v>7.17</v>
      </c>
      <c r="G20" s="330">
        <f>'BDJ-6 Combined Charges'!K31</f>
        <v>6.63</v>
      </c>
      <c r="H20" s="330">
        <f>'Sch 141A Lighting Tariff'!J29+'Sch 141C Lighting Tariff'!J29+'Sch 141N Lighting Tariff'!J31+'Sch 141R Lighting Tariff'!J31+G20</f>
        <v>11.01</v>
      </c>
      <c r="I20" s="209">
        <f t="shared" si="20"/>
        <v>5076.3599999999997</v>
      </c>
      <c r="J20" s="209">
        <f t="shared" si="21"/>
        <v>4694.04</v>
      </c>
      <c r="K20" s="209">
        <f t="shared" si="22"/>
        <v>7795.08</v>
      </c>
      <c r="L20" s="209">
        <f t="shared" si="23"/>
        <v>-382.31999999999971</v>
      </c>
      <c r="M20" s="209">
        <f t="shared" si="24"/>
        <v>2718.7200000000003</v>
      </c>
      <c r="N20" s="36">
        <f t="shared" si="25"/>
        <v>-7.53138075313807E-2</v>
      </c>
      <c r="O20" s="36">
        <f t="shared" si="26"/>
        <v>0.53556485355648542</v>
      </c>
      <c r="Q20" s="630">
        <f t="shared" si="27"/>
        <v>8</v>
      </c>
      <c r="R20" s="630" t="s">
        <v>78</v>
      </c>
      <c r="S20" s="593" t="s">
        <v>576</v>
      </c>
      <c r="T20" s="426" t="s">
        <v>117</v>
      </c>
      <c r="U20" s="35">
        <f t="shared" si="28"/>
        <v>59</v>
      </c>
      <c r="V20" s="330">
        <f t="shared" si="29"/>
        <v>6.63</v>
      </c>
      <c r="W20" s="330">
        <f t="shared" si="30"/>
        <v>11.01</v>
      </c>
      <c r="X20" s="330">
        <f t="shared" si="31"/>
        <v>6.63</v>
      </c>
      <c r="Y20" s="330">
        <f>'Sch 141A Lighting Tariff'!N29+'Sch 141C Lighting Tariff'!N29+'Sch 141N Lighting Tariff'!N31+'Sch 141R Lighting Tariff'!N31+X20</f>
        <v>11.58</v>
      </c>
      <c r="Z20" s="209">
        <f t="shared" si="32"/>
        <v>4694.04</v>
      </c>
      <c r="AA20" s="209">
        <f t="shared" si="33"/>
        <v>7795.08</v>
      </c>
      <c r="AB20" s="209">
        <f t="shared" si="34"/>
        <v>4694.04</v>
      </c>
      <c r="AC20" s="209">
        <f t="shared" si="35"/>
        <v>8198.64</v>
      </c>
      <c r="AD20" s="209">
        <f t="shared" si="36"/>
        <v>0</v>
      </c>
      <c r="AE20" s="209">
        <f t="shared" si="37"/>
        <v>403.55999999999949</v>
      </c>
      <c r="AF20" s="36" t="str">
        <f t="shared" si="38"/>
        <v>0%</v>
      </c>
      <c r="AG20" s="36">
        <f t="shared" si="39"/>
        <v>5.1771117166212466E-2</v>
      </c>
      <c r="AI20" s="630">
        <f t="shared" si="40"/>
        <v>7</v>
      </c>
      <c r="AJ20" s="630" t="s">
        <v>78</v>
      </c>
      <c r="AK20" s="593" t="s">
        <v>576</v>
      </c>
      <c r="AL20" s="426" t="s">
        <v>117</v>
      </c>
      <c r="AM20" s="35"/>
      <c r="AN20" s="330"/>
      <c r="AO20" s="330"/>
      <c r="AP20" s="330"/>
      <c r="AQ20" s="330"/>
      <c r="AR20" s="209"/>
      <c r="AS20" s="209"/>
      <c r="AT20" s="209"/>
      <c r="AU20" s="209"/>
      <c r="AV20" s="209"/>
      <c r="AW20" s="209"/>
      <c r="AX20" s="36"/>
      <c r="AY20" s="36"/>
    </row>
    <row r="21" spans="1:51" s="177" customFormat="1" x14ac:dyDescent="0.2">
      <c r="A21" s="630">
        <f t="shared" si="19"/>
        <v>9</v>
      </c>
      <c r="B21" s="630" t="s">
        <v>78</v>
      </c>
      <c r="C21" s="593" t="s">
        <v>548</v>
      </c>
      <c r="D21" s="426" t="s">
        <v>117</v>
      </c>
      <c r="E21" s="318">
        <f>'WP1 Light Inventory'!J28</f>
        <v>8</v>
      </c>
      <c r="F21" s="330">
        <f>'WP2 Current Light Rates'!E32</f>
        <v>8.1199999999999992</v>
      </c>
      <c r="G21" s="330">
        <f>'BDJ-6 Combined Charges'!K32</f>
        <v>7.51</v>
      </c>
      <c r="H21" s="330">
        <f>'Sch 141A Lighting Tariff'!J30+'Sch 141C Lighting Tariff'!J30+'Sch 141N Lighting Tariff'!J32+'Sch 141R Lighting Tariff'!J32+G21</f>
        <v>12.45</v>
      </c>
      <c r="I21" s="209">
        <f t="shared" si="20"/>
        <v>779.52</v>
      </c>
      <c r="J21" s="209">
        <f t="shared" si="21"/>
        <v>720.96</v>
      </c>
      <c r="K21" s="209">
        <f t="shared" si="22"/>
        <v>1195.1999999999998</v>
      </c>
      <c r="L21" s="209">
        <f t="shared" si="23"/>
        <v>-58.559999999999945</v>
      </c>
      <c r="M21" s="209">
        <f t="shared" si="24"/>
        <v>415.67999999999984</v>
      </c>
      <c r="N21" s="36">
        <f t="shared" si="25"/>
        <v>-7.5123152709359542E-2</v>
      </c>
      <c r="O21" s="36">
        <f t="shared" si="26"/>
        <v>0.53325123152709342</v>
      </c>
      <c r="Q21" s="630">
        <f t="shared" si="27"/>
        <v>9</v>
      </c>
      <c r="R21" s="630" t="s">
        <v>78</v>
      </c>
      <c r="S21" s="593" t="s">
        <v>548</v>
      </c>
      <c r="T21" s="426" t="s">
        <v>117</v>
      </c>
      <c r="U21" s="35">
        <f t="shared" si="28"/>
        <v>8</v>
      </c>
      <c r="V21" s="330">
        <f t="shared" si="29"/>
        <v>7.51</v>
      </c>
      <c r="W21" s="330">
        <f t="shared" si="30"/>
        <v>12.45</v>
      </c>
      <c r="X21" s="330">
        <f t="shared" si="31"/>
        <v>7.51</v>
      </c>
      <c r="Y21" s="330">
        <f>'Sch 141A Lighting Tariff'!N30+'Sch 141C Lighting Tariff'!N30+'Sch 141N Lighting Tariff'!N32+'Sch 141R Lighting Tariff'!N32+X21</f>
        <v>13.129999999999999</v>
      </c>
      <c r="Z21" s="209">
        <f t="shared" si="32"/>
        <v>720.96</v>
      </c>
      <c r="AA21" s="209">
        <f t="shared" si="33"/>
        <v>1195.1999999999998</v>
      </c>
      <c r="AB21" s="209">
        <f t="shared" si="34"/>
        <v>720.96</v>
      </c>
      <c r="AC21" s="209">
        <f t="shared" si="35"/>
        <v>1260.48</v>
      </c>
      <c r="AD21" s="209">
        <f t="shared" si="36"/>
        <v>0</v>
      </c>
      <c r="AE21" s="209">
        <f t="shared" si="37"/>
        <v>65.2800000000002</v>
      </c>
      <c r="AF21" s="36" t="str">
        <f t="shared" si="38"/>
        <v>0%</v>
      </c>
      <c r="AG21" s="36">
        <f t="shared" si="39"/>
        <v>5.4618473895582505E-2</v>
      </c>
      <c r="AI21" s="630">
        <f t="shared" si="40"/>
        <v>8</v>
      </c>
      <c r="AJ21" s="630" t="s">
        <v>78</v>
      </c>
      <c r="AK21" s="593" t="s">
        <v>548</v>
      </c>
      <c r="AL21" s="426" t="s">
        <v>117</v>
      </c>
      <c r="AM21" s="35"/>
      <c r="AN21" s="330"/>
      <c r="AO21" s="330"/>
      <c r="AP21" s="330"/>
      <c r="AQ21" s="330"/>
      <c r="AR21" s="209"/>
      <c r="AS21" s="209"/>
      <c r="AT21" s="209"/>
      <c r="AU21" s="209"/>
      <c r="AV21" s="209"/>
      <c r="AW21" s="209"/>
      <c r="AX21" s="36"/>
      <c r="AY21" s="36"/>
    </row>
    <row r="22" spans="1:51" s="177" customFormat="1" x14ac:dyDescent="0.2">
      <c r="A22" s="630">
        <f t="shared" si="19"/>
        <v>10</v>
      </c>
      <c r="B22" s="630" t="s">
        <v>78</v>
      </c>
      <c r="C22" s="593" t="s">
        <v>549</v>
      </c>
      <c r="D22" s="426" t="s">
        <v>117</v>
      </c>
      <c r="E22" s="318">
        <f>'WP1 Light Inventory'!J29</f>
        <v>79</v>
      </c>
      <c r="F22" s="330">
        <f>'WP2 Current Light Rates'!E33</f>
        <v>9.08</v>
      </c>
      <c r="G22" s="330">
        <f>'BDJ-6 Combined Charges'!K33</f>
        <v>8.39</v>
      </c>
      <c r="H22" s="330">
        <f>'Sch 141A Lighting Tariff'!J31+'Sch 141C Lighting Tariff'!J31+'Sch 141N Lighting Tariff'!J33+'Sch 141R Lighting Tariff'!J33+G22</f>
        <v>13.920000000000002</v>
      </c>
      <c r="I22" s="209">
        <f t="shared" si="20"/>
        <v>8607.84</v>
      </c>
      <c r="J22" s="209">
        <f t="shared" si="21"/>
        <v>7953.7200000000012</v>
      </c>
      <c r="K22" s="209">
        <f t="shared" si="22"/>
        <v>13196.16</v>
      </c>
      <c r="L22" s="209">
        <f t="shared" si="23"/>
        <v>-654.11999999999898</v>
      </c>
      <c r="M22" s="209">
        <f t="shared" si="24"/>
        <v>4588.32</v>
      </c>
      <c r="N22" s="36">
        <f t="shared" si="25"/>
        <v>-7.5991189427312658E-2</v>
      </c>
      <c r="O22" s="36">
        <f t="shared" si="26"/>
        <v>0.53303964757709243</v>
      </c>
      <c r="Q22" s="630">
        <f t="shared" si="27"/>
        <v>10</v>
      </c>
      <c r="R22" s="630" t="s">
        <v>78</v>
      </c>
      <c r="S22" s="593" t="s">
        <v>549</v>
      </c>
      <c r="T22" s="426" t="s">
        <v>117</v>
      </c>
      <c r="U22" s="35">
        <f t="shared" si="28"/>
        <v>79</v>
      </c>
      <c r="V22" s="330">
        <f t="shared" si="29"/>
        <v>8.39</v>
      </c>
      <c r="W22" s="330">
        <f t="shared" si="30"/>
        <v>13.920000000000002</v>
      </c>
      <c r="X22" s="330">
        <f t="shared" si="31"/>
        <v>8.39</v>
      </c>
      <c r="Y22" s="330">
        <f>'Sch 141A Lighting Tariff'!N31+'Sch 141C Lighting Tariff'!N31+'Sch 141N Lighting Tariff'!N33+'Sch 141R Lighting Tariff'!N33+X22</f>
        <v>14.670000000000002</v>
      </c>
      <c r="Z22" s="209">
        <f t="shared" si="32"/>
        <v>7953.7200000000012</v>
      </c>
      <c r="AA22" s="209">
        <f t="shared" si="33"/>
        <v>13196.16</v>
      </c>
      <c r="AB22" s="209">
        <f t="shared" si="34"/>
        <v>7953.7200000000012</v>
      </c>
      <c r="AC22" s="209">
        <f t="shared" si="35"/>
        <v>13907.16</v>
      </c>
      <c r="AD22" s="209">
        <f t="shared" si="36"/>
        <v>0</v>
      </c>
      <c r="AE22" s="209">
        <f t="shared" si="37"/>
        <v>711</v>
      </c>
      <c r="AF22" s="36" t="str">
        <f t="shared" si="38"/>
        <v>0%</v>
      </c>
      <c r="AG22" s="36">
        <f t="shared" si="39"/>
        <v>5.387931034482759E-2</v>
      </c>
      <c r="AI22" s="630">
        <f t="shared" si="40"/>
        <v>9</v>
      </c>
      <c r="AJ22" s="630" t="s">
        <v>78</v>
      </c>
      <c r="AK22" s="593" t="s">
        <v>549</v>
      </c>
      <c r="AL22" s="426" t="s">
        <v>117</v>
      </c>
      <c r="AM22" s="35"/>
      <c r="AN22" s="330"/>
      <c r="AO22" s="330"/>
      <c r="AP22" s="330"/>
      <c r="AQ22" s="330"/>
      <c r="AR22" s="209"/>
      <c r="AS22" s="209"/>
      <c r="AT22" s="209"/>
      <c r="AU22" s="209"/>
      <c r="AV22" s="209"/>
      <c r="AW22" s="209"/>
      <c r="AX22" s="36"/>
      <c r="AY22" s="36"/>
    </row>
    <row r="23" spans="1:51" s="177" customFormat="1" ht="10.8" thickBot="1" x14ac:dyDescent="0.25">
      <c r="A23" s="630">
        <f t="shared" si="19"/>
        <v>11</v>
      </c>
      <c r="B23" s="630" t="s">
        <v>20</v>
      </c>
      <c r="C23" s="109"/>
      <c r="D23" s="109"/>
      <c r="E23" s="109">
        <f>SUM(E13:E22)</f>
        <v>8662</v>
      </c>
      <c r="F23" s="534"/>
      <c r="G23" s="534"/>
      <c r="H23" s="534"/>
      <c r="I23" s="147">
        <f t="shared" ref="I23:M23" si="41">SUM(I13:I22)</f>
        <v>243027.47999999995</v>
      </c>
      <c r="J23" s="147">
        <f t="shared" si="41"/>
        <v>224155.44</v>
      </c>
      <c r="K23" s="147">
        <f t="shared" si="41"/>
        <v>372282.60000000003</v>
      </c>
      <c r="L23" s="147">
        <f t="shared" si="41"/>
        <v>-18872.03999999999</v>
      </c>
      <c r="M23" s="147">
        <f t="shared" si="41"/>
        <v>129255.12000000002</v>
      </c>
      <c r="N23" s="38">
        <f t="shared" ref="N23" si="42">IF(+L23=0,"0%",L23/I23)</f>
        <v>-7.7653934443956685E-2</v>
      </c>
      <c r="O23" s="38">
        <f t="shared" ref="O23" si="43">IF(+M23=0,"0%",M23/I23)</f>
        <v>0.53185392861745528</v>
      </c>
      <c r="Q23" s="630">
        <f t="shared" si="27"/>
        <v>11</v>
      </c>
      <c r="R23" s="630" t="s">
        <v>20</v>
      </c>
      <c r="S23" s="109"/>
      <c r="T23" s="109"/>
      <c r="U23" s="109">
        <f>SUM(U13:U22)</f>
        <v>8662</v>
      </c>
      <c r="V23" s="534"/>
      <c r="W23" s="534"/>
      <c r="X23" s="534"/>
      <c r="Y23" s="534"/>
      <c r="Z23" s="147">
        <f t="shared" ref="Z23:AE23" si="44">SUM(Z13:Z22)</f>
        <v>224155.44</v>
      </c>
      <c r="AA23" s="147">
        <f t="shared" si="44"/>
        <v>372282.60000000003</v>
      </c>
      <c r="AB23" s="147">
        <f t="shared" si="44"/>
        <v>224155.44</v>
      </c>
      <c r="AC23" s="147">
        <f t="shared" si="44"/>
        <v>392347.0799999999</v>
      </c>
      <c r="AD23" s="147">
        <f t="shared" si="44"/>
        <v>0</v>
      </c>
      <c r="AE23" s="147">
        <f t="shared" si="44"/>
        <v>20064.479999999974</v>
      </c>
      <c r="AF23" s="38" t="str">
        <f t="shared" ref="AF23" si="45">IF(+AD23=0,"0%",AD23/Z23)</f>
        <v>0%</v>
      </c>
      <c r="AG23" s="38">
        <f t="shared" ref="AG23" si="46">IF(+AE23=0,"0%",AE23/AA23)</f>
        <v>5.3895830747931736E-2</v>
      </c>
      <c r="AI23" s="630">
        <f t="shared" si="40"/>
        <v>10</v>
      </c>
      <c r="AJ23" s="630" t="s">
        <v>20</v>
      </c>
      <c r="AK23" s="109"/>
      <c r="AL23" s="109"/>
      <c r="AM23" s="109"/>
      <c r="AN23" s="534"/>
      <c r="AO23" s="534"/>
      <c r="AP23" s="534"/>
      <c r="AQ23" s="534"/>
      <c r="AR23" s="147"/>
      <c r="AS23" s="147"/>
      <c r="AT23" s="147"/>
      <c r="AU23" s="147"/>
      <c r="AV23" s="147"/>
      <c r="AW23" s="147"/>
      <c r="AX23" s="38"/>
      <c r="AY23" s="38"/>
    </row>
    <row r="24" spans="1:51" ht="10.8" thickTop="1" x14ac:dyDescent="0.2"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7" spans="1:51" ht="13.8" x14ac:dyDescent="0.3">
      <c r="C27" s="633"/>
    </row>
  </sheetData>
  <mergeCells count="21">
    <mergeCell ref="A4:O4"/>
    <mergeCell ref="A5:O5"/>
    <mergeCell ref="A3:O3"/>
    <mergeCell ref="A6:O6"/>
    <mergeCell ref="J8:O8"/>
    <mergeCell ref="Q6:AG6"/>
    <mergeCell ref="AB8:AG8"/>
    <mergeCell ref="A1:O1"/>
    <mergeCell ref="A2:O2"/>
    <mergeCell ref="AT8:AY8"/>
    <mergeCell ref="AI1:AY1"/>
    <mergeCell ref="AI2:AY2"/>
    <mergeCell ref="AI3:AY3"/>
    <mergeCell ref="AI4:AY4"/>
    <mergeCell ref="AI5:AY5"/>
    <mergeCell ref="AI6:AY6"/>
    <mergeCell ref="Q1:AG1"/>
    <mergeCell ref="Q2:AG2"/>
    <mergeCell ref="Q3:AG3"/>
    <mergeCell ref="Q4:AG4"/>
    <mergeCell ref="Q5:AG5"/>
  </mergeCells>
  <printOptions horizontalCentered="1"/>
  <pageMargins left="0.25" right="0.25" top="1" bottom="1" header="0.5" footer="0.5"/>
  <pageSetup scale="76" fitToWidth="3" orientation="landscape" r:id="rId1"/>
  <headerFooter alignWithMargins="0">
    <oddFooter>&amp;R&amp;"Times New Roman,Regular"&amp;F
&amp;A
&amp;P of &amp;N</oddFooter>
  </headerFooter>
  <colBreaks count="2" manualBreakCount="2">
    <brk id="16" max="1048575" man="1"/>
    <brk id="33" max="1048575" man="1"/>
  </colBreaks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Y36"/>
  <sheetViews>
    <sheetView zoomScaleNormal="100" workbookViewId="0">
      <selection activeCell="J23" sqref="J23"/>
    </sheetView>
  </sheetViews>
  <sheetFormatPr defaultColWidth="9.109375" defaultRowHeight="10.199999999999999" x14ac:dyDescent="0.2"/>
  <cols>
    <col min="1" max="1" width="5.88671875" style="177" customWidth="1"/>
    <col min="2" max="2" width="6.6640625" style="630" bestFit="1" customWidth="1"/>
    <col min="3" max="3" width="10" style="177" bestFit="1" customWidth="1"/>
    <col min="4" max="4" width="13.88671875" style="177" bestFit="1" customWidth="1"/>
    <col min="5" max="5" width="8.5546875" style="177" bestFit="1" customWidth="1"/>
    <col min="6" max="6" width="8.109375" style="177" bestFit="1" customWidth="1"/>
    <col min="7" max="7" width="9.88671875" style="177" bestFit="1" customWidth="1"/>
    <col min="8" max="8" width="10.44140625" style="177" customWidth="1"/>
    <col min="9" max="9" width="10.33203125" style="177" bestFit="1" customWidth="1"/>
    <col min="10" max="10" width="10.5546875" style="177" bestFit="1" customWidth="1"/>
    <col min="11" max="11" width="10.5546875" style="177" customWidth="1"/>
    <col min="12" max="12" width="9.109375" style="177" bestFit="1" customWidth="1"/>
    <col min="13" max="13" width="12.44140625" style="177" customWidth="1"/>
    <col min="14" max="15" width="8.6640625" style="177" bestFit="1" customWidth="1"/>
    <col min="16" max="16" width="0.88671875" style="177" customWidth="1"/>
    <col min="17" max="17" width="6.33203125" style="177" customWidth="1"/>
    <col min="18" max="19" width="9.109375" style="177"/>
    <col min="20" max="20" width="11.88671875" style="177" bestFit="1" customWidth="1"/>
    <col min="21" max="21" width="8.5546875" style="177" bestFit="1" customWidth="1"/>
    <col min="22" max="22" width="9" style="177" bestFit="1" customWidth="1"/>
    <col min="23" max="23" width="10.33203125" style="177" customWidth="1"/>
    <col min="24" max="24" width="8.6640625" style="177" bestFit="1" customWidth="1"/>
    <col min="25" max="25" width="10.88671875" style="177" customWidth="1"/>
    <col min="26" max="26" width="10.33203125" style="177" bestFit="1" customWidth="1"/>
    <col min="27" max="27" width="13.33203125" style="177" customWidth="1"/>
    <col min="28" max="28" width="9.88671875" style="177" bestFit="1" customWidth="1"/>
    <col min="29" max="29" width="10.6640625" style="177" customWidth="1"/>
    <col min="30" max="30" width="7.88671875" style="177" bestFit="1" customWidth="1"/>
    <col min="31" max="31" width="11.33203125" style="177" customWidth="1"/>
    <col min="32" max="33" width="8.6640625" style="177" bestFit="1" customWidth="1"/>
    <col min="34" max="34" width="0.88671875" style="177" customWidth="1"/>
    <col min="35" max="35" width="6.44140625" style="177" customWidth="1"/>
    <col min="36" max="37" width="9.109375" style="177"/>
    <col min="38" max="38" width="11.88671875" style="177" bestFit="1" customWidth="1"/>
    <col min="39" max="39" width="8.5546875" style="177" bestFit="1" customWidth="1"/>
    <col min="40" max="40" width="7.6640625" style="177" bestFit="1" customWidth="1"/>
    <col min="41" max="41" width="10.5546875" style="177" customWidth="1"/>
    <col min="42" max="42" width="8.6640625" style="177" bestFit="1" customWidth="1"/>
    <col min="43" max="43" width="10.5546875" style="177" customWidth="1"/>
    <col min="44" max="44" width="10.33203125" style="177" bestFit="1" customWidth="1"/>
    <col min="45" max="45" width="11.88671875" style="177" customWidth="1"/>
    <col min="46" max="46" width="9.88671875" style="177" bestFit="1" customWidth="1"/>
    <col min="47" max="47" width="11.44140625" style="177" customWidth="1"/>
    <col min="48" max="48" width="7.88671875" style="177" bestFit="1" customWidth="1"/>
    <col min="49" max="49" width="10.6640625" style="177" customWidth="1"/>
    <col min="50" max="50" width="7.6640625" style="177" bestFit="1" customWidth="1"/>
    <col min="51" max="51" width="8.44140625" style="177" customWidth="1"/>
    <col min="52" max="16384" width="9.109375" style="177"/>
  </cols>
  <sheetData>
    <row r="1" spans="1:51" x14ac:dyDescent="0.2">
      <c r="A1" s="736" t="str">
        <f>'Schedule 51E'!A1:O1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Q1" s="736" t="str">
        <f>A1</f>
        <v>Puget Sound Energy</v>
      </c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I1" s="736" t="str">
        <f>Q1</f>
        <v>Puget Sound Energy</v>
      </c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</row>
    <row r="2" spans="1:51" x14ac:dyDescent="0.2">
      <c r="A2" s="736" t="str">
        <f>'Schedule 51E'!A2:O2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Q2" s="736" t="str">
        <f>A2</f>
        <v>ProForma Proposed Revenue</v>
      </c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I2" s="736" t="str">
        <f>Q2</f>
        <v>ProForma Proposed Revenue</v>
      </c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</row>
    <row r="3" spans="1:51" x14ac:dyDescent="0.2">
      <c r="A3" s="736" t="str">
        <f>'Schedule 51E'!A3:O3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Q3" s="736" t="str">
        <f>A3</f>
        <v>2022 General Rate Case (GRC)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I3" s="736" t="str">
        <f>Q3</f>
        <v>2022 General Rate Case (GRC)</v>
      </c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</row>
    <row r="4" spans="1:51" x14ac:dyDescent="0.2">
      <c r="A4" s="736" t="str">
        <f>'Schedule 51E'!A4:O4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Q4" s="736" t="str">
        <f>A4</f>
        <v>Test Year Ending June 30, 2021</v>
      </c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I4" s="736" t="str">
        <f>Q4</f>
        <v>Test Year Ending June 30, 2021</v>
      </c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</row>
    <row r="5" spans="1:51" x14ac:dyDescent="0.2">
      <c r="A5" s="736" t="s">
        <v>475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Q5" s="736" t="str">
        <f>A5</f>
        <v>Schedule 52 - Custom Lighting Service - Company Owned</v>
      </c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I5" s="736" t="str">
        <f>Q5</f>
        <v>Schedule 52 - Custom Lighting Service - Company Owned</v>
      </c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</row>
    <row r="6" spans="1:51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Q6" s="736" t="s">
        <v>882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I6" s="736" t="s">
        <v>881</v>
      </c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</row>
    <row r="7" spans="1:51" x14ac:dyDescent="0.2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</row>
    <row r="8" spans="1:51" s="627" customFormat="1" ht="14.4" x14ac:dyDescent="0.3">
      <c r="A8" s="628"/>
      <c r="B8" s="628"/>
      <c r="C8" s="628"/>
      <c r="D8" s="628"/>
      <c r="E8" s="628"/>
      <c r="F8" s="628"/>
      <c r="G8" s="628"/>
      <c r="H8" s="628"/>
      <c r="I8" s="628"/>
      <c r="J8" s="765" t="s">
        <v>653</v>
      </c>
      <c r="K8" s="782"/>
      <c r="L8" s="782"/>
      <c r="M8" s="782"/>
      <c r="N8" s="782"/>
      <c r="O8" s="783"/>
      <c r="P8" s="177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765" t="s">
        <v>653</v>
      </c>
      <c r="AC8" s="782"/>
      <c r="AD8" s="782"/>
      <c r="AE8" s="782"/>
      <c r="AF8" s="782"/>
      <c r="AG8" s="783"/>
      <c r="AH8" s="177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765" t="s">
        <v>653</v>
      </c>
      <c r="AU8" s="782"/>
      <c r="AV8" s="782"/>
      <c r="AW8" s="782"/>
      <c r="AX8" s="782"/>
      <c r="AY8" s="783"/>
    </row>
    <row r="9" spans="1:51" s="627" customFormat="1" ht="71.400000000000006" x14ac:dyDescent="0.2">
      <c r="A9" s="632" t="s">
        <v>1</v>
      </c>
      <c r="B9" s="632" t="s">
        <v>53</v>
      </c>
      <c r="C9" s="631" t="s">
        <v>66</v>
      </c>
      <c r="D9" s="632" t="s">
        <v>67</v>
      </c>
      <c r="E9" s="632" t="str">
        <f>'Schedule 50E'!E9</f>
        <v>Monthly Test Year Inventory</v>
      </c>
      <c r="F9" s="632" t="str">
        <f>'Schedule 50E'!F9</f>
        <v>Base Rates
Effective
10-1-2021</v>
      </c>
      <c r="G9" s="632" t="str">
        <f>'Schedule 50E'!G9</f>
        <v>Proposed Lamp Charge (Base)</v>
      </c>
      <c r="H9" s="632" t="str">
        <f>'Schedule 50E'!H9</f>
        <v>TOTAL Proposed Charge (Base + 141COL + 141N + 141R + 141A)</v>
      </c>
      <c r="I9" s="632" t="str">
        <f>'Schedule 50E'!I9</f>
        <v>Current Annual Rate Revenue (Base)</v>
      </c>
      <c r="J9" s="632" t="str">
        <f>'Schedule 50E'!J9</f>
        <v>Annual Revenue (Base)</v>
      </c>
      <c r="K9" s="632" t="str">
        <f>'Schedule 50E'!K9</f>
        <v>TOTAL Annual Revenue (Base + 141COL + 141N + 141R + 141A)</v>
      </c>
      <c r="L9" s="632" t="str">
        <f>'Schedule 50E'!L9</f>
        <v>Revenue Change (Base)</v>
      </c>
      <c r="M9" s="632" t="str">
        <f>'Schedule 50E'!M9</f>
        <v>TOTAL Revenue Change (Base + 141COL + 141N + 141R + 141A)</v>
      </c>
      <c r="N9" s="632" t="str">
        <f>'Schedule 50E'!N9</f>
        <v>Base Change %</v>
      </c>
      <c r="O9" s="632" t="str">
        <f>'Schedule 50E'!O9</f>
        <v>TOTAL Overall Change %</v>
      </c>
      <c r="P9" s="626"/>
      <c r="Q9" s="632" t="s">
        <v>1</v>
      </c>
      <c r="R9" s="632" t="s">
        <v>53</v>
      </c>
      <c r="S9" s="631" t="s">
        <v>66</v>
      </c>
      <c r="T9" s="632" t="s">
        <v>67</v>
      </c>
      <c r="U9" s="632" t="str">
        <f>'Schedule 50E'!U9</f>
        <v>Monthly Test Year Inventory</v>
      </c>
      <c r="V9" s="632" t="str">
        <f>'Schedule 50E'!V9</f>
        <v>Rates Effective 1-1-2023 (Base)</v>
      </c>
      <c r="W9" s="632" t="str">
        <f>'Schedule 50E'!W9</f>
        <v>TOTAL Rates Effective 1-1-2023 (Base + 141COL + 141N + 141R + 141A)</v>
      </c>
      <c r="X9" s="632" t="str">
        <f>'Schedule 50E'!X9</f>
        <v>Proposed Lamp Charge (Base)</v>
      </c>
      <c r="Y9" s="632" t="str">
        <f>'Schedule 50E'!Y9</f>
        <v>TOTAL Proposed Charge (Base + 141COL + 141N + 141R + 141A)</v>
      </c>
      <c r="Z9" s="632" t="str">
        <f>'Schedule 50E'!Z9</f>
        <v>Current Annual Rate Revenue (Base)</v>
      </c>
      <c r="AA9" s="632" t="str">
        <f>'Schedule 50E'!AA9</f>
        <v>TOTAL Current Annual Rate Revenue (Base + 141COL + 141N + 141R + 141A)</v>
      </c>
      <c r="AB9" s="632" t="str">
        <f>'Schedule 50E'!AB9</f>
        <v>Annual Revenue (Base)</v>
      </c>
      <c r="AC9" s="632" t="str">
        <f>'Schedule 50E'!AC9</f>
        <v>TOTAL Annual Revenue (Base + 141COL + 141N + 141R + 141A)</v>
      </c>
      <c r="AD9" s="632" t="str">
        <f>'Schedule 50E'!AD9</f>
        <v>Revenue Change (Base)</v>
      </c>
      <c r="AE9" s="632" t="str">
        <f>'Schedule 50E'!AE9</f>
        <v>TOTAL Revenue Change  (Base + 141COL + 141N + 141R + 141A)</v>
      </c>
      <c r="AF9" s="632" t="str">
        <f>'Schedule 50E'!AF9</f>
        <v>Base Change %</v>
      </c>
      <c r="AG9" s="632" t="str">
        <f>'Schedule 50E'!AG9</f>
        <v>TOTAL Overall Change %</v>
      </c>
      <c r="AH9" s="626"/>
      <c r="AI9" s="632" t="s">
        <v>1</v>
      </c>
      <c r="AJ9" s="632" t="s">
        <v>53</v>
      </c>
      <c r="AK9" s="631" t="s">
        <v>66</v>
      </c>
      <c r="AL9" s="632" t="s">
        <v>67</v>
      </c>
      <c r="AM9" s="632" t="str">
        <f>'Schedule 50E'!AM9</f>
        <v>Monthly Test Year Inventory</v>
      </c>
      <c r="AN9" s="632" t="str">
        <f>'Schedule 50E'!AN9</f>
        <v>Rates Effective 1-1-2024 (Base)</v>
      </c>
      <c r="AO9" s="632" t="str">
        <f>'Schedule 50E'!AO9</f>
        <v>TOTAL Rates Effective 1-1-2024 (Base + 141COL + 141N + 141R + 141A)</v>
      </c>
      <c r="AP9" s="632" t="str">
        <f>'Schedule 50E'!AP9</f>
        <v>Proposed Lamp Charge (Base)</v>
      </c>
      <c r="AQ9" s="632" t="str">
        <f>'Schedule 50E'!AQ9</f>
        <v>TOTAL Proposed Charge (Base + 141COL + 141N + 141R + 141A)</v>
      </c>
      <c r="AR9" s="632" t="str">
        <f>'Schedule 50E'!AR9</f>
        <v>Current Annual Rate Revenue (Base)</v>
      </c>
      <c r="AS9" s="632" t="str">
        <f>'Schedule 50E'!AS9</f>
        <v>TOTAL Current Annual Rate Revenue (Base + 141COL + 141N + 141R + 141A)</v>
      </c>
      <c r="AT9" s="632" t="str">
        <f>'Schedule 50E'!AT9</f>
        <v>Annual Revenue (Base)</v>
      </c>
      <c r="AU9" s="632" t="str">
        <f>'Schedule 50E'!AU9</f>
        <v>TOTAL Annual Revenue (Base + 141COL + 141N + 141R + 141A)</v>
      </c>
      <c r="AV9" s="632" t="str">
        <f>'Schedule 50E'!AV9</f>
        <v>Revenue Change (Base)</v>
      </c>
      <c r="AW9" s="632" t="str">
        <f>'Schedule 50E'!AW9</f>
        <v>TOTAL Revenue Change (Base + 141COL + 141N + 141R + 141A)</v>
      </c>
      <c r="AX9" s="632" t="str">
        <f>'Schedule 50E'!AX9</f>
        <v>Base Change %</v>
      </c>
      <c r="AY9" s="632" t="str">
        <f>'Schedule 50E'!AY9</f>
        <v>TOTAL Overall Change %</v>
      </c>
    </row>
    <row r="10" spans="1:51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169" t="s">
        <v>13</v>
      </c>
      <c r="Q10" s="98"/>
      <c r="R10" s="98" t="s">
        <v>3</v>
      </c>
      <c r="S10" s="169" t="s">
        <v>4</v>
      </c>
      <c r="T10" s="169" t="s">
        <v>5</v>
      </c>
      <c r="U10" s="169" t="s">
        <v>6</v>
      </c>
      <c r="V10" s="169" t="s">
        <v>390</v>
      </c>
      <c r="W10" s="169" t="s">
        <v>21</v>
      </c>
      <c r="X10" s="169" t="s">
        <v>8</v>
      </c>
      <c r="Y10" s="169" t="s">
        <v>9</v>
      </c>
      <c r="Z10" s="169" t="s">
        <v>22</v>
      </c>
      <c r="AA10" s="169" t="s">
        <v>23</v>
      </c>
      <c r="AB10" s="169" t="s">
        <v>10</v>
      </c>
      <c r="AC10" s="169" t="s">
        <v>11</v>
      </c>
      <c r="AD10" s="169" t="s">
        <v>12</v>
      </c>
      <c r="AE10" s="169" t="s">
        <v>13</v>
      </c>
      <c r="AF10" s="169" t="s">
        <v>14</v>
      </c>
      <c r="AG10" s="169" t="s">
        <v>877</v>
      </c>
      <c r="AI10" s="98"/>
      <c r="AJ10" s="98" t="s">
        <v>3</v>
      </c>
      <c r="AK10" s="169" t="s">
        <v>4</v>
      </c>
      <c r="AL10" s="169" t="s">
        <v>5</v>
      </c>
      <c r="AM10" s="169" t="s">
        <v>6</v>
      </c>
      <c r="AN10" s="169" t="s">
        <v>390</v>
      </c>
      <c r="AO10" s="169" t="s">
        <v>21</v>
      </c>
      <c r="AP10" s="169" t="s">
        <v>8</v>
      </c>
      <c r="AQ10" s="169" t="s">
        <v>9</v>
      </c>
      <c r="AR10" s="169" t="s">
        <v>22</v>
      </c>
      <c r="AS10" s="169" t="s">
        <v>23</v>
      </c>
      <c r="AT10" s="169" t="s">
        <v>10</v>
      </c>
      <c r="AU10" s="169" t="s">
        <v>11</v>
      </c>
      <c r="AV10" s="169" t="s">
        <v>12</v>
      </c>
      <c r="AW10" s="169" t="s">
        <v>13</v>
      </c>
      <c r="AX10" s="169" t="s">
        <v>14</v>
      </c>
      <c r="AY10" s="169" t="s">
        <v>877</v>
      </c>
    </row>
    <row r="11" spans="1:51" s="627" customFormat="1" ht="20.399999999999999" x14ac:dyDescent="0.2">
      <c r="A11" s="98" t="s">
        <v>396</v>
      </c>
      <c r="B11" s="98"/>
      <c r="C11" s="169"/>
      <c r="D11" s="169"/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416</v>
      </c>
      <c r="J11" s="169" t="s">
        <v>483</v>
      </c>
      <c r="K11" s="169" t="s">
        <v>484</v>
      </c>
      <c r="L11" s="169" t="s">
        <v>492</v>
      </c>
      <c r="M11" s="169" t="s">
        <v>398</v>
      </c>
      <c r="N11" s="169" t="s">
        <v>399</v>
      </c>
      <c r="O11" s="169" t="s">
        <v>876</v>
      </c>
      <c r="Q11" s="98" t="s">
        <v>396</v>
      </c>
      <c r="R11" s="98"/>
      <c r="S11" s="169"/>
      <c r="T11" s="169"/>
      <c r="U11" s="169" t="s">
        <v>397</v>
      </c>
      <c r="V11" s="169" t="s">
        <v>397</v>
      </c>
      <c r="W11" s="169" t="s">
        <v>397</v>
      </c>
      <c r="X11" s="169" t="s">
        <v>397</v>
      </c>
      <c r="Y11" s="169" t="s">
        <v>397</v>
      </c>
      <c r="Z11" s="169" t="s">
        <v>416</v>
      </c>
      <c r="AA11" s="169" t="s">
        <v>483</v>
      </c>
      <c r="AB11" s="169" t="s">
        <v>484</v>
      </c>
      <c r="AC11" s="169" t="s">
        <v>875</v>
      </c>
      <c r="AD11" s="169" t="s">
        <v>493</v>
      </c>
      <c r="AE11" s="169" t="s">
        <v>874</v>
      </c>
      <c r="AF11" s="169" t="s">
        <v>873</v>
      </c>
      <c r="AG11" s="169" t="s">
        <v>872</v>
      </c>
      <c r="AI11" s="98" t="s">
        <v>396</v>
      </c>
      <c r="AJ11" s="98"/>
      <c r="AK11" s="169"/>
      <c r="AL11" s="169"/>
      <c r="AM11" s="169" t="s">
        <v>397</v>
      </c>
      <c r="AN11" s="169" t="s">
        <v>397</v>
      </c>
      <c r="AO11" s="169" t="s">
        <v>397</v>
      </c>
      <c r="AP11" s="169" t="s">
        <v>397</v>
      </c>
      <c r="AQ11" s="169" t="s">
        <v>397</v>
      </c>
      <c r="AR11" s="169" t="s">
        <v>416</v>
      </c>
      <c r="AS11" s="169" t="s">
        <v>483</v>
      </c>
      <c r="AT11" s="169" t="s">
        <v>484</v>
      </c>
      <c r="AU11" s="169" t="s">
        <v>875</v>
      </c>
      <c r="AV11" s="169" t="s">
        <v>493</v>
      </c>
      <c r="AW11" s="169" t="s">
        <v>874</v>
      </c>
      <c r="AX11" s="169" t="s">
        <v>873</v>
      </c>
      <c r="AY11" s="169" t="s">
        <v>872</v>
      </c>
    </row>
    <row r="12" spans="1:51" x14ac:dyDescent="0.2">
      <c r="A12" s="98"/>
      <c r="B12" s="9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627"/>
      <c r="P12" s="627"/>
      <c r="Q12" s="98"/>
      <c r="R12" s="98"/>
      <c r="S12" s="169"/>
      <c r="T12" s="169"/>
      <c r="W12" s="169"/>
      <c r="Y12" s="169"/>
      <c r="AA12" s="169"/>
      <c r="AC12" s="169"/>
      <c r="AE12" s="169"/>
      <c r="AG12" s="627"/>
      <c r="AH12" s="627"/>
      <c r="AI12" s="98"/>
      <c r="AJ12" s="98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627"/>
    </row>
    <row r="13" spans="1:51" x14ac:dyDescent="0.2">
      <c r="A13" s="630">
        <v>1</v>
      </c>
      <c r="B13" s="129" t="s">
        <v>79</v>
      </c>
      <c r="C13" s="426">
        <v>50</v>
      </c>
      <c r="D13" s="426" t="s">
        <v>69</v>
      </c>
      <c r="E13" s="426">
        <f>'WP1 Light Inventory'!J42</f>
        <v>0</v>
      </c>
      <c r="F13" s="330">
        <f>'WP2 Current Light Rates'!E38</f>
        <v>1.59</v>
      </c>
      <c r="G13" s="330">
        <f>'BDJ-6 Combined Charges'!K47</f>
        <v>1.46</v>
      </c>
      <c r="H13" s="330">
        <f>'Sch 141A Lighting Tariff'!J45+'Sch 141C Lighting Tariff'!J45+'Sch 141N Lighting Tariff'!J47+'Sch 141R Lighting Tariff'!J47+G13</f>
        <v>2.4300000000000002</v>
      </c>
      <c r="I13" s="209">
        <f t="shared" ref="I13:J13" si="0">(+F13*$E13*12)</f>
        <v>0</v>
      </c>
      <c r="J13" s="209">
        <f t="shared" si="0"/>
        <v>0</v>
      </c>
      <c r="K13" s="209">
        <f t="shared" ref="K13" si="1">(H13)*E13*12</f>
        <v>0</v>
      </c>
      <c r="L13" s="209">
        <f t="shared" ref="L13" si="2">+J13-I13</f>
        <v>0</v>
      </c>
      <c r="M13" s="209">
        <f t="shared" ref="M13" si="3">+K13-I13</f>
        <v>0</v>
      </c>
      <c r="N13" s="36" t="str">
        <f t="shared" ref="N13:N21" si="4">IF(+L13=0,"0%",L13/I13)</f>
        <v>0%</v>
      </c>
      <c r="O13" s="36" t="str">
        <f t="shared" ref="O13:O21" si="5">IF(+M13=0,"0%",M13/I13)</f>
        <v>0%</v>
      </c>
      <c r="P13" s="627"/>
      <c r="Q13" s="630">
        <v>1</v>
      </c>
      <c r="R13" s="129" t="s">
        <v>79</v>
      </c>
      <c r="S13" s="426">
        <v>50</v>
      </c>
      <c r="T13" s="426" t="s">
        <v>69</v>
      </c>
      <c r="U13" s="35">
        <f t="shared" ref="U13:U20" si="6">E13</f>
        <v>0</v>
      </c>
      <c r="V13" s="330">
        <f t="shared" ref="V13:W20" si="7">G13</f>
        <v>1.46</v>
      </c>
      <c r="W13" s="330">
        <f t="shared" si="7"/>
        <v>2.4300000000000002</v>
      </c>
      <c r="X13" s="330">
        <f t="shared" ref="X13:X20" si="8">V13</f>
        <v>1.46</v>
      </c>
      <c r="Y13" s="330">
        <f>'Sch 141A Lighting Tariff'!N45+'Sch 141C Lighting Tariff'!N45+'Sch 141N Lighting Tariff'!N47+'Sch 141R Lighting Tariff'!N47+X13</f>
        <v>2.56</v>
      </c>
      <c r="Z13" s="209">
        <f t="shared" ref="Z13:AC13" si="9">(+V13*$U13*12)</f>
        <v>0</v>
      </c>
      <c r="AA13" s="209">
        <f t="shared" si="9"/>
        <v>0</v>
      </c>
      <c r="AB13" s="209">
        <f t="shared" si="9"/>
        <v>0</v>
      </c>
      <c r="AC13" s="209">
        <f t="shared" si="9"/>
        <v>0</v>
      </c>
      <c r="AD13" s="209">
        <f t="shared" ref="AD13:AE13" si="10">+AB13-Z13</f>
        <v>0</v>
      </c>
      <c r="AE13" s="209">
        <f t="shared" si="10"/>
        <v>0</v>
      </c>
      <c r="AF13" s="36" t="str">
        <f t="shared" ref="AF13:AF21" si="11">IF(+AD13=0,"0%",AD13/Z13)</f>
        <v>0%</v>
      </c>
      <c r="AG13" s="36" t="str">
        <f t="shared" ref="AG13:AG21" si="12">IF(+AE13=0,"0%",AE13/AA13)</f>
        <v>0%</v>
      </c>
      <c r="AH13" s="627"/>
      <c r="AI13" s="630">
        <v>1</v>
      </c>
      <c r="AJ13" s="129" t="s">
        <v>79</v>
      </c>
      <c r="AK13" s="426">
        <v>50</v>
      </c>
      <c r="AL13" s="426" t="s">
        <v>69</v>
      </c>
      <c r="AM13" s="35"/>
      <c r="AN13" s="330"/>
      <c r="AO13" s="330"/>
      <c r="AP13" s="330"/>
      <c r="AQ13" s="330"/>
      <c r="AR13" s="209"/>
      <c r="AS13" s="209"/>
      <c r="AT13" s="209"/>
      <c r="AU13" s="209"/>
      <c r="AV13" s="209"/>
      <c r="AW13" s="209"/>
      <c r="AX13" s="36"/>
      <c r="AY13" s="36"/>
    </row>
    <row r="14" spans="1:51" x14ac:dyDescent="0.2">
      <c r="A14" s="630">
        <f t="shared" ref="A14:A20" si="13">A13+1</f>
        <v>2</v>
      </c>
      <c r="B14" s="630" t="str">
        <f t="shared" ref="B14:B20" si="14">+B13</f>
        <v xml:space="preserve">52E </v>
      </c>
      <c r="C14" s="426">
        <v>70</v>
      </c>
      <c r="D14" s="426" t="s">
        <v>69</v>
      </c>
      <c r="E14" s="426">
        <f>'WP1 Light Inventory'!J43</f>
        <v>670</v>
      </c>
      <c r="F14" s="330">
        <f>'WP2 Current Light Rates'!E39</f>
        <v>2.23</v>
      </c>
      <c r="G14" s="330">
        <f>'BDJ-6 Combined Charges'!K48</f>
        <v>2.0700000000000003</v>
      </c>
      <c r="H14" s="330">
        <f>'Sch 141A Lighting Tariff'!J46+'Sch 141C Lighting Tariff'!J46+'Sch 141N Lighting Tariff'!J48+'Sch 141R Lighting Tariff'!J48+G14</f>
        <v>3.4200000000000004</v>
      </c>
      <c r="I14" s="209">
        <f t="shared" ref="I14:I20" si="15">(+F14*$E14*12)</f>
        <v>17929.199999999997</v>
      </c>
      <c r="J14" s="209">
        <f t="shared" ref="J14:J20" si="16">(+G14*$E14*12)</f>
        <v>16642.800000000003</v>
      </c>
      <c r="K14" s="209">
        <f t="shared" ref="K14:K20" si="17">(H14)*E14*12</f>
        <v>27496.800000000003</v>
      </c>
      <c r="L14" s="209">
        <f t="shared" ref="L14:L20" si="18">+J14-I14</f>
        <v>-1286.3999999999942</v>
      </c>
      <c r="M14" s="209">
        <f t="shared" ref="M14:M20" si="19">+K14-I14</f>
        <v>9567.6000000000058</v>
      </c>
      <c r="N14" s="36">
        <f t="shared" ref="N14:N20" si="20">IF(+L14=0,"0%",L14/I14)</f>
        <v>-7.174887892376651E-2</v>
      </c>
      <c r="O14" s="36">
        <f t="shared" ref="O14:O20" si="21">IF(+M14=0,"0%",M14/I14)</f>
        <v>0.53363228699551613</v>
      </c>
      <c r="P14" s="627"/>
      <c r="Q14" s="630">
        <f t="shared" ref="Q14:Q20" si="22">Q13+1</f>
        <v>2</v>
      </c>
      <c r="R14" s="630" t="str">
        <f t="shared" ref="R14:R20" si="23">+R13</f>
        <v xml:space="preserve">52E </v>
      </c>
      <c r="S14" s="426">
        <v>70</v>
      </c>
      <c r="T14" s="426" t="s">
        <v>69</v>
      </c>
      <c r="U14" s="35">
        <f t="shared" si="6"/>
        <v>670</v>
      </c>
      <c r="V14" s="330">
        <f t="shared" si="7"/>
        <v>2.0700000000000003</v>
      </c>
      <c r="W14" s="330">
        <f t="shared" si="7"/>
        <v>3.4200000000000004</v>
      </c>
      <c r="X14" s="330">
        <f t="shared" si="8"/>
        <v>2.0700000000000003</v>
      </c>
      <c r="Y14" s="330">
        <f>'Sch 141A Lighting Tariff'!N46+'Sch 141C Lighting Tariff'!N46+'Sch 141N Lighting Tariff'!N48+'Sch 141R Lighting Tariff'!N48+X14</f>
        <v>3.62</v>
      </c>
      <c r="Z14" s="209">
        <f t="shared" ref="Z14:Z20" si="24">(+V14*$U14*12)</f>
        <v>16642.800000000003</v>
      </c>
      <c r="AA14" s="209">
        <f t="shared" ref="AA14:AA20" si="25">(+W14*$U14*12)</f>
        <v>27496.800000000003</v>
      </c>
      <c r="AB14" s="209">
        <f t="shared" ref="AB14:AB20" si="26">(+X14*$U14*12)</f>
        <v>16642.800000000003</v>
      </c>
      <c r="AC14" s="209">
        <f t="shared" ref="AC14:AC20" si="27">(+Y14*$U14*12)</f>
        <v>29104.800000000003</v>
      </c>
      <c r="AD14" s="209">
        <f t="shared" ref="AD14:AD20" si="28">+AB14-Z14</f>
        <v>0</v>
      </c>
      <c r="AE14" s="209">
        <f t="shared" ref="AE14:AE20" si="29">+AC14-AA14</f>
        <v>1608</v>
      </c>
      <c r="AF14" s="36" t="str">
        <f t="shared" ref="AF14:AF20" si="30">IF(+AD14=0,"0%",AD14/Z14)</f>
        <v>0%</v>
      </c>
      <c r="AG14" s="36">
        <f t="shared" ref="AG14:AG20" si="31">IF(+AE14=0,"0%",AE14/AA14)</f>
        <v>5.8479532163742687E-2</v>
      </c>
      <c r="AH14" s="627"/>
      <c r="AI14" s="630">
        <f t="shared" ref="AI14:AI20" si="32">AI13+1</f>
        <v>2</v>
      </c>
      <c r="AJ14" s="630" t="str">
        <f t="shared" ref="AJ14:AJ20" si="33">+AJ13</f>
        <v xml:space="preserve">52E </v>
      </c>
      <c r="AK14" s="426">
        <v>70</v>
      </c>
      <c r="AL14" s="426" t="s">
        <v>69</v>
      </c>
      <c r="AM14" s="35"/>
      <c r="AN14" s="330"/>
      <c r="AO14" s="330"/>
      <c r="AP14" s="330"/>
      <c r="AQ14" s="330"/>
      <c r="AR14" s="209"/>
      <c r="AS14" s="209"/>
      <c r="AT14" s="209"/>
      <c r="AU14" s="209"/>
      <c r="AV14" s="209"/>
      <c r="AW14" s="209"/>
      <c r="AX14" s="36"/>
      <c r="AY14" s="36"/>
    </row>
    <row r="15" spans="1:51" x14ac:dyDescent="0.2">
      <c r="A15" s="630">
        <f t="shared" si="13"/>
        <v>3</v>
      </c>
      <c r="B15" s="630" t="str">
        <f t="shared" si="14"/>
        <v xml:space="preserve">52E </v>
      </c>
      <c r="C15" s="426">
        <v>100</v>
      </c>
      <c r="D15" s="426" t="s">
        <v>69</v>
      </c>
      <c r="E15" s="426">
        <f>'WP1 Light Inventory'!J44</f>
        <v>9604</v>
      </c>
      <c r="F15" s="330">
        <f>'WP2 Current Light Rates'!E40</f>
        <v>3.19</v>
      </c>
      <c r="G15" s="330">
        <f>'BDJ-6 Combined Charges'!K49</f>
        <v>2.95</v>
      </c>
      <c r="H15" s="330">
        <f>'Sch 141A Lighting Tariff'!J47+'Sch 141C Lighting Tariff'!J47+'Sch 141N Lighting Tariff'!J49+'Sch 141R Lighting Tariff'!J49+G15</f>
        <v>4.8900000000000006</v>
      </c>
      <c r="I15" s="209">
        <f t="shared" si="15"/>
        <v>367641.12</v>
      </c>
      <c r="J15" s="209">
        <f t="shared" si="16"/>
        <v>339981.60000000003</v>
      </c>
      <c r="K15" s="209">
        <f t="shared" si="17"/>
        <v>563562.72000000009</v>
      </c>
      <c r="L15" s="209">
        <f t="shared" si="18"/>
        <v>-27659.51999999996</v>
      </c>
      <c r="M15" s="209">
        <f t="shared" si="19"/>
        <v>195921.60000000009</v>
      </c>
      <c r="N15" s="36">
        <f t="shared" si="20"/>
        <v>-7.5235109717868232E-2</v>
      </c>
      <c r="O15" s="36">
        <f t="shared" si="21"/>
        <v>0.53291536050156763</v>
      </c>
      <c r="P15" s="627"/>
      <c r="Q15" s="630">
        <f t="shared" si="22"/>
        <v>3</v>
      </c>
      <c r="R15" s="630" t="str">
        <f t="shared" si="23"/>
        <v xml:space="preserve">52E </v>
      </c>
      <c r="S15" s="426">
        <v>100</v>
      </c>
      <c r="T15" s="426" t="s">
        <v>69</v>
      </c>
      <c r="U15" s="35">
        <f t="shared" si="6"/>
        <v>9604</v>
      </c>
      <c r="V15" s="330">
        <f t="shared" si="7"/>
        <v>2.95</v>
      </c>
      <c r="W15" s="330">
        <f t="shared" si="7"/>
        <v>4.8900000000000006</v>
      </c>
      <c r="X15" s="330">
        <f t="shared" si="8"/>
        <v>2.95</v>
      </c>
      <c r="Y15" s="330">
        <f>'Sch 141A Lighting Tariff'!N47+'Sch 141C Lighting Tariff'!N47+'Sch 141N Lighting Tariff'!N49+'Sch 141R Lighting Tariff'!N49+X15</f>
        <v>5.15</v>
      </c>
      <c r="Z15" s="209">
        <f t="shared" si="24"/>
        <v>339981.60000000003</v>
      </c>
      <c r="AA15" s="209">
        <f t="shared" si="25"/>
        <v>563562.72000000009</v>
      </c>
      <c r="AB15" s="209">
        <f t="shared" si="26"/>
        <v>339981.60000000003</v>
      </c>
      <c r="AC15" s="209">
        <f t="shared" si="27"/>
        <v>593527.20000000007</v>
      </c>
      <c r="AD15" s="209">
        <f t="shared" si="28"/>
        <v>0</v>
      </c>
      <c r="AE15" s="209">
        <f t="shared" si="29"/>
        <v>29964.479999999981</v>
      </c>
      <c r="AF15" s="36" t="str">
        <f t="shared" si="30"/>
        <v>0%</v>
      </c>
      <c r="AG15" s="36">
        <f t="shared" si="31"/>
        <v>5.3169734151329202E-2</v>
      </c>
      <c r="AH15" s="627"/>
      <c r="AI15" s="630">
        <f t="shared" si="32"/>
        <v>3</v>
      </c>
      <c r="AJ15" s="630" t="str">
        <f t="shared" si="33"/>
        <v xml:space="preserve">52E </v>
      </c>
      <c r="AK15" s="426">
        <v>100</v>
      </c>
      <c r="AL15" s="426" t="s">
        <v>69</v>
      </c>
      <c r="AM15" s="35"/>
      <c r="AN15" s="330"/>
      <c r="AO15" s="330"/>
      <c r="AP15" s="330"/>
      <c r="AQ15" s="330"/>
      <c r="AR15" s="209"/>
      <c r="AS15" s="209"/>
      <c r="AT15" s="209"/>
      <c r="AU15" s="209"/>
      <c r="AV15" s="209"/>
      <c r="AW15" s="209"/>
      <c r="AX15" s="36"/>
      <c r="AY15" s="36"/>
    </row>
    <row r="16" spans="1:51" x14ac:dyDescent="0.2">
      <c r="A16" s="630">
        <f t="shared" si="13"/>
        <v>4</v>
      </c>
      <c r="B16" s="630" t="str">
        <f t="shared" si="14"/>
        <v xml:space="preserve">52E </v>
      </c>
      <c r="C16" s="426">
        <v>150</v>
      </c>
      <c r="D16" s="426" t="s">
        <v>69</v>
      </c>
      <c r="E16" s="426">
        <f>'WP1 Light Inventory'!J45</f>
        <v>4470</v>
      </c>
      <c r="F16" s="330">
        <f>'WP2 Current Light Rates'!E41</f>
        <v>4.78</v>
      </c>
      <c r="G16" s="330">
        <f>'BDJ-6 Combined Charges'!K50</f>
        <v>4.41</v>
      </c>
      <c r="H16" s="330">
        <f>'Sch 141A Lighting Tariff'!J48+'Sch 141C Lighting Tariff'!J48+'Sch 141N Lighting Tariff'!J50+'Sch 141R Lighting Tariff'!J50+G16</f>
        <v>7.32</v>
      </c>
      <c r="I16" s="209">
        <f t="shared" si="15"/>
        <v>256399.2</v>
      </c>
      <c r="J16" s="209">
        <f t="shared" si="16"/>
        <v>236552.40000000002</v>
      </c>
      <c r="K16" s="209">
        <f t="shared" si="17"/>
        <v>392644.80000000005</v>
      </c>
      <c r="L16" s="209">
        <f t="shared" si="18"/>
        <v>-19846.799999999988</v>
      </c>
      <c r="M16" s="209">
        <f t="shared" si="19"/>
        <v>136245.60000000003</v>
      </c>
      <c r="N16" s="36">
        <f t="shared" si="20"/>
        <v>-7.7405857740585726E-2</v>
      </c>
      <c r="O16" s="36">
        <f t="shared" si="21"/>
        <v>0.53138075313807542</v>
      </c>
      <c r="Q16" s="630">
        <f t="shared" si="22"/>
        <v>4</v>
      </c>
      <c r="R16" s="630" t="str">
        <f t="shared" si="23"/>
        <v xml:space="preserve">52E </v>
      </c>
      <c r="S16" s="426">
        <v>150</v>
      </c>
      <c r="T16" s="426" t="s">
        <v>69</v>
      </c>
      <c r="U16" s="35">
        <f t="shared" si="6"/>
        <v>4470</v>
      </c>
      <c r="V16" s="330">
        <f t="shared" si="7"/>
        <v>4.41</v>
      </c>
      <c r="W16" s="330">
        <f t="shared" si="7"/>
        <v>7.32</v>
      </c>
      <c r="X16" s="330">
        <f t="shared" si="8"/>
        <v>4.41</v>
      </c>
      <c r="Y16" s="330">
        <f>'Sch 141A Lighting Tariff'!N48+'Sch 141C Lighting Tariff'!N48+'Sch 141N Lighting Tariff'!N50+'Sch 141R Lighting Tariff'!N50+X16</f>
        <v>7.7100000000000009</v>
      </c>
      <c r="Z16" s="209">
        <f t="shared" si="24"/>
        <v>236552.40000000002</v>
      </c>
      <c r="AA16" s="209">
        <f t="shared" si="25"/>
        <v>392644.80000000005</v>
      </c>
      <c r="AB16" s="209">
        <f t="shared" si="26"/>
        <v>236552.40000000002</v>
      </c>
      <c r="AC16" s="209">
        <f t="shared" si="27"/>
        <v>413564.4</v>
      </c>
      <c r="AD16" s="209">
        <f t="shared" si="28"/>
        <v>0</v>
      </c>
      <c r="AE16" s="209">
        <f t="shared" si="29"/>
        <v>20919.599999999977</v>
      </c>
      <c r="AF16" s="36" t="str">
        <f t="shared" si="30"/>
        <v>0%</v>
      </c>
      <c r="AG16" s="36">
        <f t="shared" si="31"/>
        <v>5.3278688524590098E-2</v>
      </c>
      <c r="AI16" s="630">
        <f t="shared" si="32"/>
        <v>4</v>
      </c>
      <c r="AJ16" s="630" t="str">
        <f t="shared" si="33"/>
        <v xml:space="preserve">52E </v>
      </c>
      <c r="AK16" s="426">
        <v>150</v>
      </c>
      <c r="AL16" s="426" t="s">
        <v>69</v>
      </c>
      <c r="AM16" s="35"/>
      <c r="AN16" s="330"/>
      <c r="AO16" s="330"/>
      <c r="AP16" s="330"/>
      <c r="AQ16" s="330"/>
      <c r="AR16" s="209"/>
      <c r="AS16" s="209"/>
      <c r="AT16" s="209"/>
      <c r="AU16" s="209"/>
      <c r="AV16" s="209"/>
      <c r="AW16" s="209"/>
      <c r="AX16" s="36"/>
      <c r="AY16" s="36"/>
    </row>
    <row r="17" spans="1:51" x14ac:dyDescent="0.2">
      <c r="A17" s="630">
        <f t="shared" si="13"/>
        <v>5</v>
      </c>
      <c r="B17" s="630" t="str">
        <f t="shared" si="14"/>
        <v xml:space="preserve">52E </v>
      </c>
      <c r="C17" s="426">
        <v>200</v>
      </c>
      <c r="D17" s="426" t="s">
        <v>69</v>
      </c>
      <c r="E17" s="426">
        <f>'WP1 Light Inventory'!J46</f>
        <v>948</v>
      </c>
      <c r="F17" s="330">
        <f>'WP2 Current Light Rates'!E42</f>
        <v>6.37</v>
      </c>
      <c r="G17" s="330">
        <f>'BDJ-6 Combined Charges'!K51</f>
        <v>5.8900000000000006</v>
      </c>
      <c r="H17" s="330">
        <f>'Sch 141A Lighting Tariff'!J49+'Sch 141C Lighting Tariff'!J49+'Sch 141N Lighting Tariff'!J51+'Sch 141R Lighting Tariff'!J51+G17</f>
        <v>9.7700000000000014</v>
      </c>
      <c r="I17" s="209">
        <f t="shared" si="15"/>
        <v>72465.119999999995</v>
      </c>
      <c r="J17" s="209">
        <f t="shared" si="16"/>
        <v>67004.639999999999</v>
      </c>
      <c r="K17" s="209">
        <f t="shared" si="17"/>
        <v>111143.52000000002</v>
      </c>
      <c r="L17" s="209">
        <f t="shared" si="18"/>
        <v>-5460.4799999999959</v>
      </c>
      <c r="M17" s="209">
        <f t="shared" si="19"/>
        <v>38678.400000000023</v>
      </c>
      <c r="N17" s="36">
        <f t="shared" si="20"/>
        <v>-7.535321821036102E-2</v>
      </c>
      <c r="O17" s="36">
        <f t="shared" si="21"/>
        <v>0.53375196232339128</v>
      </c>
      <c r="Q17" s="630">
        <f t="shared" si="22"/>
        <v>5</v>
      </c>
      <c r="R17" s="630" t="str">
        <f t="shared" si="23"/>
        <v xml:space="preserve">52E </v>
      </c>
      <c r="S17" s="426">
        <v>200</v>
      </c>
      <c r="T17" s="426" t="s">
        <v>69</v>
      </c>
      <c r="U17" s="35">
        <f t="shared" si="6"/>
        <v>948</v>
      </c>
      <c r="V17" s="330">
        <f t="shared" si="7"/>
        <v>5.8900000000000006</v>
      </c>
      <c r="W17" s="330">
        <f t="shared" si="7"/>
        <v>9.7700000000000014</v>
      </c>
      <c r="X17" s="330">
        <f t="shared" si="8"/>
        <v>5.8900000000000006</v>
      </c>
      <c r="Y17" s="330">
        <f>'Sch 141A Lighting Tariff'!N49+'Sch 141C Lighting Tariff'!N49+'Sch 141N Lighting Tariff'!N51+'Sch 141R Lighting Tariff'!N51+X17</f>
        <v>10.290000000000001</v>
      </c>
      <c r="Z17" s="209">
        <f t="shared" si="24"/>
        <v>67004.639999999999</v>
      </c>
      <c r="AA17" s="209">
        <f t="shared" si="25"/>
        <v>111143.52000000002</v>
      </c>
      <c r="AB17" s="209">
        <f t="shared" si="26"/>
        <v>67004.639999999999</v>
      </c>
      <c r="AC17" s="209">
        <f t="shared" si="27"/>
        <v>117059.04000000001</v>
      </c>
      <c r="AD17" s="209">
        <f t="shared" si="28"/>
        <v>0</v>
      </c>
      <c r="AE17" s="209">
        <f t="shared" si="29"/>
        <v>5915.5199999999895</v>
      </c>
      <c r="AF17" s="36" t="str">
        <f t="shared" si="30"/>
        <v>0%</v>
      </c>
      <c r="AG17" s="36">
        <f t="shared" si="31"/>
        <v>5.3224155578300819E-2</v>
      </c>
      <c r="AI17" s="630">
        <f t="shared" si="32"/>
        <v>5</v>
      </c>
      <c r="AJ17" s="630" t="str">
        <f t="shared" si="33"/>
        <v xml:space="preserve">52E </v>
      </c>
      <c r="AK17" s="426">
        <v>200</v>
      </c>
      <c r="AL17" s="426" t="s">
        <v>69</v>
      </c>
      <c r="AM17" s="35"/>
      <c r="AN17" s="330"/>
      <c r="AO17" s="330"/>
      <c r="AP17" s="330"/>
      <c r="AQ17" s="330"/>
      <c r="AR17" s="209"/>
      <c r="AS17" s="209"/>
      <c r="AT17" s="209"/>
      <c r="AU17" s="209"/>
      <c r="AV17" s="209"/>
      <c r="AW17" s="209"/>
      <c r="AX17" s="36"/>
      <c r="AY17" s="36"/>
    </row>
    <row r="18" spans="1:51" x14ac:dyDescent="0.2">
      <c r="A18" s="630">
        <f t="shared" si="13"/>
        <v>6</v>
      </c>
      <c r="B18" s="630" t="str">
        <f t="shared" si="14"/>
        <v xml:space="preserve">52E </v>
      </c>
      <c r="C18" s="426">
        <v>250</v>
      </c>
      <c r="D18" s="426" t="s">
        <v>69</v>
      </c>
      <c r="E18" s="426">
        <f>'WP1 Light Inventory'!J47</f>
        <v>1399</v>
      </c>
      <c r="F18" s="330">
        <f>'WP2 Current Light Rates'!E43</f>
        <v>7.96</v>
      </c>
      <c r="G18" s="330">
        <f>'BDJ-6 Combined Charges'!K52</f>
        <v>7.35</v>
      </c>
      <c r="H18" s="330">
        <f>'Sch 141A Lighting Tariff'!J50+'Sch 141C Lighting Tariff'!J50+'Sch 141N Lighting Tariff'!J52+'Sch 141R Lighting Tariff'!J52+G18</f>
        <v>12.2</v>
      </c>
      <c r="I18" s="209">
        <f t="shared" si="15"/>
        <v>133632.47999999998</v>
      </c>
      <c r="J18" s="209">
        <f t="shared" si="16"/>
        <v>123391.79999999999</v>
      </c>
      <c r="K18" s="209">
        <f t="shared" si="17"/>
        <v>204813.59999999998</v>
      </c>
      <c r="L18" s="209">
        <f t="shared" si="18"/>
        <v>-10240.679999999993</v>
      </c>
      <c r="M18" s="209">
        <f t="shared" si="19"/>
        <v>71181.119999999995</v>
      </c>
      <c r="N18" s="36">
        <f t="shared" si="20"/>
        <v>-7.6633165829145686E-2</v>
      </c>
      <c r="O18" s="36">
        <f t="shared" si="21"/>
        <v>0.53266331658291466</v>
      </c>
      <c r="Q18" s="630">
        <f t="shared" si="22"/>
        <v>6</v>
      </c>
      <c r="R18" s="630" t="str">
        <f t="shared" si="23"/>
        <v xml:space="preserve">52E </v>
      </c>
      <c r="S18" s="426">
        <v>250</v>
      </c>
      <c r="T18" s="426" t="s">
        <v>69</v>
      </c>
      <c r="U18" s="35">
        <f t="shared" si="6"/>
        <v>1399</v>
      </c>
      <c r="V18" s="330">
        <f t="shared" si="7"/>
        <v>7.35</v>
      </c>
      <c r="W18" s="330">
        <f t="shared" si="7"/>
        <v>12.2</v>
      </c>
      <c r="X18" s="330">
        <f t="shared" si="8"/>
        <v>7.35</v>
      </c>
      <c r="Y18" s="330">
        <f>'Sch 141A Lighting Tariff'!N50+'Sch 141C Lighting Tariff'!N50+'Sch 141N Lighting Tariff'!N52+'Sch 141R Lighting Tariff'!N52+X18</f>
        <v>12.86</v>
      </c>
      <c r="Z18" s="209">
        <f t="shared" si="24"/>
        <v>123391.79999999999</v>
      </c>
      <c r="AA18" s="209">
        <f t="shared" si="25"/>
        <v>204813.59999999998</v>
      </c>
      <c r="AB18" s="209">
        <f t="shared" si="26"/>
        <v>123391.79999999999</v>
      </c>
      <c r="AC18" s="209">
        <f t="shared" si="27"/>
        <v>215893.68</v>
      </c>
      <c r="AD18" s="209">
        <f t="shared" si="28"/>
        <v>0</v>
      </c>
      <c r="AE18" s="209">
        <f t="shared" si="29"/>
        <v>11080.080000000016</v>
      </c>
      <c r="AF18" s="36" t="str">
        <f t="shared" si="30"/>
        <v>0%</v>
      </c>
      <c r="AG18" s="36">
        <f t="shared" si="31"/>
        <v>5.4098360655737789E-2</v>
      </c>
      <c r="AI18" s="630">
        <f t="shared" si="32"/>
        <v>6</v>
      </c>
      <c r="AJ18" s="630" t="str">
        <f t="shared" si="33"/>
        <v xml:space="preserve">52E </v>
      </c>
      <c r="AK18" s="426">
        <v>250</v>
      </c>
      <c r="AL18" s="426" t="s">
        <v>69</v>
      </c>
      <c r="AM18" s="35"/>
      <c r="AN18" s="330"/>
      <c r="AO18" s="330"/>
      <c r="AP18" s="330"/>
      <c r="AQ18" s="330"/>
      <c r="AR18" s="209"/>
      <c r="AS18" s="209"/>
      <c r="AT18" s="209"/>
      <c r="AU18" s="209"/>
      <c r="AV18" s="209"/>
      <c r="AW18" s="209"/>
      <c r="AX18" s="36"/>
      <c r="AY18" s="36"/>
    </row>
    <row r="19" spans="1:51" x14ac:dyDescent="0.2">
      <c r="A19" s="630">
        <f t="shared" si="13"/>
        <v>7</v>
      </c>
      <c r="B19" s="630" t="str">
        <f t="shared" si="14"/>
        <v xml:space="preserve">52E </v>
      </c>
      <c r="C19" s="426">
        <v>310</v>
      </c>
      <c r="D19" s="426" t="s">
        <v>69</v>
      </c>
      <c r="E19" s="426">
        <f>'WP1 Light Inventory'!J48</f>
        <v>141</v>
      </c>
      <c r="F19" s="330">
        <f>'WP2 Current Light Rates'!E44</f>
        <v>9.8699999999999992</v>
      </c>
      <c r="G19" s="330">
        <f>'BDJ-6 Combined Charges'!K53</f>
        <v>9.129999999999999</v>
      </c>
      <c r="H19" s="330">
        <f>'Sch 141A Lighting Tariff'!J51+'Sch 141C Lighting Tariff'!J51+'Sch 141N Lighting Tariff'!J53+'Sch 141R Lighting Tariff'!J53+G19</f>
        <v>15.129999999999999</v>
      </c>
      <c r="I19" s="209">
        <f t="shared" si="15"/>
        <v>16700.039999999997</v>
      </c>
      <c r="J19" s="209">
        <f t="shared" si="16"/>
        <v>15447.96</v>
      </c>
      <c r="K19" s="209">
        <f t="shared" si="17"/>
        <v>25599.96</v>
      </c>
      <c r="L19" s="209">
        <f t="shared" si="18"/>
        <v>-1252.0799999999981</v>
      </c>
      <c r="M19" s="209">
        <f t="shared" si="19"/>
        <v>8899.9200000000019</v>
      </c>
      <c r="N19" s="36">
        <f t="shared" si="20"/>
        <v>-7.4974670719351474E-2</v>
      </c>
      <c r="O19" s="36">
        <f t="shared" si="21"/>
        <v>0.53292806484295863</v>
      </c>
      <c r="Q19" s="630">
        <f t="shared" si="22"/>
        <v>7</v>
      </c>
      <c r="R19" s="630" t="str">
        <f t="shared" si="23"/>
        <v xml:space="preserve">52E </v>
      </c>
      <c r="S19" s="426">
        <v>310</v>
      </c>
      <c r="T19" s="426" t="s">
        <v>69</v>
      </c>
      <c r="U19" s="35">
        <f t="shared" si="6"/>
        <v>141</v>
      </c>
      <c r="V19" s="330">
        <f t="shared" si="7"/>
        <v>9.129999999999999</v>
      </c>
      <c r="W19" s="330">
        <f t="shared" si="7"/>
        <v>15.129999999999999</v>
      </c>
      <c r="X19" s="330">
        <f t="shared" si="8"/>
        <v>9.129999999999999</v>
      </c>
      <c r="Y19" s="330">
        <f>'Sch 141A Lighting Tariff'!N51+'Sch 141C Lighting Tariff'!N51+'Sch 141N Lighting Tariff'!N53+'Sch 141R Lighting Tariff'!N53+X19</f>
        <v>15.959999999999999</v>
      </c>
      <c r="Z19" s="209">
        <f t="shared" si="24"/>
        <v>15447.96</v>
      </c>
      <c r="AA19" s="209">
        <f t="shared" si="25"/>
        <v>25599.96</v>
      </c>
      <c r="AB19" s="209">
        <f t="shared" si="26"/>
        <v>15447.96</v>
      </c>
      <c r="AC19" s="209">
        <f t="shared" si="27"/>
        <v>27004.319999999996</v>
      </c>
      <c r="AD19" s="209">
        <f t="shared" si="28"/>
        <v>0</v>
      </c>
      <c r="AE19" s="209">
        <f t="shared" si="29"/>
        <v>1404.3599999999969</v>
      </c>
      <c r="AF19" s="36" t="str">
        <f t="shared" si="30"/>
        <v>0%</v>
      </c>
      <c r="AG19" s="36">
        <f t="shared" si="31"/>
        <v>5.4857898215465842E-2</v>
      </c>
      <c r="AI19" s="630">
        <f t="shared" si="32"/>
        <v>7</v>
      </c>
      <c r="AJ19" s="630" t="str">
        <f t="shared" si="33"/>
        <v xml:space="preserve">52E </v>
      </c>
      <c r="AK19" s="426">
        <v>310</v>
      </c>
      <c r="AL19" s="426" t="s">
        <v>69</v>
      </c>
      <c r="AM19" s="35"/>
      <c r="AN19" s="330"/>
      <c r="AO19" s="330"/>
      <c r="AP19" s="330"/>
      <c r="AQ19" s="330"/>
      <c r="AR19" s="209"/>
      <c r="AS19" s="209"/>
      <c r="AT19" s="209"/>
      <c r="AU19" s="209"/>
      <c r="AV19" s="209"/>
      <c r="AW19" s="209"/>
      <c r="AX19" s="36"/>
      <c r="AY19" s="36"/>
    </row>
    <row r="20" spans="1:51" x14ac:dyDescent="0.2">
      <c r="A20" s="630">
        <f t="shared" si="13"/>
        <v>8</v>
      </c>
      <c r="B20" s="630" t="str">
        <f t="shared" si="14"/>
        <v xml:space="preserve">52E </v>
      </c>
      <c r="C20" s="426">
        <v>400</v>
      </c>
      <c r="D20" s="426" t="s">
        <v>69</v>
      </c>
      <c r="E20" s="426">
        <f>'WP1 Light Inventory'!J49</f>
        <v>589</v>
      </c>
      <c r="F20" s="330">
        <f>'WP2 Current Light Rates'!E45</f>
        <v>12.74</v>
      </c>
      <c r="G20" s="330">
        <f>'BDJ-6 Combined Charges'!K54</f>
        <v>11.780000000000001</v>
      </c>
      <c r="H20" s="330">
        <f>'Sch 141A Lighting Tariff'!J52+'Sch 141C Lighting Tariff'!J52+'Sch 141N Lighting Tariff'!J54+'Sch 141R Lighting Tariff'!J54+G20</f>
        <v>19.540000000000003</v>
      </c>
      <c r="I20" s="209">
        <f t="shared" si="15"/>
        <v>90046.319999999992</v>
      </c>
      <c r="J20" s="209">
        <f t="shared" si="16"/>
        <v>83261.040000000008</v>
      </c>
      <c r="K20" s="209">
        <f t="shared" si="17"/>
        <v>138108.72000000003</v>
      </c>
      <c r="L20" s="209">
        <f t="shared" si="18"/>
        <v>-6785.2799999999843</v>
      </c>
      <c r="M20" s="209">
        <f t="shared" si="19"/>
        <v>48062.400000000038</v>
      </c>
      <c r="N20" s="36">
        <f t="shared" si="20"/>
        <v>-7.5353218210360895E-2</v>
      </c>
      <c r="O20" s="36">
        <f t="shared" si="21"/>
        <v>0.53375196232339139</v>
      </c>
      <c r="Q20" s="630">
        <f t="shared" si="22"/>
        <v>8</v>
      </c>
      <c r="R20" s="630" t="str">
        <f t="shared" si="23"/>
        <v xml:space="preserve">52E </v>
      </c>
      <c r="S20" s="426">
        <v>400</v>
      </c>
      <c r="T20" s="426" t="s">
        <v>69</v>
      </c>
      <c r="U20" s="35">
        <f t="shared" si="6"/>
        <v>589</v>
      </c>
      <c r="V20" s="330">
        <f t="shared" si="7"/>
        <v>11.780000000000001</v>
      </c>
      <c r="W20" s="330">
        <f t="shared" si="7"/>
        <v>19.540000000000003</v>
      </c>
      <c r="X20" s="330">
        <f t="shared" si="8"/>
        <v>11.780000000000001</v>
      </c>
      <c r="Y20" s="330">
        <f>'Sch 141A Lighting Tariff'!N52+'Sch 141C Lighting Tariff'!N52+'Sch 141N Lighting Tariff'!N54+'Sch 141R Lighting Tariff'!N54+X20</f>
        <v>20.6</v>
      </c>
      <c r="Z20" s="209">
        <f t="shared" si="24"/>
        <v>83261.040000000008</v>
      </c>
      <c r="AA20" s="209">
        <f t="shared" si="25"/>
        <v>138108.72000000003</v>
      </c>
      <c r="AB20" s="209">
        <f t="shared" si="26"/>
        <v>83261.040000000008</v>
      </c>
      <c r="AC20" s="209">
        <f t="shared" si="27"/>
        <v>145600.80000000002</v>
      </c>
      <c r="AD20" s="209">
        <f t="shared" si="28"/>
        <v>0</v>
      </c>
      <c r="AE20" s="209">
        <f t="shared" si="29"/>
        <v>7492.0799999999872</v>
      </c>
      <c r="AF20" s="36" t="str">
        <f t="shared" si="30"/>
        <v>0%</v>
      </c>
      <c r="AG20" s="36">
        <f t="shared" si="31"/>
        <v>5.4247697031729679E-2</v>
      </c>
      <c r="AI20" s="630">
        <f t="shared" si="32"/>
        <v>8</v>
      </c>
      <c r="AJ20" s="630" t="str">
        <f t="shared" si="33"/>
        <v xml:space="preserve">52E </v>
      </c>
      <c r="AK20" s="426">
        <v>400</v>
      </c>
      <c r="AL20" s="426" t="s">
        <v>69</v>
      </c>
      <c r="AM20" s="35"/>
      <c r="AN20" s="330"/>
      <c r="AO20" s="330"/>
      <c r="AP20" s="330"/>
      <c r="AQ20" s="330"/>
      <c r="AR20" s="209"/>
      <c r="AS20" s="209"/>
      <c r="AT20" s="209"/>
      <c r="AU20" s="209"/>
      <c r="AV20" s="209"/>
      <c r="AW20" s="209"/>
      <c r="AX20" s="36"/>
      <c r="AY20" s="36"/>
    </row>
    <row r="21" spans="1:51" x14ac:dyDescent="0.2">
      <c r="A21" s="630"/>
      <c r="C21" s="426"/>
      <c r="D21" s="426" t="str">
        <f>D20</f>
        <v>Sodium Vapor</v>
      </c>
      <c r="E21" s="368">
        <f>SUM(E12:E20)</f>
        <v>17821</v>
      </c>
      <c r="F21" s="42"/>
      <c r="G21" s="42"/>
      <c r="H21" s="42"/>
      <c r="I21" s="266">
        <f>SUM(I13:I20)</f>
        <v>954813.48</v>
      </c>
      <c r="J21" s="266">
        <f>SUM(J13:J20)</f>
        <v>882282.24</v>
      </c>
      <c r="K21" s="266">
        <f>SUM(K13:K20)</f>
        <v>1463370.1200000003</v>
      </c>
      <c r="L21" s="266">
        <f>SUM(L13:L20)</f>
        <v>-72531.239999999918</v>
      </c>
      <c r="M21" s="266">
        <f>SUM(M13:M20)</f>
        <v>508556.64000000019</v>
      </c>
      <c r="N21" s="269">
        <f t="shared" si="4"/>
        <v>-7.5963778810495972E-2</v>
      </c>
      <c r="O21" s="269">
        <f t="shared" si="5"/>
        <v>0.53262406810595109</v>
      </c>
      <c r="Q21" s="630"/>
      <c r="R21" s="630"/>
      <c r="S21" s="426"/>
      <c r="T21" s="426" t="str">
        <f>T20</f>
        <v>Sodium Vapor</v>
      </c>
      <c r="U21" s="368">
        <f>SUM(U12:U20)</f>
        <v>17821</v>
      </c>
      <c r="V21" s="368"/>
      <c r="W21" s="42"/>
      <c r="X21" s="42"/>
      <c r="Y21" s="42"/>
      <c r="Z21" s="266">
        <f t="shared" ref="Z21:AE21" si="34">SUM(Z13:Z20)</f>
        <v>882282.24</v>
      </c>
      <c r="AA21" s="266">
        <f t="shared" si="34"/>
        <v>1463370.1200000003</v>
      </c>
      <c r="AB21" s="266">
        <f t="shared" si="34"/>
        <v>882282.24</v>
      </c>
      <c r="AC21" s="266">
        <f t="shared" si="34"/>
        <v>1541754.2400000002</v>
      </c>
      <c r="AD21" s="266">
        <f t="shared" si="34"/>
        <v>0</v>
      </c>
      <c r="AE21" s="266">
        <f t="shared" si="34"/>
        <v>78384.119999999952</v>
      </c>
      <c r="AF21" s="267" t="str">
        <f t="shared" si="11"/>
        <v>0%</v>
      </c>
      <c r="AG21" s="269">
        <f t="shared" si="12"/>
        <v>5.3564111313137874E-2</v>
      </c>
      <c r="AI21" s="630"/>
      <c r="AJ21" s="630"/>
      <c r="AK21" s="426"/>
      <c r="AL21" s="426" t="str">
        <f>AL20</f>
        <v>Sodium Vapor</v>
      </c>
      <c r="AM21" s="368"/>
      <c r="AN21" s="368"/>
      <c r="AO21" s="42"/>
      <c r="AP21" s="42"/>
      <c r="AQ21" s="42"/>
      <c r="AR21" s="266"/>
      <c r="AS21" s="266"/>
      <c r="AT21" s="266"/>
      <c r="AU21" s="266"/>
      <c r="AV21" s="266"/>
      <c r="AW21" s="266"/>
      <c r="AX21" s="267"/>
      <c r="AY21" s="269"/>
    </row>
    <row r="22" spans="1:51" x14ac:dyDescent="0.2">
      <c r="A22" s="630">
        <f>A20+1</f>
        <v>9</v>
      </c>
      <c r="C22" s="426"/>
      <c r="D22" s="426"/>
      <c r="E22" s="426"/>
      <c r="F22" s="330"/>
      <c r="G22" s="330"/>
      <c r="H22" s="330"/>
      <c r="I22" s="209"/>
      <c r="J22" s="209"/>
      <c r="K22" s="209"/>
      <c r="L22" s="209"/>
      <c r="M22" s="209"/>
      <c r="N22" s="518"/>
      <c r="O22" s="518"/>
      <c r="Q22" s="630">
        <f>Q20+1</f>
        <v>9</v>
      </c>
      <c r="R22" s="630"/>
      <c r="S22" s="426"/>
      <c r="T22" s="426"/>
      <c r="W22" s="330"/>
      <c r="Y22" s="330"/>
      <c r="AA22" s="209"/>
      <c r="AC22" s="209"/>
      <c r="AE22" s="209"/>
      <c r="AF22" s="518"/>
      <c r="AG22" s="518"/>
      <c r="AI22" s="630">
        <f>AI20+1</f>
        <v>9</v>
      </c>
      <c r="AJ22" s="630"/>
      <c r="AK22" s="426"/>
      <c r="AL22" s="426"/>
      <c r="AO22" s="330"/>
      <c r="AQ22" s="330"/>
      <c r="AS22" s="209"/>
      <c r="AU22" s="209"/>
      <c r="AW22" s="209"/>
      <c r="AY22" s="518"/>
    </row>
    <row r="23" spans="1:51" x14ac:dyDescent="0.2">
      <c r="A23" s="630">
        <f t="shared" ref="A23:A32" si="35">A22+1</f>
        <v>10</v>
      </c>
      <c r="B23" s="129" t="str">
        <f>+B17</f>
        <v xml:space="preserve">52E </v>
      </c>
      <c r="C23" s="426">
        <v>70</v>
      </c>
      <c r="D23" s="426" t="s">
        <v>80</v>
      </c>
      <c r="E23" s="426">
        <f>'WP1 Light Inventory'!J51</f>
        <v>70</v>
      </c>
      <c r="F23" s="330">
        <f>'WP2 Current Light Rates'!E47</f>
        <v>2.23</v>
      </c>
      <c r="G23" s="330">
        <f>'BDJ-6 Combined Charges'!K56</f>
        <v>2.0700000000000003</v>
      </c>
      <c r="H23" s="330">
        <f>'Sch 141A Lighting Tariff'!J54+'Sch 141C Lighting Tariff'!J54+'Sch 141N Lighting Tariff'!J56+'Sch 141R Lighting Tariff'!J56+G23</f>
        <v>3.4200000000000004</v>
      </c>
      <c r="I23" s="209">
        <f t="shared" ref="I23:I29" si="36">(+F23*$E23*12)</f>
        <v>1873.1999999999998</v>
      </c>
      <c r="J23" s="209">
        <f t="shared" ref="J23:J29" si="37">(+G23*$E23*12)</f>
        <v>1738.8000000000004</v>
      </c>
      <c r="K23" s="209">
        <f t="shared" ref="K23:K29" si="38">(H23)*E23*12</f>
        <v>2872.8</v>
      </c>
      <c r="L23" s="209">
        <f t="shared" ref="L23:L29" si="39">+J23-I23</f>
        <v>-134.39999999999941</v>
      </c>
      <c r="M23" s="209">
        <f t="shared" ref="M23:M29" si="40">+K23-I23</f>
        <v>999.60000000000036</v>
      </c>
      <c r="N23" s="36">
        <f t="shared" ref="N23:N29" si="41">IF(+L23=0,"0%",L23/I23)</f>
        <v>-7.174887892376651E-2</v>
      </c>
      <c r="O23" s="36">
        <f t="shared" ref="O23:O29" si="42">IF(+M23=0,"0%",M23/I23)</f>
        <v>0.5336322869955159</v>
      </c>
      <c r="Q23" s="630">
        <f t="shared" ref="Q23:Q32" si="43">Q22+1</f>
        <v>10</v>
      </c>
      <c r="R23" s="129" t="str">
        <f>+R17</f>
        <v xml:space="preserve">52E </v>
      </c>
      <c r="S23" s="426">
        <v>70</v>
      </c>
      <c r="T23" s="426" t="s">
        <v>80</v>
      </c>
      <c r="U23" s="35">
        <f t="shared" ref="U23:U29" si="44">E23</f>
        <v>70</v>
      </c>
      <c r="V23" s="330">
        <f t="shared" ref="V23:W29" si="45">G23</f>
        <v>2.0700000000000003</v>
      </c>
      <c r="W23" s="330">
        <f t="shared" si="45"/>
        <v>3.4200000000000004</v>
      </c>
      <c r="X23" s="330">
        <f t="shared" ref="X23:X29" si="46">V23</f>
        <v>2.0700000000000003</v>
      </c>
      <c r="Y23" s="330">
        <f>'Sch 141A Lighting Tariff'!N54+'Sch 141C Lighting Tariff'!N54+'Sch 141N Lighting Tariff'!N56+'Sch 141R Lighting Tariff'!N56+X23</f>
        <v>3.62</v>
      </c>
      <c r="Z23" s="209">
        <f t="shared" ref="Z23:Z29" si="47">(+V23*$U23*12)</f>
        <v>1738.8000000000004</v>
      </c>
      <c r="AA23" s="209">
        <f t="shared" ref="AA23:AA29" si="48">(+W23*$U23*12)</f>
        <v>2872.8</v>
      </c>
      <c r="AB23" s="209">
        <f t="shared" ref="AB23:AB29" si="49">(+X23*$U23*12)</f>
        <v>1738.8000000000004</v>
      </c>
      <c r="AC23" s="209">
        <f t="shared" ref="AC23:AC29" si="50">(+Y23*$U23*12)</f>
        <v>3040.8</v>
      </c>
      <c r="AD23" s="209">
        <f t="shared" ref="AD23:AD29" si="51">+AB23-Z23</f>
        <v>0</v>
      </c>
      <c r="AE23" s="209">
        <f t="shared" ref="AE23:AE29" si="52">+AC23-AA23</f>
        <v>168</v>
      </c>
      <c r="AF23" s="36" t="str">
        <f t="shared" ref="AF23:AF29" si="53">IF(+AD23=0,"0%",AD23/Z23)</f>
        <v>0%</v>
      </c>
      <c r="AG23" s="36">
        <f t="shared" ref="AG23:AG29" si="54">IF(+AE23=0,"0%",AE23/AA23)</f>
        <v>5.8479532163742687E-2</v>
      </c>
      <c r="AI23" s="630">
        <f t="shared" ref="AI23:AI32" si="55">AI22+1</f>
        <v>10</v>
      </c>
      <c r="AJ23" s="129" t="str">
        <f>+AJ17</f>
        <v xml:space="preserve">52E </v>
      </c>
      <c r="AK23" s="426">
        <v>70</v>
      </c>
      <c r="AL23" s="426" t="s">
        <v>80</v>
      </c>
      <c r="AM23" s="35"/>
      <c r="AN23" s="330"/>
      <c r="AO23" s="330"/>
      <c r="AP23" s="330"/>
      <c r="AQ23" s="330"/>
      <c r="AR23" s="209"/>
      <c r="AS23" s="209"/>
      <c r="AT23" s="209"/>
      <c r="AU23" s="209"/>
      <c r="AV23" s="209"/>
      <c r="AW23" s="209"/>
      <c r="AX23" s="36"/>
      <c r="AY23" s="36"/>
    </row>
    <row r="24" spans="1:51" x14ac:dyDescent="0.2">
      <c r="A24" s="630">
        <f t="shared" si="35"/>
        <v>11</v>
      </c>
      <c r="B24" s="129" t="str">
        <f>+B18</f>
        <v xml:space="preserve">52E </v>
      </c>
      <c r="C24" s="426">
        <v>100</v>
      </c>
      <c r="D24" s="426" t="s">
        <v>80</v>
      </c>
      <c r="E24" s="426">
        <f>'WP1 Light Inventory'!J52</f>
        <v>4</v>
      </c>
      <c r="F24" s="330">
        <f>'WP2 Current Light Rates'!E48</f>
        <v>3.19</v>
      </c>
      <c r="G24" s="330">
        <f>'BDJ-6 Combined Charges'!K57</f>
        <v>2.95</v>
      </c>
      <c r="H24" s="330">
        <f>'Sch 141A Lighting Tariff'!J55+'Sch 141C Lighting Tariff'!J55+'Sch 141N Lighting Tariff'!J57+'Sch 141R Lighting Tariff'!J57+G24</f>
        <v>4.8900000000000006</v>
      </c>
      <c r="I24" s="209">
        <f t="shared" si="36"/>
        <v>153.12</v>
      </c>
      <c r="J24" s="209">
        <f t="shared" si="37"/>
        <v>141.60000000000002</v>
      </c>
      <c r="K24" s="209">
        <f t="shared" si="38"/>
        <v>234.72000000000003</v>
      </c>
      <c r="L24" s="209">
        <f t="shared" si="39"/>
        <v>-11.519999999999982</v>
      </c>
      <c r="M24" s="209">
        <f t="shared" si="40"/>
        <v>81.600000000000023</v>
      </c>
      <c r="N24" s="36">
        <f t="shared" si="41"/>
        <v>-7.5235109717868218E-2</v>
      </c>
      <c r="O24" s="36">
        <f t="shared" si="42"/>
        <v>0.53291536050156751</v>
      </c>
      <c r="Q24" s="630">
        <f t="shared" si="43"/>
        <v>11</v>
      </c>
      <c r="R24" s="129" t="str">
        <f>+R18</f>
        <v xml:space="preserve">52E </v>
      </c>
      <c r="S24" s="426">
        <v>100</v>
      </c>
      <c r="T24" s="426" t="s">
        <v>80</v>
      </c>
      <c r="U24" s="35">
        <f t="shared" si="44"/>
        <v>4</v>
      </c>
      <c r="V24" s="330">
        <f t="shared" si="45"/>
        <v>2.95</v>
      </c>
      <c r="W24" s="330">
        <f t="shared" si="45"/>
        <v>4.8900000000000006</v>
      </c>
      <c r="X24" s="330">
        <f t="shared" si="46"/>
        <v>2.95</v>
      </c>
      <c r="Y24" s="330">
        <f>'Sch 141A Lighting Tariff'!N55+'Sch 141C Lighting Tariff'!N55+'Sch 141N Lighting Tariff'!N57+'Sch 141R Lighting Tariff'!N57+X24</f>
        <v>5.15</v>
      </c>
      <c r="Z24" s="209">
        <f t="shared" si="47"/>
        <v>141.60000000000002</v>
      </c>
      <c r="AA24" s="209">
        <f t="shared" si="48"/>
        <v>234.72000000000003</v>
      </c>
      <c r="AB24" s="209">
        <f t="shared" si="49"/>
        <v>141.60000000000002</v>
      </c>
      <c r="AC24" s="209">
        <f t="shared" si="50"/>
        <v>247.20000000000002</v>
      </c>
      <c r="AD24" s="209">
        <f t="shared" si="51"/>
        <v>0</v>
      </c>
      <c r="AE24" s="209">
        <f t="shared" si="52"/>
        <v>12.47999999999999</v>
      </c>
      <c r="AF24" s="36" t="str">
        <f t="shared" si="53"/>
        <v>0%</v>
      </c>
      <c r="AG24" s="36">
        <f t="shared" si="54"/>
        <v>5.3169734151329195E-2</v>
      </c>
      <c r="AI24" s="630">
        <f t="shared" si="55"/>
        <v>11</v>
      </c>
      <c r="AJ24" s="129" t="str">
        <f>+AJ18</f>
        <v xml:space="preserve">52E </v>
      </c>
      <c r="AK24" s="426">
        <v>100</v>
      </c>
      <c r="AL24" s="426" t="s">
        <v>80</v>
      </c>
      <c r="AM24" s="35"/>
      <c r="AN24" s="330"/>
      <c r="AO24" s="330"/>
      <c r="AP24" s="330"/>
      <c r="AQ24" s="330"/>
      <c r="AR24" s="209"/>
      <c r="AS24" s="209"/>
      <c r="AT24" s="209"/>
      <c r="AU24" s="209"/>
      <c r="AV24" s="209"/>
      <c r="AW24" s="209"/>
      <c r="AX24" s="36"/>
      <c r="AY24" s="36"/>
    </row>
    <row r="25" spans="1:51" x14ac:dyDescent="0.2">
      <c r="A25" s="630">
        <f t="shared" si="35"/>
        <v>12</v>
      </c>
      <c r="B25" s="129" t="str">
        <f>+B19</f>
        <v xml:space="preserve">52E </v>
      </c>
      <c r="C25" s="426">
        <v>150</v>
      </c>
      <c r="D25" s="426" t="s">
        <v>80</v>
      </c>
      <c r="E25" s="426">
        <f>'WP1 Light Inventory'!J53</f>
        <v>201</v>
      </c>
      <c r="F25" s="330">
        <f>'WP2 Current Light Rates'!E49</f>
        <v>4.78</v>
      </c>
      <c r="G25" s="330">
        <f>'BDJ-6 Combined Charges'!K58</f>
        <v>4.41</v>
      </c>
      <c r="H25" s="330">
        <f>'Sch 141A Lighting Tariff'!J56+'Sch 141C Lighting Tariff'!J56+'Sch 141N Lighting Tariff'!J58+'Sch 141R Lighting Tariff'!J58+G25</f>
        <v>7.32</v>
      </c>
      <c r="I25" s="209">
        <f t="shared" si="36"/>
        <v>11529.36</v>
      </c>
      <c r="J25" s="209">
        <f t="shared" si="37"/>
        <v>10636.920000000002</v>
      </c>
      <c r="K25" s="209">
        <f t="shared" si="38"/>
        <v>17655.840000000004</v>
      </c>
      <c r="L25" s="209">
        <f t="shared" si="39"/>
        <v>-892.43999999999869</v>
      </c>
      <c r="M25" s="209">
        <f t="shared" si="40"/>
        <v>6126.4800000000032</v>
      </c>
      <c r="N25" s="36">
        <f t="shared" si="41"/>
        <v>-7.7405857740585657E-2</v>
      </c>
      <c r="O25" s="36">
        <f t="shared" si="42"/>
        <v>0.53138075313807553</v>
      </c>
      <c r="Q25" s="630">
        <f t="shared" si="43"/>
        <v>12</v>
      </c>
      <c r="R25" s="129" t="str">
        <f>+R19</f>
        <v xml:space="preserve">52E </v>
      </c>
      <c r="S25" s="426">
        <v>150</v>
      </c>
      <c r="T25" s="426" t="s">
        <v>80</v>
      </c>
      <c r="U25" s="35">
        <f t="shared" si="44"/>
        <v>201</v>
      </c>
      <c r="V25" s="330">
        <f t="shared" si="45"/>
        <v>4.41</v>
      </c>
      <c r="W25" s="330">
        <f t="shared" si="45"/>
        <v>7.32</v>
      </c>
      <c r="X25" s="330">
        <f t="shared" si="46"/>
        <v>4.41</v>
      </c>
      <c r="Y25" s="330">
        <f>'Sch 141A Lighting Tariff'!N56+'Sch 141C Lighting Tariff'!N56+'Sch 141N Lighting Tariff'!N58+'Sch 141R Lighting Tariff'!N58+X25</f>
        <v>7.7100000000000009</v>
      </c>
      <c r="Z25" s="209">
        <f t="shared" si="47"/>
        <v>10636.920000000002</v>
      </c>
      <c r="AA25" s="209">
        <f t="shared" si="48"/>
        <v>17655.840000000004</v>
      </c>
      <c r="AB25" s="209">
        <f t="shared" si="49"/>
        <v>10636.920000000002</v>
      </c>
      <c r="AC25" s="209">
        <f t="shared" si="50"/>
        <v>18596.520000000004</v>
      </c>
      <c r="AD25" s="209">
        <f t="shared" si="51"/>
        <v>0</v>
      </c>
      <c r="AE25" s="209">
        <f t="shared" si="52"/>
        <v>940.68000000000029</v>
      </c>
      <c r="AF25" s="36" t="str">
        <f t="shared" si="53"/>
        <v>0%</v>
      </c>
      <c r="AG25" s="36">
        <f t="shared" si="54"/>
        <v>5.3278688524590168E-2</v>
      </c>
      <c r="AI25" s="630">
        <f t="shared" si="55"/>
        <v>12</v>
      </c>
      <c r="AJ25" s="129" t="str">
        <f>+AJ19</f>
        <v xml:space="preserve">52E </v>
      </c>
      <c r="AK25" s="426">
        <v>150</v>
      </c>
      <c r="AL25" s="426" t="s">
        <v>80</v>
      </c>
      <c r="AM25" s="35"/>
      <c r="AN25" s="330"/>
      <c r="AO25" s="330"/>
      <c r="AP25" s="330"/>
      <c r="AQ25" s="330"/>
      <c r="AR25" s="209"/>
      <c r="AS25" s="209"/>
      <c r="AT25" s="209"/>
      <c r="AU25" s="209"/>
      <c r="AV25" s="209"/>
      <c r="AW25" s="209"/>
      <c r="AX25" s="36"/>
      <c r="AY25" s="36"/>
    </row>
    <row r="26" spans="1:51" x14ac:dyDescent="0.2">
      <c r="A26" s="630">
        <f t="shared" si="35"/>
        <v>13</v>
      </c>
      <c r="B26" s="129" t="str">
        <f>+B20</f>
        <v xml:space="preserve">52E </v>
      </c>
      <c r="C26" s="426">
        <v>175</v>
      </c>
      <c r="D26" s="426" t="s">
        <v>80</v>
      </c>
      <c r="E26" s="426">
        <f>'WP1 Light Inventory'!J54</f>
        <v>212</v>
      </c>
      <c r="F26" s="330">
        <f>'WP2 Current Light Rates'!E50</f>
        <v>5.57</v>
      </c>
      <c r="G26" s="330">
        <f>'BDJ-6 Combined Charges'!K59</f>
        <v>5.15</v>
      </c>
      <c r="H26" s="330">
        <f>'Sch 141A Lighting Tariff'!J57+'Sch 141C Lighting Tariff'!J57+'Sch 141N Lighting Tariff'!J59+'Sch 141R Lighting Tariff'!J59+G26</f>
        <v>8.5500000000000007</v>
      </c>
      <c r="I26" s="209">
        <f t="shared" si="36"/>
        <v>14170.080000000002</v>
      </c>
      <c r="J26" s="209">
        <f t="shared" si="37"/>
        <v>13101.600000000002</v>
      </c>
      <c r="K26" s="209">
        <f t="shared" si="38"/>
        <v>21751.200000000001</v>
      </c>
      <c r="L26" s="209">
        <f t="shared" si="39"/>
        <v>-1068.4799999999996</v>
      </c>
      <c r="M26" s="209">
        <f t="shared" si="40"/>
        <v>7581.119999999999</v>
      </c>
      <c r="N26" s="36">
        <f t="shared" si="41"/>
        <v>-7.5403949730700137E-2</v>
      </c>
      <c r="O26" s="36">
        <f t="shared" si="42"/>
        <v>0.53500897666068203</v>
      </c>
      <c r="Q26" s="630">
        <f t="shared" si="43"/>
        <v>13</v>
      </c>
      <c r="R26" s="129" t="str">
        <f>+R20</f>
        <v xml:space="preserve">52E </v>
      </c>
      <c r="S26" s="426">
        <v>175</v>
      </c>
      <c r="T26" s="426" t="s">
        <v>80</v>
      </c>
      <c r="U26" s="35">
        <f t="shared" si="44"/>
        <v>212</v>
      </c>
      <c r="V26" s="330">
        <f t="shared" si="45"/>
        <v>5.15</v>
      </c>
      <c r="W26" s="330">
        <f t="shared" si="45"/>
        <v>8.5500000000000007</v>
      </c>
      <c r="X26" s="330">
        <f t="shared" si="46"/>
        <v>5.15</v>
      </c>
      <c r="Y26" s="330">
        <f>'Sch 141A Lighting Tariff'!N57+'Sch 141C Lighting Tariff'!N57+'Sch 141N Lighting Tariff'!N59+'Sch 141R Lighting Tariff'!N59+X26</f>
        <v>9.0100000000000016</v>
      </c>
      <c r="Z26" s="209">
        <f t="shared" si="47"/>
        <v>13101.600000000002</v>
      </c>
      <c r="AA26" s="209">
        <f t="shared" si="48"/>
        <v>21751.200000000001</v>
      </c>
      <c r="AB26" s="209">
        <f t="shared" si="49"/>
        <v>13101.600000000002</v>
      </c>
      <c r="AC26" s="209">
        <f t="shared" si="50"/>
        <v>22921.440000000002</v>
      </c>
      <c r="AD26" s="209">
        <f t="shared" si="51"/>
        <v>0</v>
      </c>
      <c r="AE26" s="209">
        <f t="shared" si="52"/>
        <v>1170.2400000000016</v>
      </c>
      <c r="AF26" s="36" t="str">
        <f t="shared" si="53"/>
        <v>0%</v>
      </c>
      <c r="AG26" s="36">
        <f t="shared" si="54"/>
        <v>5.380116959064335E-2</v>
      </c>
      <c r="AI26" s="630">
        <f t="shared" si="55"/>
        <v>13</v>
      </c>
      <c r="AJ26" s="129" t="str">
        <f>+AJ20</f>
        <v xml:space="preserve">52E </v>
      </c>
      <c r="AK26" s="426">
        <v>175</v>
      </c>
      <c r="AL26" s="426" t="s">
        <v>80</v>
      </c>
      <c r="AM26" s="35"/>
      <c r="AN26" s="330"/>
      <c r="AO26" s="330"/>
      <c r="AP26" s="330"/>
      <c r="AQ26" s="330"/>
      <c r="AR26" s="209"/>
      <c r="AS26" s="209"/>
      <c r="AT26" s="209"/>
      <c r="AU26" s="209"/>
      <c r="AV26" s="209"/>
      <c r="AW26" s="209"/>
      <c r="AX26" s="36"/>
      <c r="AY26" s="36"/>
    </row>
    <row r="27" spans="1:51" x14ac:dyDescent="0.2">
      <c r="A27" s="630">
        <f t="shared" si="35"/>
        <v>14</v>
      </c>
      <c r="B27" s="630" t="str">
        <f>+B26</f>
        <v xml:space="preserve">52E </v>
      </c>
      <c r="C27" s="426">
        <v>250</v>
      </c>
      <c r="D27" s="426" t="str">
        <f>+D26</f>
        <v>Metal Halide</v>
      </c>
      <c r="E27" s="426">
        <f>'WP1 Light Inventory'!J55</f>
        <v>36</v>
      </c>
      <c r="F27" s="330">
        <f>'WP2 Current Light Rates'!E51</f>
        <v>7.96</v>
      </c>
      <c r="G27" s="330">
        <f>'BDJ-6 Combined Charges'!K60</f>
        <v>7.35</v>
      </c>
      <c r="H27" s="330">
        <f>'Sch 141A Lighting Tariff'!J58+'Sch 141C Lighting Tariff'!J58+'Sch 141N Lighting Tariff'!J60+'Sch 141R Lighting Tariff'!J60+G27</f>
        <v>12.2</v>
      </c>
      <c r="I27" s="209">
        <f t="shared" si="36"/>
        <v>3438.7200000000003</v>
      </c>
      <c r="J27" s="209">
        <f t="shared" si="37"/>
        <v>3175.2</v>
      </c>
      <c r="K27" s="209">
        <f t="shared" si="38"/>
        <v>5270.4</v>
      </c>
      <c r="L27" s="209">
        <f t="shared" si="39"/>
        <v>-263.52000000000044</v>
      </c>
      <c r="M27" s="209">
        <f t="shared" si="40"/>
        <v>1831.6799999999994</v>
      </c>
      <c r="N27" s="36">
        <f t="shared" si="41"/>
        <v>-7.6633165829145852E-2</v>
      </c>
      <c r="O27" s="36">
        <f t="shared" si="42"/>
        <v>0.53266331658291433</v>
      </c>
      <c r="Q27" s="630">
        <f t="shared" si="43"/>
        <v>14</v>
      </c>
      <c r="R27" s="630" t="str">
        <f>+R26</f>
        <v xml:space="preserve">52E </v>
      </c>
      <c r="S27" s="426">
        <v>250</v>
      </c>
      <c r="T27" s="426" t="str">
        <f>+T26</f>
        <v>Metal Halide</v>
      </c>
      <c r="U27" s="35">
        <f t="shared" si="44"/>
        <v>36</v>
      </c>
      <c r="V27" s="330">
        <f t="shared" si="45"/>
        <v>7.35</v>
      </c>
      <c r="W27" s="330">
        <f t="shared" si="45"/>
        <v>12.2</v>
      </c>
      <c r="X27" s="330">
        <f t="shared" si="46"/>
        <v>7.35</v>
      </c>
      <c r="Y27" s="330">
        <f>'Sch 141A Lighting Tariff'!N58+'Sch 141C Lighting Tariff'!N58+'Sch 141N Lighting Tariff'!N60+'Sch 141R Lighting Tariff'!N60+X27</f>
        <v>12.86</v>
      </c>
      <c r="Z27" s="209">
        <f t="shared" si="47"/>
        <v>3175.2</v>
      </c>
      <c r="AA27" s="209">
        <f t="shared" si="48"/>
        <v>5270.4</v>
      </c>
      <c r="AB27" s="209">
        <f t="shared" si="49"/>
        <v>3175.2</v>
      </c>
      <c r="AC27" s="209">
        <f t="shared" si="50"/>
        <v>5555.5199999999995</v>
      </c>
      <c r="AD27" s="209">
        <f t="shared" si="51"/>
        <v>0</v>
      </c>
      <c r="AE27" s="209">
        <f t="shared" si="52"/>
        <v>285.11999999999989</v>
      </c>
      <c r="AF27" s="36" t="str">
        <f t="shared" si="53"/>
        <v>0%</v>
      </c>
      <c r="AG27" s="36">
        <f t="shared" si="54"/>
        <v>5.4098360655737684E-2</v>
      </c>
      <c r="AI27" s="630">
        <f t="shared" si="55"/>
        <v>14</v>
      </c>
      <c r="AJ27" s="630" t="str">
        <f>+AJ26</f>
        <v xml:space="preserve">52E </v>
      </c>
      <c r="AK27" s="426">
        <v>250</v>
      </c>
      <c r="AL27" s="426" t="str">
        <f>+AL26</f>
        <v>Metal Halide</v>
      </c>
      <c r="AM27" s="35"/>
      <c r="AN27" s="330"/>
      <c r="AO27" s="330"/>
      <c r="AP27" s="330"/>
      <c r="AQ27" s="330"/>
      <c r="AR27" s="209"/>
      <c r="AS27" s="209"/>
      <c r="AT27" s="209"/>
      <c r="AU27" s="209"/>
      <c r="AV27" s="209"/>
      <c r="AW27" s="209"/>
      <c r="AX27" s="36"/>
      <c r="AY27" s="36"/>
    </row>
    <row r="28" spans="1:51" x14ac:dyDescent="0.2">
      <c r="A28" s="630">
        <f t="shared" si="35"/>
        <v>15</v>
      </c>
      <c r="B28" s="630" t="str">
        <f>+B27</f>
        <v xml:space="preserve">52E </v>
      </c>
      <c r="C28" s="426">
        <v>400</v>
      </c>
      <c r="D28" s="426" t="str">
        <f>+D27</f>
        <v>Metal Halide</v>
      </c>
      <c r="E28" s="426">
        <f>'WP1 Light Inventory'!J56</f>
        <v>57</v>
      </c>
      <c r="F28" s="330">
        <f>'WP2 Current Light Rates'!E52</f>
        <v>12.74</v>
      </c>
      <c r="G28" s="330">
        <f>'BDJ-6 Combined Charges'!K61</f>
        <v>11.780000000000001</v>
      </c>
      <c r="H28" s="330">
        <f>'Sch 141A Lighting Tariff'!J59+'Sch 141C Lighting Tariff'!J59+'Sch 141N Lighting Tariff'!J61+'Sch 141R Lighting Tariff'!J61+G28</f>
        <v>19.540000000000003</v>
      </c>
      <c r="I28" s="209">
        <f t="shared" si="36"/>
        <v>8714.16</v>
      </c>
      <c r="J28" s="209">
        <f t="shared" si="37"/>
        <v>8057.52</v>
      </c>
      <c r="K28" s="209">
        <f t="shared" si="38"/>
        <v>13365.360000000002</v>
      </c>
      <c r="L28" s="209">
        <f t="shared" si="39"/>
        <v>-656.63999999999942</v>
      </c>
      <c r="M28" s="209">
        <f t="shared" si="40"/>
        <v>4651.2000000000025</v>
      </c>
      <c r="N28" s="36">
        <f t="shared" si="41"/>
        <v>-7.5353218210361006E-2</v>
      </c>
      <c r="O28" s="36">
        <f t="shared" si="42"/>
        <v>0.53375196232339117</v>
      </c>
      <c r="Q28" s="630">
        <f t="shared" si="43"/>
        <v>15</v>
      </c>
      <c r="R28" s="630" t="str">
        <f>+R27</f>
        <v xml:space="preserve">52E </v>
      </c>
      <c r="S28" s="426">
        <v>400</v>
      </c>
      <c r="T28" s="426" t="str">
        <f>+T27</f>
        <v>Metal Halide</v>
      </c>
      <c r="U28" s="35">
        <f t="shared" si="44"/>
        <v>57</v>
      </c>
      <c r="V28" s="330">
        <f t="shared" si="45"/>
        <v>11.780000000000001</v>
      </c>
      <c r="W28" s="330">
        <f t="shared" si="45"/>
        <v>19.540000000000003</v>
      </c>
      <c r="X28" s="330">
        <f t="shared" si="46"/>
        <v>11.780000000000001</v>
      </c>
      <c r="Y28" s="330">
        <f>'Sch 141A Lighting Tariff'!N59+'Sch 141C Lighting Tariff'!N59+'Sch 141N Lighting Tariff'!N61+'Sch 141R Lighting Tariff'!N61+X28</f>
        <v>20.6</v>
      </c>
      <c r="Z28" s="209">
        <f t="shared" si="47"/>
        <v>8057.52</v>
      </c>
      <c r="AA28" s="209">
        <f t="shared" si="48"/>
        <v>13365.360000000002</v>
      </c>
      <c r="AB28" s="209">
        <f t="shared" si="49"/>
        <v>8057.52</v>
      </c>
      <c r="AC28" s="209">
        <f t="shared" si="50"/>
        <v>14090.400000000001</v>
      </c>
      <c r="AD28" s="209">
        <f t="shared" si="51"/>
        <v>0</v>
      </c>
      <c r="AE28" s="209">
        <f t="shared" si="52"/>
        <v>725.03999999999905</v>
      </c>
      <c r="AF28" s="36" t="str">
        <f t="shared" si="53"/>
        <v>0%</v>
      </c>
      <c r="AG28" s="36">
        <f t="shared" si="54"/>
        <v>5.4247697031729707E-2</v>
      </c>
      <c r="AI28" s="630">
        <f t="shared" si="55"/>
        <v>15</v>
      </c>
      <c r="AJ28" s="630" t="str">
        <f>+AJ27</f>
        <v xml:space="preserve">52E </v>
      </c>
      <c r="AK28" s="426">
        <v>400</v>
      </c>
      <c r="AL28" s="426" t="str">
        <f>+AL27</f>
        <v>Metal Halide</v>
      </c>
      <c r="AM28" s="35"/>
      <c r="AN28" s="330"/>
      <c r="AO28" s="330"/>
      <c r="AP28" s="330"/>
      <c r="AQ28" s="330"/>
      <c r="AR28" s="209"/>
      <c r="AS28" s="209"/>
      <c r="AT28" s="209"/>
      <c r="AU28" s="209"/>
      <c r="AV28" s="209"/>
      <c r="AW28" s="209"/>
      <c r="AX28" s="36"/>
      <c r="AY28" s="36"/>
    </row>
    <row r="29" spans="1:51" x14ac:dyDescent="0.2">
      <c r="A29" s="630">
        <f t="shared" si="35"/>
        <v>16</v>
      </c>
      <c r="B29" s="630" t="str">
        <f>+B28</f>
        <v xml:space="preserve">52E </v>
      </c>
      <c r="C29" s="426">
        <v>1000</v>
      </c>
      <c r="D29" s="426" t="str">
        <f>+D28</f>
        <v>Metal Halide</v>
      </c>
      <c r="E29" s="426">
        <f>'WP1 Light Inventory'!J57</f>
        <v>18</v>
      </c>
      <c r="F29" s="330">
        <f>'WP2 Current Light Rates'!E53</f>
        <v>31.85</v>
      </c>
      <c r="G29" s="330">
        <f>'BDJ-6 Combined Charges'!K62</f>
        <v>29.439999999999998</v>
      </c>
      <c r="H29" s="330">
        <f>'Sch 141A Lighting Tariff'!J60+'Sch 141C Lighting Tariff'!J60+'Sch 141N Lighting Tariff'!J62+'Sch 141R Lighting Tariff'!J62+G29</f>
        <v>48.83</v>
      </c>
      <c r="I29" s="209">
        <f t="shared" si="36"/>
        <v>6879.6</v>
      </c>
      <c r="J29" s="209">
        <f t="shared" si="37"/>
        <v>6359.0399999999991</v>
      </c>
      <c r="K29" s="209">
        <f t="shared" si="38"/>
        <v>10547.279999999999</v>
      </c>
      <c r="L29" s="209">
        <f t="shared" si="39"/>
        <v>-520.56000000000131</v>
      </c>
      <c r="M29" s="209">
        <f t="shared" si="40"/>
        <v>3667.6799999999985</v>
      </c>
      <c r="N29" s="36">
        <f t="shared" si="41"/>
        <v>-7.5667189952904432E-2</v>
      </c>
      <c r="O29" s="36">
        <f t="shared" si="42"/>
        <v>0.53312401883830429</v>
      </c>
      <c r="Q29" s="630">
        <f t="shared" si="43"/>
        <v>16</v>
      </c>
      <c r="R29" s="630" t="str">
        <f>+R28</f>
        <v xml:space="preserve">52E </v>
      </c>
      <c r="S29" s="426">
        <v>1000</v>
      </c>
      <c r="T29" s="426" t="str">
        <f>+T28</f>
        <v>Metal Halide</v>
      </c>
      <c r="U29" s="35">
        <f t="shared" si="44"/>
        <v>18</v>
      </c>
      <c r="V29" s="330">
        <f t="shared" si="45"/>
        <v>29.439999999999998</v>
      </c>
      <c r="W29" s="330">
        <f t="shared" si="45"/>
        <v>48.83</v>
      </c>
      <c r="X29" s="330">
        <f t="shared" si="46"/>
        <v>29.439999999999998</v>
      </c>
      <c r="Y29" s="330">
        <f>'Sch 141A Lighting Tariff'!N60+'Sch 141C Lighting Tariff'!N60+'Sch 141N Lighting Tariff'!N62+'Sch 141R Lighting Tariff'!N62+X29</f>
        <v>51.48</v>
      </c>
      <c r="Z29" s="209">
        <f t="shared" si="47"/>
        <v>6359.0399999999991</v>
      </c>
      <c r="AA29" s="209">
        <f t="shared" si="48"/>
        <v>10547.279999999999</v>
      </c>
      <c r="AB29" s="209">
        <f t="shared" si="49"/>
        <v>6359.0399999999991</v>
      </c>
      <c r="AC29" s="209">
        <f t="shared" si="50"/>
        <v>11119.68</v>
      </c>
      <c r="AD29" s="209">
        <f t="shared" si="51"/>
        <v>0</v>
      </c>
      <c r="AE29" s="209">
        <f t="shared" si="52"/>
        <v>572.40000000000146</v>
      </c>
      <c r="AF29" s="36" t="str">
        <f t="shared" si="53"/>
        <v>0%</v>
      </c>
      <c r="AG29" s="36">
        <f t="shared" si="54"/>
        <v>5.4269916035224394E-2</v>
      </c>
      <c r="AI29" s="630">
        <f t="shared" si="55"/>
        <v>16</v>
      </c>
      <c r="AJ29" s="630" t="str">
        <f>+AJ28</f>
        <v xml:space="preserve">52E </v>
      </c>
      <c r="AK29" s="426">
        <v>1000</v>
      </c>
      <c r="AL29" s="426" t="str">
        <f>+AL28</f>
        <v>Metal Halide</v>
      </c>
      <c r="AM29" s="35"/>
      <c r="AN29" s="330"/>
      <c r="AO29" s="330"/>
      <c r="AP29" s="330"/>
      <c r="AQ29" s="330"/>
      <c r="AR29" s="209"/>
      <c r="AS29" s="209"/>
      <c r="AT29" s="209"/>
      <c r="AU29" s="209"/>
      <c r="AV29" s="209"/>
      <c r="AW29" s="209"/>
      <c r="AX29" s="36"/>
      <c r="AY29" s="36"/>
    </row>
    <row r="30" spans="1:51" x14ac:dyDescent="0.2">
      <c r="A30" s="630">
        <f t="shared" si="35"/>
        <v>17</v>
      </c>
      <c r="B30" s="630" t="str">
        <f>B29</f>
        <v xml:space="preserve">52E </v>
      </c>
      <c r="C30" s="364"/>
      <c r="D30" s="364" t="str">
        <f>D29</f>
        <v>Metal Halide</v>
      </c>
      <c r="E30" s="368">
        <f>SUM(E23:E29)</f>
        <v>598</v>
      </c>
      <c r="F30" s="42"/>
      <c r="G30" s="42"/>
      <c r="H30" s="42"/>
      <c r="I30" s="266">
        <f>SUM(I23:I29)</f>
        <v>46758.239999999998</v>
      </c>
      <c r="J30" s="266">
        <f>SUM(J23:J29)</f>
        <v>43210.680000000008</v>
      </c>
      <c r="K30" s="266">
        <f>SUM(K23:K29)</f>
        <v>71697.600000000006</v>
      </c>
      <c r="L30" s="266">
        <f>SUM(L23:L29)</f>
        <v>-3547.5599999999986</v>
      </c>
      <c r="M30" s="266">
        <f>SUM(M23:M29)</f>
        <v>24939.360000000008</v>
      </c>
      <c r="N30" s="269">
        <f t="shared" ref="N30" si="56">IF(+L30=0,"0%",L30/I30)</f>
        <v>-7.587026372250108E-2</v>
      </c>
      <c r="O30" s="269">
        <f t="shared" ref="O30" si="57">IF(+M30=0,"0%",M30/I30)</f>
        <v>0.53336823627236629</v>
      </c>
      <c r="Q30" s="630">
        <f t="shared" si="43"/>
        <v>17</v>
      </c>
      <c r="R30" s="630" t="str">
        <f>R29</f>
        <v xml:space="preserve">52E </v>
      </c>
      <c r="S30" s="364"/>
      <c r="T30" s="364" t="str">
        <f>T29</f>
        <v>Metal Halide</v>
      </c>
      <c r="U30" s="368">
        <f>SUM(U23:U29)</f>
        <v>598</v>
      </c>
      <c r="V30" s="42"/>
      <c r="W30" s="42"/>
      <c r="X30" s="42"/>
      <c r="Y30" s="42"/>
      <c r="Z30" s="266">
        <f t="shared" ref="Z30:AE30" si="58">SUM(Z23:Z29)</f>
        <v>43210.680000000008</v>
      </c>
      <c r="AA30" s="266">
        <f t="shared" si="58"/>
        <v>71697.600000000006</v>
      </c>
      <c r="AB30" s="266">
        <f t="shared" si="58"/>
        <v>43210.680000000008</v>
      </c>
      <c r="AC30" s="266">
        <f t="shared" si="58"/>
        <v>75571.56</v>
      </c>
      <c r="AD30" s="266">
        <f t="shared" si="58"/>
        <v>0</v>
      </c>
      <c r="AE30" s="266">
        <f t="shared" si="58"/>
        <v>3873.9600000000023</v>
      </c>
      <c r="AF30" s="267" t="str">
        <f t="shared" ref="AF30:AG30" si="59">IF(+AD30=0,"0%",AD30/Z30)</f>
        <v>0%</v>
      </c>
      <c r="AG30" s="269">
        <f t="shared" si="59"/>
        <v>5.4031934123317964E-2</v>
      </c>
      <c r="AI30" s="630">
        <f t="shared" si="55"/>
        <v>17</v>
      </c>
      <c r="AJ30" s="630" t="str">
        <f>AJ29</f>
        <v xml:space="preserve">52E </v>
      </c>
      <c r="AK30" s="364"/>
      <c r="AL30" s="364" t="str">
        <f>AL29</f>
        <v>Metal Halide</v>
      </c>
      <c r="AM30" s="368"/>
      <c r="AN30" s="42"/>
      <c r="AO30" s="42"/>
      <c r="AP30" s="42"/>
      <c r="AQ30" s="42"/>
      <c r="AR30" s="266"/>
      <c r="AS30" s="266"/>
      <c r="AT30" s="266"/>
      <c r="AU30" s="266"/>
      <c r="AV30" s="266"/>
      <c r="AW30" s="266"/>
      <c r="AX30" s="267"/>
      <c r="AY30" s="269"/>
    </row>
    <row r="31" spans="1:51" x14ac:dyDescent="0.2">
      <c r="A31" s="630">
        <f t="shared" si="35"/>
        <v>18</v>
      </c>
      <c r="C31" s="426"/>
      <c r="D31" s="426"/>
      <c r="E31" s="426"/>
      <c r="F31" s="330"/>
      <c r="G31" s="330"/>
      <c r="H31" s="330"/>
      <c r="I31" s="209"/>
      <c r="J31" s="209"/>
      <c r="K31" s="209"/>
      <c r="L31" s="209"/>
      <c r="M31" s="209"/>
      <c r="N31" s="518"/>
      <c r="O31" s="518"/>
      <c r="Q31" s="630">
        <f t="shared" si="43"/>
        <v>18</v>
      </c>
      <c r="R31" s="630"/>
      <c r="S31" s="426"/>
      <c r="T31" s="426"/>
      <c r="W31" s="330"/>
      <c r="Y31" s="330"/>
      <c r="AA31" s="209"/>
      <c r="AC31" s="209"/>
      <c r="AE31" s="209"/>
      <c r="AF31" s="36"/>
      <c r="AG31" s="518"/>
      <c r="AI31" s="630">
        <f t="shared" si="55"/>
        <v>18</v>
      </c>
      <c r="AJ31" s="630"/>
      <c r="AK31" s="426"/>
      <c r="AL31" s="426"/>
      <c r="AO31" s="330"/>
      <c r="AQ31" s="330"/>
      <c r="AS31" s="209"/>
      <c r="AU31" s="209"/>
      <c r="AW31" s="209"/>
      <c r="AX31" s="36"/>
      <c r="AY31" s="518"/>
    </row>
    <row r="32" spans="1:51" ht="10.8" thickBot="1" x14ac:dyDescent="0.25">
      <c r="A32" s="630">
        <f t="shared" si="35"/>
        <v>19</v>
      </c>
      <c r="B32" s="630" t="s">
        <v>20</v>
      </c>
      <c r="C32" s="147"/>
      <c r="D32" s="147"/>
      <c r="E32" s="109">
        <f>E21+E30</f>
        <v>18419</v>
      </c>
      <c r="F32" s="534"/>
      <c r="G32" s="534"/>
      <c r="H32" s="534"/>
      <c r="I32" s="147">
        <f>I21+I30</f>
        <v>1001571.72</v>
      </c>
      <c r="J32" s="147">
        <f>J21+J30</f>
        <v>925492.92</v>
      </c>
      <c r="K32" s="147">
        <f>K21+K30</f>
        <v>1535067.7200000004</v>
      </c>
      <c r="L32" s="147">
        <f>L21+L30</f>
        <v>-76078.799999999916</v>
      </c>
      <c r="M32" s="147">
        <f>M21+M30</f>
        <v>533496.00000000023</v>
      </c>
      <c r="N32" s="270">
        <f>IF(+L32=0,"0%",L32/I32)</f>
        <v>-7.5959413071287507E-2</v>
      </c>
      <c r="O32" s="270">
        <f>IF(+M32=0,"0%",M32/I32)</f>
        <v>0.53265880949593924</v>
      </c>
      <c r="Q32" s="630">
        <f t="shared" si="43"/>
        <v>19</v>
      </c>
      <c r="R32" s="630" t="s">
        <v>20</v>
      </c>
      <c r="S32" s="147"/>
      <c r="T32" s="147"/>
      <c r="U32" s="109">
        <f>U21+U30</f>
        <v>18419</v>
      </c>
      <c r="V32" s="534"/>
      <c r="W32" s="534"/>
      <c r="X32" s="534"/>
      <c r="Y32" s="534"/>
      <c r="Z32" s="147">
        <f t="shared" ref="Z32:AE32" si="60">Z21+Z30</f>
        <v>925492.92</v>
      </c>
      <c r="AA32" s="147">
        <f t="shared" si="60"/>
        <v>1535067.7200000004</v>
      </c>
      <c r="AB32" s="147">
        <f t="shared" si="60"/>
        <v>925492.92</v>
      </c>
      <c r="AC32" s="147">
        <f t="shared" si="60"/>
        <v>1617325.8000000003</v>
      </c>
      <c r="AD32" s="147">
        <f t="shared" si="60"/>
        <v>0</v>
      </c>
      <c r="AE32" s="147">
        <f t="shared" si="60"/>
        <v>82258.079999999958</v>
      </c>
      <c r="AF32" s="38" t="str">
        <f>IF(+AD32=0,"0%",AD32/Z32)</f>
        <v>0%</v>
      </c>
      <c r="AG32" s="270">
        <f>IF(+AE32=0,"0%",AE32/AA32)</f>
        <v>5.3585961666889809E-2</v>
      </c>
      <c r="AI32" s="630">
        <f t="shared" si="55"/>
        <v>19</v>
      </c>
      <c r="AJ32" s="630" t="s">
        <v>20</v>
      </c>
      <c r="AK32" s="147"/>
      <c r="AL32" s="147"/>
      <c r="AM32" s="109"/>
      <c r="AN32" s="534"/>
      <c r="AO32" s="534"/>
      <c r="AP32" s="534"/>
      <c r="AQ32" s="534"/>
      <c r="AR32" s="147"/>
      <c r="AS32" s="147"/>
      <c r="AT32" s="147"/>
      <c r="AU32" s="147"/>
      <c r="AV32" s="147"/>
      <c r="AW32" s="147"/>
      <c r="AX32" s="38"/>
      <c r="AY32" s="270"/>
    </row>
    <row r="33" spans="3:3" ht="10.8" thickTop="1" x14ac:dyDescent="0.2"/>
    <row r="36" spans="3:3" ht="13.8" x14ac:dyDescent="0.3">
      <c r="C36" s="633"/>
    </row>
  </sheetData>
  <mergeCells count="21">
    <mergeCell ref="A4:O4"/>
    <mergeCell ref="A5:O5"/>
    <mergeCell ref="A3:O3"/>
    <mergeCell ref="A6:O6"/>
    <mergeCell ref="J8:O8"/>
    <mergeCell ref="Q6:AG6"/>
    <mergeCell ref="AB8:AG8"/>
    <mergeCell ref="A1:O1"/>
    <mergeCell ref="A2:O2"/>
    <mergeCell ref="AT8:AY8"/>
    <mergeCell ref="AI1:AY1"/>
    <mergeCell ref="AI2:AY2"/>
    <mergeCell ref="AI3:AY3"/>
    <mergeCell ref="AI4:AY4"/>
    <mergeCell ref="AI5:AY5"/>
    <mergeCell ref="AI6:AY6"/>
    <mergeCell ref="Q1:AG1"/>
    <mergeCell ref="Q2:AG2"/>
    <mergeCell ref="Q3:AG3"/>
    <mergeCell ref="Q4:AG4"/>
    <mergeCell ref="Q5:AG5"/>
  </mergeCells>
  <printOptions horizontalCentered="1"/>
  <pageMargins left="0.25" right="0.25" top="1" bottom="1" header="0.5" footer="0.5"/>
  <pageSetup scale="82" fitToWidth="3" orientation="landscape" r:id="rId1"/>
  <headerFooter alignWithMargins="0">
    <oddFooter>&amp;R&amp;"Times New Roman,Regular"&amp;F
&amp;A
&amp;P of &amp;N</oddFooter>
  </headerFooter>
  <colBreaks count="2" manualBreakCount="2">
    <brk id="15" max="1048575" man="1"/>
    <brk id="34" max="1048575" man="1"/>
  </colBreaks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S26"/>
  <sheetViews>
    <sheetView topLeftCell="H1" zoomScaleNormal="100" workbookViewId="0">
      <selection activeCell="AI9" sqref="AI9"/>
    </sheetView>
  </sheetViews>
  <sheetFormatPr defaultColWidth="9.109375" defaultRowHeight="10.199999999999999" x14ac:dyDescent="0.2"/>
  <cols>
    <col min="1" max="1" width="6" style="28" customWidth="1"/>
    <col min="2" max="2" width="16.44140625" style="28" bestFit="1" customWidth="1"/>
    <col min="3" max="3" width="9.109375" style="28"/>
    <col min="4" max="4" width="10.109375" style="28" bestFit="1" customWidth="1"/>
    <col min="5" max="5" width="9.88671875" style="28" bestFit="1" customWidth="1"/>
    <col min="6" max="6" width="11.5546875" style="28" bestFit="1" customWidth="1"/>
    <col min="7" max="7" width="10.33203125" style="28" bestFit="1" customWidth="1"/>
    <col min="8" max="8" width="9.88671875" style="28" bestFit="1" customWidth="1"/>
    <col min="9" max="9" width="11.5546875" style="28" customWidth="1"/>
    <col min="10" max="10" width="9.109375" style="28" bestFit="1" customWidth="1"/>
    <col min="11" max="11" width="11.88671875" style="28" customWidth="1"/>
    <col min="12" max="12" width="8.6640625" style="28" bestFit="1" customWidth="1"/>
    <col min="13" max="13" width="8.88671875" style="28" bestFit="1" customWidth="1"/>
    <col min="14" max="14" width="0.88671875" style="39" customWidth="1"/>
    <col min="15" max="15" width="6.5546875" style="28" customWidth="1"/>
    <col min="16" max="16" width="16.44140625" style="28" bestFit="1" customWidth="1"/>
    <col min="17" max="17" width="9.109375" style="28"/>
    <col min="18" max="18" width="9" style="28" bestFit="1" customWidth="1"/>
    <col min="19" max="19" width="10.5546875" style="28" customWidth="1"/>
    <col min="20" max="20" width="8.6640625" style="28" bestFit="1" customWidth="1"/>
    <col min="21" max="21" width="10.109375" style="28" customWidth="1"/>
    <col min="22" max="22" width="10.33203125" style="28" bestFit="1" customWidth="1"/>
    <col min="23" max="23" width="11.109375" style="28" customWidth="1"/>
    <col min="24" max="24" width="9.88671875" style="28" bestFit="1" customWidth="1"/>
    <col min="25" max="25" width="11.33203125" style="28" customWidth="1"/>
    <col min="26" max="26" width="7.88671875" style="28" bestFit="1" customWidth="1"/>
    <col min="27" max="27" width="10.33203125" style="28" customWidth="1"/>
    <col min="28" max="29" width="8.6640625" style="28" bestFit="1" customWidth="1"/>
    <col min="30" max="30" width="0.88671875" style="39" customWidth="1"/>
    <col min="31" max="31" width="6.109375" style="28" customWidth="1"/>
    <col min="32" max="32" width="16.44140625" style="28" bestFit="1" customWidth="1"/>
    <col min="33" max="33" width="9.109375" style="28"/>
    <col min="34" max="34" width="9" style="28" bestFit="1" customWidth="1"/>
    <col min="35" max="35" width="13.109375" style="28" bestFit="1" customWidth="1"/>
    <col min="36" max="36" width="8.6640625" style="28" bestFit="1" customWidth="1"/>
    <col min="37" max="37" width="10.109375" style="28" customWidth="1"/>
    <col min="38" max="38" width="10.33203125" style="28" bestFit="1" customWidth="1"/>
    <col min="39" max="39" width="11.109375" style="28" customWidth="1"/>
    <col min="40" max="40" width="9.88671875" style="28" bestFit="1" customWidth="1"/>
    <col min="41" max="41" width="11.6640625" style="28" customWidth="1"/>
    <col min="42" max="42" width="7.88671875" style="28" bestFit="1" customWidth="1"/>
    <col min="43" max="43" width="11.44140625" style="28" customWidth="1"/>
    <col min="44" max="45" width="8.6640625" style="28" bestFit="1" customWidth="1"/>
    <col min="46" max="16384" width="9.109375" style="28"/>
  </cols>
  <sheetData>
    <row r="1" spans="1:45" x14ac:dyDescent="0.2">
      <c r="A1" s="736" t="str">
        <f>'Schedule 52E'!A1:O1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O1" s="736" t="str">
        <f>A1</f>
        <v>Puget Sound Energy</v>
      </c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E1" s="736" t="str">
        <f>O1</f>
        <v>Puget Sound Energy</v>
      </c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</row>
    <row r="2" spans="1:45" x14ac:dyDescent="0.2">
      <c r="A2" s="736" t="str">
        <f>'Schedule 52E'!A2:O2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O2" s="736" t="str">
        <f>A2</f>
        <v>ProForma Proposed Revenue</v>
      </c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E2" s="736" t="str">
        <f>O2</f>
        <v>ProForma Proposed Revenue</v>
      </c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</row>
    <row r="3" spans="1:45" x14ac:dyDescent="0.2">
      <c r="A3" s="736" t="str">
        <f>'Schedule 52E'!A3:O3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O3" s="736" t="str">
        <f>A3</f>
        <v>2022 General Rate Case (GRC)</v>
      </c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E3" s="736" t="str">
        <f>O3</f>
        <v>2022 General Rate Case (GRC)</v>
      </c>
      <c r="AF3" s="736"/>
      <c r="AG3" s="736"/>
      <c r="AH3" s="736"/>
      <c r="AI3" s="736"/>
      <c r="AJ3" s="736"/>
      <c r="AK3" s="736"/>
      <c r="AL3" s="736"/>
      <c r="AM3" s="736"/>
      <c r="AN3" s="736"/>
      <c r="AO3" s="736"/>
      <c r="AP3" s="736"/>
      <c r="AQ3" s="736"/>
      <c r="AR3" s="736"/>
      <c r="AS3" s="736"/>
    </row>
    <row r="4" spans="1:45" x14ac:dyDescent="0.2">
      <c r="A4" s="736" t="str">
        <f>'Schedule 52E'!A4:O4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O4" s="736" t="str">
        <f>A4</f>
        <v>Test Year Ending June 30, 2021</v>
      </c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E4" s="736" t="str">
        <f>O4</f>
        <v>Test Year Ending June 30, 2021</v>
      </c>
      <c r="AF4" s="736"/>
      <c r="AG4" s="736"/>
      <c r="AH4" s="736"/>
      <c r="AI4" s="736"/>
      <c r="AJ4" s="736"/>
      <c r="AK4" s="736"/>
      <c r="AL4" s="736"/>
      <c r="AM4" s="736"/>
      <c r="AN4" s="736"/>
      <c r="AO4" s="736"/>
      <c r="AP4" s="736"/>
      <c r="AQ4" s="736"/>
      <c r="AR4" s="736"/>
      <c r="AS4" s="736"/>
    </row>
    <row r="5" spans="1:45" x14ac:dyDescent="0.2">
      <c r="A5" s="736" t="s">
        <v>476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O5" s="736" t="str">
        <f>A5</f>
        <v>Schedule 51 and 52 Facilities Charge - Customer Lighting Service - Company Owned</v>
      </c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E5" s="736" t="str">
        <f>O5</f>
        <v>Schedule 51 and 52 Facilities Charge - Customer Lighting Service - Company Owned</v>
      </c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6"/>
    </row>
    <row r="6" spans="1:45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O6" s="736" t="s">
        <v>882</v>
      </c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E6" s="736" t="s">
        <v>881</v>
      </c>
      <c r="AF6" s="736"/>
      <c r="AG6" s="736"/>
      <c r="AH6" s="736"/>
      <c r="AI6" s="736"/>
      <c r="AJ6" s="736"/>
      <c r="AK6" s="736"/>
      <c r="AL6" s="736"/>
      <c r="AM6" s="736"/>
      <c r="AN6" s="736"/>
      <c r="AO6" s="736"/>
      <c r="AP6" s="736"/>
      <c r="AQ6" s="736"/>
      <c r="AR6" s="736"/>
      <c r="AS6" s="736"/>
    </row>
    <row r="7" spans="1:45" x14ac:dyDescent="0.2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</row>
    <row r="8" spans="1:45" ht="14.4" x14ac:dyDescent="0.3">
      <c r="H8" s="765" t="s">
        <v>653</v>
      </c>
      <c r="I8" s="782"/>
      <c r="J8" s="782"/>
      <c r="K8" s="782"/>
      <c r="L8" s="782"/>
      <c r="M8" s="783"/>
      <c r="O8" s="260"/>
      <c r="P8" s="260"/>
      <c r="Q8" s="260"/>
      <c r="R8" s="260"/>
      <c r="S8" s="260"/>
      <c r="T8" s="260"/>
      <c r="U8" s="260"/>
      <c r="V8" s="260"/>
      <c r="W8" s="260"/>
      <c r="X8" s="765" t="s">
        <v>653</v>
      </c>
      <c r="Y8" s="782"/>
      <c r="Z8" s="782"/>
      <c r="AA8" s="782"/>
      <c r="AB8" s="782"/>
      <c r="AC8" s="783"/>
      <c r="AE8" s="260"/>
      <c r="AF8" s="260"/>
      <c r="AG8" s="260"/>
      <c r="AH8" s="260"/>
      <c r="AI8" s="260"/>
      <c r="AJ8" s="260"/>
      <c r="AK8" s="260"/>
      <c r="AL8" s="260"/>
      <c r="AM8" s="260"/>
      <c r="AN8" s="765" t="s">
        <v>653</v>
      </c>
      <c r="AO8" s="782"/>
      <c r="AP8" s="782"/>
      <c r="AQ8" s="782"/>
      <c r="AR8" s="782"/>
      <c r="AS8" s="783"/>
    </row>
    <row r="9" spans="1:45" s="574" customFormat="1" ht="81.599999999999994" x14ac:dyDescent="0.2">
      <c r="A9" s="632" t="str">
        <f>'Schedule 50E'!A9</f>
        <v>Line No.</v>
      </c>
      <c r="B9" s="632" t="s">
        <v>53</v>
      </c>
      <c r="C9" s="632" t="s">
        <v>288</v>
      </c>
      <c r="D9" s="374" t="str">
        <f>'Schedule 50E'!F9</f>
        <v>Base Rates
Effective
10-1-2021</v>
      </c>
      <c r="E9" s="374" t="str">
        <f>'Schedule 50E'!G9</f>
        <v>Proposed Lamp Charge (Base)</v>
      </c>
      <c r="F9" s="374" t="str">
        <f>'Schedule 50E'!H9</f>
        <v>TOTAL Proposed Charge (Base + 141COL + 141N + 141R + 141A)</v>
      </c>
      <c r="G9" s="374" t="str">
        <f>'Schedule 50E'!I9</f>
        <v>Current Annual Rate Revenue (Base)</v>
      </c>
      <c r="H9" s="374" t="str">
        <f>'Schedule 50E'!J9</f>
        <v>Annual Revenue (Base)</v>
      </c>
      <c r="I9" s="374" t="str">
        <f>'Schedule 50E'!K9</f>
        <v>TOTAL Annual Revenue (Base + 141COL + 141N + 141R + 141A)</v>
      </c>
      <c r="J9" s="374" t="str">
        <f>'Schedule 50E'!L9</f>
        <v>Revenue Change (Base)</v>
      </c>
      <c r="K9" s="374" t="str">
        <f>'Schedule 50E'!M9</f>
        <v>TOTAL Revenue Change (Base + 141COL + 141N + 141R + 141A)</v>
      </c>
      <c r="L9" s="374" t="str">
        <f>'Schedule 50E'!N9</f>
        <v>Base Change %</v>
      </c>
      <c r="M9" s="374" t="str">
        <f>'Schedule 50E'!O9</f>
        <v>TOTAL Overall Change %</v>
      </c>
      <c r="N9" s="626"/>
      <c r="O9" s="632" t="s">
        <v>1</v>
      </c>
      <c r="P9" s="632" t="s">
        <v>53</v>
      </c>
      <c r="Q9" s="632" t="s">
        <v>288</v>
      </c>
      <c r="R9" s="374" t="s">
        <v>888</v>
      </c>
      <c r="S9" s="374" t="s">
        <v>1198</v>
      </c>
      <c r="T9" s="632" t="s">
        <v>880</v>
      </c>
      <c r="U9" s="632" t="s">
        <v>1191</v>
      </c>
      <c r="V9" s="631" t="s">
        <v>886</v>
      </c>
      <c r="W9" s="690" t="s">
        <v>1195</v>
      </c>
      <c r="X9" s="631" t="s">
        <v>879</v>
      </c>
      <c r="Y9" s="81" t="s">
        <v>1192</v>
      </c>
      <c r="Z9" s="632" t="s">
        <v>878</v>
      </c>
      <c r="AA9" s="632" t="s">
        <v>1193</v>
      </c>
      <c r="AB9" s="632" t="s">
        <v>887</v>
      </c>
      <c r="AC9" s="632" t="s">
        <v>958</v>
      </c>
      <c r="AD9" s="626"/>
      <c r="AE9" s="632" t="s">
        <v>1</v>
      </c>
      <c r="AF9" s="632" t="s">
        <v>53</v>
      </c>
      <c r="AG9" s="632" t="s">
        <v>288</v>
      </c>
      <c r="AH9" s="374" t="s">
        <v>885</v>
      </c>
      <c r="AI9" s="374" t="s">
        <v>1199</v>
      </c>
      <c r="AJ9" s="632" t="str">
        <f>T9</f>
        <v>Proposed Lamp Charge (Base)</v>
      </c>
      <c r="AK9" s="632" t="str">
        <f t="shared" ref="AK9:AS9" si="0">U9</f>
        <v>TOTAL Proposed Charge (Base + 141COL + 141N + 141R + 141A)</v>
      </c>
      <c r="AL9" s="632" t="str">
        <f t="shared" si="0"/>
        <v>Current Annual Rate Revenue (Base)</v>
      </c>
      <c r="AM9" s="632" t="str">
        <f t="shared" si="0"/>
        <v>TOTAL Current Annual Rate Revenue (Base + 141COL + 141N + 141R + 141A)</v>
      </c>
      <c r="AN9" s="632" t="str">
        <f t="shared" si="0"/>
        <v>Annual Revenue (Base)</v>
      </c>
      <c r="AO9" s="632" t="str">
        <f t="shared" si="0"/>
        <v>TOTAL Annual Revenue (Base + 141COL + 141N + 141R + 141A)</v>
      </c>
      <c r="AP9" s="632" t="str">
        <f t="shared" si="0"/>
        <v>Revenue Change (Base)</v>
      </c>
      <c r="AQ9" s="632" t="str">
        <f t="shared" si="0"/>
        <v>TOTAL Revenue Change (Base + 141COL + 141N + 141R + 141A)</v>
      </c>
      <c r="AR9" s="632" t="str">
        <f t="shared" si="0"/>
        <v>Base Change %</v>
      </c>
      <c r="AS9" s="632" t="str">
        <f t="shared" si="0"/>
        <v>TOTAL Overall Change %</v>
      </c>
    </row>
    <row r="10" spans="1:45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P10" s="98" t="s">
        <v>3</v>
      </c>
      <c r="Q10" s="169" t="s">
        <v>4</v>
      </c>
      <c r="R10" s="169" t="s">
        <v>5</v>
      </c>
      <c r="S10" s="169" t="s">
        <v>6</v>
      </c>
      <c r="T10" s="169" t="s">
        <v>390</v>
      </c>
      <c r="U10" s="169" t="s">
        <v>21</v>
      </c>
      <c r="V10" s="169" t="s">
        <v>8</v>
      </c>
      <c r="W10" s="169" t="s">
        <v>9</v>
      </c>
      <c r="X10" s="169" t="s">
        <v>22</v>
      </c>
      <c r="Y10" s="169" t="s">
        <v>23</v>
      </c>
      <c r="Z10" s="169" t="s">
        <v>10</v>
      </c>
      <c r="AA10" s="169" t="s">
        <v>11</v>
      </c>
      <c r="AB10" s="169" t="s">
        <v>12</v>
      </c>
      <c r="AC10" s="169" t="s">
        <v>13</v>
      </c>
      <c r="AF10" s="98" t="s">
        <v>3</v>
      </c>
      <c r="AG10" s="169" t="s">
        <v>4</v>
      </c>
      <c r="AH10" s="169" t="s">
        <v>5</v>
      </c>
      <c r="AI10" s="169" t="s">
        <v>6</v>
      </c>
      <c r="AJ10" s="169" t="s">
        <v>390</v>
      </c>
      <c r="AK10" s="169" t="s">
        <v>21</v>
      </c>
      <c r="AL10" s="169" t="s">
        <v>8</v>
      </c>
      <c r="AM10" s="169" t="s">
        <v>9</v>
      </c>
      <c r="AN10" s="169" t="s">
        <v>22</v>
      </c>
      <c r="AO10" s="169" t="s">
        <v>23</v>
      </c>
      <c r="AP10" s="169" t="s">
        <v>10</v>
      </c>
      <c r="AQ10" s="169" t="s">
        <v>11</v>
      </c>
      <c r="AR10" s="169" t="s">
        <v>12</v>
      </c>
      <c r="AS10" s="169" t="s">
        <v>13</v>
      </c>
    </row>
    <row r="11" spans="1:45" s="177" customFormat="1" ht="20.399999999999999" x14ac:dyDescent="0.2">
      <c r="A11" s="98" t="s">
        <v>396</v>
      </c>
      <c r="B11" s="98"/>
      <c r="C11" s="169"/>
      <c r="D11" s="169" t="s">
        <v>397</v>
      </c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397</v>
      </c>
      <c r="J11" s="169" t="s">
        <v>485</v>
      </c>
      <c r="K11" s="169" t="s">
        <v>485</v>
      </c>
      <c r="L11" s="169" t="s">
        <v>487</v>
      </c>
      <c r="M11" s="169" t="s">
        <v>894</v>
      </c>
      <c r="N11" s="627"/>
      <c r="O11" s="98" t="s">
        <v>396</v>
      </c>
      <c r="P11" s="98"/>
      <c r="Q11" s="169"/>
      <c r="R11" s="169" t="s">
        <v>397</v>
      </c>
      <c r="S11" s="169" t="s">
        <v>397</v>
      </c>
      <c r="T11" s="169" t="s">
        <v>397</v>
      </c>
      <c r="U11" s="169" t="s">
        <v>397</v>
      </c>
      <c r="V11" s="169" t="s">
        <v>397</v>
      </c>
      <c r="W11" s="169" t="s">
        <v>397</v>
      </c>
      <c r="X11" s="169" t="s">
        <v>485</v>
      </c>
      <c r="Y11" s="169" t="s">
        <v>485</v>
      </c>
      <c r="Z11" s="169" t="s">
        <v>893</v>
      </c>
      <c r="AA11" s="169" t="s">
        <v>892</v>
      </c>
      <c r="AB11" s="169" t="s">
        <v>891</v>
      </c>
      <c r="AC11" s="169" t="s">
        <v>890</v>
      </c>
      <c r="AD11" s="627"/>
      <c r="AE11" s="98" t="s">
        <v>396</v>
      </c>
      <c r="AF11" s="98"/>
      <c r="AG11" s="169"/>
      <c r="AH11" s="169" t="s">
        <v>397</v>
      </c>
      <c r="AI11" s="169" t="s">
        <v>397</v>
      </c>
      <c r="AJ11" s="169" t="s">
        <v>397</v>
      </c>
      <c r="AK11" s="169" t="s">
        <v>397</v>
      </c>
      <c r="AL11" s="169" t="s">
        <v>397</v>
      </c>
      <c r="AM11" s="169" t="s">
        <v>397</v>
      </c>
      <c r="AN11" s="169" t="s">
        <v>485</v>
      </c>
      <c r="AO11" s="169" t="s">
        <v>485</v>
      </c>
      <c r="AP11" s="169" t="s">
        <v>893</v>
      </c>
      <c r="AQ11" s="169" t="s">
        <v>892</v>
      </c>
      <c r="AR11" s="169" t="s">
        <v>891</v>
      </c>
      <c r="AS11" s="169" t="s">
        <v>890</v>
      </c>
    </row>
    <row r="12" spans="1:45" s="177" customFormat="1" x14ac:dyDescent="0.2">
      <c r="A12" s="630"/>
      <c r="C12" s="426"/>
      <c r="D12" s="169"/>
      <c r="N12" s="627"/>
      <c r="O12" s="630"/>
      <c r="Q12" s="426"/>
      <c r="R12" s="169"/>
      <c r="AD12" s="627"/>
      <c r="AE12" s="630"/>
      <c r="AG12" s="426"/>
      <c r="AH12" s="169"/>
    </row>
    <row r="13" spans="1:45" s="177" customFormat="1" x14ac:dyDescent="0.2">
      <c r="A13" s="630">
        <v>1</v>
      </c>
      <c r="B13" s="177" t="s">
        <v>392</v>
      </c>
      <c r="C13" s="426" t="s">
        <v>286</v>
      </c>
      <c r="D13" s="271">
        <f>('WP2 Current Light Rates'!E21)</f>
        <v>1.4200000000000001E-2</v>
      </c>
      <c r="E13" s="297">
        <f>ROUND('WP5 Facilities Charge (51 &amp; 52)'!C39+'WP5 Facilities Charge (51 &amp; 52)'!D24,5)</f>
        <v>1.289E-2</v>
      </c>
      <c r="F13" s="297">
        <f>E13</f>
        <v>1.289E-2</v>
      </c>
      <c r="G13" s="209">
        <f>(SUM('WP5 Facilities Charge (51 &amp; 52)'!C8)*'Sch 51E &amp; 52E Facilities Charge'!D13*12)</f>
        <v>0</v>
      </c>
      <c r="H13" s="209">
        <f>(SUM('WP5 Facilities Charge (51 &amp; 52)'!C8)*'Sch 51E &amp; 52E Facilities Charge'!E13*12)</f>
        <v>0</v>
      </c>
      <c r="I13" s="209">
        <f>(SUM('WP5 Facilities Charge (51 &amp; 52)'!C8)*'Sch 51E &amp; 52E Facilities Charge'!F13*12)</f>
        <v>0</v>
      </c>
      <c r="J13" s="209">
        <f>+I13-G13</f>
        <v>0</v>
      </c>
      <c r="K13" s="209">
        <f>+I13-G13</f>
        <v>0</v>
      </c>
      <c r="L13" s="36" t="str">
        <f>IF(+J13=0,"0%",J13/G13)</f>
        <v>0%</v>
      </c>
      <c r="M13" s="36" t="str">
        <f>IF(+K13=0,"0%",K13/G13)</f>
        <v>0%</v>
      </c>
      <c r="N13" s="627"/>
      <c r="O13" s="630">
        <v>1</v>
      </c>
      <c r="P13" s="177" t="s">
        <v>392</v>
      </c>
      <c r="Q13" s="426" t="s">
        <v>286</v>
      </c>
      <c r="R13" s="271">
        <f>E13</f>
        <v>1.289E-2</v>
      </c>
      <c r="S13" s="271">
        <f>F13</f>
        <v>1.289E-2</v>
      </c>
      <c r="T13" s="297">
        <f>R13</f>
        <v>1.289E-2</v>
      </c>
      <c r="U13" s="297">
        <f>R13</f>
        <v>1.289E-2</v>
      </c>
      <c r="V13" s="209">
        <f>(SUM('WP5 Facilities Charge (51 &amp; 52)'!C8)*'Sch 51E &amp; 52E Facilities Charge'!R13*12)</f>
        <v>0</v>
      </c>
      <c r="W13" s="209">
        <f>(SUM('WP5 Facilities Charge (51 &amp; 52)'!C8)*'Sch 51E &amp; 52E Facilities Charge'!S13*12)</f>
        <v>0</v>
      </c>
      <c r="X13" s="209">
        <f>(SUM('WP5 Facilities Charge (51 &amp; 52)'!C8)*'Sch 51E &amp; 52E Facilities Charge'!T13*12)</f>
        <v>0</v>
      </c>
      <c r="Y13" s="209">
        <f>(SUM('WP5 Facilities Charge (51 &amp; 52)'!C8)*'Sch 51E &amp; 52E Facilities Charge'!U13*12)</f>
        <v>0</v>
      </c>
      <c r="Z13" s="209">
        <f t="shared" ref="Z13:AA15" si="1">+X13-V13</f>
        <v>0</v>
      </c>
      <c r="AA13" s="209">
        <f t="shared" si="1"/>
        <v>0</v>
      </c>
      <c r="AB13" s="36" t="str">
        <f t="shared" ref="AB13:AC15" si="2">IF(+Z13=0,"0%",Z13/V13)</f>
        <v>0%</v>
      </c>
      <c r="AC13" s="36" t="str">
        <f t="shared" si="2"/>
        <v>0%</v>
      </c>
      <c r="AD13" s="627"/>
      <c r="AE13" s="630">
        <v>1</v>
      </c>
      <c r="AF13" s="177" t="s">
        <v>392</v>
      </c>
      <c r="AG13" s="426" t="s">
        <v>286</v>
      </c>
      <c r="AH13" s="271"/>
      <c r="AI13" s="271"/>
      <c r="AJ13" s="297"/>
      <c r="AK13" s="297"/>
      <c r="AL13" s="209"/>
      <c r="AM13" s="209"/>
      <c r="AN13" s="209"/>
      <c r="AO13" s="209"/>
      <c r="AP13" s="209"/>
      <c r="AQ13" s="209"/>
      <c r="AR13" s="36"/>
      <c r="AS13" s="36"/>
    </row>
    <row r="14" spans="1:45" s="177" customFormat="1" x14ac:dyDescent="0.2">
      <c r="A14" s="630">
        <f t="shared" ref="A14:A21" si="3">A13+1</f>
        <v>2</v>
      </c>
      <c r="B14" s="177" t="s">
        <v>392</v>
      </c>
      <c r="C14" s="426" t="s">
        <v>287</v>
      </c>
      <c r="D14" s="271">
        <f>('WP2 Current Light Rates'!E22)</f>
        <v>1.3600000000000001E-3</v>
      </c>
      <c r="E14" s="297">
        <f>ROUND('WP5 Facilities Charge (51 &amp; 52)'!D24,5)</f>
        <v>1.42E-3</v>
      </c>
      <c r="F14" s="297">
        <f>E14</f>
        <v>1.42E-3</v>
      </c>
      <c r="G14" s="209">
        <f>(SUM('WP5 Facilities Charge (51 &amp; 52)'!C9)*'Sch 51E &amp; 52E Facilities Charge'!D14*12)</f>
        <v>690851.66576</v>
      </c>
      <c r="H14" s="209">
        <f>(SUM('WP5 Facilities Charge (51 &amp; 52)'!C9)*'Sch 51E &amp; 52E Facilities Charge'!E14*12)</f>
        <v>721330.41572000005</v>
      </c>
      <c r="I14" s="209">
        <f>(SUM('WP5 Facilities Charge (51 &amp; 52)'!C9)*'Sch 51E &amp; 52E Facilities Charge'!F14*12)</f>
        <v>721330.41572000005</v>
      </c>
      <c r="J14" s="209">
        <f>+I14-G14</f>
        <v>30478.749960000045</v>
      </c>
      <c r="K14" s="209">
        <f>+I14-G14</f>
        <v>30478.749960000045</v>
      </c>
      <c r="L14" s="36">
        <f>IF(+J14=0,"0%",J14/G14)</f>
        <v>4.4117647058823595E-2</v>
      </c>
      <c r="M14" s="36">
        <f>IF(+K14=0,"0%",K14/G14)</f>
        <v>4.4117647058823595E-2</v>
      </c>
      <c r="N14" s="627"/>
      <c r="O14" s="630">
        <f t="shared" ref="O14:O21" si="4">O13+1</f>
        <v>2</v>
      </c>
      <c r="P14" s="177" t="s">
        <v>392</v>
      </c>
      <c r="Q14" s="426" t="s">
        <v>287</v>
      </c>
      <c r="R14" s="271">
        <f>E14</f>
        <v>1.42E-3</v>
      </c>
      <c r="S14" s="271">
        <f>F14</f>
        <v>1.42E-3</v>
      </c>
      <c r="T14" s="297">
        <f>R14</f>
        <v>1.42E-3</v>
      </c>
      <c r="U14" s="297">
        <f>R14</f>
        <v>1.42E-3</v>
      </c>
      <c r="V14" s="209">
        <f>(SUM('WP5 Facilities Charge (51 &amp; 52)'!C9)*'Sch 51E &amp; 52E Facilities Charge'!R14*12)</f>
        <v>721330.41572000005</v>
      </c>
      <c r="W14" s="209">
        <f>(SUM('WP5 Facilities Charge (51 &amp; 52)'!C9)*'Sch 51E &amp; 52E Facilities Charge'!S14*12)</f>
        <v>721330.41572000005</v>
      </c>
      <c r="X14" s="209">
        <f>(SUM('WP5 Facilities Charge (51 &amp; 52)'!C9)*'Sch 51E &amp; 52E Facilities Charge'!T14*12)</f>
        <v>721330.41572000005</v>
      </c>
      <c r="Y14" s="209">
        <f>(SUM('WP5 Facilities Charge (51 &amp; 52)'!C9)*'Sch 51E &amp; 52E Facilities Charge'!U14*12)</f>
        <v>721330.41572000005</v>
      </c>
      <c r="Z14" s="209">
        <f t="shared" si="1"/>
        <v>0</v>
      </c>
      <c r="AA14" s="209">
        <f t="shared" si="1"/>
        <v>0</v>
      </c>
      <c r="AB14" s="36" t="str">
        <f t="shared" si="2"/>
        <v>0%</v>
      </c>
      <c r="AC14" s="36" t="str">
        <f t="shared" si="2"/>
        <v>0%</v>
      </c>
      <c r="AD14" s="627"/>
      <c r="AE14" s="630">
        <f t="shared" ref="AE14:AE21" si="5">AE13+1</f>
        <v>2</v>
      </c>
      <c r="AF14" s="177" t="s">
        <v>392</v>
      </c>
      <c r="AG14" s="426" t="s">
        <v>287</v>
      </c>
      <c r="AH14" s="271"/>
      <c r="AI14" s="271"/>
      <c r="AJ14" s="297"/>
      <c r="AK14" s="297"/>
      <c r="AL14" s="209"/>
      <c r="AM14" s="209"/>
      <c r="AN14" s="209"/>
      <c r="AO14" s="209"/>
      <c r="AP14" s="209"/>
      <c r="AQ14" s="209"/>
      <c r="AR14" s="36"/>
      <c r="AS14" s="36"/>
    </row>
    <row r="15" spans="1:45" s="177" customFormat="1" x14ac:dyDescent="0.2">
      <c r="A15" s="630">
        <f t="shared" si="3"/>
        <v>3</v>
      </c>
      <c r="B15" s="177" t="str">
        <f>B14</f>
        <v>51E - Facilities Charge</v>
      </c>
      <c r="C15" s="42"/>
      <c r="D15" s="42"/>
      <c r="E15" s="42"/>
      <c r="F15" s="42"/>
      <c r="G15" s="266">
        <f>SUM(G13:G14)</f>
        <v>690851.66576</v>
      </c>
      <c r="H15" s="266">
        <f>SUM(H13:H14)</f>
        <v>721330.41572000005</v>
      </c>
      <c r="I15" s="266">
        <f>SUM(I13:I14)</f>
        <v>721330.41572000005</v>
      </c>
      <c r="J15" s="266">
        <f>+I15-G15</f>
        <v>30478.749960000045</v>
      </c>
      <c r="K15" s="266">
        <f>+I15-G15</f>
        <v>30478.749960000045</v>
      </c>
      <c r="L15" s="267">
        <f>IF(+J15=0,"0%",J15/G15)</f>
        <v>4.4117647058823595E-2</v>
      </c>
      <c r="M15" s="267">
        <f>IF(+K15=0,"0%",K15/G15)</f>
        <v>4.4117647058823595E-2</v>
      </c>
      <c r="N15" s="627"/>
      <c r="O15" s="630">
        <f t="shared" si="4"/>
        <v>3</v>
      </c>
      <c r="P15" s="177" t="str">
        <f>P14</f>
        <v>51E - Facilities Charge</v>
      </c>
      <c r="Q15" s="42"/>
      <c r="R15" s="42"/>
      <c r="S15" s="42"/>
      <c r="T15" s="42"/>
      <c r="U15" s="266"/>
      <c r="V15" s="266">
        <f>SUM(V13:V14)</f>
        <v>721330.41572000005</v>
      </c>
      <c r="W15" s="266">
        <f>SUM(W13:W14)</f>
        <v>721330.41572000005</v>
      </c>
      <c r="X15" s="266">
        <f>SUM(X13:X14)</f>
        <v>721330.41572000005</v>
      </c>
      <c r="Y15" s="266">
        <f>SUM(Y13:Y14)</f>
        <v>721330.41572000005</v>
      </c>
      <c r="Z15" s="266">
        <f t="shared" si="1"/>
        <v>0</v>
      </c>
      <c r="AA15" s="266">
        <f t="shared" si="1"/>
        <v>0</v>
      </c>
      <c r="AB15" s="267" t="str">
        <f t="shared" si="2"/>
        <v>0%</v>
      </c>
      <c r="AC15" s="267" t="str">
        <f t="shared" si="2"/>
        <v>0%</v>
      </c>
      <c r="AD15" s="627"/>
      <c r="AE15" s="630">
        <f t="shared" si="5"/>
        <v>3</v>
      </c>
      <c r="AF15" s="177" t="str">
        <f>AF14</f>
        <v>51E - Facilities Charge</v>
      </c>
      <c r="AG15" s="42"/>
      <c r="AH15" s="42"/>
      <c r="AI15" s="42"/>
      <c r="AJ15" s="42"/>
      <c r="AK15" s="266"/>
      <c r="AL15" s="266"/>
      <c r="AM15" s="266"/>
      <c r="AN15" s="266"/>
      <c r="AO15" s="266"/>
      <c r="AP15" s="266"/>
      <c r="AQ15" s="266"/>
      <c r="AR15" s="267"/>
      <c r="AS15" s="267"/>
    </row>
    <row r="16" spans="1:45" s="177" customFormat="1" x14ac:dyDescent="0.2">
      <c r="A16" s="630">
        <f t="shared" si="3"/>
        <v>4</v>
      </c>
      <c r="D16" s="297"/>
      <c r="E16" s="297"/>
      <c r="F16" s="297"/>
      <c r="G16" s="209"/>
      <c r="H16" s="209"/>
      <c r="I16" s="209"/>
      <c r="J16" s="209"/>
      <c r="K16" s="209"/>
      <c r="L16" s="36"/>
      <c r="M16" s="36"/>
      <c r="O16" s="630">
        <f t="shared" si="4"/>
        <v>4</v>
      </c>
      <c r="R16" s="297"/>
      <c r="S16" s="297"/>
      <c r="T16" s="297"/>
      <c r="U16" s="209"/>
      <c r="V16" s="209"/>
      <c r="W16" s="209"/>
      <c r="X16" s="209"/>
      <c r="Y16" s="209"/>
      <c r="Z16" s="209"/>
      <c r="AA16" s="209"/>
      <c r="AB16" s="36"/>
      <c r="AC16" s="36"/>
      <c r="AE16" s="630">
        <f t="shared" si="5"/>
        <v>4</v>
      </c>
      <c r="AH16" s="297"/>
      <c r="AI16" s="297"/>
      <c r="AJ16" s="297"/>
      <c r="AK16" s="209"/>
      <c r="AL16" s="209"/>
      <c r="AM16" s="209"/>
      <c r="AN16" s="209"/>
      <c r="AO16" s="209"/>
      <c r="AP16" s="209"/>
      <c r="AQ16" s="209"/>
      <c r="AR16" s="36"/>
      <c r="AS16" s="36"/>
    </row>
    <row r="17" spans="1:45" s="177" customFormat="1" x14ac:dyDescent="0.2">
      <c r="A17" s="630">
        <f t="shared" si="3"/>
        <v>5</v>
      </c>
      <c r="B17" s="177" t="s">
        <v>393</v>
      </c>
      <c r="C17" s="426" t="s">
        <v>286</v>
      </c>
      <c r="D17" s="271">
        <f>('WP2 Current Light Rates'!E35)</f>
        <v>1.4200000000000001E-2</v>
      </c>
      <c r="E17" s="297">
        <f>ROUND('WP5 Facilities Charge (51 &amp; 52)'!C39+'WP5 Facilities Charge (51 &amp; 52)'!E24,5)</f>
        <v>1.289E-2</v>
      </c>
      <c r="F17" s="297">
        <f>E17</f>
        <v>1.289E-2</v>
      </c>
      <c r="G17" s="209">
        <f>(SUM('WP5 Facilities Charge (51 &amp; 52)'!C12)*'Sch 51E &amp; 52E Facilities Charge'!D17*12)</f>
        <v>0</v>
      </c>
      <c r="H17" s="209">
        <f>(SUM('WP5 Facilities Charge (51 &amp; 52)'!C12)*'Sch 51E &amp; 52E Facilities Charge'!E17*12)</f>
        <v>0</v>
      </c>
      <c r="I17" s="209">
        <f>(SUM('WP5 Facilities Charge (51 &amp; 52)'!C12)*'Sch 51E &amp; 52E Facilities Charge'!F17*12)</f>
        <v>0</v>
      </c>
      <c r="J17" s="209">
        <f>+I17-G17</f>
        <v>0</v>
      </c>
      <c r="K17" s="209">
        <f>+I17-G17</f>
        <v>0</v>
      </c>
      <c r="L17" s="36" t="str">
        <f>IF(+J17=0,"0%",J17/G17)</f>
        <v>0%</v>
      </c>
      <c r="M17" s="36" t="str">
        <f>IF(+K17=0,"0%",K17/G17)</f>
        <v>0%</v>
      </c>
      <c r="O17" s="630">
        <f t="shared" si="4"/>
        <v>5</v>
      </c>
      <c r="P17" s="177" t="s">
        <v>393</v>
      </c>
      <c r="Q17" s="426" t="s">
        <v>286</v>
      </c>
      <c r="R17" s="271">
        <f>E17</f>
        <v>1.289E-2</v>
      </c>
      <c r="S17" s="271">
        <f>F17</f>
        <v>1.289E-2</v>
      </c>
      <c r="T17" s="297">
        <f>R17</f>
        <v>1.289E-2</v>
      </c>
      <c r="U17" s="297">
        <f>R17</f>
        <v>1.289E-2</v>
      </c>
      <c r="V17" s="209">
        <f>(SUM('WP5 Facilities Charge (51 &amp; 52)'!C12)*'Sch 51E &amp; 52E Facilities Charge'!R17*12)</f>
        <v>0</v>
      </c>
      <c r="W17" s="209">
        <f>(SUM('WP5 Facilities Charge (51 &amp; 52)'!C12)*'Sch 51E &amp; 52E Facilities Charge'!S17*12)</f>
        <v>0</v>
      </c>
      <c r="X17" s="209">
        <f>(SUM('WP5 Facilities Charge (51 &amp; 52)'!C12)*'Sch 51E &amp; 52E Facilities Charge'!T17*12)</f>
        <v>0</v>
      </c>
      <c r="Y17" s="209">
        <f>(SUM('WP5 Facilities Charge (51 &amp; 52)'!C12)*'Sch 51E &amp; 52E Facilities Charge'!U17*12)</f>
        <v>0</v>
      </c>
      <c r="Z17" s="209">
        <f t="shared" ref="Z17:AA19" si="6">+X17-V17</f>
        <v>0</v>
      </c>
      <c r="AA17" s="209">
        <f t="shared" si="6"/>
        <v>0</v>
      </c>
      <c r="AB17" s="36" t="str">
        <f t="shared" ref="AB17:AC19" si="7">IF(+Z17=0,"0%",Z17/V17)</f>
        <v>0%</v>
      </c>
      <c r="AC17" s="36" t="str">
        <f t="shared" si="7"/>
        <v>0%</v>
      </c>
      <c r="AE17" s="630">
        <f t="shared" si="5"/>
        <v>5</v>
      </c>
      <c r="AF17" s="177" t="s">
        <v>393</v>
      </c>
      <c r="AG17" s="426" t="s">
        <v>286</v>
      </c>
      <c r="AH17" s="271"/>
      <c r="AI17" s="271"/>
      <c r="AJ17" s="297"/>
      <c r="AK17" s="297"/>
      <c r="AL17" s="209"/>
      <c r="AM17" s="209"/>
      <c r="AN17" s="209"/>
      <c r="AO17" s="209"/>
      <c r="AP17" s="209"/>
      <c r="AQ17" s="209"/>
      <c r="AR17" s="36"/>
      <c r="AS17" s="36"/>
    </row>
    <row r="18" spans="1:45" s="177" customFormat="1" x14ac:dyDescent="0.2">
      <c r="A18" s="630">
        <f t="shared" si="3"/>
        <v>6</v>
      </c>
      <c r="B18" s="177" t="s">
        <v>393</v>
      </c>
      <c r="C18" s="426" t="s">
        <v>287</v>
      </c>
      <c r="D18" s="271">
        <f>('WP2 Current Light Rates'!E36)</f>
        <v>1.3600000000000001E-3</v>
      </c>
      <c r="E18" s="297">
        <f>ROUND('WP5 Facilities Charge (51 &amp; 52)'!E24,5)</f>
        <v>1.42E-3</v>
      </c>
      <c r="F18" s="297">
        <f>E18</f>
        <v>1.42E-3</v>
      </c>
      <c r="G18" s="209">
        <f>(SUM('WP5 Facilities Charge (51 &amp; 52)'!C13)*'Sch 51E &amp; 52E Facilities Charge'!D18*12)</f>
        <v>833441.22616000008</v>
      </c>
      <c r="H18" s="209">
        <f>(SUM('WP5 Facilities Charge (51 &amp; 52)'!C13)*'Sch 51E &amp; 52E Facilities Charge'!E18*12)</f>
        <v>870210.69201999996</v>
      </c>
      <c r="I18" s="209">
        <f>(SUM('WP5 Facilities Charge (51 &amp; 52)'!C13)*'Sch 51E &amp; 52E Facilities Charge'!F18*12)</f>
        <v>870210.69201999996</v>
      </c>
      <c r="J18" s="209">
        <f>+I18-G18</f>
        <v>36769.46585999988</v>
      </c>
      <c r="K18" s="209">
        <f>+I18-G18</f>
        <v>36769.46585999988</v>
      </c>
      <c r="L18" s="36">
        <f>IF(+J18=0,"0%",J18/G18)</f>
        <v>4.411764705882338E-2</v>
      </c>
      <c r="M18" s="36">
        <f>IF(+K18=0,"0%",K18/G18)</f>
        <v>4.411764705882338E-2</v>
      </c>
      <c r="O18" s="630">
        <f t="shared" si="4"/>
        <v>6</v>
      </c>
      <c r="P18" s="177" t="s">
        <v>393</v>
      </c>
      <c r="Q18" s="426" t="s">
        <v>287</v>
      </c>
      <c r="R18" s="271">
        <f>E18</f>
        <v>1.42E-3</v>
      </c>
      <c r="S18" s="271">
        <f>F18</f>
        <v>1.42E-3</v>
      </c>
      <c r="T18" s="297">
        <f>R18</f>
        <v>1.42E-3</v>
      </c>
      <c r="U18" s="297">
        <f>R18</f>
        <v>1.42E-3</v>
      </c>
      <c r="V18" s="209">
        <f>(SUM('WP5 Facilities Charge (51 &amp; 52)'!C13)*'Sch 51E &amp; 52E Facilities Charge'!R18*12)</f>
        <v>870210.69201999996</v>
      </c>
      <c r="W18" s="209">
        <f>(SUM('WP5 Facilities Charge (51 &amp; 52)'!C13)*'Sch 51E &amp; 52E Facilities Charge'!S18*12)</f>
        <v>870210.69201999996</v>
      </c>
      <c r="X18" s="209">
        <f>(SUM('WP5 Facilities Charge (51 &amp; 52)'!C13)*'Sch 51E &amp; 52E Facilities Charge'!T18*12)</f>
        <v>870210.69201999996</v>
      </c>
      <c r="Y18" s="209">
        <f>(SUM('WP5 Facilities Charge (51 &amp; 52)'!C13)*'Sch 51E &amp; 52E Facilities Charge'!U18*12)</f>
        <v>870210.69201999996</v>
      </c>
      <c r="Z18" s="209">
        <f t="shared" si="6"/>
        <v>0</v>
      </c>
      <c r="AA18" s="209">
        <f t="shared" si="6"/>
        <v>0</v>
      </c>
      <c r="AB18" s="36" t="str">
        <f t="shared" si="7"/>
        <v>0%</v>
      </c>
      <c r="AC18" s="36" t="str">
        <f t="shared" si="7"/>
        <v>0%</v>
      </c>
      <c r="AE18" s="630">
        <f t="shared" si="5"/>
        <v>6</v>
      </c>
      <c r="AF18" s="177" t="s">
        <v>393</v>
      </c>
      <c r="AG18" s="426" t="s">
        <v>287</v>
      </c>
      <c r="AH18" s="271"/>
      <c r="AI18" s="271"/>
      <c r="AJ18" s="297"/>
      <c r="AK18" s="297"/>
      <c r="AL18" s="209"/>
      <c r="AM18" s="209"/>
      <c r="AN18" s="209"/>
      <c r="AO18" s="209"/>
      <c r="AP18" s="209"/>
      <c r="AQ18" s="209"/>
      <c r="AR18" s="36"/>
      <c r="AS18" s="36"/>
    </row>
    <row r="19" spans="1:45" s="177" customFormat="1" x14ac:dyDescent="0.2">
      <c r="A19" s="630">
        <f t="shared" si="3"/>
        <v>7</v>
      </c>
      <c r="B19" s="177" t="s">
        <v>393</v>
      </c>
      <c r="C19" s="42"/>
      <c r="D19" s="42"/>
      <c r="E19" s="42"/>
      <c r="F19" s="42"/>
      <c r="G19" s="266">
        <f>SUM(G17:G18)</f>
        <v>833441.22616000008</v>
      </c>
      <c r="H19" s="266">
        <f>SUM(H17:H18)</f>
        <v>870210.69201999996</v>
      </c>
      <c r="I19" s="266">
        <f>SUM(I17:I18)</f>
        <v>870210.69201999996</v>
      </c>
      <c r="J19" s="266">
        <f>+I19-G19</f>
        <v>36769.46585999988</v>
      </c>
      <c r="K19" s="266">
        <f>+I19-G19</f>
        <v>36769.46585999988</v>
      </c>
      <c r="L19" s="267">
        <f>IF(+J19=0,"0%",J19/G19)</f>
        <v>4.411764705882338E-2</v>
      </c>
      <c r="M19" s="267">
        <f>IF(+K19=0,"0%",K19/G19)</f>
        <v>4.411764705882338E-2</v>
      </c>
      <c r="O19" s="630">
        <f t="shared" si="4"/>
        <v>7</v>
      </c>
      <c r="P19" s="177" t="s">
        <v>393</v>
      </c>
      <c r="Q19" s="42"/>
      <c r="R19" s="42"/>
      <c r="S19" s="42"/>
      <c r="T19" s="42"/>
      <c r="U19" s="266"/>
      <c r="V19" s="266">
        <f>SUM(V17:V18)</f>
        <v>870210.69201999996</v>
      </c>
      <c r="W19" s="266">
        <f>SUM(W17:W18)</f>
        <v>870210.69201999996</v>
      </c>
      <c r="X19" s="266">
        <f>SUM(X17:X18)</f>
        <v>870210.69201999996</v>
      </c>
      <c r="Y19" s="266">
        <f>SUM(Y17:Y18)</f>
        <v>870210.69201999996</v>
      </c>
      <c r="Z19" s="266">
        <f t="shared" si="6"/>
        <v>0</v>
      </c>
      <c r="AA19" s="266">
        <f t="shared" si="6"/>
        <v>0</v>
      </c>
      <c r="AB19" s="267" t="str">
        <f t="shared" si="7"/>
        <v>0%</v>
      </c>
      <c r="AC19" s="267" t="str">
        <f t="shared" si="7"/>
        <v>0%</v>
      </c>
      <c r="AE19" s="630">
        <f t="shared" si="5"/>
        <v>7</v>
      </c>
      <c r="AF19" s="177" t="s">
        <v>393</v>
      </c>
      <c r="AG19" s="42"/>
      <c r="AH19" s="42"/>
      <c r="AI19" s="42"/>
      <c r="AJ19" s="42"/>
      <c r="AK19" s="266"/>
      <c r="AL19" s="266"/>
      <c r="AM19" s="266"/>
      <c r="AN19" s="266"/>
      <c r="AO19" s="266"/>
      <c r="AP19" s="266"/>
      <c r="AQ19" s="266"/>
      <c r="AR19" s="267"/>
      <c r="AS19" s="267"/>
    </row>
    <row r="20" spans="1:45" s="177" customFormat="1" x14ac:dyDescent="0.2">
      <c r="A20" s="630">
        <f t="shared" si="3"/>
        <v>8</v>
      </c>
      <c r="C20" s="426"/>
      <c r="E20" s="330"/>
      <c r="F20" s="330"/>
      <c r="G20" s="209"/>
      <c r="H20" s="209"/>
      <c r="I20" s="209"/>
      <c r="J20" s="209"/>
      <c r="K20" s="209"/>
      <c r="L20" s="36"/>
      <c r="M20" s="36"/>
      <c r="O20" s="630">
        <f t="shared" si="4"/>
        <v>8</v>
      </c>
      <c r="Q20" s="426"/>
      <c r="S20" s="330"/>
      <c r="T20" s="330"/>
      <c r="U20" s="209"/>
      <c r="V20" s="209"/>
      <c r="W20" s="209"/>
      <c r="X20" s="209"/>
      <c r="Y20" s="209"/>
      <c r="Z20" s="209"/>
      <c r="AA20" s="209"/>
      <c r="AB20" s="36"/>
      <c r="AC20" s="36"/>
      <c r="AE20" s="630">
        <f t="shared" si="5"/>
        <v>8</v>
      </c>
      <c r="AG20" s="426"/>
      <c r="AI20" s="330"/>
      <c r="AJ20" s="330"/>
      <c r="AK20" s="209"/>
      <c r="AL20" s="209"/>
      <c r="AM20" s="209"/>
      <c r="AN20" s="209"/>
      <c r="AO20" s="209"/>
      <c r="AP20" s="209"/>
      <c r="AQ20" s="209"/>
      <c r="AR20" s="36"/>
      <c r="AS20" s="36"/>
    </row>
    <row r="21" spans="1:45" s="177" customFormat="1" ht="10.8" thickBot="1" x14ac:dyDescent="0.25">
      <c r="A21" s="630">
        <f t="shared" si="3"/>
        <v>9</v>
      </c>
      <c r="B21" s="177" t="s">
        <v>20</v>
      </c>
      <c r="C21" s="534"/>
      <c r="D21" s="534"/>
      <c r="E21" s="534"/>
      <c r="F21" s="534"/>
      <c r="G21" s="147">
        <f>G15+G19</f>
        <v>1524292.8919200001</v>
      </c>
      <c r="H21" s="147">
        <f>H15+H19</f>
        <v>1591541.1077399999</v>
      </c>
      <c r="I21" s="147">
        <f>I15+I19</f>
        <v>1591541.1077399999</v>
      </c>
      <c r="J21" s="147">
        <f>+I21-G21</f>
        <v>67248.215819999808</v>
      </c>
      <c r="K21" s="147">
        <f>+I21-G21</f>
        <v>67248.215819999808</v>
      </c>
      <c r="L21" s="38">
        <f>IF(+J21=0,"0%",J21/G21)</f>
        <v>4.41176470588234E-2</v>
      </c>
      <c r="M21" s="38">
        <f>IF(+K21=0,"0%",K21/G21)</f>
        <v>4.41176470588234E-2</v>
      </c>
      <c r="O21" s="630">
        <f t="shared" si="4"/>
        <v>9</v>
      </c>
      <c r="P21" s="177" t="s">
        <v>20</v>
      </c>
      <c r="Q21" s="534"/>
      <c r="R21" s="534"/>
      <c r="S21" s="534"/>
      <c r="T21" s="534"/>
      <c r="U21" s="147"/>
      <c r="V21" s="147">
        <f>V15+V19</f>
        <v>1591541.1077399999</v>
      </c>
      <c r="W21" s="147">
        <f>W15+W19</f>
        <v>1591541.1077399999</v>
      </c>
      <c r="X21" s="147">
        <f>X15+X19</f>
        <v>1591541.1077399999</v>
      </c>
      <c r="Y21" s="147">
        <f>Y15+Y19</f>
        <v>1591541.1077399999</v>
      </c>
      <c r="Z21" s="147">
        <f>+X21-V21</f>
        <v>0</v>
      </c>
      <c r="AA21" s="147">
        <f>+Y21-W21</f>
        <v>0</v>
      </c>
      <c r="AB21" s="38" t="str">
        <f>IF(+Z21=0,"0%",Z21/V21)</f>
        <v>0%</v>
      </c>
      <c r="AC21" s="38" t="str">
        <f>IF(+AA21=0,"0%",AA21/W21)</f>
        <v>0%</v>
      </c>
      <c r="AE21" s="630">
        <f t="shared" si="5"/>
        <v>9</v>
      </c>
      <c r="AF21" s="177" t="s">
        <v>20</v>
      </c>
      <c r="AG21" s="534"/>
      <c r="AH21" s="534"/>
      <c r="AI21" s="534"/>
      <c r="AJ21" s="534"/>
      <c r="AK21" s="147"/>
      <c r="AL21" s="147"/>
      <c r="AM21" s="147"/>
      <c r="AN21" s="147"/>
      <c r="AO21" s="147"/>
      <c r="AP21" s="147"/>
      <c r="AQ21" s="147"/>
      <c r="AR21" s="38"/>
      <c r="AS21" s="38"/>
    </row>
    <row r="22" spans="1:45" ht="10.8" thickTop="1" x14ac:dyDescent="0.2"/>
    <row r="26" spans="1:45" ht="13.8" x14ac:dyDescent="0.3">
      <c r="B26" s="633"/>
    </row>
  </sheetData>
  <mergeCells count="21">
    <mergeCell ref="H8:M8"/>
    <mergeCell ref="O1:AC1"/>
    <mergeCell ref="O2:AC2"/>
    <mergeCell ref="O3:AC3"/>
    <mergeCell ref="O4:AC4"/>
    <mergeCell ref="O5:AC5"/>
    <mergeCell ref="O6:AC6"/>
    <mergeCell ref="X8:AC8"/>
    <mergeCell ref="A1:M1"/>
    <mergeCell ref="A2:M2"/>
    <mergeCell ref="A4:M4"/>
    <mergeCell ref="A5:M5"/>
    <mergeCell ref="A3:M3"/>
    <mergeCell ref="A6:M6"/>
    <mergeCell ref="AN8:AS8"/>
    <mergeCell ref="AE1:AS1"/>
    <mergeCell ref="AE2:AS2"/>
    <mergeCell ref="AE3:AS3"/>
    <mergeCell ref="AE4:AS4"/>
    <mergeCell ref="AE5:AS5"/>
    <mergeCell ref="AE6:AS6"/>
  </mergeCells>
  <printOptions horizontalCentered="1"/>
  <pageMargins left="0.25" right="0.25" top="1" bottom="1" header="0.5" footer="0.5"/>
  <pageSetup scale="88" fitToWidth="3" orientation="landscape" r:id="rId1"/>
  <headerFooter alignWithMargins="0">
    <oddFooter>&amp;R&amp;"Times New Roman,Regular"&amp;F
&amp;A
&amp;P of &amp;N</oddFooter>
  </headerFooter>
  <colBreaks count="2" manualBreakCount="2">
    <brk id="13" max="1048575" man="1"/>
    <brk id="29" max="20" man="1"/>
  </colBreaks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Y77"/>
  <sheetViews>
    <sheetView zoomScaleNormal="100" zoomScaleSheetLayoutView="55" zoomScalePageLayoutView="70" workbookViewId="0">
      <pane ySplit="9" topLeftCell="A10" activePane="bottomLeft" state="frozen"/>
      <selection activeCell="D32" sqref="D32"/>
      <selection pane="bottomLeft" activeCell="G55" sqref="G55"/>
    </sheetView>
  </sheetViews>
  <sheetFormatPr defaultColWidth="5.6640625" defaultRowHeight="10.199999999999999" x14ac:dyDescent="0.2"/>
  <cols>
    <col min="1" max="1" width="6.109375" style="177" customWidth="1"/>
    <col min="2" max="2" width="19.33203125" style="177" bestFit="1" customWidth="1"/>
    <col min="3" max="3" width="13.5546875" style="177" bestFit="1" customWidth="1"/>
    <col min="4" max="4" width="18.109375" style="177" bestFit="1" customWidth="1"/>
    <col min="5" max="5" width="9.109375" style="177" customWidth="1"/>
    <col min="6" max="6" width="8.5546875" style="177" customWidth="1"/>
    <col min="7" max="7" width="10" style="177" bestFit="1" customWidth="1"/>
    <col min="8" max="8" width="10.5546875" style="177" customWidth="1"/>
    <col min="9" max="9" width="11.33203125" style="177" bestFit="1" customWidth="1"/>
    <col min="10" max="10" width="14" style="177" bestFit="1" customWidth="1"/>
    <col min="11" max="11" width="11.109375" style="177" customWidth="1"/>
    <col min="12" max="12" width="9.6640625" style="177" bestFit="1" customWidth="1"/>
    <col min="13" max="13" width="11.88671875" style="177" customWidth="1"/>
    <col min="14" max="14" width="7.109375" style="177" bestFit="1" customWidth="1"/>
    <col min="15" max="15" width="8" style="177" customWidth="1"/>
    <col min="16" max="16" width="0.88671875" style="177" customWidth="1"/>
    <col min="17" max="17" width="6.44140625" style="177" customWidth="1"/>
    <col min="18" max="18" width="17.44140625" style="330" bestFit="1" customWidth="1"/>
    <col min="19" max="19" width="8.44140625" style="177" bestFit="1" customWidth="1"/>
    <col min="20" max="20" width="18.109375" style="177" bestFit="1" customWidth="1"/>
    <col min="21" max="21" width="8.88671875" style="177" customWidth="1"/>
    <col min="22" max="22" width="8.109375" style="177" customWidth="1"/>
    <col min="23" max="23" width="10.33203125" style="177" customWidth="1"/>
    <col min="24" max="24" width="11.6640625" style="177" bestFit="1" customWidth="1"/>
    <col min="25" max="25" width="10.44140625" style="177" customWidth="1"/>
    <col min="26" max="26" width="11.33203125" style="177" bestFit="1" customWidth="1"/>
    <col min="27" max="27" width="11.44140625" style="177" customWidth="1"/>
    <col min="28" max="28" width="11.33203125" style="177" bestFit="1" customWidth="1"/>
    <col min="29" max="29" width="11.33203125" style="177" customWidth="1"/>
    <col min="30" max="30" width="12.44140625" style="177" customWidth="1"/>
    <col min="31" max="31" width="10.33203125" style="177" customWidth="1"/>
    <col min="32" max="32" width="8" style="177" customWidth="1"/>
    <col min="33" max="33" width="8.88671875" style="177" bestFit="1" customWidth="1"/>
    <col min="34" max="34" width="0.88671875" style="177" customWidth="1"/>
    <col min="35" max="35" width="6.109375" style="177" bestFit="1" customWidth="1"/>
    <col min="36" max="36" width="19.33203125" style="177" bestFit="1" customWidth="1"/>
    <col min="37" max="37" width="10.109375" style="177" bestFit="1" customWidth="1"/>
    <col min="38" max="38" width="18.109375" style="177" bestFit="1" customWidth="1"/>
    <col min="39" max="39" width="8.33203125" style="177" customWidth="1"/>
    <col min="40" max="40" width="11" style="177" bestFit="1" customWidth="1"/>
    <col min="41" max="41" width="10.44140625" style="177" customWidth="1"/>
    <col min="42" max="42" width="11.5546875" style="177" bestFit="1" customWidth="1"/>
    <col min="43" max="43" width="11.109375" style="177" customWidth="1"/>
    <col min="44" max="44" width="10.88671875" style="177" bestFit="1" customWidth="1"/>
    <col min="45" max="45" width="11" style="177" customWidth="1"/>
    <col min="46" max="46" width="10.88671875" style="177" bestFit="1" customWidth="1"/>
    <col min="47" max="47" width="11.33203125" style="177" customWidth="1"/>
    <col min="48" max="48" width="7.88671875" style="177" bestFit="1" customWidth="1"/>
    <col min="49" max="49" width="11.44140625" style="177" customWidth="1"/>
    <col min="50" max="50" width="9.33203125" style="177" customWidth="1"/>
    <col min="51" max="51" width="8.6640625" style="177" bestFit="1" customWidth="1"/>
    <col min="52" max="16384" width="5.6640625" style="177"/>
  </cols>
  <sheetData>
    <row r="1" spans="1:51" x14ac:dyDescent="0.2">
      <c r="A1" s="736" t="str">
        <f>'Sch 51E &amp; 52E Facilities Charge'!A1:M1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Q1" s="736" t="str">
        <f>A1</f>
        <v>Puget Sound Energy</v>
      </c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I1" s="736" t="str">
        <f>Q1</f>
        <v>Puget Sound Energy</v>
      </c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</row>
    <row r="2" spans="1:51" x14ac:dyDescent="0.2">
      <c r="A2" s="736" t="str">
        <f>'Sch 51E &amp; 52E Facilities Charge'!A2:M2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Q2" s="736" t="str">
        <f>A2</f>
        <v>ProForma Proposed Revenue</v>
      </c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I2" s="736" t="str">
        <f>Q2</f>
        <v>ProForma Proposed Revenue</v>
      </c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</row>
    <row r="3" spans="1:51" x14ac:dyDescent="0.2">
      <c r="A3" s="736" t="str">
        <f>'Sch 51E &amp; 52E Facilities Charge'!A3:M3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Q3" s="736" t="str">
        <f>A3</f>
        <v>2022 General Rate Case (GRC)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I3" s="736" t="str">
        <f>Q3</f>
        <v>2022 General Rate Case (GRC)</v>
      </c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</row>
    <row r="4" spans="1:51" x14ac:dyDescent="0.2">
      <c r="A4" s="736" t="str">
        <f>'Sch 51E &amp; 52E Facilities Charge'!A4:M4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Q4" s="736" t="str">
        <f>A4</f>
        <v>Test Year Ending June 30, 2021</v>
      </c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I4" s="736" t="str">
        <f>Q4</f>
        <v>Test Year Ending June 30, 2021</v>
      </c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</row>
    <row r="5" spans="1:51" x14ac:dyDescent="0.2">
      <c r="A5" s="736" t="s">
        <v>477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Q5" s="736" t="str">
        <f>A5</f>
        <v>Schedule 53 - Street Lighting Service - Sodium Vapor</v>
      </c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I5" s="736" t="str">
        <f>Q5</f>
        <v>Schedule 53 - Street Lighting Service - Sodium Vapor</v>
      </c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</row>
    <row r="6" spans="1:51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Q6" s="736" t="s">
        <v>882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I6" s="736" t="s">
        <v>881</v>
      </c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</row>
    <row r="7" spans="1:51" x14ac:dyDescent="0.2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</row>
    <row r="8" spans="1:51" ht="14.4" x14ac:dyDescent="0.3">
      <c r="J8" s="765" t="s">
        <v>653</v>
      </c>
      <c r="K8" s="782"/>
      <c r="L8" s="782"/>
      <c r="M8" s="782"/>
      <c r="N8" s="782"/>
      <c r="O8" s="783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765" t="s">
        <v>653</v>
      </c>
      <c r="AC8" s="782"/>
      <c r="AD8" s="782"/>
      <c r="AE8" s="782"/>
      <c r="AF8" s="782"/>
      <c r="AG8" s="783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765" t="s">
        <v>653</v>
      </c>
      <c r="AU8" s="782"/>
      <c r="AV8" s="782"/>
      <c r="AW8" s="782"/>
      <c r="AX8" s="782"/>
      <c r="AY8" s="783"/>
    </row>
    <row r="9" spans="1:51" s="627" customFormat="1" ht="81.599999999999994" x14ac:dyDescent="0.2">
      <c r="A9" s="632" t="str">
        <f>'Schedule 50E'!A9</f>
        <v>Line No.</v>
      </c>
      <c r="B9" s="632" t="str">
        <f>'Schedule 50E'!B9</f>
        <v>Schedule</v>
      </c>
      <c r="C9" s="632" t="str">
        <f>'Schedule 50E'!C9</f>
        <v>Lamp Size (Watts)</v>
      </c>
      <c r="D9" s="632" t="str">
        <f>'Schedule 50E'!D9</f>
        <v>Lamp Type</v>
      </c>
      <c r="E9" s="632" t="str">
        <f>'Schedule 50E'!E9</f>
        <v>Monthly Test Year Inventory</v>
      </c>
      <c r="F9" s="632" t="str">
        <f>'Schedule 50E'!F9</f>
        <v>Base Rates
Effective
10-1-2021</v>
      </c>
      <c r="G9" s="632" t="str">
        <f>'Schedule 50E'!G9</f>
        <v>Proposed Lamp Charge (Base)</v>
      </c>
      <c r="H9" s="632" t="str">
        <f>'Schedule 50E'!H9</f>
        <v>TOTAL Proposed Charge (Base + 141COL + 141N + 141R + 141A)</v>
      </c>
      <c r="I9" s="632" t="str">
        <f>'Schedule 50E'!I9</f>
        <v>Current Annual Rate Revenue (Base)</v>
      </c>
      <c r="J9" s="632" t="str">
        <f>'Schedule 50E'!J9</f>
        <v>Annual Revenue (Base)</v>
      </c>
      <c r="K9" s="632" t="str">
        <f>'Schedule 50E'!K9</f>
        <v>TOTAL Annual Revenue (Base + 141COL + 141N + 141R + 141A)</v>
      </c>
      <c r="L9" s="632" t="str">
        <f>'Schedule 50E'!L9</f>
        <v>Revenue Change (Base)</v>
      </c>
      <c r="M9" s="632" t="str">
        <f>'Schedule 50E'!M9</f>
        <v>TOTAL Revenue Change (Base + 141COL + 141N + 141R + 141A)</v>
      </c>
      <c r="N9" s="632" t="str">
        <f>'Schedule 50E'!N9</f>
        <v>Base Change %</v>
      </c>
      <c r="O9" s="632" t="str">
        <f>'Schedule 50E'!O9</f>
        <v>TOTAL Overall Change %</v>
      </c>
      <c r="P9" s="626"/>
      <c r="Q9" s="632" t="s">
        <v>1</v>
      </c>
      <c r="R9" s="632" t="s">
        <v>53</v>
      </c>
      <c r="S9" s="631" t="s">
        <v>66</v>
      </c>
      <c r="T9" s="632" t="s">
        <v>67</v>
      </c>
      <c r="U9" s="632" t="str">
        <f>'Schedule 50E'!U9</f>
        <v>Monthly Test Year Inventory</v>
      </c>
      <c r="V9" s="632" t="str">
        <f>'Schedule 50E'!V9</f>
        <v>Rates Effective 1-1-2023 (Base)</v>
      </c>
      <c r="W9" s="632" t="str">
        <f>'Schedule 50E'!W9</f>
        <v>TOTAL Rates Effective 1-1-2023 (Base + 141COL + 141N + 141R + 141A)</v>
      </c>
      <c r="X9" s="632" t="str">
        <f>'Schedule 50E'!X9</f>
        <v>Proposed Lamp Charge (Base)</v>
      </c>
      <c r="Y9" s="632" t="str">
        <f>'Schedule 50E'!Y9</f>
        <v>TOTAL Proposed Charge (Base + 141COL + 141N + 141R + 141A)</v>
      </c>
      <c r="Z9" s="632" t="str">
        <f>'Schedule 50E'!Z9</f>
        <v>Current Annual Rate Revenue (Base)</v>
      </c>
      <c r="AA9" s="632" t="str">
        <f>'Schedule 50E'!AA9</f>
        <v>TOTAL Current Annual Rate Revenue (Base + 141COL + 141N + 141R + 141A)</v>
      </c>
      <c r="AB9" s="632" t="str">
        <f>'Schedule 50E'!AB9</f>
        <v>Annual Revenue (Base)</v>
      </c>
      <c r="AC9" s="632" t="str">
        <f>'Schedule 50E'!AC9</f>
        <v>TOTAL Annual Revenue (Base + 141COL + 141N + 141R + 141A)</v>
      </c>
      <c r="AD9" s="632" t="str">
        <f>'Schedule 50E'!AD9</f>
        <v>Revenue Change (Base)</v>
      </c>
      <c r="AE9" s="632" t="str">
        <f>'Schedule 50E'!AE9</f>
        <v>TOTAL Revenue Change  (Base + 141COL + 141N + 141R + 141A)</v>
      </c>
      <c r="AF9" s="632" t="str">
        <f>'Schedule 50E'!AF9</f>
        <v>Base Change %</v>
      </c>
      <c r="AG9" s="632" t="str">
        <f>'Schedule 50E'!AG9</f>
        <v>TOTAL Overall Change %</v>
      </c>
      <c r="AH9" s="626"/>
      <c r="AI9" s="632" t="s">
        <v>1</v>
      </c>
      <c r="AJ9" s="632" t="s">
        <v>53</v>
      </c>
      <c r="AK9" s="631" t="s">
        <v>66</v>
      </c>
      <c r="AL9" s="632" t="s">
        <v>67</v>
      </c>
      <c r="AM9" s="632" t="str">
        <f>'Schedule 50E'!AM9</f>
        <v>Monthly Test Year Inventory</v>
      </c>
      <c r="AN9" s="632" t="str">
        <f>'Schedule 50E'!AN9</f>
        <v>Rates Effective 1-1-2024 (Base)</v>
      </c>
      <c r="AO9" s="632" t="str">
        <f>'Schedule 50E'!AO9</f>
        <v>TOTAL Rates Effective 1-1-2024 (Base + 141COL + 141N + 141R + 141A)</v>
      </c>
      <c r="AP9" s="632" t="str">
        <f>'Schedule 50E'!AP9</f>
        <v>Proposed Lamp Charge (Base)</v>
      </c>
      <c r="AQ9" s="632" t="str">
        <f>'Schedule 50E'!AQ9</f>
        <v>TOTAL Proposed Charge (Base + 141COL + 141N + 141R + 141A)</v>
      </c>
      <c r="AR9" s="632" t="str">
        <f>'Schedule 50E'!AR9</f>
        <v>Current Annual Rate Revenue (Base)</v>
      </c>
      <c r="AS9" s="632" t="str">
        <f>'Schedule 50E'!AS9</f>
        <v>TOTAL Current Annual Rate Revenue (Base + 141COL + 141N + 141R + 141A)</v>
      </c>
      <c r="AT9" s="632" t="str">
        <f>'Schedule 50E'!AT9</f>
        <v>Annual Revenue (Base)</v>
      </c>
      <c r="AU9" s="632" t="str">
        <f>'Schedule 50E'!AU9</f>
        <v>TOTAL Annual Revenue (Base + 141COL + 141N + 141R + 141A)</v>
      </c>
      <c r="AV9" s="632" t="str">
        <f>'Schedule 50E'!AV9</f>
        <v>Revenue Change (Base)</v>
      </c>
      <c r="AW9" s="632" t="str">
        <f>'Schedule 50E'!AW9</f>
        <v>TOTAL Revenue Change (Base + 141COL + 141N + 141R + 141A)</v>
      </c>
      <c r="AX9" s="632" t="str">
        <f>'Schedule 50E'!AX9</f>
        <v>Base Change %</v>
      </c>
      <c r="AY9" s="632" t="str">
        <f>'Schedule 50E'!AY9</f>
        <v>TOTAL Overall Change %</v>
      </c>
    </row>
    <row r="10" spans="1:51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169" t="s">
        <v>13</v>
      </c>
      <c r="P10" s="626"/>
      <c r="Q10" s="98"/>
      <c r="R10" s="98" t="s">
        <v>3</v>
      </c>
      <c r="S10" s="169" t="s">
        <v>4</v>
      </c>
      <c r="T10" s="169" t="s">
        <v>5</v>
      </c>
      <c r="U10" s="169" t="s">
        <v>6</v>
      </c>
      <c r="V10" s="169" t="s">
        <v>390</v>
      </c>
      <c r="W10" s="169" t="s">
        <v>21</v>
      </c>
      <c r="X10" s="169" t="s">
        <v>8</v>
      </c>
      <c r="Y10" s="169" t="s">
        <v>9</v>
      </c>
      <c r="Z10" s="169" t="s">
        <v>22</v>
      </c>
      <c r="AA10" s="169" t="s">
        <v>23</v>
      </c>
      <c r="AB10" s="169" t="s">
        <v>10</v>
      </c>
      <c r="AC10" s="169" t="s">
        <v>11</v>
      </c>
      <c r="AD10" s="169" t="s">
        <v>12</v>
      </c>
      <c r="AE10" s="169" t="s">
        <v>13</v>
      </c>
      <c r="AF10" s="169" t="s">
        <v>14</v>
      </c>
      <c r="AG10" s="169" t="s">
        <v>877</v>
      </c>
      <c r="AH10" s="626"/>
      <c r="AI10" s="98"/>
      <c r="AJ10" s="98" t="s">
        <v>3</v>
      </c>
      <c r="AK10" s="169" t="s">
        <v>4</v>
      </c>
      <c r="AL10" s="169" t="s">
        <v>5</v>
      </c>
      <c r="AM10" s="169" t="s">
        <v>6</v>
      </c>
      <c r="AN10" s="169" t="s">
        <v>390</v>
      </c>
      <c r="AO10" s="169" t="s">
        <v>21</v>
      </c>
      <c r="AP10" s="169" t="s">
        <v>8</v>
      </c>
      <c r="AQ10" s="169" t="s">
        <v>9</v>
      </c>
      <c r="AR10" s="169" t="s">
        <v>22</v>
      </c>
      <c r="AS10" s="169" t="s">
        <v>23</v>
      </c>
      <c r="AT10" s="169" t="s">
        <v>10</v>
      </c>
      <c r="AU10" s="169" t="s">
        <v>11</v>
      </c>
      <c r="AV10" s="169" t="s">
        <v>12</v>
      </c>
      <c r="AW10" s="169" t="s">
        <v>13</v>
      </c>
      <c r="AX10" s="169" t="s">
        <v>14</v>
      </c>
      <c r="AY10" s="169" t="s">
        <v>877</v>
      </c>
    </row>
    <row r="11" spans="1:51" s="627" customFormat="1" ht="20.399999999999999" x14ac:dyDescent="0.2">
      <c r="A11" s="98" t="s">
        <v>396</v>
      </c>
      <c r="B11" s="98"/>
      <c r="C11" s="169"/>
      <c r="D11" s="169"/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416</v>
      </c>
      <c r="J11" s="169" t="s">
        <v>483</v>
      </c>
      <c r="K11" s="169" t="s">
        <v>484</v>
      </c>
      <c r="L11" s="169" t="s">
        <v>492</v>
      </c>
      <c r="M11" s="169" t="s">
        <v>398</v>
      </c>
      <c r="N11" s="169" t="s">
        <v>399</v>
      </c>
      <c r="O11" s="169" t="s">
        <v>876</v>
      </c>
      <c r="P11" s="626"/>
      <c r="Q11" s="98" t="s">
        <v>396</v>
      </c>
      <c r="R11" s="98"/>
      <c r="S11" s="169"/>
      <c r="T11" s="169"/>
      <c r="U11" s="169" t="s">
        <v>397</v>
      </c>
      <c r="V11" s="169" t="s">
        <v>397</v>
      </c>
      <c r="W11" s="169" t="s">
        <v>397</v>
      </c>
      <c r="X11" s="169" t="s">
        <v>397</v>
      </c>
      <c r="Y11" s="169" t="s">
        <v>397</v>
      </c>
      <c r="Z11" s="169" t="s">
        <v>416</v>
      </c>
      <c r="AA11" s="169" t="s">
        <v>483</v>
      </c>
      <c r="AB11" s="169" t="s">
        <v>484</v>
      </c>
      <c r="AC11" s="169" t="s">
        <v>875</v>
      </c>
      <c r="AD11" s="169" t="s">
        <v>493</v>
      </c>
      <c r="AE11" s="169" t="s">
        <v>874</v>
      </c>
      <c r="AF11" s="169" t="s">
        <v>873</v>
      </c>
      <c r="AG11" s="169" t="s">
        <v>872</v>
      </c>
      <c r="AH11" s="626"/>
      <c r="AI11" s="98" t="s">
        <v>396</v>
      </c>
      <c r="AJ11" s="98"/>
      <c r="AK11" s="169"/>
      <c r="AL11" s="169"/>
      <c r="AM11" s="169" t="s">
        <v>397</v>
      </c>
      <c r="AN11" s="169" t="s">
        <v>397</v>
      </c>
      <c r="AO11" s="169" t="s">
        <v>397</v>
      </c>
      <c r="AP11" s="169" t="s">
        <v>397</v>
      </c>
      <c r="AQ11" s="169" t="s">
        <v>397</v>
      </c>
      <c r="AR11" s="169" t="s">
        <v>416</v>
      </c>
      <c r="AS11" s="169" t="s">
        <v>483</v>
      </c>
      <c r="AT11" s="169" t="s">
        <v>484</v>
      </c>
      <c r="AU11" s="169" t="s">
        <v>875</v>
      </c>
      <c r="AV11" s="169" t="s">
        <v>493</v>
      </c>
      <c r="AW11" s="169" t="s">
        <v>874</v>
      </c>
      <c r="AX11" s="169" t="s">
        <v>873</v>
      </c>
      <c r="AY11" s="169" t="s">
        <v>872</v>
      </c>
    </row>
    <row r="12" spans="1:51" s="627" customFormat="1" x14ac:dyDescent="0.2">
      <c r="A12" s="98"/>
      <c r="B12" s="9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P12" s="626"/>
      <c r="Q12" s="98"/>
      <c r="R12" s="98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H12" s="626"/>
      <c r="AI12" s="98"/>
      <c r="AJ12" s="98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</row>
    <row r="13" spans="1:51" x14ac:dyDescent="0.2">
      <c r="A13" s="630">
        <v>1</v>
      </c>
      <c r="B13" s="202" t="s">
        <v>68</v>
      </c>
      <c r="C13" s="426">
        <v>50</v>
      </c>
      <c r="D13" s="426" t="s">
        <v>69</v>
      </c>
      <c r="E13" s="426">
        <f>'WP1 Light Inventory'!J59</f>
        <v>0</v>
      </c>
      <c r="F13" s="330">
        <f>'WP2 Current Light Rates'!E55</f>
        <v>12.97</v>
      </c>
      <c r="G13" s="330">
        <f>'BDJ-6 Combined Charges'!K65</f>
        <v>12.299999999999999</v>
      </c>
      <c r="H13" s="330">
        <f>'Sch 141A Lighting Tariff'!J63+'Sch 141C Lighting Tariff'!J63+'Sch 141N Lighting Tariff'!J65+'Sch 141R Lighting Tariff'!J65+G13</f>
        <v>13.27</v>
      </c>
      <c r="I13" s="209">
        <f t="shared" ref="I13" si="0">(+F13*$E13*12)</f>
        <v>0</v>
      </c>
      <c r="J13" s="209">
        <f t="shared" ref="J13" si="1">(+G13*$E13*12)</f>
        <v>0</v>
      </c>
      <c r="K13" s="209">
        <f t="shared" ref="K13" si="2">(H13)*E13*12</f>
        <v>0</v>
      </c>
      <c r="L13" s="209">
        <f t="shared" ref="L13" si="3">+J13-I13</f>
        <v>0</v>
      </c>
      <c r="M13" s="209">
        <f t="shared" ref="M13" si="4">+K13-I13</f>
        <v>0</v>
      </c>
      <c r="N13" s="36" t="str">
        <f t="shared" ref="N13:N22" si="5">IF(+L13=0,"0%",L13/I13)</f>
        <v>0%</v>
      </c>
      <c r="O13" s="36" t="str">
        <f t="shared" ref="O13:O22" si="6">IF(+M13=0,"0%",M13/I13)</f>
        <v>0%</v>
      </c>
      <c r="P13" s="627"/>
      <c r="Q13" s="630">
        <v>1</v>
      </c>
      <c r="R13" s="202" t="s">
        <v>68</v>
      </c>
      <c r="S13" s="426">
        <v>50</v>
      </c>
      <c r="T13" s="426" t="s">
        <v>69</v>
      </c>
      <c r="U13" s="35">
        <f t="shared" ref="U13:U21" si="7">E13</f>
        <v>0</v>
      </c>
      <c r="V13" s="330">
        <f t="shared" ref="V13:V21" si="8">G13</f>
        <v>12.299999999999999</v>
      </c>
      <c r="W13" s="330">
        <f t="shared" ref="W13:W21" si="9">H13</f>
        <v>13.27</v>
      </c>
      <c r="X13" s="330">
        <f t="shared" ref="X13:X21" si="10">V13</f>
        <v>12.299999999999999</v>
      </c>
      <c r="Y13" s="330">
        <f>'Sch 141A Lighting Tariff'!N63+'Sch 141C Lighting Tariff'!N63+'Sch 141N Lighting Tariff'!N65+'Sch 141R Lighting Tariff'!N65+X13</f>
        <v>13.399999999999999</v>
      </c>
      <c r="Z13" s="209">
        <f t="shared" ref="Z13" si="11">(+V13*$U13*12)</f>
        <v>0</v>
      </c>
      <c r="AA13" s="209">
        <f t="shared" ref="AA13" si="12">(+W13*$U13*12)</f>
        <v>0</v>
      </c>
      <c r="AB13" s="209">
        <f t="shared" ref="AB13" si="13">(+X13*$U13*12)</f>
        <v>0</v>
      </c>
      <c r="AC13" s="209">
        <f t="shared" ref="AC13" si="14">(+Y13*$U13*12)</f>
        <v>0</v>
      </c>
      <c r="AD13" s="209">
        <f t="shared" ref="AD13" si="15">+AB13-Z13</f>
        <v>0</v>
      </c>
      <c r="AE13" s="209">
        <f t="shared" ref="AE13" si="16">+AC13-AA13</f>
        <v>0</v>
      </c>
      <c r="AF13" s="36" t="str">
        <f t="shared" ref="AF13:AF22" si="17">IF(+AD13=0,"0%",AD13/Z13)</f>
        <v>0%</v>
      </c>
      <c r="AG13" s="36" t="str">
        <f t="shared" ref="AG13:AG22" si="18">IF(+AE13=0,"0%",AE13/AA13)</f>
        <v>0%</v>
      </c>
      <c r="AH13" s="627"/>
      <c r="AI13" s="630">
        <v>1</v>
      </c>
      <c r="AJ13" s="202" t="s">
        <v>68</v>
      </c>
      <c r="AK13" s="426">
        <v>50</v>
      </c>
      <c r="AL13" s="426" t="s">
        <v>69</v>
      </c>
      <c r="AM13" s="35"/>
      <c r="AN13" s="330"/>
      <c r="AO13" s="330"/>
      <c r="AP13" s="330"/>
      <c r="AQ13" s="330"/>
      <c r="AR13" s="209"/>
      <c r="AS13" s="209"/>
      <c r="AT13" s="209"/>
      <c r="AU13" s="209"/>
      <c r="AV13" s="209"/>
      <c r="AW13" s="209"/>
      <c r="AX13" s="36"/>
      <c r="AY13" s="36"/>
    </row>
    <row r="14" spans="1:51" x14ac:dyDescent="0.2">
      <c r="A14" s="630">
        <f t="shared" ref="A14:A70" si="19">A13+1</f>
        <v>2</v>
      </c>
      <c r="B14" s="629" t="str">
        <f t="shared" ref="B14:B21" si="20">+B13</f>
        <v>53E - Company Owned</v>
      </c>
      <c r="C14" s="426">
        <v>70</v>
      </c>
      <c r="D14" s="426" t="s">
        <v>69</v>
      </c>
      <c r="E14" s="426">
        <f>'WP1 Light Inventory'!J60</f>
        <v>3836</v>
      </c>
      <c r="F14" s="330">
        <f>'WP2 Current Light Rates'!E56</f>
        <v>13.61</v>
      </c>
      <c r="G14" s="330">
        <f>'BDJ-6 Combined Charges'!K66</f>
        <v>13.530000000000001</v>
      </c>
      <c r="H14" s="330">
        <f>'Sch 141A Lighting Tariff'!J64+'Sch 141C Lighting Tariff'!J64+'Sch 141N Lighting Tariff'!J66+'Sch 141R Lighting Tariff'!J66+G14</f>
        <v>14.88</v>
      </c>
      <c r="I14" s="209">
        <f t="shared" ref="I14:I21" si="21">(+F14*$E14*12)</f>
        <v>626495.52</v>
      </c>
      <c r="J14" s="209">
        <f t="shared" ref="J14:J21" si="22">(+G14*$E14*12)</f>
        <v>622812.96</v>
      </c>
      <c r="K14" s="209">
        <f t="shared" ref="K14:K21" si="23">(H14)*E14*12</f>
        <v>684956.16000000003</v>
      </c>
      <c r="L14" s="209">
        <f t="shared" ref="L14:L21" si="24">+J14-I14</f>
        <v>-3682.5600000000559</v>
      </c>
      <c r="M14" s="209">
        <f t="shared" ref="M14:M21" si="25">+K14-I14</f>
        <v>58460.640000000014</v>
      </c>
      <c r="N14" s="36">
        <f t="shared" ref="N14:N21" si="26">IF(+L14=0,"0%",L14/I14)</f>
        <v>-5.8780308596621022E-3</v>
      </c>
      <c r="O14" s="36">
        <f t="shared" ref="O14:O21" si="27">IF(+M14=0,"0%",M14/I14)</f>
        <v>9.3313739897134484E-2</v>
      </c>
      <c r="P14" s="627"/>
      <c r="Q14" s="630">
        <f t="shared" ref="Q14:Q59" si="28">Q13+1</f>
        <v>2</v>
      </c>
      <c r="R14" s="629" t="str">
        <f t="shared" ref="R14:R21" si="29">+R13</f>
        <v>53E - Company Owned</v>
      </c>
      <c r="S14" s="426">
        <v>70</v>
      </c>
      <c r="T14" s="426" t="s">
        <v>69</v>
      </c>
      <c r="U14" s="177">
        <f t="shared" si="7"/>
        <v>3836</v>
      </c>
      <c r="V14" s="330">
        <f t="shared" si="8"/>
        <v>13.530000000000001</v>
      </c>
      <c r="W14" s="330">
        <f t="shared" si="9"/>
        <v>14.88</v>
      </c>
      <c r="X14" s="330">
        <f t="shared" si="10"/>
        <v>13.530000000000001</v>
      </c>
      <c r="Y14" s="330">
        <f>'Sch 141A Lighting Tariff'!N64+'Sch 141C Lighting Tariff'!N64+'Sch 141N Lighting Tariff'!N66+'Sch 141R Lighting Tariff'!N66+X14</f>
        <v>15.080000000000002</v>
      </c>
      <c r="Z14" s="209">
        <f t="shared" ref="Z14:Z21" si="30">(+V14*$U14*12)</f>
        <v>622812.96</v>
      </c>
      <c r="AA14" s="209">
        <f t="shared" ref="AA14:AA21" si="31">(+W14*$U14*12)</f>
        <v>684956.16000000003</v>
      </c>
      <c r="AB14" s="209">
        <f t="shared" ref="AB14:AB21" si="32">(+X14*$U14*12)</f>
        <v>622812.96</v>
      </c>
      <c r="AC14" s="209">
        <f t="shared" ref="AC14:AC21" si="33">(+Y14*$U14*12)</f>
        <v>694162.56</v>
      </c>
      <c r="AD14" s="209">
        <f t="shared" ref="AD14:AD21" si="34">+AB14-Z14</f>
        <v>0</v>
      </c>
      <c r="AE14" s="209">
        <f t="shared" ref="AE14:AE21" si="35">+AC14-AA14</f>
        <v>9206.4000000000233</v>
      </c>
      <c r="AF14" s="36" t="str">
        <f t="shared" ref="AF14:AF21" si="36">IF(+AD14=0,"0%",AD14/Z14)</f>
        <v>0%</v>
      </c>
      <c r="AG14" s="36">
        <f t="shared" ref="AG14:AG21" si="37">IF(+AE14=0,"0%",AE14/AA14)</f>
        <v>1.3440860215053797E-2</v>
      </c>
      <c r="AH14" s="627"/>
      <c r="AI14" s="630">
        <f t="shared" ref="AI14:AI59" si="38">AI13+1</f>
        <v>2</v>
      </c>
      <c r="AJ14" s="629" t="str">
        <f t="shared" ref="AJ14:AJ21" si="39">+AJ13</f>
        <v>53E - Company Owned</v>
      </c>
      <c r="AK14" s="426">
        <v>70</v>
      </c>
      <c r="AL14" s="426" t="s">
        <v>69</v>
      </c>
      <c r="AM14" s="35"/>
      <c r="AN14" s="330"/>
      <c r="AO14" s="330"/>
      <c r="AP14" s="330"/>
      <c r="AQ14" s="330"/>
      <c r="AR14" s="209"/>
      <c r="AS14" s="209"/>
      <c r="AT14" s="209"/>
      <c r="AU14" s="209"/>
      <c r="AV14" s="209"/>
      <c r="AW14" s="209"/>
      <c r="AX14" s="36"/>
      <c r="AY14" s="36"/>
    </row>
    <row r="15" spans="1:51" x14ac:dyDescent="0.2">
      <c r="A15" s="630">
        <f t="shared" si="19"/>
        <v>3</v>
      </c>
      <c r="B15" s="629" t="str">
        <f t="shared" si="20"/>
        <v>53E - Company Owned</v>
      </c>
      <c r="C15" s="426">
        <v>100</v>
      </c>
      <c r="D15" s="426" t="s">
        <v>69</v>
      </c>
      <c r="E15" s="426">
        <f>'WP1 Light Inventory'!J61</f>
        <v>28412</v>
      </c>
      <c r="F15" s="330">
        <f>'WP2 Current Light Rates'!E57</f>
        <v>14.01</v>
      </c>
      <c r="G15" s="330">
        <f>'BDJ-6 Combined Charges'!K67</f>
        <v>13.879999999999999</v>
      </c>
      <c r="H15" s="330">
        <f>'Sch 141A Lighting Tariff'!J65+'Sch 141C Lighting Tariff'!J65+'Sch 141N Lighting Tariff'!J67+'Sch 141R Lighting Tariff'!J67+G15</f>
        <v>15.819999999999999</v>
      </c>
      <c r="I15" s="209">
        <f t="shared" si="21"/>
        <v>4776625.4399999995</v>
      </c>
      <c r="J15" s="209">
        <f t="shared" si="22"/>
        <v>4732302.72</v>
      </c>
      <c r="K15" s="209">
        <f t="shared" si="23"/>
        <v>5393734.0800000001</v>
      </c>
      <c r="L15" s="209">
        <f t="shared" si="24"/>
        <v>-44322.719999999739</v>
      </c>
      <c r="M15" s="209">
        <f t="shared" si="25"/>
        <v>617108.6400000006</v>
      </c>
      <c r="N15" s="36">
        <f t="shared" si="26"/>
        <v>-9.2790863668807452E-3</v>
      </c>
      <c r="O15" s="36">
        <f t="shared" si="27"/>
        <v>0.1291934332619559</v>
      </c>
      <c r="P15" s="627"/>
      <c r="Q15" s="630">
        <f t="shared" si="28"/>
        <v>3</v>
      </c>
      <c r="R15" s="629" t="str">
        <f t="shared" si="29"/>
        <v>53E - Company Owned</v>
      </c>
      <c r="S15" s="426">
        <v>100</v>
      </c>
      <c r="T15" s="426" t="s">
        <v>69</v>
      </c>
      <c r="U15" s="177">
        <f t="shared" si="7"/>
        <v>28412</v>
      </c>
      <c r="V15" s="330">
        <f t="shared" si="8"/>
        <v>13.879999999999999</v>
      </c>
      <c r="W15" s="330">
        <f t="shared" si="9"/>
        <v>15.819999999999999</v>
      </c>
      <c r="X15" s="330">
        <f t="shared" si="10"/>
        <v>13.879999999999999</v>
      </c>
      <c r="Y15" s="330">
        <f>'Sch 141A Lighting Tariff'!N65+'Sch 141C Lighting Tariff'!N65+'Sch 141N Lighting Tariff'!N67+'Sch 141R Lighting Tariff'!N67+X15</f>
        <v>16.079999999999998</v>
      </c>
      <c r="Z15" s="209">
        <f t="shared" si="30"/>
        <v>4732302.72</v>
      </c>
      <c r="AA15" s="209">
        <f t="shared" si="31"/>
        <v>5393734.0800000001</v>
      </c>
      <c r="AB15" s="209">
        <f t="shared" si="32"/>
        <v>4732302.72</v>
      </c>
      <c r="AC15" s="209">
        <f t="shared" si="33"/>
        <v>5482379.5199999996</v>
      </c>
      <c r="AD15" s="209">
        <f t="shared" si="34"/>
        <v>0</v>
      </c>
      <c r="AE15" s="209">
        <f t="shared" si="35"/>
        <v>88645.439999999478</v>
      </c>
      <c r="AF15" s="36" t="str">
        <f t="shared" si="36"/>
        <v>0%</v>
      </c>
      <c r="AG15" s="36">
        <f t="shared" si="37"/>
        <v>1.6434892541087133E-2</v>
      </c>
      <c r="AH15" s="627"/>
      <c r="AI15" s="630">
        <f t="shared" si="38"/>
        <v>3</v>
      </c>
      <c r="AJ15" s="629" t="str">
        <f t="shared" si="39"/>
        <v>53E - Company Owned</v>
      </c>
      <c r="AK15" s="426">
        <v>100</v>
      </c>
      <c r="AL15" s="426" t="s">
        <v>69</v>
      </c>
      <c r="AM15" s="35"/>
      <c r="AN15" s="330"/>
      <c r="AO15" s="330"/>
      <c r="AP15" s="330"/>
      <c r="AQ15" s="330"/>
      <c r="AR15" s="209"/>
      <c r="AS15" s="209"/>
      <c r="AT15" s="209"/>
      <c r="AU15" s="209"/>
      <c r="AV15" s="209"/>
      <c r="AW15" s="209"/>
      <c r="AX15" s="36"/>
      <c r="AY15" s="36"/>
    </row>
    <row r="16" spans="1:51" x14ac:dyDescent="0.2">
      <c r="A16" s="630">
        <f t="shared" si="19"/>
        <v>4</v>
      </c>
      <c r="B16" s="629" t="str">
        <f t="shared" si="20"/>
        <v>53E - Company Owned</v>
      </c>
      <c r="C16" s="426">
        <v>150</v>
      </c>
      <c r="D16" s="426" t="s">
        <v>69</v>
      </c>
      <c r="E16" s="426">
        <f>'WP1 Light Inventory'!J62</f>
        <v>3485</v>
      </c>
      <c r="F16" s="330">
        <f>'WP2 Current Light Rates'!E58</f>
        <v>15.62</v>
      </c>
      <c r="G16" s="330">
        <f>'BDJ-6 Combined Charges'!K68</f>
        <v>15.35</v>
      </c>
      <c r="H16" s="330">
        <f>'Sch 141A Lighting Tariff'!J66+'Sch 141C Lighting Tariff'!J66+'Sch 141N Lighting Tariff'!J68+'Sch 141R Lighting Tariff'!J68+G16</f>
        <v>18.259999999999998</v>
      </c>
      <c r="I16" s="209">
        <f t="shared" si="21"/>
        <v>653228.39999999991</v>
      </c>
      <c r="J16" s="209">
        <f t="shared" si="22"/>
        <v>641937</v>
      </c>
      <c r="K16" s="209">
        <f t="shared" si="23"/>
        <v>763633.2</v>
      </c>
      <c r="L16" s="209">
        <f t="shared" si="24"/>
        <v>-11291.399999999907</v>
      </c>
      <c r="M16" s="209">
        <f t="shared" si="25"/>
        <v>110404.80000000005</v>
      </c>
      <c r="N16" s="36">
        <f t="shared" si="26"/>
        <v>-1.7285531370038271E-2</v>
      </c>
      <c r="O16" s="36">
        <f t="shared" si="27"/>
        <v>0.16901408450704236</v>
      </c>
      <c r="P16" s="627"/>
      <c r="Q16" s="630">
        <f t="shared" si="28"/>
        <v>4</v>
      </c>
      <c r="R16" s="629" t="str">
        <f t="shared" si="29"/>
        <v>53E - Company Owned</v>
      </c>
      <c r="S16" s="426">
        <v>150</v>
      </c>
      <c r="T16" s="426" t="s">
        <v>69</v>
      </c>
      <c r="U16" s="177">
        <f t="shared" si="7"/>
        <v>3485</v>
      </c>
      <c r="V16" s="330">
        <f t="shared" si="8"/>
        <v>15.35</v>
      </c>
      <c r="W16" s="330">
        <f t="shared" si="9"/>
        <v>18.259999999999998</v>
      </c>
      <c r="X16" s="330">
        <f t="shared" si="10"/>
        <v>15.35</v>
      </c>
      <c r="Y16" s="330">
        <f>'Sch 141A Lighting Tariff'!N66+'Sch 141C Lighting Tariff'!N66+'Sch 141N Lighting Tariff'!N68+'Sch 141R Lighting Tariff'!N68+X16</f>
        <v>18.649999999999999</v>
      </c>
      <c r="Z16" s="209">
        <f t="shared" si="30"/>
        <v>641937</v>
      </c>
      <c r="AA16" s="209">
        <f t="shared" si="31"/>
        <v>763633.2</v>
      </c>
      <c r="AB16" s="209">
        <f t="shared" si="32"/>
        <v>641937</v>
      </c>
      <c r="AC16" s="209">
        <f t="shared" si="33"/>
        <v>779942.99999999988</v>
      </c>
      <c r="AD16" s="209">
        <f t="shared" si="34"/>
        <v>0</v>
      </c>
      <c r="AE16" s="209">
        <f t="shared" si="35"/>
        <v>16309.79999999993</v>
      </c>
      <c r="AF16" s="36" t="str">
        <f t="shared" si="36"/>
        <v>0%</v>
      </c>
      <c r="AG16" s="36">
        <f t="shared" si="37"/>
        <v>2.135815991237669E-2</v>
      </c>
      <c r="AH16" s="627"/>
      <c r="AI16" s="630">
        <f t="shared" si="38"/>
        <v>4</v>
      </c>
      <c r="AJ16" s="629" t="str">
        <f t="shared" si="39"/>
        <v>53E - Company Owned</v>
      </c>
      <c r="AK16" s="426">
        <v>150</v>
      </c>
      <c r="AL16" s="426" t="s">
        <v>69</v>
      </c>
      <c r="AM16" s="35"/>
      <c r="AN16" s="330"/>
      <c r="AO16" s="330"/>
      <c r="AP16" s="330"/>
      <c r="AQ16" s="330"/>
      <c r="AR16" s="209"/>
      <c r="AS16" s="209"/>
      <c r="AT16" s="209"/>
      <c r="AU16" s="209"/>
      <c r="AV16" s="209"/>
      <c r="AW16" s="209"/>
      <c r="AX16" s="36"/>
      <c r="AY16" s="36"/>
    </row>
    <row r="17" spans="1:51" x14ac:dyDescent="0.2">
      <c r="A17" s="630">
        <f t="shared" si="19"/>
        <v>5</v>
      </c>
      <c r="B17" s="629" t="str">
        <f t="shared" si="20"/>
        <v>53E - Company Owned</v>
      </c>
      <c r="C17" s="426">
        <v>200</v>
      </c>
      <c r="D17" s="426" t="s">
        <v>69</v>
      </c>
      <c r="E17" s="426">
        <f>'WP1 Light Inventory'!J63</f>
        <v>4408</v>
      </c>
      <c r="F17" s="330">
        <f>'WP2 Current Light Rates'!E59</f>
        <v>17.73</v>
      </c>
      <c r="G17" s="330">
        <f>'BDJ-6 Combined Charges'!K69</f>
        <v>17.329999999999998</v>
      </c>
      <c r="H17" s="330">
        <f>'Sch 141A Lighting Tariff'!J67+'Sch 141C Lighting Tariff'!J67+'Sch 141N Lighting Tariff'!J69+'Sch 141R Lighting Tariff'!J69+G17</f>
        <v>21.209999999999997</v>
      </c>
      <c r="I17" s="209">
        <f t="shared" si="21"/>
        <v>937846.08</v>
      </c>
      <c r="J17" s="209">
        <f t="shared" si="22"/>
        <v>916687.67999999993</v>
      </c>
      <c r="K17" s="209">
        <f t="shared" si="23"/>
        <v>1121924.1599999999</v>
      </c>
      <c r="L17" s="209">
        <f t="shared" si="24"/>
        <v>-21158.400000000023</v>
      </c>
      <c r="M17" s="209">
        <f t="shared" si="25"/>
        <v>184078.07999999996</v>
      </c>
      <c r="N17" s="36">
        <f t="shared" si="26"/>
        <v>-2.2560631697687562E-2</v>
      </c>
      <c r="O17" s="36">
        <f t="shared" si="27"/>
        <v>0.19627749576988152</v>
      </c>
      <c r="P17" s="627"/>
      <c r="Q17" s="630">
        <f t="shared" si="28"/>
        <v>5</v>
      </c>
      <c r="R17" s="629" t="str">
        <f t="shared" si="29"/>
        <v>53E - Company Owned</v>
      </c>
      <c r="S17" s="426">
        <v>200</v>
      </c>
      <c r="T17" s="426" t="s">
        <v>69</v>
      </c>
      <c r="U17" s="177">
        <f t="shared" si="7"/>
        <v>4408</v>
      </c>
      <c r="V17" s="330">
        <f t="shared" si="8"/>
        <v>17.329999999999998</v>
      </c>
      <c r="W17" s="330">
        <f t="shared" si="9"/>
        <v>21.209999999999997</v>
      </c>
      <c r="X17" s="330">
        <f t="shared" si="10"/>
        <v>17.329999999999998</v>
      </c>
      <c r="Y17" s="330">
        <f>'Sch 141A Lighting Tariff'!N67+'Sch 141C Lighting Tariff'!N67+'Sch 141N Lighting Tariff'!N69+'Sch 141R Lighting Tariff'!N69+X17</f>
        <v>21.729999999999997</v>
      </c>
      <c r="Z17" s="209">
        <f t="shared" si="30"/>
        <v>916687.67999999993</v>
      </c>
      <c r="AA17" s="209">
        <f t="shared" si="31"/>
        <v>1121924.1599999999</v>
      </c>
      <c r="AB17" s="209">
        <f t="shared" si="32"/>
        <v>916687.67999999993</v>
      </c>
      <c r="AC17" s="209">
        <f t="shared" si="33"/>
        <v>1149430.0799999998</v>
      </c>
      <c r="AD17" s="209">
        <f t="shared" si="34"/>
        <v>0</v>
      </c>
      <c r="AE17" s="209">
        <f t="shared" si="35"/>
        <v>27505.919999999925</v>
      </c>
      <c r="AF17" s="36" t="str">
        <f t="shared" si="36"/>
        <v>0%</v>
      </c>
      <c r="AG17" s="36">
        <f t="shared" si="37"/>
        <v>2.4516737388024453E-2</v>
      </c>
      <c r="AH17" s="627"/>
      <c r="AI17" s="630">
        <f t="shared" si="38"/>
        <v>5</v>
      </c>
      <c r="AJ17" s="629" t="str">
        <f t="shared" si="39"/>
        <v>53E - Company Owned</v>
      </c>
      <c r="AK17" s="426">
        <v>200</v>
      </c>
      <c r="AL17" s="426" t="s">
        <v>69</v>
      </c>
      <c r="AM17" s="35"/>
      <c r="AN17" s="330"/>
      <c r="AO17" s="330"/>
      <c r="AP17" s="330"/>
      <c r="AQ17" s="330"/>
      <c r="AR17" s="209"/>
      <c r="AS17" s="209"/>
      <c r="AT17" s="209"/>
      <c r="AU17" s="209"/>
      <c r="AV17" s="209"/>
      <c r="AW17" s="209"/>
      <c r="AX17" s="36"/>
      <c r="AY17" s="36"/>
    </row>
    <row r="18" spans="1:51" x14ac:dyDescent="0.2">
      <c r="A18" s="630">
        <f t="shared" si="19"/>
        <v>6</v>
      </c>
      <c r="B18" s="629" t="str">
        <f t="shared" si="20"/>
        <v>53E - Company Owned</v>
      </c>
      <c r="C18" s="426">
        <v>250</v>
      </c>
      <c r="D18" s="426" t="s">
        <v>69</v>
      </c>
      <c r="E18" s="426">
        <f>'WP1 Light Inventory'!J64</f>
        <v>1615</v>
      </c>
      <c r="F18" s="330">
        <f>'WP2 Current Light Rates'!E60</f>
        <v>19.489999999999998</v>
      </c>
      <c r="G18" s="330">
        <f>'BDJ-6 Combined Charges'!K70</f>
        <v>18.96</v>
      </c>
      <c r="H18" s="330">
        <f>'Sch 141A Lighting Tariff'!J68+'Sch 141C Lighting Tariff'!J68+'Sch 141N Lighting Tariff'!J70+'Sch 141R Lighting Tariff'!J70+G18</f>
        <v>23.810000000000002</v>
      </c>
      <c r="I18" s="209">
        <f t="shared" si="21"/>
        <v>377716.19999999995</v>
      </c>
      <c r="J18" s="209">
        <f t="shared" si="22"/>
        <v>367444.80000000005</v>
      </c>
      <c r="K18" s="209">
        <f t="shared" si="23"/>
        <v>461437.80000000005</v>
      </c>
      <c r="L18" s="209">
        <f t="shared" si="24"/>
        <v>-10271.399999999907</v>
      </c>
      <c r="M18" s="209">
        <f t="shared" si="25"/>
        <v>83721.600000000093</v>
      </c>
      <c r="N18" s="36">
        <f t="shared" si="26"/>
        <v>-2.7193432529502067E-2</v>
      </c>
      <c r="O18" s="36">
        <f t="shared" si="27"/>
        <v>0.2216521292970757</v>
      </c>
      <c r="P18" s="627"/>
      <c r="Q18" s="630">
        <f t="shared" si="28"/>
        <v>6</v>
      </c>
      <c r="R18" s="629" t="str">
        <f t="shared" si="29"/>
        <v>53E - Company Owned</v>
      </c>
      <c r="S18" s="426">
        <v>250</v>
      </c>
      <c r="T18" s="426" t="s">
        <v>69</v>
      </c>
      <c r="U18" s="177">
        <f t="shared" si="7"/>
        <v>1615</v>
      </c>
      <c r="V18" s="330">
        <f t="shared" si="8"/>
        <v>18.96</v>
      </c>
      <c r="W18" s="330">
        <f t="shared" si="9"/>
        <v>23.810000000000002</v>
      </c>
      <c r="X18" s="330">
        <f t="shared" si="10"/>
        <v>18.96</v>
      </c>
      <c r="Y18" s="330">
        <f>'Sch 141A Lighting Tariff'!N68+'Sch 141C Lighting Tariff'!N68+'Sch 141N Lighting Tariff'!N70+'Sch 141R Lighting Tariff'!N70+X18</f>
        <v>24.47</v>
      </c>
      <c r="Z18" s="209">
        <f t="shared" si="30"/>
        <v>367444.80000000005</v>
      </c>
      <c r="AA18" s="209">
        <f t="shared" si="31"/>
        <v>461437.80000000005</v>
      </c>
      <c r="AB18" s="209">
        <f t="shared" si="32"/>
        <v>367444.80000000005</v>
      </c>
      <c r="AC18" s="209">
        <f t="shared" si="33"/>
        <v>474228.6</v>
      </c>
      <c r="AD18" s="209">
        <f t="shared" si="34"/>
        <v>0</v>
      </c>
      <c r="AE18" s="209">
        <f t="shared" si="35"/>
        <v>12790.79999999993</v>
      </c>
      <c r="AF18" s="36" t="str">
        <f t="shared" si="36"/>
        <v>0%</v>
      </c>
      <c r="AG18" s="36">
        <f t="shared" si="37"/>
        <v>2.7719445611087624E-2</v>
      </c>
      <c r="AH18" s="627"/>
      <c r="AI18" s="630">
        <f t="shared" si="38"/>
        <v>6</v>
      </c>
      <c r="AJ18" s="629" t="str">
        <f t="shared" si="39"/>
        <v>53E - Company Owned</v>
      </c>
      <c r="AK18" s="426">
        <v>250</v>
      </c>
      <c r="AL18" s="426" t="s">
        <v>69</v>
      </c>
      <c r="AM18" s="35"/>
      <c r="AN18" s="330"/>
      <c r="AO18" s="330"/>
      <c r="AP18" s="330"/>
      <c r="AQ18" s="330"/>
      <c r="AR18" s="209"/>
      <c r="AS18" s="209"/>
      <c r="AT18" s="209"/>
      <c r="AU18" s="209"/>
      <c r="AV18" s="209"/>
      <c r="AW18" s="209"/>
      <c r="AX18" s="36"/>
      <c r="AY18" s="36"/>
    </row>
    <row r="19" spans="1:51" x14ac:dyDescent="0.2">
      <c r="A19" s="630">
        <f t="shared" si="19"/>
        <v>7</v>
      </c>
      <c r="B19" s="629" t="str">
        <f t="shared" si="20"/>
        <v>53E - Company Owned</v>
      </c>
      <c r="C19" s="426">
        <v>310</v>
      </c>
      <c r="D19" s="426" t="s">
        <v>69</v>
      </c>
      <c r="E19" s="426">
        <f>'WP1 Light Inventory'!J65</f>
        <v>15</v>
      </c>
      <c r="F19" s="330">
        <f>'WP2 Current Light Rates'!E61</f>
        <v>21.8</v>
      </c>
      <c r="G19" s="330">
        <f>'BDJ-6 Combined Charges'!K71</f>
        <v>21.11</v>
      </c>
      <c r="H19" s="330">
        <f>'Sch 141A Lighting Tariff'!J69+'Sch 141C Lighting Tariff'!J69+'Sch 141N Lighting Tariff'!J71+'Sch 141R Lighting Tariff'!J71+G19</f>
        <v>27.11</v>
      </c>
      <c r="I19" s="209">
        <f t="shared" si="21"/>
        <v>3924</v>
      </c>
      <c r="J19" s="209">
        <f t="shared" si="22"/>
        <v>3799.7999999999997</v>
      </c>
      <c r="K19" s="209">
        <f t="shared" si="23"/>
        <v>4879.7999999999993</v>
      </c>
      <c r="L19" s="209">
        <f t="shared" si="24"/>
        <v>-124.20000000000027</v>
      </c>
      <c r="M19" s="209">
        <f t="shared" si="25"/>
        <v>955.79999999999927</v>
      </c>
      <c r="N19" s="36">
        <f t="shared" si="26"/>
        <v>-3.1651376146789062E-2</v>
      </c>
      <c r="O19" s="36">
        <f t="shared" si="27"/>
        <v>0.24357798165137595</v>
      </c>
      <c r="P19" s="627"/>
      <c r="Q19" s="630">
        <f t="shared" si="28"/>
        <v>7</v>
      </c>
      <c r="R19" s="629" t="str">
        <f t="shared" si="29"/>
        <v>53E - Company Owned</v>
      </c>
      <c r="S19" s="426">
        <v>310</v>
      </c>
      <c r="T19" s="426" t="s">
        <v>69</v>
      </c>
      <c r="U19" s="177">
        <f t="shared" si="7"/>
        <v>15</v>
      </c>
      <c r="V19" s="330">
        <f t="shared" si="8"/>
        <v>21.11</v>
      </c>
      <c r="W19" s="330">
        <f t="shared" si="9"/>
        <v>27.11</v>
      </c>
      <c r="X19" s="330">
        <f t="shared" si="10"/>
        <v>21.11</v>
      </c>
      <c r="Y19" s="330">
        <f>'Sch 141A Lighting Tariff'!N69+'Sch 141C Lighting Tariff'!N69+'Sch 141N Lighting Tariff'!N71+'Sch 141R Lighting Tariff'!N71+X19</f>
        <v>27.939999999999998</v>
      </c>
      <c r="Z19" s="209">
        <f t="shared" si="30"/>
        <v>3799.7999999999997</v>
      </c>
      <c r="AA19" s="209">
        <f t="shared" si="31"/>
        <v>4879.7999999999993</v>
      </c>
      <c r="AB19" s="209">
        <f t="shared" si="32"/>
        <v>3799.7999999999997</v>
      </c>
      <c r="AC19" s="209">
        <f t="shared" si="33"/>
        <v>5029.2</v>
      </c>
      <c r="AD19" s="209">
        <f t="shared" si="34"/>
        <v>0</v>
      </c>
      <c r="AE19" s="209">
        <f t="shared" si="35"/>
        <v>149.40000000000055</v>
      </c>
      <c r="AF19" s="36" t="str">
        <f t="shared" si="36"/>
        <v>0%</v>
      </c>
      <c r="AG19" s="36">
        <f t="shared" si="37"/>
        <v>3.0616008852821952E-2</v>
      </c>
      <c r="AH19" s="627"/>
      <c r="AI19" s="630">
        <f t="shared" si="38"/>
        <v>7</v>
      </c>
      <c r="AJ19" s="629" t="str">
        <f t="shared" si="39"/>
        <v>53E - Company Owned</v>
      </c>
      <c r="AK19" s="426">
        <v>310</v>
      </c>
      <c r="AL19" s="426" t="s">
        <v>69</v>
      </c>
      <c r="AM19" s="35"/>
      <c r="AN19" s="330"/>
      <c r="AO19" s="330"/>
      <c r="AP19" s="330"/>
      <c r="AQ19" s="330"/>
      <c r="AR19" s="209"/>
      <c r="AS19" s="209"/>
      <c r="AT19" s="209"/>
      <c r="AU19" s="209"/>
      <c r="AV19" s="209"/>
      <c r="AW19" s="209"/>
      <c r="AX19" s="36"/>
      <c r="AY19" s="36"/>
    </row>
    <row r="20" spans="1:51" x14ac:dyDescent="0.2">
      <c r="A20" s="630">
        <f t="shared" si="19"/>
        <v>8</v>
      </c>
      <c r="B20" s="629" t="str">
        <f t="shared" si="20"/>
        <v>53E - Company Owned</v>
      </c>
      <c r="C20" s="426">
        <v>400</v>
      </c>
      <c r="D20" s="426" t="s">
        <v>69</v>
      </c>
      <c r="E20" s="426">
        <f>'WP1 Light Inventory'!J66</f>
        <v>884</v>
      </c>
      <c r="F20" s="330">
        <f>'WP2 Current Light Rates'!E62</f>
        <v>25.4</v>
      </c>
      <c r="G20" s="330">
        <f>'BDJ-6 Combined Charges'!K72</f>
        <v>24.47</v>
      </c>
      <c r="H20" s="330">
        <f>'Sch 141A Lighting Tariff'!J70+'Sch 141C Lighting Tariff'!J70+'Sch 141N Lighting Tariff'!J72+'Sch 141R Lighting Tariff'!J72+G20</f>
        <v>32.229999999999997</v>
      </c>
      <c r="I20" s="209">
        <f t="shared" si="21"/>
        <v>269443.19999999995</v>
      </c>
      <c r="J20" s="209">
        <f t="shared" si="22"/>
        <v>259577.76</v>
      </c>
      <c r="K20" s="209">
        <f t="shared" si="23"/>
        <v>341895.83999999997</v>
      </c>
      <c r="L20" s="209">
        <f t="shared" si="24"/>
        <v>-9865.4399999999441</v>
      </c>
      <c r="M20" s="209">
        <f t="shared" si="25"/>
        <v>72452.640000000014</v>
      </c>
      <c r="N20" s="36">
        <f t="shared" si="26"/>
        <v>-3.6614173228346258E-2</v>
      </c>
      <c r="O20" s="36">
        <f t="shared" si="27"/>
        <v>0.2688976377952757</v>
      </c>
      <c r="P20" s="627"/>
      <c r="Q20" s="630">
        <f t="shared" si="28"/>
        <v>8</v>
      </c>
      <c r="R20" s="629" t="str">
        <f t="shared" si="29"/>
        <v>53E - Company Owned</v>
      </c>
      <c r="S20" s="426">
        <v>400</v>
      </c>
      <c r="T20" s="426" t="s">
        <v>69</v>
      </c>
      <c r="U20" s="177">
        <f t="shared" si="7"/>
        <v>884</v>
      </c>
      <c r="V20" s="330">
        <f t="shared" si="8"/>
        <v>24.47</v>
      </c>
      <c r="W20" s="330">
        <f t="shared" si="9"/>
        <v>32.229999999999997</v>
      </c>
      <c r="X20" s="330">
        <f t="shared" si="10"/>
        <v>24.47</v>
      </c>
      <c r="Y20" s="330">
        <f>'Sch 141A Lighting Tariff'!N70+'Sch 141C Lighting Tariff'!N70+'Sch 141N Lighting Tariff'!N72+'Sch 141R Lighting Tariff'!N72+X20</f>
        <v>33.29</v>
      </c>
      <c r="Z20" s="209">
        <f t="shared" si="30"/>
        <v>259577.76</v>
      </c>
      <c r="AA20" s="209">
        <f t="shared" si="31"/>
        <v>341895.83999999997</v>
      </c>
      <c r="AB20" s="209">
        <f t="shared" si="32"/>
        <v>259577.76</v>
      </c>
      <c r="AC20" s="209">
        <f t="shared" si="33"/>
        <v>353140.32</v>
      </c>
      <c r="AD20" s="209">
        <f t="shared" si="34"/>
        <v>0</v>
      </c>
      <c r="AE20" s="209">
        <f t="shared" si="35"/>
        <v>11244.48000000004</v>
      </c>
      <c r="AF20" s="36" t="str">
        <f t="shared" si="36"/>
        <v>0%</v>
      </c>
      <c r="AG20" s="36">
        <f t="shared" si="37"/>
        <v>3.2888613093391368E-2</v>
      </c>
      <c r="AH20" s="627"/>
      <c r="AI20" s="630">
        <f t="shared" si="38"/>
        <v>8</v>
      </c>
      <c r="AJ20" s="629" t="str">
        <f t="shared" si="39"/>
        <v>53E - Company Owned</v>
      </c>
      <c r="AK20" s="426">
        <v>400</v>
      </c>
      <c r="AL20" s="426" t="s">
        <v>69</v>
      </c>
      <c r="AM20" s="35"/>
      <c r="AN20" s="330"/>
      <c r="AO20" s="330"/>
      <c r="AP20" s="330"/>
      <c r="AQ20" s="330"/>
      <c r="AR20" s="209"/>
      <c r="AS20" s="209"/>
      <c r="AT20" s="209"/>
      <c r="AU20" s="209"/>
      <c r="AV20" s="209"/>
      <c r="AW20" s="209"/>
      <c r="AX20" s="36"/>
      <c r="AY20" s="36"/>
    </row>
    <row r="21" spans="1:51" x14ac:dyDescent="0.2">
      <c r="A21" s="630">
        <f t="shared" si="19"/>
        <v>9</v>
      </c>
      <c r="B21" s="629" t="str">
        <f t="shared" si="20"/>
        <v>53E - Company Owned</v>
      </c>
      <c r="C21" s="426">
        <v>1000</v>
      </c>
      <c r="D21" s="426" t="s">
        <v>69</v>
      </c>
      <c r="E21" s="426">
        <f>'WP1 Light Inventory'!J67</f>
        <v>0</v>
      </c>
      <c r="F21" s="330">
        <f>'WP2 Current Light Rates'!E63</f>
        <v>46.5</v>
      </c>
      <c r="G21" s="330">
        <f>'BDJ-6 Combined Charges'!K73</f>
        <v>44.64</v>
      </c>
      <c r="H21" s="330">
        <f>'Sch 141A Lighting Tariff'!J71+'Sch 141C Lighting Tariff'!J71+'Sch 141N Lighting Tariff'!J73+'Sch 141R Lighting Tariff'!J73+G21</f>
        <v>64.03</v>
      </c>
      <c r="I21" s="209">
        <f t="shared" si="21"/>
        <v>0</v>
      </c>
      <c r="J21" s="209">
        <f t="shared" si="22"/>
        <v>0</v>
      </c>
      <c r="K21" s="209">
        <f t="shared" si="23"/>
        <v>0</v>
      </c>
      <c r="L21" s="209">
        <f t="shared" si="24"/>
        <v>0</v>
      </c>
      <c r="M21" s="209">
        <f t="shared" si="25"/>
        <v>0</v>
      </c>
      <c r="N21" s="36" t="str">
        <f t="shared" si="26"/>
        <v>0%</v>
      </c>
      <c r="O21" s="36" t="str">
        <f t="shared" si="27"/>
        <v>0%</v>
      </c>
      <c r="P21" s="627"/>
      <c r="Q21" s="630">
        <f t="shared" si="28"/>
        <v>9</v>
      </c>
      <c r="R21" s="629" t="str">
        <f t="shared" si="29"/>
        <v>53E - Company Owned</v>
      </c>
      <c r="S21" s="426">
        <v>1000</v>
      </c>
      <c r="T21" s="426" t="s">
        <v>69</v>
      </c>
      <c r="U21" s="177">
        <f t="shared" si="7"/>
        <v>0</v>
      </c>
      <c r="V21" s="330">
        <f t="shared" si="8"/>
        <v>44.64</v>
      </c>
      <c r="W21" s="330">
        <f t="shared" si="9"/>
        <v>64.03</v>
      </c>
      <c r="X21" s="330">
        <f t="shared" si="10"/>
        <v>44.64</v>
      </c>
      <c r="Y21" s="330">
        <f>'Sch 141A Lighting Tariff'!N71+'Sch 141C Lighting Tariff'!N71+'Sch 141N Lighting Tariff'!N73+'Sch 141R Lighting Tariff'!N73+X21</f>
        <v>66.680000000000007</v>
      </c>
      <c r="Z21" s="209">
        <f t="shared" si="30"/>
        <v>0</v>
      </c>
      <c r="AA21" s="209">
        <f t="shared" si="31"/>
        <v>0</v>
      </c>
      <c r="AB21" s="209">
        <f t="shared" si="32"/>
        <v>0</v>
      </c>
      <c r="AC21" s="209">
        <f t="shared" si="33"/>
        <v>0</v>
      </c>
      <c r="AD21" s="209">
        <f t="shared" si="34"/>
        <v>0</v>
      </c>
      <c r="AE21" s="209">
        <f t="shared" si="35"/>
        <v>0</v>
      </c>
      <c r="AF21" s="36" t="str">
        <f t="shared" si="36"/>
        <v>0%</v>
      </c>
      <c r="AG21" s="36" t="str">
        <f t="shared" si="37"/>
        <v>0%</v>
      </c>
      <c r="AH21" s="627"/>
      <c r="AI21" s="630">
        <f t="shared" si="38"/>
        <v>9</v>
      </c>
      <c r="AJ21" s="629" t="str">
        <f t="shared" si="39"/>
        <v>53E - Company Owned</v>
      </c>
      <c r="AK21" s="426">
        <v>1000</v>
      </c>
      <c r="AL21" s="426" t="s">
        <v>69</v>
      </c>
      <c r="AM21" s="35"/>
      <c r="AN21" s="330"/>
      <c r="AO21" s="330"/>
      <c r="AP21" s="330"/>
      <c r="AQ21" s="330"/>
      <c r="AR21" s="209"/>
      <c r="AS21" s="209"/>
      <c r="AT21" s="209"/>
      <c r="AU21" s="209"/>
      <c r="AV21" s="209"/>
      <c r="AW21" s="209"/>
      <c r="AX21" s="36"/>
      <c r="AY21" s="36"/>
    </row>
    <row r="22" spans="1:51" x14ac:dyDescent="0.2">
      <c r="A22" s="630">
        <f t="shared" si="19"/>
        <v>10</v>
      </c>
      <c r="B22" s="313"/>
      <c r="C22" s="364"/>
      <c r="D22" s="364" t="str">
        <f>D21</f>
        <v>Sodium Vapor</v>
      </c>
      <c r="E22" s="368">
        <f>SUM(E13:E21)</f>
        <v>42655</v>
      </c>
      <c r="F22" s="42"/>
      <c r="G22" s="42"/>
      <c r="H22" s="42"/>
      <c r="I22" s="266">
        <f>SUM(I13:I21)</f>
        <v>7645278.8399999999</v>
      </c>
      <c r="J22" s="266">
        <f t="shared" ref="J22:M22" si="40">SUM(J13:J21)</f>
        <v>7544562.7199999988</v>
      </c>
      <c r="K22" s="266">
        <f t="shared" si="40"/>
        <v>8772461.040000001</v>
      </c>
      <c r="L22" s="266">
        <f t="shared" si="40"/>
        <v>-100716.11999999957</v>
      </c>
      <c r="M22" s="266">
        <f t="shared" si="40"/>
        <v>1127182.2000000007</v>
      </c>
      <c r="N22" s="267">
        <f t="shared" si="5"/>
        <v>-1.3173635927188704E-2</v>
      </c>
      <c r="O22" s="267">
        <f t="shared" si="6"/>
        <v>0.14743506726041147</v>
      </c>
      <c r="P22" s="627"/>
      <c r="Q22" s="630">
        <f t="shared" si="28"/>
        <v>10</v>
      </c>
      <c r="R22" s="313"/>
      <c r="S22" s="364"/>
      <c r="T22" s="364" t="str">
        <f>T21</f>
        <v>Sodium Vapor</v>
      </c>
      <c r="U22" s="368">
        <f>SUM(U13:U21)</f>
        <v>42655</v>
      </c>
      <c r="V22" s="42"/>
      <c r="W22" s="42"/>
      <c r="X22" s="42"/>
      <c r="Y22" s="42"/>
      <c r="Z22" s="266">
        <f t="shared" ref="Z22:AE22" si="41">SUM(Z13:Z21)</f>
        <v>7544562.7199999988</v>
      </c>
      <c r="AA22" s="266">
        <f t="shared" si="41"/>
        <v>8772461.040000001</v>
      </c>
      <c r="AB22" s="266">
        <f t="shared" si="41"/>
        <v>7544562.7199999988</v>
      </c>
      <c r="AC22" s="266">
        <f t="shared" si="41"/>
        <v>8938313.2799999993</v>
      </c>
      <c r="AD22" s="266">
        <f t="shared" si="41"/>
        <v>0</v>
      </c>
      <c r="AE22" s="266">
        <f t="shared" si="41"/>
        <v>165852.23999999932</v>
      </c>
      <c r="AF22" s="267" t="str">
        <f t="shared" si="17"/>
        <v>0%</v>
      </c>
      <c r="AG22" s="267">
        <f t="shared" si="18"/>
        <v>1.8906010439232377E-2</v>
      </c>
      <c r="AH22" s="627"/>
      <c r="AI22" s="630">
        <f t="shared" si="38"/>
        <v>10</v>
      </c>
      <c r="AJ22" s="313"/>
      <c r="AK22" s="364"/>
      <c r="AL22" s="364" t="str">
        <f>AL21</f>
        <v>Sodium Vapor</v>
      </c>
      <c r="AM22" s="368"/>
      <c r="AN22" s="42"/>
      <c r="AO22" s="42"/>
      <c r="AP22" s="42"/>
      <c r="AQ22" s="42"/>
      <c r="AR22" s="266"/>
      <c r="AS22" s="266"/>
      <c r="AT22" s="266"/>
      <c r="AU22" s="266"/>
      <c r="AV22" s="266"/>
      <c r="AW22" s="266"/>
      <c r="AX22" s="267"/>
      <c r="AY22" s="267"/>
    </row>
    <row r="23" spans="1:51" x14ac:dyDescent="0.2">
      <c r="A23" s="630">
        <f t="shared" si="19"/>
        <v>11</v>
      </c>
      <c r="B23" s="629"/>
      <c r="C23" s="426"/>
      <c r="D23" s="426"/>
      <c r="E23" s="426"/>
      <c r="F23" s="330"/>
      <c r="G23" s="330"/>
      <c r="H23" s="330"/>
      <c r="I23" s="209"/>
      <c r="J23" s="209"/>
      <c r="K23" s="209"/>
      <c r="L23" s="209"/>
      <c r="M23" s="209"/>
      <c r="N23" s="518"/>
      <c r="O23" s="518"/>
      <c r="P23" s="627"/>
      <c r="Q23" s="630">
        <f t="shared" si="28"/>
        <v>11</v>
      </c>
      <c r="R23" s="629"/>
      <c r="S23" s="426"/>
      <c r="T23" s="426"/>
      <c r="W23" s="330"/>
      <c r="Y23" s="330"/>
      <c r="AA23" s="209"/>
      <c r="AC23" s="209"/>
      <c r="AE23" s="209"/>
      <c r="AF23" s="518"/>
      <c r="AG23" s="518"/>
      <c r="AH23" s="627"/>
      <c r="AI23" s="630">
        <f t="shared" si="38"/>
        <v>11</v>
      </c>
      <c r="AJ23" s="629"/>
      <c r="AK23" s="426"/>
      <c r="AL23" s="426"/>
      <c r="AO23" s="330"/>
      <c r="AQ23" s="330"/>
      <c r="AS23" s="209"/>
      <c r="AU23" s="209"/>
      <c r="AW23" s="209"/>
      <c r="AX23" s="518"/>
      <c r="AY23" s="518"/>
    </row>
    <row r="24" spans="1:51" x14ac:dyDescent="0.2">
      <c r="A24" s="630">
        <f t="shared" si="19"/>
        <v>12</v>
      </c>
      <c r="B24" s="629" t="str">
        <f>+B21</f>
        <v>53E - Company Owned</v>
      </c>
      <c r="C24" s="426">
        <v>70</v>
      </c>
      <c r="D24" s="426" t="s">
        <v>80</v>
      </c>
      <c r="E24" s="426">
        <f>'WP1 Light Inventory'!J69</f>
        <v>0</v>
      </c>
      <c r="F24" s="330">
        <f>'WP2 Current Light Rates'!E65</f>
        <v>14.1</v>
      </c>
      <c r="G24" s="330">
        <f>'BDJ-6 Combined Charges'!K75</f>
        <v>14.73</v>
      </c>
      <c r="H24" s="330">
        <f>'Sch 141A Lighting Tariff'!J73+'Sch 141C Lighting Tariff'!J73+'Sch 141N Lighting Tariff'!J75+'Sch 141R Lighting Tariff'!J75+G24</f>
        <v>16.080000000000002</v>
      </c>
      <c r="I24" s="209">
        <f t="shared" ref="I24:I28" si="42">(+F24*$E24*12)</f>
        <v>0</v>
      </c>
      <c r="J24" s="209">
        <f t="shared" ref="J24:J28" si="43">(+G24*$E24*12)</f>
        <v>0</v>
      </c>
      <c r="K24" s="209">
        <f t="shared" ref="K24:K28" si="44">(H24)*E24*12</f>
        <v>0</v>
      </c>
      <c r="L24" s="209">
        <f t="shared" ref="L24:L28" si="45">+J24-I24</f>
        <v>0</v>
      </c>
      <c r="M24" s="209">
        <f t="shared" ref="M24:M28" si="46">+K24-I24</f>
        <v>0</v>
      </c>
      <c r="N24" s="36" t="str">
        <f t="shared" ref="N24:N28" si="47">IF(+L24=0,"0%",L24/I24)</f>
        <v>0%</v>
      </c>
      <c r="O24" s="36" t="str">
        <f t="shared" ref="O24:O28" si="48">IF(+M24=0,"0%",M24/I24)</f>
        <v>0%</v>
      </c>
      <c r="P24" s="627"/>
      <c r="Q24" s="630">
        <f t="shared" si="28"/>
        <v>12</v>
      </c>
      <c r="R24" s="629" t="str">
        <f>+R21</f>
        <v>53E - Company Owned</v>
      </c>
      <c r="S24" s="426">
        <v>70</v>
      </c>
      <c r="T24" s="426" t="s">
        <v>80</v>
      </c>
      <c r="U24" s="177">
        <f>E24</f>
        <v>0</v>
      </c>
      <c r="V24" s="330">
        <f t="shared" ref="V24:W28" si="49">G24</f>
        <v>14.73</v>
      </c>
      <c r="W24" s="330">
        <f t="shared" si="49"/>
        <v>16.080000000000002</v>
      </c>
      <c r="X24" s="330">
        <f>V24</f>
        <v>14.73</v>
      </c>
      <c r="Y24" s="330">
        <f>'Sch 141A Lighting Tariff'!N73+'Sch 141C Lighting Tariff'!N73+'Sch 141N Lighting Tariff'!N75+'Sch 141R Lighting Tariff'!N75+X24</f>
        <v>16.28</v>
      </c>
      <c r="Z24" s="209">
        <f t="shared" ref="Z24:Z28" si="50">(+V24*$U24*12)</f>
        <v>0</v>
      </c>
      <c r="AA24" s="209">
        <f t="shared" ref="AA24:AA28" si="51">(+W24*$U24*12)</f>
        <v>0</v>
      </c>
      <c r="AB24" s="209">
        <f t="shared" ref="AB24:AB28" si="52">(+X24*$U24*12)</f>
        <v>0</v>
      </c>
      <c r="AC24" s="209">
        <f t="shared" ref="AC24:AC28" si="53">(+Y24*$U24*12)</f>
        <v>0</v>
      </c>
      <c r="AD24" s="209">
        <f t="shared" ref="AD24:AD28" si="54">+AB24-Z24</f>
        <v>0</v>
      </c>
      <c r="AE24" s="209">
        <f t="shared" ref="AE24:AE28" si="55">+AC24-AA24</f>
        <v>0</v>
      </c>
      <c r="AF24" s="36" t="str">
        <f t="shared" ref="AF24:AF28" si="56">IF(+AD24=0,"0%",AD24/Z24)</f>
        <v>0%</v>
      </c>
      <c r="AG24" s="36" t="str">
        <f t="shared" ref="AG24:AG28" si="57">IF(+AE24=0,"0%",AE24/AA24)</f>
        <v>0%</v>
      </c>
      <c r="AH24" s="627"/>
      <c r="AI24" s="630">
        <f t="shared" si="38"/>
        <v>12</v>
      </c>
      <c r="AJ24" s="629" t="str">
        <f>+AJ21</f>
        <v>53E - Company Owned</v>
      </c>
      <c r="AK24" s="426">
        <v>70</v>
      </c>
      <c r="AL24" s="426" t="s">
        <v>80</v>
      </c>
      <c r="AM24" s="35"/>
      <c r="AN24" s="330"/>
      <c r="AO24" s="330"/>
      <c r="AP24" s="330"/>
      <c r="AQ24" s="330"/>
      <c r="AR24" s="209"/>
      <c r="AS24" s="209"/>
      <c r="AT24" s="209"/>
      <c r="AU24" s="209"/>
      <c r="AV24" s="209"/>
      <c r="AW24" s="209"/>
      <c r="AX24" s="36"/>
      <c r="AY24" s="36"/>
    </row>
    <row r="25" spans="1:51" x14ac:dyDescent="0.2">
      <c r="A25" s="630">
        <f t="shared" si="19"/>
        <v>13</v>
      </c>
      <c r="B25" s="629" t="str">
        <f>+B24</f>
        <v>53E - Company Owned</v>
      </c>
      <c r="C25" s="426">
        <v>100</v>
      </c>
      <c r="D25" s="426" t="s">
        <v>80</v>
      </c>
      <c r="E25" s="426">
        <f>'WP1 Light Inventory'!J70</f>
        <v>0</v>
      </c>
      <c r="F25" s="330">
        <f>'WP2 Current Light Rates'!E66</f>
        <v>15.2</v>
      </c>
      <c r="G25" s="330">
        <f>'BDJ-6 Combined Charges'!K76</f>
        <v>15.749999999999998</v>
      </c>
      <c r="H25" s="330">
        <f>'Sch 141A Lighting Tariff'!J74+'Sch 141C Lighting Tariff'!J74+'Sch 141N Lighting Tariff'!J76+'Sch 141R Lighting Tariff'!J76+G25</f>
        <v>17.689999999999998</v>
      </c>
      <c r="I25" s="209">
        <f t="shared" si="42"/>
        <v>0</v>
      </c>
      <c r="J25" s="209">
        <f t="shared" si="43"/>
        <v>0</v>
      </c>
      <c r="K25" s="209">
        <f t="shared" si="44"/>
        <v>0</v>
      </c>
      <c r="L25" s="209">
        <f t="shared" si="45"/>
        <v>0</v>
      </c>
      <c r="M25" s="209">
        <f t="shared" si="46"/>
        <v>0</v>
      </c>
      <c r="N25" s="36" t="str">
        <f t="shared" si="47"/>
        <v>0%</v>
      </c>
      <c r="O25" s="36" t="str">
        <f t="shared" si="48"/>
        <v>0%</v>
      </c>
      <c r="P25" s="627"/>
      <c r="Q25" s="630">
        <f t="shared" si="28"/>
        <v>13</v>
      </c>
      <c r="R25" s="629" t="str">
        <f>+R24</f>
        <v>53E - Company Owned</v>
      </c>
      <c r="S25" s="426">
        <v>100</v>
      </c>
      <c r="T25" s="426" t="s">
        <v>80</v>
      </c>
      <c r="U25" s="177">
        <f>E25</f>
        <v>0</v>
      </c>
      <c r="V25" s="330">
        <f t="shared" si="49"/>
        <v>15.749999999999998</v>
      </c>
      <c r="W25" s="330">
        <f t="shared" si="49"/>
        <v>17.689999999999998</v>
      </c>
      <c r="X25" s="330">
        <f>V25</f>
        <v>15.749999999999998</v>
      </c>
      <c r="Y25" s="330">
        <f>'Sch 141A Lighting Tariff'!N74+'Sch 141C Lighting Tariff'!N74+'Sch 141N Lighting Tariff'!N76+'Sch 141R Lighting Tariff'!N76+X25</f>
        <v>17.95</v>
      </c>
      <c r="Z25" s="209">
        <f t="shared" si="50"/>
        <v>0</v>
      </c>
      <c r="AA25" s="209">
        <f t="shared" si="51"/>
        <v>0</v>
      </c>
      <c r="AB25" s="209">
        <f t="shared" si="52"/>
        <v>0</v>
      </c>
      <c r="AC25" s="209">
        <f t="shared" si="53"/>
        <v>0</v>
      </c>
      <c r="AD25" s="209">
        <f t="shared" si="54"/>
        <v>0</v>
      </c>
      <c r="AE25" s="209">
        <f t="shared" si="55"/>
        <v>0</v>
      </c>
      <c r="AF25" s="36" t="str">
        <f t="shared" si="56"/>
        <v>0%</v>
      </c>
      <c r="AG25" s="36" t="str">
        <f t="shared" si="57"/>
        <v>0%</v>
      </c>
      <c r="AH25" s="627"/>
      <c r="AI25" s="630">
        <f t="shared" si="38"/>
        <v>13</v>
      </c>
      <c r="AJ25" s="629" t="str">
        <f>+AJ24</f>
        <v>53E - Company Owned</v>
      </c>
      <c r="AK25" s="426">
        <v>100</v>
      </c>
      <c r="AL25" s="426" t="s">
        <v>80</v>
      </c>
      <c r="AM25" s="35"/>
      <c r="AN25" s="330"/>
      <c r="AO25" s="330"/>
      <c r="AP25" s="330"/>
      <c r="AQ25" s="330"/>
      <c r="AR25" s="209"/>
      <c r="AS25" s="209"/>
      <c r="AT25" s="209"/>
      <c r="AU25" s="209"/>
      <c r="AV25" s="209"/>
      <c r="AW25" s="209"/>
      <c r="AX25" s="36"/>
      <c r="AY25" s="36"/>
    </row>
    <row r="26" spans="1:51" x14ac:dyDescent="0.2">
      <c r="A26" s="630">
        <f t="shared" si="19"/>
        <v>14</v>
      </c>
      <c r="B26" s="629" t="str">
        <f>+B25</f>
        <v>53E - Company Owned</v>
      </c>
      <c r="C26" s="426">
        <v>150</v>
      </c>
      <c r="D26" s="426" t="s">
        <v>80</v>
      </c>
      <c r="E26" s="426">
        <f>'WP1 Light Inventory'!J71</f>
        <v>0</v>
      </c>
      <c r="F26" s="330">
        <f>'WP2 Current Light Rates'!E67</f>
        <v>17.04</v>
      </c>
      <c r="G26" s="330">
        <f>'BDJ-6 Combined Charges'!K77</f>
        <v>17.440000000000001</v>
      </c>
      <c r="H26" s="330">
        <f>'Sch 141A Lighting Tariff'!J75+'Sch 141C Lighting Tariff'!J75+'Sch 141N Lighting Tariff'!J77+'Sch 141R Lighting Tariff'!J77+G26</f>
        <v>20.350000000000001</v>
      </c>
      <c r="I26" s="209">
        <f t="shared" si="42"/>
        <v>0</v>
      </c>
      <c r="J26" s="209">
        <f t="shared" si="43"/>
        <v>0</v>
      </c>
      <c r="K26" s="209">
        <f t="shared" si="44"/>
        <v>0</v>
      </c>
      <c r="L26" s="209">
        <f t="shared" si="45"/>
        <v>0</v>
      </c>
      <c r="M26" s="209">
        <f t="shared" si="46"/>
        <v>0</v>
      </c>
      <c r="N26" s="36" t="str">
        <f t="shared" si="47"/>
        <v>0%</v>
      </c>
      <c r="O26" s="36" t="str">
        <f t="shared" si="48"/>
        <v>0%</v>
      </c>
      <c r="P26" s="627"/>
      <c r="Q26" s="630">
        <f t="shared" si="28"/>
        <v>14</v>
      </c>
      <c r="R26" s="629" t="str">
        <f>+R25</f>
        <v>53E - Company Owned</v>
      </c>
      <c r="S26" s="426">
        <v>150</v>
      </c>
      <c r="T26" s="426" t="s">
        <v>80</v>
      </c>
      <c r="U26" s="177">
        <f>E26</f>
        <v>0</v>
      </c>
      <c r="V26" s="330">
        <f t="shared" si="49"/>
        <v>17.440000000000001</v>
      </c>
      <c r="W26" s="330">
        <f t="shared" si="49"/>
        <v>20.350000000000001</v>
      </c>
      <c r="X26" s="330">
        <f>V26</f>
        <v>17.440000000000001</v>
      </c>
      <c r="Y26" s="330">
        <f>'Sch 141A Lighting Tariff'!N75+'Sch 141C Lighting Tariff'!N75+'Sch 141N Lighting Tariff'!N77+'Sch 141R Lighting Tariff'!N77+X26</f>
        <v>20.740000000000002</v>
      </c>
      <c r="Z26" s="209">
        <f t="shared" si="50"/>
        <v>0</v>
      </c>
      <c r="AA26" s="209">
        <f t="shared" si="51"/>
        <v>0</v>
      </c>
      <c r="AB26" s="209">
        <f t="shared" si="52"/>
        <v>0</v>
      </c>
      <c r="AC26" s="209">
        <f t="shared" si="53"/>
        <v>0</v>
      </c>
      <c r="AD26" s="209">
        <f t="shared" si="54"/>
        <v>0</v>
      </c>
      <c r="AE26" s="209">
        <f t="shared" si="55"/>
        <v>0</v>
      </c>
      <c r="AF26" s="36" t="str">
        <f t="shared" si="56"/>
        <v>0%</v>
      </c>
      <c r="AG26" s="36" t="str">
        <f t="shared" si="57"/>
        <v>0%</v>
      </c>
      <c r="AH26" s="627"/>
      <c r="AI26" s="630">
        <f t="shared" si="38"/>
        <v>14</v>
      </c>
      <c r="AJ26" s="629" t="str">
        <f>+AJ25</f>
        <v>53E - Company Owned</v>
      </c>
      <c r="AK26" s="426">
        <v>150</v>
      </c>
      <c r="AL26" s="426" t="s">
        <v>80</v>
      </c>
      <c r="AM26" s="35"/>
      <c r="AN26" s="330"/>
      <c r="AO26" s="330"/>
      <c r="AP26" s="330"/>
      <c r="AQ26" s="330"/>
      <c r="AR26" s="209"/>
      <c r="AS26" s="209"/>
      <c r="AT26" s="209"/>
      <c r="AU26" s="209"/>
      <c r="AV26" s="209"/>
      <c r="AW26" s="209"/>
      <c r="AX26" s="36"/>
      <c r="AY26" s="36"/>
    </row>
    <row r="27" spans="1:51" x14ac:dyDescent="0.2">
      <c r="A27" s="630">
        <f t="shared" si="19"/>
        <v>15</v>
      </c>
      <c r="B27" s="629" t="str">
        <f>B26</f>
        <v>53E - Company Owned</v>
      </c>
      <c r="C27" s="426">
        <v>250</v>
      </c>
      <c r="D27" s="426" t="s">
        <v>80</v>
      </c>
      <c r="E27" s="426">
        <f>'WP1 Light Inventory'!J72</f>
        <v>0</v>
      </c>
      <c r="F27" s="330">
        <f>'WP2 Current Light Rates'!E68</f>
        <v>21.03</v>
      </c>
      <c r="G27" s="330">
        <f>'BDJ-6 Combined Charges'!K78</f>
        <v>21.139999999999997</v>
      </c>
      <c r="H27" s="330">
        <f>'Sch 141A Lighting Tariff'!J76+'Sch 141C Lighting Tariff'!J76+'Sch 141N Lighting Tariff'!J78+'Sch 141R Lighting Tariff'!J78+G27</f>
        <v>25.989999999999995</v>
      </c>
      <c r="I27" s="209">
        <f t="shared" si="42"/>
        <v>0</v>
      </c>
      <c r="J27" s="209">
        <f t="shared" si="43"/>
        <v>0</v>
      </c>
      <c r="K27" s="209">
        <f t="shared" si="44"/>
        <v>0</v>
      </c>
      <c r="L27" s="209">
        <f t="shared" si="45"/>
        <v>0</v>
      </c>
      <c r="M27" s="209">
        <f t="shared" si="46"/>
        <v>0</v>
      </c>
      <c r="N27" s="36" t="str">
        <f t="shared" si="47"/>
        <v>0%</v>
      </c>
      <c r="O27" s="36" t="str">
        <f t="shared" si="48"/>
        <v>0%</v>
      </c>
      <c r="P27" s="627"/>
      <c r="Q27" s="630">
        <f t="shared" si="28"/>
        <v>15</v>
      </c>
      <c r="R27" s="629" t="str">
        <f>R26</f>
        <v>53E - Company Owned</v>
      </c>
      <c r="S27" s="426">
        <v>250</v>
      </c>
      <c r="T27" s="426" t="s">
        <v>80</v>
      </c>
      <c r="U27" s="177">
        <f>E27</f>
        <v>0</v>
      </c>
      <c r="V27" s="330">
        <f t="shared" si="49"/>
        <v>21.139999999999997</v>
      </c>
      <c r="W27" s="330">
        <f t="shared" si="49"/>
        <v>25.989999999999995</v>
      </c>
      <c r="X27" s="330">
        <f>V27</f>
        <v>21.139999999999997</v>
      </c>
      <c r="Y27" s="330">
        <f>'Sch 141A Lighting Tariff'!N76+'Sch 141C Lighting Tariff'!N76+'Sch 141N Lighting Tariff'!N78+'Sch 141R Lighting Tariff'!N78+X27</f>
        <v>26.65</v>
      </c>
      <c r="Z27" s="209">
        <f t="shared" si="50"/>
        <v>0</v>
      </c>
      <c r="AA27" s="209">
        <f t="shared" si="51"/>
        <v>0</v>
      </c>
      <c r="AB27" s="209">
        <f t="shared" si="52"/>
        <v>0</v>
      </c>
      <c r="AC27" s="209">
        <f t="shared" si="53"/>
        <v>0</v>
      </c>
      <c r="AD27" s="209">
        <f t="shared" si="54"/>
        <v>0</v>
      </c>
      <c r="AE27" s="209">
        <f t="shared" si="55"/>
        <v>0</v>
      </c>
      <c r="AF27" s="36" t="str">
        <f t="shared" si="56"/>
        <v>0%</v>
      </c>
      <c r="AG27" s="36" t="str">
        <f t="shared" si="57"/>
        <v>0%</v>
      </c>
      <c r="AH27" s="627"/>
      <c r="AI27" s="630">
        <f t="shared" si="38"/>
        <v>15</v>
      </c>
      <c r="AJ27" s="629" t="str">
        <f>AJ26</f>
        <v>53E - Company Owned</v>
      </c>
      <c r="AK27" s="426">
        <v>250</v>
      </c>
      <c r="AL27" s="426" t="s">
        <v>80</v>
      </c>
      <c r="AM27" s="35"/>
      <c r="AN27" s="330"/>
      <c r="AO27" s="330"/>
      <c r="AP27" s="330"/>
      <c r="AQ27" s="330"/>
      <c r="AR27" s="209"/>
      <c r="AS27" s="209"/>
      <c r="AT27" s="209"/>
      <c r="AU27" s="209"/>
      <c r="AV27" s="209"/>
      <c r="AW27" s="209"/>
      <c r="AX27" s="36"/>
      <c r="AY27" s="36"/>
    </row>
    <row r="28" spans="1:51" x14ac:dyDescent="0.2">
      <c r="A28" s="630">
        <f t="shared" si="19"/>
        <v>16</v>
      </c>
      <c r="B28" s="629" t="str">
        <f>B27</f>
        <v>53E - Company Owned</v>
      </c>
      <c r="C28" s="426">
        <v>400</v>
      </c>
      <c r="D28" s="426" t="s">
        <v>80</v>
      </c>
      <c r="E28" s="426">
        <f>'WP1 Light Inventory'!J73</f>
        <v>0</v>
      </c>
      <c r="F28" s="330">
        <f>'WP2 Current Light Rates'!E69</f>
        <v>25.85</v>
      </c>
      <c r="G28" s="330">
        <f>'BDJ-6 Combined Charges'!K79</f>
        <v>25.610000000000003</v>
      </c>
      <c r="H28" s="330">
        <f>'Sch 141A Lighting Tariff'!J77+'Sch 141C Lighting Tariff'!J77+'Sch 141N Lighting Tariff'!J79+'Sch 141R Lighting Tariff'!J79+G28</f>
        <v>33.370000000000005</v>
      </c>
      <c r="I28" s="209">
        <f t="shared" si="42"/>
        <v>0</v>
      </c>
      <c r="J28" s="209">
        <f t="shared" si="43"/>
        <v>0</v>
      </c>
      <c r="K28" s="209">
        <f t="shared" si="44"/>
        <v>0</v>
      </c>
      <c r="L28" s="209">
        <f t="shared" si="45"/>
        <v>0</v>
      </c>
      <c r="M28" s="209">
        <f t="shared" si="46"/>
        <v>0</v>
      </c>
      <c r="N28" s="36" t="str">
        <f t="shared" si="47"/>
        <v>0%</v>
      </c>
      <c r="O28" s="36" t="str">
        <f t="shared" si="48"/>
        <v>0%</v>
      </c>
      <c r="P28" s="627"/>
      <c r="Q28" s="630">
        <f t="shared" si="28"/>
        <v>16</v>
      </c>
      <c r="R28" s="629" t="str">
        <f>R27</f>
        <v>53E - Company Owned</v>
      </c>
      <c r="S28" s="426">
        <v>400</v>
      </c>
      <c r="T28" s="426" t="s">
        <v>80</v>
      </c>
      <c r="U28" s="177">
        <f>E28</f>
        <v>0</v>
      </c>
      <c r="V28" s="330">
        <f t="shared" si="49"/>
        <v>25.610000000000003</v>
      </c>
      <c r="W28" s="330">
        <f t="shared" si="49"/>
        <v>33.370000000000005</v>
      </c>
      <c r="X28" s="330">
        <f>V28</f>
        <v>25.610000000000003</v>
      </c>
      <c r="Y28" s="330">
        <f>'Sch 141A Lighting Tariff'!N77+'Sch 141C Lighting Tariff'!N77+'Sch 141N Lighting Tariff'!N79+'Sch 141R Lighting Tariff'!N79+X28</f>
        <v>34.430000000000007</v>
      </c>
      <c r="Z28" s="209">
        <f t="shared" si="50"/>
        <v>0</v>
      </c>
      <c r="AA28" s="209">
        <f t="shared" si="51"/>
        <v>0</v>
      </c>
      <c r="AB28" s="209">
        <f t="shared" si="52"/>
        <v>0</v>
      </c>
      <c r="AC28" s="209">
        <f t="shared" si="53"/>
        <v>0</v>
      </c>
      <c r="AD28" s="209">
        <f t="shared" si="54"/>
        <v>0</v>
      </c>
      <c r="AE28" s="209">
        <f t="shared" si="55"/>
        <v>0</v>
      </c>
      <c r="AF28" s="36" t="str">
        <f t="shared" si="56"/>
        <v>0%</v>
      </c>
      <c r="AG28" s="36" t="str">
        <f t="shared" si="57"/>
        <v>0%</v>
      </c>
      <c r="AH28" s="627"/>
      <c r="AI28" s="630">
        <f t="shared" si="38"/>
        <v>16</v>
      </c>
      <c r="AJ28" s="629" t="str">
        <f>AJ27</f>
        <v>53E - Company Owned</v>
      </c>
      <c r="AK28" s="426">
        <v>400</v>
      </c>
      <c r="AL28" s="426" t="s">
        <v>80</v>
      </c>
      <c r="AM28" s="35"/>
      <c r="AN28" s="330"/>
      <c r="AO28" s="330"/>
      <c r="AP28" s="330"/>
      <c r="AQ28" s="330"/>
      <c r="AR28" s="209"/>
      <c r="AS28" s="209"/>
      <c r="AT28" s="209"/>
      <c r="AU28" s="209"/>
      <c r="AV28" s="209"/>
      <c r="AW28" s="209"/>
      <c r="AX28" s="36"/>
      <c r="AY28" s="36"/>
    </row>
    <row r="29" spans="1:51" x14ac:dyDescent="0.2">
      <c r="A29" s="630">
        <f t="shared" si="19"/>
        <v>17</v>
      </c>
      <c r="B29" s="313"/>
      <c r="C29" s="364"/>
      <c r="D29" s="364" t="str">
        <f>D28</f>
        <v>Metal Halide</v>
      </c>
      <c r="E29" s="368">
        <f>SUM(E24:E28)</f>
        <v>0</v>
      </c>
      <c r="F29" s="42"/>
      <c r="G29" s="42"/>
      <c r="H29" s="42"/>
      <c r="I29" s="266">
        <f>SUM(I24:I28)</f>
        <v>0</v>
      </c>
      <c r="J29" s="266">
        <f t="shared" ref="J29:M29" si="58">SUM(J24:J28)</f>
        <v>0</v>
      </c>
      <c r="K29" s="266">
        <f t="shared" si="58"/>
        <v>0</v>
      </c>
      <c r="L29" s="266">
        <f t="shared" si="58"/>
        <v>0</v>
      </c>
      <c r="M29" s="266">
        <f t="shared" si="58"/>
        <v>0</v>
      </c>
      <c r="N29" s="267" t="str">
        <f t="shared" ref="N29" si="59">IF(+L29=0,"0%",L29/I29)</f>
        <v>0%</v>
      </c>
      <c r="O29" s="267" t="str">
        <f t="shared" ref="O29" si="60">IF(+M29=0,"0%",M29/I29)</f>
        <v>0%</v>
      </c>
      <c r="P29" s="627"/>
      <c r="Q29" s="630">
        <f t="shared" si="28"/>
        <v>17</v>
      </c>
      <c r="R29" s="313"/>
      <c r="S29" s="364"/>
      <c r="T29" s="364" t="str">
        <f>T28</f>
        <v>Metal Halide</v>
      </c>
      <c r="U29" s="368">
        <f>SUM(U24:U28)</f>
        <v>0</v>
      </c>
      <c r="V29" s="42"/>
      <c r="W29" s="42"/>
      <c r="X29" s="42"/>
      <c r="Y29" s="42"/>
      <c r="Z29" s="266">
        <f t="shared" ref="Z29:AE29" si="61">SUM(Z24:Z28)</f>
        <v>0</v>
      </c>
      <c r="AA29" s="266">
        <f t="shared" si="61"/>
        <v>0</v>
      </c>
      <c r="AB29" s="266">
        <f t="shared" si="61"/>
        <v>0</v>
      </c>
      <c r="AC29" s="266">
        <f t="shared" si="61"/>
        <v>0</v>
      </c>
      <c r="AD29" s="266">
        <f t="shared" si="61"/>
        <v>0</v>
      </c>
      <c r="AE29" s="266">
        <f t="shared" si="61"/>
        <v>0</v>
      </c>
      <c r="AF29" s="267" t="str">
        <f t="shared" ref="AF29:AG29" si="62">IF(+AD29=0,"0%",AD29/Z29)</f>
        <v>0%</v>
      </c>
      <c r="AG29" s="267" t="str">
        <f t="shared" si="62"/>
        <v>0%</v>
      </c>
      <c r="AH29" s="627"/>
      <c r="AI29" s="630">
        <f t="shared" si="38"/>
        <v>17</v>
      </c>
      <c r="AJ29" s="313"/>
      <c r="AK29" s="364"/>
      <c r="AL29" s="364" t="str">
        <f>AL28</f>
        <v>Metal Halide</v>
      </c>
      <c r="AM29" s="368"/>
      <c r="AN29" s="42"/>
      <c r="AO29" s="42"/>
      <c r="AP29" s="42"/>
      <c r="AQ29" s="42"/>
      <c r="AR29" s="266"/>
      <c r="AS29" s="266"/>
      <c r="AT29" s="266"/>
      <c r="AU29" s="266"/>
      <c r="AV29" s="266"/>
      <c r="AW29" s="266"/>
      <c r="AX29" s="267"/>
      <c r="AY29" s="267"/>
    </row>
    <row r="30" spans="1:51" x14ac:dyDescent="0.2">
      <c r="A30" s="630">
        <f t="shared" si="19"/>
        <v>18</v>
      </c>
      <c r="B30" s="629"/>
      <c r="C30" s="426"/>
      <c r="D30" s="426"/>
      <c r="E30" s="426"/>
      <c r="F30" s="330"/>
      <c r="G30" s="330"/>
      <c r="H30" s="330"/>
      <c r="I30" s="209"/>
      <c r="J30" s="209"/>
      <c r="K30" s="209"/>
      <c r="L30" s="209"/>
      <c r="M30" s="209"/>
      <c r="N30" s="518"/>
      <c r="O30" s="518"/>
      <c r="P30" s="627"/>
      <c r="Q30" s="630">
        <f t="shared" si="28"/>
        <v>18</v>
      </c>
      <c r="R30" s="629"/>
      <c r="S30" s="426"/>
      <c r="T30" s="426"/>
      <c r="W30" s="330"/>
      <c r="Y30" s="330"/>
      <c r="AA30" s="209"/>
      <c r="AC30" s="209"/>
      <c r="AE30" s="209"/>
      <c r="AF30" s="518"/>
      <c r="AG30" s="518"/>
      <c r="AH30" s="627"/>
      <c r="AI30" s="630">
        <f t="shared" si="38"/>
        <v>18</v>
      </c>
      <c r="AJ30" s="629"/>
      <c r="AK30" s="426"/>
      <c r="AL30" s="426"/>
      <c r="AO30" s="330"/>
      <c r="AQ30" s="330"/>
      <c r="AS30" s="209"/>
      <c r="AU30" s="209"/>
      <c r="AW30" s="209"/>
      <c r="AX30" s="518"/>
      <c r="AY30" s="518"/>
    </row>
    <row r="31" spans="1:51" x14ac:dyDescent="0.2">
      <c r="A31" s="630">
        <f t="shared" si="19"/>
        <v>19</v>
      </c>
      <c r="B31" s="629" t="str">
        <f>+B27</f>
        <v>53E - Company Owned</v>
      </c>
      <c r="C31" s="593" t="s">
        <v>932</v>
      </c>
      <c r="D31" s="426" t="s">
        <v>117</v>
      </c>
      <c r="E31" s="426">
        <f>'WP1 Light Inventory'!J75</f>
        <v>0</v>
      </c>
      <c r="F31" s="330">
        <f>'WP2 Current Light Rates'!E71</f>
        <v>10.95</v>
      </c>
      <c r="G31" s="330">
        <f>'BDJ-6 Combined Charges'!K81</f>
        <v>9.759999999999998</v>
      </c>
      <c r="H31" s="330">
        <f>'Sch 141A Lighting Tariff'!J79+'Sch 141C Lighting Tariff'!J79+'Sch 141N Lighting Tariff'!J81+'Sch 141R Lighting Tariff'!J81+G31</f>
        <v>10.039999999999997</v>
      </c>
      <c r="I31" s="209">
        <f t="shared" ref="I31:I40" si="63">(+F31*$E31*12)</f>
        <v>0</v>
      </c>
      <c r="J31" s="209">
        <f t="shared" ref="J31:J40" si="64">(+G31*$E31*12)</f>
        <v>0</v>
      </c>
      <c r="K31" s="209">
        <f t="shared" ref="K31:K40" si="65">(H31)*E31*12</f>
        <v>0</v>
      </c>
      <c r="L31" s="209">
        <f t="shared" ref="L31:L40" si="66">+J31-I31</f>
        <v>0</v>
      </c>
      <c r="M31" s="209">
        <f t="shared" ref="M31:M40" si="67">+K31-I31</f>
        <v>0</v>
      </c>
      <c r="N31" s="36" t="str">
        <f t="shared" ref="N31:N40" si="68">IF(+L31=0,"0%",L31/I31)</f>
        <v>0%</v>
      </c>
      <c r="O31" s="36" t="str">
        <f t="shared" ref="O31:O40" si="69">IF(+M31=0,"0%",M31/I31)</f>
        <v>0%</v>
      </c>
      <c r="P31" s="627"/>
      <c r="Q31" s="630">
        <f>Q29+1</f>
        <v>18</v>
      </c>
      <c r="R31" s="629" t="str">
        <f>+R27</f>
        <v>53E - Company Owned</v>
      </c>
      <c r="S31" s="593" t="s">
        <v>932</v>
      </c>
      <c r="T31" s="426" t="s">
        <v>117</v>
      </c>
      <c r="U31" s="177">
        <f t="shared" ref="U31" si="70">E31</f>
        <v>0</v>
      </c>
      <c r="V31" s="330">
        <f t="shared" ref="V31" si="71">G31</f>
        <v>9.759999999999998</v>
      </c>
      <c r="W31" s="330">
        <f t="shared" ref="W31" si="72">H31</f>
        <v>10.039999999999997</v>
      </c>
      <c r="X31" s="330">
        <f t="shared" ref="X31" si="73">V31</f>
        <v>9.759999999999998</v>
      </c>
      <c r="Y31" s="330">
        <f>'Sch 141A Lighting Tariff'!N79+'Sch 141C Lighting Tariff'!N79+'Sch 141N Lighting Tariff'!N81+'Sch 141R Lighting Tariff'!N81+X31</f>
        <v>10.079999999999998</v>
      </c>
      <c r="Z31" s="209">
        <f t="shared" ref="Z31:Z40" si="74">(+V31*$U31*12)</f>
        <v>0</v>
      </c>
      <c r="AA31" s="209">
        <f t="shared" ref="AA31:AA40" si="75">(+W31*$U31*12)</f>
        <v>0</v>
      </c>
      <c r="AB31" s="209">
        <f t="shared" ref="AB31:AB40" si="76">(+X31*$U31*12)</f>
        <v>0</v>
      </c>
      <c r="AC31" s="209">
        <f t="shared" ref="AC31:AC40" si="77">(+Y31*$U31*12)</f>
        <v>0</v>
      </c>
      <c r="AD31" s="209">
        <f t="shared" ref="AD31:AD40" si="78">+AB31-Z31</f>
        <v>0</v>
      </c>
      <c r="AE31" s="209">
        <f t="shared" ref="AE31:AE40" si="79">+AC31-AA31</f>
        <v>0</v>
      </c>
      <c r="AF31" s="36" t="str">
        <f t="shared" ref="AF31:AF40" si="80">IF(+AD31=0,"0%",AD31/Z31)</f>
        <v>0%</v>
      </c>
      <c r="AG31" s="36" t="str">
        <f t="shared" ref="AG31:AG40" si="81">IF(+AE31=0,"0%",AE31/AA31)</f>
        <v>0%</v>
      </c>
      <c r="AH31" s="627"/>
      <c r="AI31" s="630">
        <f>AI29+1</f>
        <v>18</v>
      </c>
      <c r="AJ31" s="629" t="str">
        <f>+AJ27</f>
        <v>53E - Company Owned</v>
      </c>
      <c r="AK31" s="593" t="s">
        <v>932</v>
      </c>
      <c r="AL31" s="426" t="s">
        <v>117</v>
      </c>
      <c r="AM31" s="35"/>
      <c r="AN31" s="330"/>
      <c r="AO31" s="330"/>
      <c r="AP31" s="330"/>
      <c r="AQ31" s="330"/>
      <c r="AR31" s="209"/>
      <c r="AS31" s="209"/>
      <c r="AT31" s="209"/>
      <c r="AU31" s="209"/>
      <c r="AV31" s="209"/>
      <c r="AW31" s="209"/>
      <c r="AX31" s="36"/>
      <c r="AY31" s="36"/>
    </row>
    <row r="32" spans="1:51" x14ac:dyDescent="0.2">
      <c r="A32" s="630">
        <f t="shared" si="19"/>
        <v>20</v>
      </c>
      <c r="B32" s="629" t="str">
        <f>+B28</f>
        <v>53E - Company Owned</v>
      </c>
      <c r="C32" s="593" t="s">
        <v>568</v>
      </c>
      <c r="D32" s="426" t="s">
        <v>117</v>
      </c>
      <c r="E32" s="426">
        <f>'WP1 Light Inventory'!J76</f>
        <v>21897</v>
      </c>
      <c r="F32" s="330">
        <f>'WP2 Current Light Rates'!E72</f>
        <v>10.95</v>
      </c>
      <c r="G32" s="330">
        <f>'BDJ-6 Combined Charges'!K82</f>
        <v>10.59</v>
      </c>
      <c r="H32" s="330">
        <f>'Sch 141A Lighting Tariff'!J80+'Sch 141C Lighting Tariff'!J80+'Sch 141N Lighting Tariff'!J82+'Sch 141R Lighting Tariff'!J82+G32</f>
        <v>11.459999999999999</v>
      </c>
      <c r="I32" s="209">
        <f t="shared" si="63"/>
        <v>2877265.8</v>
      </c>
      <c r="J32" s="209">
        <f t="shared" si="64"/>
        <v>2782670.7600000002</v>
      </c>
      <c r="K32" s="209">
        <f t="shared" si="65"/>
        <v>3011275.4399999995</v>
      </c>
      <c r="L32" s="209">
        <f t="shared" si="66"/>
        <v>-94595.039999999572</v>
      </c>
      <c r="M32" s="209">
        <f t="shared" si="67"/>
        <v>134009.63999999966</v>
      </c>
      <c r="N32" s="36">
        <f t="shared" si="68"/>
        <v>-3.2876712328766974E-2</v>
      </c>
      <c r="O32" s="36">
        <f t="shared" si="69"/>
        <v>4.657534246575331E-2</v>
      </c>
      <c r="P32" s="627"/>
      <c r="Q32" s="630">
        <f>Q30+1</f>
        <v>19</v>
      </c>
      <c r="R32" s="629" t="str">
        <f>+R28</f>
        <v>53E - Company Owned</v>
      </c>
      <c r="S32" s="593" t="s">
        <v>568</v>
      </c>
      <c r="T32" s="426" t="s">
        <v>117</v>
      </c>
      <c r="U32" s="177">
        <f t="shared" ref="U32:U40" si="82">E32</f>
        <v>21897</v>
      </c>
      <c r="V32" s="330">
        <f t="shared" ref="V32:V40" si="83">G32</f>
        <v>10.59</v>
      </c>
      <c r="W32" s="330">
        <f t="shared" ref="W32:W40" si="84">H32</f>
        <v>11.459999999999999</v>
      </c>
      <c r="X32" s="330">
        <f t="shared" ref="X32:X40" si="85">V32</f>
        <v>10.59</v>
      </c>
      <c r="Y32" s="330">
        <f>'Sch 141A Lighting Tariff'!N80+'Sch 141C Lighting Tariff'!N80+'Sch 141N Lighting Tariff'!N82+'Sch 141R Lighting Tariff'!N82+X32</f>
        <v>11.58</v>
      </c>
      <c r="Z32" s="209">
        <f t="shared" si="74"/>
        <v>2782670.7600000002</v>
      </c>
      <c r="AA32" s="209">
        <f t="shared" si="75"/>
        <v>3011275.4399999995</v>
      </c>
      <c r="AB32" s="209">
        <f t="shared" si="76"/>
        <v>2782670.7600000002</v>
      </c>
      <c r="AC32" s="209">
        <f t="shared" si="77"/>
        <v>3042807.12</v>
      </c>
      <c r="AD32" s="209">
        <f t="shared" si="78"/>
        <v>0</v>
      </c>
      <c r="AE32" s="209">
        <f t="shared" si="79"/>
        <v>31531.680000000633</v>
      </c>
      <c r="AF32" s="36" t="str">
        <f t="shared" si="80"/>
        <v>0%</v>
      </c>
      <c r="AG32" s="36">
        <f t="shared" si="81"/>
        <v>1.0471204188481888E-2</v>
      </c>
      <c r="AH32" s="627"/>
      <c r="AI32" s="630">
        <f>AI30+1</f>
        <v>19</v>
      </c>
      <c r="AJ32" s="629" t="str">
        <f>+AJ28</f>
        <v>53E - Company Owned</v>
      </c>
      <c r="AK32" s="593" t="s">
        <v>568</v>
      </c>
      <c r="AL32" s="426" t="s">
        <v>117</v>
      </c>
      <c r="AM32" s="35"/>
      <c r="AN32" s="330"/>
      <c r="AO32" s="330"/>
      <c r="AP32" s="330"/>
      <c r="AQ32" s="330"/>
      <c r="AR32" s="209"/>
      <c r="AS32" s="209"/>
      <c r="AT32" s="209"/>
      <c r="AU32" s="209"/>
      <c r="AV32" s="209"/>
      <c r="AW32" s="209"/>
      <c r="AX32" s="36"/>
      <c r="AY32" s="36"/>
    </row>
    <row r="33" spans="1:51" x14ac:dyDescent="0.2">
      <c r="A33" s="630">
        <f t="shared" si="19"/>
        <v>21</v>
      </c>
      <c r="B33" s="629" t="str">
        <f t="shared" ref="B33:B40" si="86">+B32</f>
        <v>53E - Company Owned</v>
      </c>
      <c r="C33" s="593" t="s">
        <v>569</v>
      </c>
      <c r="D33" s="426" t="s">
        <v>117</v>
      </c>
      <c r="E33" s="426">
        <f>'WP1 Light Inventory'!J77</f>
        <v>430</v>
      </c>
      <c r="F33" s="330">
        <f>'WP2 Current Light Rates'!E73</f>
        <v>11.92</v>
      </c>
      <c r="G33" s="330">
        <f>'BDJ-6 Combined Charges'!K83</f>
        <v>11.28</v>
      </c>
      <c r="H33" s="330">
        <f>'Sch 141A Lighting Tariff'!J81+'Sch 141C Lighting Tariff'!J81+'Sch 141N Lighting Tariff'!J83+'Sch 141R Lighting Tariff'!J83+G33</f>
        <v>12.739999999999998</v>
      </c>
      <c r="I33" s="209">
        <f t="shared" si="63"/>
        <v>61507.200000000004</v>
      </c>
      <c r="J33" s="209">
        <f t="shared" si="64"/>
        <v>58204.799999999996</v>
      </c>
      <c r="K33" s="209">
        <f t="shared" si="65"/>
        <v>65738.399999999994</v>
      </c>
      <c r="L33" s="209">
        <f t="shared" si="66"/>
        <v>-3302.4000000000087</v>
      </c>
      <c r="M33" s="209">
        <f t="shared" si="67"/>
        <v>4231.1999999999898</v>
      </c>
      <c r="N33" s="36">
        <f t="shared" si="68"/>
        <v>-5.3691275167785373E-2</v>
      </c>
      <c r="O33" s="36">
        <f t="shared" si="69"/>
        <v>6.8791946308724664E-2</v>
      </c>
      <c r="P33" s="627"/>
      <c r="Q33" s="630">
        <f t="shared" si="28"/>
        <v>20</v>
      </c>
      <c r="R33" s="629" t="str">
        <f t="shared" ref="R33:R40" si="87">+R32</f>
        <v>53E - Company Owned</v>
      </c>
      <c r="S33" s="593" t="s">
        <v>569</v>
      </c>
      <c r="T33" s="426" t="s">
        <v>117</v>
      </c>
      <c r="U33" s="177">
        <f t="shared" si="82"/>
        <v>430</v>
      </c>
      <c r="V33" s="330">
        <f t="shared" si="83"/>
        <v>11.28</v>
      </c>
      <c r="W33" s="330">
        <f t="shared" si="84"/>
        <v>12.739999999999998</v>
      </c>
      <c r="X33" s="330">
        <f t="shared" si="85"/>
        <v>11.28</v>
      </c>
      <c r="Y33" s="330">
        <f>'Sch 141A Lighting Tariff'!N81+'Sch 141C Lighting Tariff'!N81+'Sch 141N Lighting Tariff'!N83+'Sch 141R Lighting Tariff'!N83+X33</f>
        <v>12.93</v>
      </c>
      <c r="Z33" s="209">
        <f t="shared" si="74"/>
        <v>58204.799999999996</v>
      </c>
      <c r="AA33" s="209">
        <f t="shared" si="75"/>
        <v>65738.399999999994</v>
      </c>
      <c r="AB33" s="209">
        <f t="shared" si="76"/>
        <v>58204.799999999996</v>
      </c>
      <c r="AC33" s="209">
        <f t="shared" si="77"/>
        <v>66718.799999999988</v>
      </c>
      <c r="AD33" s="209">
        <f t="shared" si="78"/>
        <v>0</v>
      </c>
      <c r="AE33" s="209">
        <f t="shared" si="79"/>
        <v>980.39999999999418</v>
      </c>
      <c r="AF33" s="36" t="str">
        <f t="shared" si="80"/>
        <v>0%</v>
      </c>
      <c r="AG33" s="36">
        <f t="shared" si="81"/>
        <v>1.491365777080054E-2</v>
      </c>
      <c r="AH33" s="627"/>
      <c r="AI33" s="630">
        <f t="shared" si="38"/>
        <v>20</v>
      </c>
      <c r="AJ33" s="629" t="str">
        <f t="shared" ref="AJ33:AJ40" si="88">+AJ32</f>
        <v>53E - Company Owned</v>
      </c>
      <c r="AK33" s="593" t="s">
        <v>569</v>
      </c>
      <c r="AL33" s="426" t="s">
        <v>117</v>
      </c>
      <c r="AM33" s="35"/>
      <c r="AN33" s="330"/>
      <c r="AO33" s="330"/>
      <c r="AP33" s="330"/>
      <c r="AQ33" s="330"/>
      <c r="AR33" s="209"/>
      <c r="AS33" s="209"/>
      <c r="AT33" s="209"/>
      <c r="AU33" s="209"/>
      <c r="AV33" s="209"/>
      <c r="AW33" s="209"/>
      <c r="AX33" s="36"/>
      <c r="AY33" s="36"/>
    </row>
    <row r="34" spans="1:51" x14ac:dyDescent="0.2">
      <c r="A34" s="630">
        <f t="shared" si="19"/>
        <v>22</v>
      </c>
      <c r="B34" s="629" t="str">
        <f t="shared" si="86"/>
        <v>53E - Company Owned</v>
      </c>
      <c r="C34" s="593" t="s">
        <v>570</v>
      </c>
      <c r="D34" s="426" t="s">
        <v>117</v>
      </c>
      <c r="E34" s="426">
        <f>'WP1 Light Inventory'!J78</f>
        <v>2478</v>
      </c>
      <c r="F34" s="330">
        <f>'WP2 Current Light Rates'!E74</f>
        <v>13.4</v>
      </c>
      <c r="G34" s="330">
        <f>'BDJ-6 Combined Charges'!K84</f>
        <v>12.76</v>
      </c>
      <c r="H34" s="330">
        <f>'Sch 141A Lighting Tariff'!J82+'Sch 141C Lighting Tariff'!J82+'Sch 141N Lighting Tariff'!J84+'Sch 141R Lighting Tariff'!J84+G34</f>
        <v>14.8</v>
      </c>
      <c r="I34" s="209">
        <f t="shared" si="63"/>
        <v>398462.4</v>
      </c>
      <c r="J34" s="209">
        <f t="shared" si="64"/>
        <v>379431.36</v>
      </c>
      <c r="K34" s="209">
        <f t="shared" si="65"/>
        <v>440092.80000000005</v>
      </c>
      <c r="L34" s="209">
        <f t="shared" si="66"/>
        <v>-19031.040000000037</v>
      </c>
      <c r="M34" s="209">
        <f t="shared" si="67"/>
        <v>41630.400000000023</v>
      </c>
      <c r="N34" s="36">
        <f t="shared" si="68"/>
        <v>-4.7761194029850837E-2</v>
      </c>
      <c r="O34" s="36">
        <f t="shared" si="69"/>
        <v>0.10447761194029856</v>
      </c>
      <c r="P34" s="627"/>
      <c r="Q34" s="630">
        <f t="shared" si="28"/>
        <v>21</v>
      </c>
      <c r="R34" s="629" t="str">
        <f t="shared" si="87"/>
        <v>53E - Company Owned</v>
      </c>
      <c r="S34" s="593" t="s">
        <v>570</v>
      </c>
      <c r="T34" s="426" t="s">
        <v>117</v>
      </c>
      <c r="U34" s="177">
        <f t="shared" si="82"/>
        <v>2478</v>
      </c>
      <c r="V34" s="330">
        <f t="shared" si="83"/>
        <v>12.76</v>
      </c>
      <c r="W34" s="330">
        <f t="shared" si="84"/>
        <v>14.8</v>
      </c>
      <c r="X34" s="330">
        <f t="shared" si="85"/>
        <v>12.76</v>
      </c>
      <c r="Y34" s="330">
        <f>'Sch 141A Lighting Tariff'!N82+'Sch 141C Lighting Tariff'!N82+'Sch 141N Lighting Tariff'!N84+'Sch 141R Lighting Tariff'!N84+X34</f>
        <v>15.08</v>
      </c>
      <c r="Z34" s="209">
        <f t="shared" si="74"/>
        <v>379431.36</v>
      </c>
      <c r="AA34" s="209">
        <f t="shared" si="75"/>
        <v>440092.80000000005</v>
      </c>
      <c r="AB34" s="209">
        <f t="shared" si="76"/>
        <v>379431.36</v>
      </c>
      <c r="AC34" s="209">
        <f t="shared" si="77"/>
        <v>448418.88</v>
      </c>
      <c r="AD34" s="209">
        <f t="shared" si="78"/>
        <v>0</v>
      </c>
      <c r="AE34" s="209">
        <f t="shared" si="79"/>
        <v>8326.0799999999581</v>
      </c>
      <c r="AF34" s="36" t="str">
        <f t="shared" si="80"/>
        <v>0%</v>
      </c>
      <c r="AG34" s="36">
        <f t="shared" si="81"/>
        <v>1.8918918918918823E-2</v>
      </c>
      <c r="AH34" s="627"/>
      <c r="AI34" s="630">
        <f t="shared" si="38"/>
        <v>21</v>
      </c>
      <c r="AJ34" s="629" t="str">
        <f t="shared" si="88"/>
        <v>53E - Company Owned</v>
      </c>
      <c r="AK34" s="593" t="s">
        <v>570</v>
      </c>
      <c r="AL34" s="426" t="s">
        <v>117</v>
      </c>
      <c r="AM34" s="35"/>
      <c r="AN34" s="330"/>
      <c r="AO34" s="330"/>
      <c r="AP34" s="330"/>
      <c r="AQ34" s="330"/>
      <c r="AR34" s="209"/>
      <c r="AS34" s="209"/>
      <c r="AT34" s="209"/>
      <c r="AU34" s="209"/>
      <c r="AV34" s="209"/>
      <c r="AW34" s="209"/>
      <c r="AX34" s="36"/>
      <c r="AY34" s="36"/>
    </row>
    <row r="35" spans="1:51" x14ac:dyDescent="0.2">
      <c r="A35" s="630">
        <f t="shared" si="19"/>
        <v>23</v>
      </c>
      <c r="B35" s="629" t="str">
        <f t="shared" si="86"/>
        <v>53E - Company Owned</v>
      </c>
      <c r="C35" s="593" t="s">
        <v>571</v>
      </c>
      <c r="D35" s="426" t="s">
        <v>117</v>
      </c>
      <c r="E35" s="426">
        <f>'WP1 Light Inventory'!J79</f>
        <v>1833</v>
      </c>
      <c r="F35" s="330">
        <f>'WP2 Current Light Rates'!E75</f>
        <v>13.82</v>
      </c>
      <c r="G35" s="330">
        <f>'BDJ-6 Combined Charges'!K85</f>
        <v>13.94</v>
      </c>
      <c r="H35" s="330">
        <f>'Sch 141A Lighting Tariff'!J83+'Sch 141C Lighting Tariff'!J83+'Sch 141N Lighting Tariff'!J85+'Sch 141R Lighting Tariff'!J85+G35</f>
        <v>16.55</v>
      </c>
      <c r="I35" s="209">
        <f t="shared" si="63"/>
        <v>303984.72000000003</v>
      </c>
      <c r="J35" s="209">
        <f t="shared" si="64"/>
        <v>306624.24</v>
      </c>
      <c r="K35" s="209">
        <f t="shared" si="65"/>
        <v>364033.80000000005</v>
      </c>
      <c r="L35" s="209">
        <f t="shared" si="66"/>
        <v>2639.5199999999604</v>
      </c>
      <c r="M35" s="209">
        <f t="shared" si="67"/>
        <v>60049.080000000016</v>
      </c>
      <c r="N35" s="36">
        <f t="shared" si="68"/>
        <v>8.6830680173660049E-3</v>
      </c>
      <c r="O35" s="36">
        <f t="shared" si="69"/>
        <v>0.19753979739507962</v>
      </c>
      <c r="P35" s="627"/>
      <c r="Q35" s="630">
        <f t="shared" si="28"/>
        <v>22</v>
      </c>
      <c r="R35" s="629" t="str">
        <f t="shared" si="87"/>
        <v>53E - Company Owned</v>
      </c>
      <c r="S35" s="593" t="s">
        <v>571</v>
      </c>
      <c r="T35" s="426" t="s">
        <v>117</v>
      </c>
      <c r="U35" s="177">
        <f t="shared" si="82"/>
        <v>1833</v>
      </c>
      <c r="V35" s="330">
        <f t="shared" si="83"/>
        <v>13.94</v>
      </c>
      <c r="W35" s="330">
        <f t="shared" si="84"/>
        <v>16.55</v>
      </c>
      <c r="X35" s="330">
        <f t="shared" si="85"/>
        <v>13.94</v>
      </c>
      <c r="Y35" s="330">
        <f>'Sch 141A Lighting Tariff'!N83+'Sch 141C Lighting Tariff'!N83+'Sch 141N Lighting Tariff'!N85+'Sch 141R Lighting Tariff'!N85+X35</f>
        <v>16.919999999999998</v>
      </c>
      <c r="Z35" s="209">
        <f t="shared" si="74"/>
        <v>306624.24</v>
      </c>
      <c r="AA35" s="209">
        <f t="shared" si="75"/>
        <v>364033.80000000005</v>
      </c>
      <c r="AB35" s="209">
        <f t="shared" si="76"/>
        <v>306624.24</v>
      </c>
      <c r="AC35" s="209">
        <f t="shared" si="77"/>
        <v>372172.31999999995</v>
      </c>
      <c r="AD35" s="209">
        <f t="shared" si="78"/>
        <v>0</v>
      </c>
      <c r="AE35" s="209">
        <f t="shared" si="79"/>
        <v>8138.5199999999022</v>
      </c>
      <c r="AF35" s="36" t="str">
        <f t="shared" si="80"/>
        <v>0%</v>
      </c>
      <c r="AG35" s="36">
        <f t="shared" si="81"/>
        <v>2.2356495468277674E-2</v>
      </c>
      <c r="AH35" s="627"/>
      <c r="AI35" s="630">
        <f t="shared" si="38"/>
        <v>22</v>
      </c>
      <c r="AJ35" s="629" t="str">
        <f t="shared" si="88"/>
        <v>53E - Company Owned</v>
      </c>
      <c r="AK35" s="593" t="s">
        <v>571</v>
      </c>
      <c r="AL35" s="426" t="s">
        <v>117</v>
      </c>
      <c r="AM35" s="35"/>
      <c r="AN35" s="330"/>
      <c r="AO35" s="330"/>
      <c r="AP35" s="330"/>
      <c r="AQ35" s="330"/>
      <c r="AR35" s="209"/>
      <c r="AS35" s="209"/>
      <c r="AT35" s="209"/>
      <c r="AU35" s="209"/>
      <c r="AV35" s="209"/>
      <c r="AW35" s="209"/>
      <c r="AX35" s="36"/>
      <c r="AY35" s="36"/>
    </row>
    <row r="36" spans="1:51" x14ac:dyDescent="0.2">
      <c r="A36" s="630">
        <f t="shared" si="19"/>
        <v>24</v>
      </c>
      <c r="B36" s="629" t="str">
        <f t="shared" si="86"/>
        <v>53E - Company Owned</v>
      </c>
      <c r="C36" s="593" t="s">
        <v>572</v>
      </c>
      <c r="D36" s="426" t="s">
        <v>117</v>
      </c>
      <c r="E36" s="426">
        <f>'WP1 Light Inventory'!J80</f>
        <v>105</v>
      </c>
      <c r="F36" s="330">
        <f>'WP2 Current Light Rates'!E76</f>
        <v>15.48</v>
      </c>
      <c r="G36" s="330">
        <f>'BDJ-6 Combined Charges'!K86</f>
        <v>14.51</v>
      </c>
      <c r="H36" s="330">
        <f>'Sch 141A Lighting Tariff'!J84+'Sch 141C Lighting Tariff'!J84+'Sch 141N Lighting Tariff'!J86+'Sch 141R Lighting Tariff'!J86+G36</f>
        <v>17.7</v>
      </c>
      <c r="I36" s="209">
        <f t="shared" si="63"/>
        <v>19504.800000000003</v>
      </c>
      <c r="J36" s="209">
        <f t="shared" si="64"/>
        <v>18282.599999999999</v>
      </c>
      <c r="K36" s="209">
        <f t="shared" si="65"/>
        <v>22302</v>
      </c>
      <c r="L36" s="209">
        <f t="shared" si="66"/>
        <v>-1222.2000000000044</v>
      </c>
      <c r="M36" s="209">
        <f t="shared" si="67"/>
        <v>2797.1999999999971</v>
      </c>
      <c r="N36" s="36">
        <f t="shared" si="68"/>
        <v>-6.2661498708010549E-2</v>
      </c>
      <c r="O36" s="36">
        <f t="shared" si="69"/>
        <v>0.14341085271317813</v>
      </c>
      <c r="P36" s="627"/>
      <c r="Q36" s="630">
        <f t="shared" si="28"/>
        <v>23</v>
      </c>
      <c r="R36" s="629" t="str">
        <f t="shared" si="87"/>
        <v>53E - Company Owned</v>
      </c>
      <c r="S36" s="593" t="s">
        <v>572</v>
      </c>
      <c r="T36" s="426" t="s">
        <v>117</v>
      </c>
      <c r="U36" s="177">
        <f t="shared" si="82"/>
        <v>105</v>
      </c>
      <c r="V36" s="330">
        <f t="shared" si="83"/>
        <v>14.51</v>
      </c>
      <c r="W36" s="330">
        <f t="shared" si="84"/>
        <v>17.7</v>
      </c>
      <c r="X36" s="330">
        <f t="shared" si="85"/>
        <v>14.51</v>
      </c>
      <c r="Y36" s="330">
        <f>'Sch 141A Lighting Tariff'!N84+'Sch 141C Lighting Tariff'!N84+'Sch 141N Lighting Tariff'!N86+'Sch 141R Lighting Tariff'!N86+X36</f>
        <v>18.149999999999999</v>
      </c>
      <c r="Z36" s="209">
        <f t="shared" si="74"/>
        <v>18282.599999999999</v>
      </c>
      <c r="AA36" s="209">
        <f t="shared" si="75"/>
        <v>22302</v>
      </c>
      <c r="AB36" s="209">
        <f t="shared" si="76"/>
        <v>18282.599999999999</v>
      </c>
      <c r="AC36" s="209">
        <f t="shared" si="77"/>
        <v>22868.999999999996</v>
      </c>
      <c r="AD36" s="209">
        <f t="shared" si="78"/>
        <v>0</v>
      </c>
      <c r="AE36" s="209">
        <f t="shared" si="79"/>
        <v>566.99999999999636</v>
      </c>
      <c r="AF36" s="36" t="str">
        <f t="shared" si="80"/>
        <v>0%</v>
      </c>
      <c r="AG36" s="36">
        <f t="shared" si="81"/>
        <v>2.5423728813559161E-2</v>
      </c>
      <c r="AH36" s="627"/>
      <c r="AI36" s="630">
        <f t="shared" si="38"/>
        <v>23</v>
      </c>
      <c r="AJ36" s="629" t="str">
        <f t="shared" si="88"/>
        <v>53E - Company Owned</v>
      </c>
      <c r="AK36" s="593" t="s">
        <v>572</v>
      </c>
      <c r="AL36" s="426" t="s">
        <v>117</v>
      </c>
      <c r="AM36" s="35"/>
      <c r="AN36" s="330"/>
      <c r="AO36" s="330"/>
      <c r="AP36" s="330"/>
      <c r="AQ36" s="330"/>
      <c r="AR36" s="209"/>
      <c r="AS36" s="209"/>
      <c r="AT36" s="209"/>
      <c r="AU36" s="209"/>
      <c r="AV36" s="209"/>
      <c r="AW36" s="209"/>
      <c r="AX36" s="36"/>
      <c r="AY36" s="36"/>
    </row>
    <row r="37" spans="1:51" x14ac:dyDescent="0.2">
      <c r="A37" s="630">
        <f t="shared" si="19"/>
        <v>25</v>
      </c>
      <c r="B37" s="629" t="str">
        <f t="shared" si="86"/>
        <v>53E - Company Owned</v>
      </c>
      <c r="C37" s="593" t="s">
        <v>587</v>
      </c>
      <c r="D37" s="426" t="s">
        <v>117</v>
      </c>
      <c r="E37" s="426">
        <f>'WP1 Light Inventory'!J81</f>
        <v>427</v>
      </c>
      <c r="F37" s="330">
        <f>'WP2 Current Light Rates'!E77</f>
        <v>16.27</v>
      </c>
      <c r="G37" s="330">
        <f>'BDJ-6 Combined Charges'!K87</f>
        <v>15.4</v>
      </c>
      <c r="H37" s="330">
        <f>'Sch 141A Lighting Tariff'!J85+'Sch 141C Lighting Tariff'!J85+'Sch 141N Lighting Tariff'!J87+'Sch 141R Lighting Tariff'!J87+G37</f>
        <v>19.190000000000001</v>
      </c>
      <c r="I37" s="209">
        <f t="shared" si="63"/>
        <v>83367.48</v>
      </c>
      <c r="J37" s="209">
        <f t="shared" si="64"/>
        <v>78909.600000000006</v>
      </c>
      <c r="K37" s="209">
        <f t="shared" si="65"/>
        <v>98329.560000000012</v>
      </c>
      <c r="L37" s="209">
        <f t="shared" si="66"/>
        <v>-4457.8799999999901</v>
      </c>
      <c r="M37" s="209">
        <f t="shared" si="67"/>
        <v>14962.080000000016</v>
      </c>
      <c r="N37" s="36">
        <f t="shared" si="68"/>
        <v>-5.3472649047326251E-2</v>
      </c>
      <c r="O37" s="36">
        <f t="shared" si="69"/>
        <v>0.17947141979102663</v>
      </c>
      <c r="P37" s="627"/>
      <c r="Q37" s="630">
        <f t="shared" si="28"/>
        <v>24</v>
      </c>
      <c r="R37" s="629" t="str">
        <f t="shared" si="87"/>
        <v>53E - Company Owned</v>
      </c>
      <c r="S37" s="593" t="s">
        <v>587</v>
      </c>
      <c r="T37" s="426" t="s">
        <v>117</v>
      </c>
      <c r="U37" s="177">
        <f t="shared" si="82"/>
        <v>427</v>
      </c>
      <c r="V37" s="330">
        <f t="shared" si="83"/>
        <v>15.4</v>
      </c>
      <c r="W37" s="330">
        <f t="shared" si="84"/>
        <v>19.190000000000001</v>
      </c>
      <c r="X37" s="330">
        <f t="shared" si="85"/>
        <v>15.4</v>
      </c>
      <c r="Y37" s="330">
        <f>'Sch 141A Lighting Tariff'!N85+'Sch 141C Lighting Tariff'!N85+'Sch 141N Lighting Tariff'!N87+'Sch 141R Lighting Tariff'!N87+X37</f>
        <v>19.690000000000001</v>
      </c>
      <c r="Z37" s="209">
        <f t="shared" si="74"/>
        <v>78909.600000000006</v>
      </c>
      <c r="AA37" s="209">
        <f t="shared" si="75"/>
        <v>98329.560000000012</v>
      </c>
      <c r="AB37" s="209">
        <f t="shared" si="76"/>
        <v>78909.600000000006</v>
      </c>
      <c r="AC37" s="209">
        <f t="shared" si="77"/>
        <v>100891.56000000001</v>
      </c>
      <c r="AD37" s="209">
        <f t="shared" si="78"/>
        <v>0</v>
      </c>
      <c r="AE37" s="209">
        <f t="shared" si="79"/>
        <v>2562</v>
      </c>
      <c r="AF37" s="36" t="str">
        <f t="shared" si="80"/>
        <v>0%</v>
      </c>
      <c r="AG37" s="36">
        <f t="shared" si="81"/>
        <v>2.6055237102657631E-2</v>
      </c>
      <c r="AH37" s="627"/>
      <c r="AI37" s="630">
        <f t="shared" si="38"/>
        <v>24</v>
      </c>
      <c r="AJ37" s="629" t="str">
        <f t="shared" si="88"/>
        <v>53E - Company Owned</v>
      </c>
      <c r="AK37" s="593" t="s">
        <v>587</v>
      </c>
      <c r="AL37" s="426" t="s">
        <v>117</v>
      </c>
      <c r="AM37" s="35"/>
      <c r="AN37" s="330"/>
      <c r="AO37" s="330"/>
      <c r="AP37" s="330"/>
      <c r="AQ37" s="330"/>
      <c r="AR37" s="209"/>
      <c r="AS37" s="209"/>
      <c r="AT37" s="209"/>
      <c r="AU37" s="209"/>
      <c r="AV37" s="209"/>
      <c r="AW37" s="209"/>
      <c r="AX37" s="36"/>
      <c r="AY37" s="36"/>
    </row>
    <row r="38" spans="1:51" x14ac:dyDescent="0.2">
      <c r="A38" s="630">
        <f t="shared" si="19"/>
        <v>26</v>
      </c>
      <c r="B38" s="629" t="str">
        <f t="shared" si="86"/>
        <v>53E - Company Owned</v>
      </c>
      <c r="C38" s="593" t="s">
        <v>586</v>
      </c>
      <c r="D38" s="426" t="s">
        <v>117</v>
      </c>
      <c r="E38" s="426">
        <f>'WP1 Light Inventory'!J82</f>
        <v>36</v>
      </c>
      <c r="F38" s="330">
        <f>'WP2 Current Light Rates'!E78</f>
        <v>17.78</v>
      </c>
      <c r="G38" s="330">
        <f>'BDJ-6 Combined Charges'!K88</f>
        <v>16.34</v>
      </c>
      <c r="H38" s="330">
        <f>'Sch 141A Lighting Tariff'!J86+'Sch 141C Lighting Tariff'!J86+'Sch 141N Lighting Tariff'!J88+'Sch 141R Lighting Tariff'!J88+G38</f>
        <v>20.72</v>
      </c>
      <c r="I38" s="209">
        <f t="shared" si="63"/>
        <v>7680.9600000000009</v>
      </c>
      <c r="J38" s="209">
        <f t="shared" si="64"/>
        <v>7058.88</v>
      </c>
      <c r="K38" s="209">
        <f t="shared" si="65"/>
        <v>8951.0399999999991</v>
      </c>
      <c r="L38" s="209">
        <f t="shared" si="66"/>
        <v>-622.08000000000084</v>
      </c>
      <c r="M38" s="209">
        <f t="shared" si="67"/>
        <v>1270.0799999999981</v>
      </c>
      <c r="N38" s="36">
        <f t="shared" si="68"/>
        <v>-8.0989876265466915E-2</v>
      </c>
      <c r="O38" s="36">
        <f t="shared" si="69"/>
        <v>0.16535433070866115</v>
      </c>
      <c r="P38" s="627"/>
      <c r="Q38" s="630">
        <f t="shared" si="28"/>
        <v>25</v>
      </c>
      <c r="R38" s="629" t="str">
        <f t="shared" si="87"/>
        <v>53E - Company Owned</v>
      </c>
      <c r="S38" s="593" t="s">
        <v>586</v>
      </c>
      <c r="T38" s="426" t="s">
        <v>117</v>
      </c>
      <c r="U38" s="177">
        <f t="shared" si="82"/>
        <v>36</v>
      </c>
      <c r="V38" s="330">
        <f t="shared" si="83"/>
        <v>16.34</v>
      </c>
      <c r="W38" s="330">
        <f t="shared" si="84"/>
        <v>20.72</v>
      </c>
      <c r="X38" s="330">
        <f t="shared" si="85"/>
        <v>16.34</v>
      </c>
      <c r="Y38" s="330">
        <f>'Sch 141A Lighting Tariff'!N86+'Sch 141C Lighting Tariff'!N86+'Sch 141N Lighting Tariff'!N88+'Sch 141R Lighting Tariff'!N88+X38</f>
        <v>21.29</v>
      </c>
      <c r="Z38" s="209">
        <f t="shared" si="74"/>
        <v>7058.88</v>
      </c>
      <c r="AA38" s="209">
        <f t="shared" si="75"/>
        <v>8951.0399999999991</v>
      </c>
      <c r="AB38" s="209">
        <f t="shared" si="76"/>
        <v>7058.88</v>
      </c>
      <c r="AC38" s="209">
        <f t="shared" si="77"/>
        <v>9197.2799999999988</v>
      </c>
      <c r="AD38" s="209">
        <f t="shared" si="78"/>
        <v>0</v>
      </c>
      <c r="AE38" s="209">
        <f t="shared" si="79"/>
        <v>246.23999999999978</v>
      </c>
      <c r="AF38" s="36" t="str">
        <f t="shared" si="80"/>
        <v>0%</v>
      </c>
      <c r="AG38" s="36">
        <f t="shared" si="81"/>
        <v>2.7509652509652489E-2</v>
      </c>
      <c r="AH38" s="627"/>
      <c r="AI38" s="630">
        <f t="shared" si="38"/>
        <v>25</v>
      </c>
      <c r="AJ38" s="629" t="str">
        <f t="shared" si="88"/>
        <v>53E - Company Owned</v>
      </c>
      <c r="AK38" s="593" t="s">
        <v>586</v>
      </c>
      <c r="AL38" s="426" t="s">
        <v>117</v>
      </c>
      <c r="AM38" s="35"/>
      <c r="AN38" s="330"/>
      <c r="AO38" s="330"/>
      <c r="AP38" s="330"/>
      <c r="AQ38" s="330"/>
      <c r="AR38" s="209"/>
      <c r="AS38" s="209"/>
      <c r="AT38" s="209"/>
      <c r="AU38" s="209"/>
      <c r="AV38" s="209"/>
      <c r="AW38" s="209"/>
      <c r="AX38" s="36"/>
      <c r="AY38" s="36"/>
    </row>
    <row r="39" spans="1:51" x14ac:dyDescent="0.2">
      <c r="A39" s="630">
        <f t="shared" si="19"/>
        <v>27</v>
      </c>
      <c r="B39" s="629" t="str">
        <f t="shared" si="86"/>
        <v>53E - Company Owned</v>
      </c>
      <c r="C39" s="593" t="s">
        <v>573</v>
      </c>
      <c r="D39" s="426" t="s">
        <v>117</v>
      </c>
      <c r="E39" s="426">
        <f>'WP1 Light Inventory'!J83</f>
        <v>24</v>
      </c>
      <c r="F39" s="330">
        <f>'WP2 Current Light Rates'!E79</f>
        <v>19.47</v>
      </c>
      <c r="G39" s="330">
        <f>'BDJ-6 Combined Charges'!K89</f>
        <v>17.22</v>
      </c>
      <c r="H39" s="330">
        <f>'Sch 141A Lighting Tariff'!J87+'Sch 141C Lighting Tariff'!J87+'Sch 141N Lighting Tariff'!J89+'Sch 141R Lighting Tariff'!J89+G39</f>
        <v>22.16</v>
      </c>
      <c r="I39" s="209">
        <f t="shared" si="63"/>
        <v>5607.36</v>
      </c>
      <c r="J39" s="209">
        <f t="shared" si="64"/>
        <v>4959.3599999999997</v>
      </c>
      <c r="K39" s="209">
        <f t="shared" si="65"/>
        <v>6382.08</v>
      </c>
      <c r="L39" s="209">
        <f t="shared" si="66"/>
        <v>-648</v>
      </c>
      <c r="M39" s="209">
        <f t="shared" si="67"/>
        <v>774.72000000000025</v>
      </c>
      <c r="N39" s="36">
        <f t="shared" si="68"/>
        <v>-0.11556240369799692</v>
      </c>
      <c r="O39" s="36">
        <f t="shared" si="69"/>
        <v>0.13816127375449413</v>
      </c>
      <c r="P39" s="627"/>
      <c r="Q39" s="630">
        <f t="shared" si="28"/>
        <v>26</v>
      </c>
      <c r="R39" s="629" t="str">
        <f t="shared" si="87"/>
        <v>53E - Company Owned</v>
      </c>
      <c r="S39" s="593" t="s">
        <v>573</v>
      </c>
      <c r="T39" s="426" t="s">
        <v>117</v>
      </c>
      <c r="U39" s="177">
        <f t="shared" si="82"/>
        <v>24</v>
      </c>
      <c r="V39" s="330">
        <f t="shared" si="83"/>
        <v>17.22</v>
      </c>
      <c r="W39" s="330">
        <f t="shared" si="84"/>
        <v>22.16</v>
      </c>
      <c r="X39" s="330">
        <f t="shared" si="85"/>
        <v>17.22</v>
      </c>
      <c r="Y39" s="330">
        <f>'Sch 141A Lighting Tariff'!N87+'Sch 141C Lighting Tariff'!N87+'Sch 141N Lighting Tariff'!N89+'Sch 141R Lighting Tariff'!N89+X39</f>
        <v>22.84</v>
      </c>
      <c r="Z39" s="209">
        <f t="shared" si="74"/>
        <v>4959.3599999999997</v>
      </c>
      <c r="AA39" s="209">
        <f t="shared" si="75"/>
        <v>6382.08</v>
      </c>
      <c r="AB39" s="209">
        <f t="shared" si="76"/>
        <v>4959.3599999999997</v>
      </c>
      <c r="AC39" s="209">
        <f t="shared" si="77"/>
        <v>6577.92</v>
      </c>
      <c r="AD39" s="209">
        <f t="shared" si="78"/>
        <v>0</v>
      </c>
      <c r="AE39" s="209">
        <f t="shared" si="79"/>
        <v>195.84000000000015</v>
      </c>
      <c r="AF39" s="36" t="str">
        <f t="shared" si="80"/>
        <v>0%</v>
      </c>
      <c r="AG39" s="36">
        <f t="shared" si="81"/>
        <v>3.0685920577617352E-2</v>
      </c>
      <c r="AH39" s="627"/>
      <c r="AI39" s="630">
        <f t="shared" si="38"/>
        <v>26</v>
      </c>
      <c r="AJ39" s="629" t="str">
        <f t="shared" si="88"/>
        <v>53E - Company Owned</v>
      </c>
      <c r="AK39" s="593" t="s">
        <v>573</v>
      </c>
      <c r="AL39" s="426" t="s">
        <v>117</v>
      </c>
      <c r="AM39" s="35"/>
      <c r="AN39" s="330"/>
      <c r="AO39" s="330"/>
      <c r="AP39" s="330"/>
      <c r="AQ39" s="330"/>
      <c r="AR39" s="209"/>
      <c r="AS39" s="209"/>
      <c r="AT39" s="209"/>
      <c r="AU39" s="209"/>
      <c r="AV39" s="209"/>
      <c r="AW39" s="209"/>
      <c r="AX39" s="36"/>
      <c r="AY39" s="36"/>
    </row>
    <row r="40" spans="1:51" x14ac:dyDescent="0.2">
      <c r="A40" s="630">
        <f t="shared" si="19"/>
        <v>28</v>
      </c>
      <c r="B40" s="629" t="str">
        <f t="shared" si="86"/>
        <v>53E - Company Owned</v>
      </c>
      <c r="C40" s="593" t="s">
        <v>574</v>
      </c>
      <c r="D40" s="426" t="s">
        <v>117</v>
      </c>
      <c r="E40" s="426">
        <f>'WP1 Light Inventory'!J84</f>
        <v>157</v>
      </c>
      <c r="F40" s="330">
        <f>'WP2 Current Light Rates'!E80</f>
        <v>20.43</v>
      </c>
      <c r="G40" s="330">
        <f>'BDJ-6 Combined Charges'!K90</f>
        <v>18.100000000000001</v>
      </c>
      <c r="H40" s="330">
        <f>'Sch 141A Lighting Tariff'!J88+'Sch 141C Lighting Tariff'!J88+'Sch 141N Lighting Tariff'!J90+'Sch 141R Lighting Tariff'!J90+G40</f>
        <v>23.630000000000003</v>
      </c>
      <c r="I40" s="209">
        <f t="shared" si="63"/>
        <v>38490.119999999995</v>
      </c>
      <c r="J40" s="209">
        <f t="shared" si="64"/>
        <v>34100.400000000001</v>
      </c>
      <c r="K40" s="209">
        <f t="shared" si="65"/>
        <v>44518.920000000006</v>
      </c>
      <c r="L40" s="209">
        <f t="shared" si="66"/>
        <v>-4389.7199999999939</v>
      </c>
      <c r="M40" s="209">
        <f t="shared" si="67"/>
        <v>6028.8000000000102</v>
      </c>
      <c r="N40" s="36">
        <f t="shared" si="68"/>
        <v>-0.11404796867351918</v>
      </c>
      <c r="O40" s="36">
        <f t="shared" si="69"/>
        <v>0.15663240332843886</v>
      </c>
      <c r="P40" s="627"/>
      <c r="Q40" s="630">
        <f t="shared" si="28"/>
        <v>27</v>
      </c>
      <c r="R40" s="629" t="str">
        <f t="shared" si="87"/>
        <v>53E - Company Owned</v>
      </c>
      <c r="S40" s="593" t="s">
        <v>574</v>
      </c>
      <c r="T40" s="426" t="s">
        <v>117</v>
      </c>
      <c r="U40" s="177">
        <f t="shared" si="82"/>
        <v>157</v>
      </c>
      <c r="V40" s="330">
        <f t="shared" si="83"/>
        <v>18.100000000000001</v>
      </c>
      <c r="W40" s="330">
        <f t="shared" si="84"/>
        <v>23.630000000000003</v>
      </c>
      <c r="X40" s="330">
        <f t="shared" si="85"/>
        <v>18.100000000000001</v>
      </c>
      <c r="Y40" s="330">
        <f>'Sch 141A Lighting Tariff'!N88+'Sch 141C Lighting Tariff'!N88+'Sch 141N Lighting Tariff'!N90+'Sch 141R Lighting Tariff'!N90+X40</f>
        <v>24.380000000000003</v>
      </c>
      <c r="Z40" s="209">
        <f t="shared" si="74"/>
        <v>34100.400000000001</v>
      </c>
      <c r="AA40" s="209">
        <f t="shared" si="75"/>
        <v>44518.920000000006</v>
      </c>
      <c r="AB40" s="209">
        <f t="shared" si="76"/>
        <v>34100.400000000001</v>
      </c>
      <c r="AC40" s="209">
        <f t="shared" si="77"/>
        <v>45931.920000000006</v>
      </c>
      <c r="AD40" s="209">
        <f t="shared" si="78"/>
        <v>0</v>
      </c>
      <c r="AE40" s="209">
        <f t="shared" si="79"/>
        <v>1413</v>
      </c>
      <c r="AF40" s="36" t="str">
        <f t="shared" si="80"/>
        <v>0%</v>
      </c>
      <c r="AG40" s="36">
        <f t="shared" si="81"/>
        <v>3.1739314430808289E-2</v>
      </c>
      <c r="AH40" s="627"/>
      <c r="AI40" s="630">
        <f t="shared" si="38"/>
        <v>27</v>
      </c>
      <c r="AJ40" s="629" t="str">
        <f t="shared" si="88"/>
        <v>53E - Company Owned</v>
      </c>
      <c r="AK40" s="593" t="s">
        <v>574</v>
      </c>
      <c r="AL40" s="426" t="s">
        <v>117</v>
      </c>
      <c r="AM40" s="35"/>
      <c r="AN40" s="330"/>
      <c r="AO40" s="330"/>
      <c r="AP40" s="330"/>
      <c r="AQ40" s="330"/>
      <c r="AR40" s="209"/>
      <c r="AS40" s="209"/>
      <c r="AT40" s="209"/>
      <c r="AU40" s="209"/>
      <c r="AV40" s="209"/>
      <c r="AW40" s="209"/>
      <c r="AX40" s="36"/>
      <c r="AY40" s="36"/>
    </row>
    <row r="41" spans="1:51" x14ac:dyDescent="0.2">
      <c r="A41" s="630">
        <f t="shared" si="19"/>
        <v>29</v>
      </c>
      <c r="B41" s="629"/>
      <c r="C41" s="593"/>
      <c r="D41" s="426" t="s">
        <v>117</v>
      </c>
      <c r="E41" s="272">
        <f>SUM(E31:E40)</f>
        <v>27387</v>
      </c>
      <c r="F41" s="42"/>
      <c r="G41" s="42"/>
      <c r="H41" s="42"/>
      <c r="I41" s="266">
        <f t="shared" ref="I41:M41" si="89">SUM(I31:I40)</f>
        <v>3795870.84</v>
      </c>
      <c r="J41" s="266">
        <f t="shared" si="89"/>
        <v>3670242</v>
      </c>
      <c r="K41" s="266">
        <f t="shared" si="89"/>
        <v>4061624.0399999996</v>
      </c>
      <c r="L41" s="266">
        <f t="shared" si="89"/>
        <v>-125628.83999999965</v>
      </c>
      <c r="M41" s="266">
        <f t="shared" si="89"/>
        <v>265753.19999999966</v>
      </c>
      <c r="N41" s="267">
        <f t="shared" ref="N41" si="90">IF(+L41=0,"0%",L41/I41)</f>
        <v>-3.3096184062996109E-2</v>
      </c>
      <c r="O41" s="267">
        <f t="shared" ref="O41" si="91">IF(+M41=0,"0%",M41/I41)</f>
        <v>7.0011128197396646E-2</v>
      </c>
      <c r="P41" s="627"/>
      <c r="Q41" s="630">
        <f t="shared" si="28"/>
        <v>28</v>
      </c>
      <c r="R41" s="629"/>
      <c r="S41" s="593"/>
      <c r="T41" s="426" t="s">
        <v>117</v>
      </c>
      <c r="U41" s="272">
        <f>SUM(U31:U40)</f>
        <v>27387</v>
      </c>
      <c r="V41" s="42"/>
      <c r="W41" s="42"/>
      <c r="X41" s="42"/>
      <c r="Y41" s="42"/>
      <c r="Z41" s="266">
        <f t="shared" ref="Z41:AE41" si="92">SUM(Z31:Z40)</f>
        <v>3670242</v>
      </c>
      <c r="AA41" s="266">
        <f t="shared" si="92"/>
        <v>4061624.0399999996</v>
      </c>
      <c r="AB41" s="266">
        <f t="shared" si="92"/>
        <v>3670242</v>
      </c>
      <c r="AC41" s="266">
        <f t="shared" si="92"/>
        <v>4115584.7999999993</v>
      </c>
      <c r="AD41" s="266">
        <f t="shared" si="92"/>
        <v>0</v>
      </c>
      <c r="AE41" s="266">
        <f t="shared" si="92"/>
        <v>53960.76000000049</v>
      </c>
      <c r="AF41" s="267" t="str">
        <f t="shared" ref="AF41" si="93">IF(+AD41=0,"0%",AD41/Z41)</f>
        <v>0%</v>
      </c>
      <c r="AG41" s="267">
        <f t="shared" ref="AG41" si="94">IF(+AE41=0,"0%",AE41/AA41)</f>
        <v>1.3285513250015256E-2</v>
      </c>
      <c r="AH41" s="627"/>
      <c r="AI41" s="630">
        <f t="shared" si="38"/>
        <v>28</v>
      </c>
      <c r="AJ41" s="629"/>
      <c r="AK41" s="593"/>
      <c r="AL41" s="426" t="s">
        <v>117</v>
      </c>
      <c r="AM41" s="272"/>
      <c r="AN41" s="42"/>
      <c r="AO41" s="42"/>
      <c r="AP41" s="42"/>
      <c r="AQ41" s="42"/>
      <c r="AR41" s="266"/>
      <c r="AS41" s="266"/>
      <c r="AT41" s="266"/>
      <c r="AU41" s="266"/>
      <c r="AV41" s="266"/>
      <c r="AW41" s="266"/>
      <c r="AX41" s="267"/>
      <c r="AY41" s="267"/>
    </row>
    <row r="42" spans="1:51" x14ac:dyDescent="0.2">
      <c r="A42" s="630">
        <f t="shared" si="19"/>
        <v>30</v>
      </c>
      <c r="B42" s="629"/>
      <c r="C42" s="426"/>
      <c r="D42" s="426"/>
      <c r="E42" s="318"/>
      <c r="F42" s="330"/>
      <c r="G42" s="330"/>
      <c r="H42" s="330"/>
      <c r="I42" s="209"/>
      <c r="J42" s="209"/>
      <c r="K42" s="209"/>
      <c r="L42" s="209"/>
      <c r="M42" s="209"/>
      <c r="N42" s="36"/>
      <c r="O42" s="36"/>
      <c r="P42" s="627"/>
      <c r="Q42" s="630">
        <f t="shared" si="28"/>
        <v>29</v>
      </c>
      <c r="R42" s="629"/>
      <c r="S42" s="426"/>
      <c r="T42" s="426"/>
      <c r="W42" s="330"/>
      <c r="Y42" s="330"/>
      <c r="AA42" s="209"/>
      <c r="AC42" s="209"/>
      <c r="AE42" s="209"/>
      <c r="AF42" s="36"/>
      <c r="AG42" s="36"/>
      <c r="AH42" s="627"/>
      <c r="AI42" s="630">
        <f t="shared" si="38"/>
        <v>29</v>
      </c>
      <c r="AJ42" s="629"/>
      <c r="AK42" s="426"/>
      <c r="AL42" s="426"/>
      <c r="AO42" s="330"/>
      <c r="AQ42" s="330"/>
      <c r="AS42" s="209"/>
      <c r="AU42" s="209"/>
      <c r="AW42" s="209"/>
      <c r="AX42" s="36"/>
      <c r="AY42" s="36"/>
    </row>
    <row r="43" spans="1:51" x14ac:dyDescent="0.2">
      <c r="A43" s="630">
        <f t="shared" si="19"/>
        <v>31</v>
      </c>
      <c r="B43" s="202" t="s">
        <v>70</v>
      </c>
      <c r="C43" s="426">
        <v>50</v>
      </c>
      <c r="D43" s="426" t="s">
        <v>69</v>
      </c>
      <c r="E43" s="426">
        <f>'WP1 Light Inventory'!J97</f>
        <v>0</v>
      </c>
      <c r="F43" s="330">
        <f>'WP2 Current Light Rates'!E82</f>
        <v>3.22</v>
      </c>
      <c r="G43" s="330">
        <f>'BDJ-6 Combined Charges'!K103</f>
        <v>3.71</v>
      </c>
      <c r="H43" s="330">
        <f>'Sch 141A Lighting Tariff'!J101+'Sch 141C Lighting Tariff'!J101+'Sch 141N Lighting Tariff'!J103+'Sch 141R Lighting Tariff'!J103+G43</f>
        <v>4.68</v>
      </c>
      <c r="I43" s="209">
        <f t="shared" ref="I43:I51" si="95">(+F43*$E43*12)</f>
        <v>0</v>
      </c>
      <c r="J43" s="209">
        <f t="shared" ref="J43:J51" si="96">(+G43*$E43*12)</f>
        <v>0</v>
      </c>
      <c r="K43" s="209">
        <f t="shared" ref="K43:K51" si="97">(H43)*E43*12</f>
        <v>0</v>
      </c>
      <c r="L43" s="209">
        <f t="shared" ref="L43:L51" si="98">+J43-I43</f>
        <v>0</v>
      </c>
      <c r="M43" s="209">
        <f t="shared" ref="M43:M51" si="99">+K43-I43</f>
        <v>0</v>
      </c>
      <c r="N43" s="36" t="str">
        <f t="shared" ref="N43:N51" si="100">IF(+L43=0,"0%",L43/I43)</f>
        <v>0%</v>
      </c>
      <c r="O43" s="36" t="str">
        <f t="shared" ref="O43:O51" si="101">IF(+M43=0,"0%",M43/I43)</f>
        <v>0%</v>
      </c>
      <c r="P43" s="627"/>
      <c r="Q43" s="630">
        <f t="shared" si="28"/>
        <v>30</v>
      </c>
      <c r="R43" s="202" t="s">
        <v>70</v>
      </c>
      <c r="S43" s="426">
        <v>50</v>
      </c>
      <c r="T43" s="426" t="s">
        <v>69</v>
      </c>
      <c r="U43" s="177">
        <f t="shared" ref="U43:U51" si="102">E43</f>
        <v>0</v>
      </c>
      <c r="V43" s="330">
        <f t="shared" ref="V43:V51" si="103">G43</f>
        <v>3.71</v>
      </c>
      <c r="W43" s="330">
        <f t="shared" ref="W43:W51" si="104">H43</f>
        <v>4.68</v>
      </c>
      <c r="X43" s="330">
        <f t="shared" ref="X43:X51" si="105">V43</f>
        <v>3.71</v>
      </c>
      <c r="Y43" s="330">
        <f>'Sch 141A Lighting Tariff'!N101+'Sch 141C Lighting Tariff'!N101+'Sch 141N Lighting Tariff'!N103+'Sch 141R Lighting Tariff'!N103+X43</f>
        <v>4.8100000000000005</v>
      </c>
      <c r="Z43" s="209">
        <f t="shared" ref="Z43:Z51" si="106">(+V43*$U43*12)</f>
        <v>0</v>
      </c>
      <c r="AA43" s="209">
        <f t="shared" ref="AA43:AA51" si="107">(+W43*$U43*12)</f>
        <v>0</v>
      </c>
      <c r="AB43" s="209">
        <f t="shared" ref="AB43:AB51" si="108">(+X43*$U43*12)</f>
        <v>0</v>
      </c>
      <c r="AC43" s="209">
        <f t="shared" ref="AC43:AC51" si="109">(+Y43*$U43*12)</f>
        <v>0</v>
      </c>
      <c r="AD43" s="209">
        <f t="shared" ref="AD43:AD51" si="110">+AB43-Z43</f>
        <v>0</v>
      </c>
      <c r="AE43" s="209">
        <f t="shared" ref="AE43:AE51" si="111">+AC43-AA43</f>
        <v>0</v>
      </c>
      <c r="AF43" s="36" t="str">
        <f t="shared" ref="AF43:AF51" si="112">IF(+AD43=0,"0%",AD43/Z43)</f>
        <v>0%</v>
      </c>
      <c r="AG43" s="36" t="str">
        <f t="shared" ref="AG43:AG51" si="113">IF(+AE43=0,"0%",AE43/AA43)</f>
        <v>0%</v>
      </c>
      <c r="AH43" s="627"/>
      <c r="AI43" s="630">
        <f t="shared" si="38"/>
        <v>30</v>
      </c>
      <c r="AJ43" s="202" t="s">
        <v>70</v>
      </c>
      <c r="AK43" s="426">
        <v>50</v>
      </c>
      <c r="AL43" s="426" t="s">
        <v>69</v>
      </c>
      <c r="AM43" s="35"/>
      <c r="AN43" s="330"/>
      <c r="AO43" s="330"/>
      <c r="AP43" s="330"/>
      <c r="AQ43" s="330"/>
      <c r="AR43" s="209"/>
      <c r="AS43" s="209"/>
      <c r="AT43" s="209"/>
      <c r="AU43" s="209"/>
      <c r="AV43" s="209"/>
      <c r="AW43" s="209"/>
      <c r="AX43" s="36"/>
      <c r="AY43" s="36"/>
    </row>
    <row r="44" spans="1:51" x14ac:dyDescent="0.2">
      <c r="A44" s="630">
        <f t="shared" si="19"/>
        <v>32</v>
      </c>
      <c r="B44" s="629" t="str">
        <f t="shared" ref="B44:B51" si="114">+B43</f>
        <v>53E - Customer Owned</v>
      </c>
      <c r="C44" s="426">
        <v>70</v>
      </c>
      <c r="D44" s="426" t="s">
        <v>69</v>
      </c>
      <c r="E44" s="426">
        <f>'WP1 Light Inventory'!J98</f>
        <v>52</v>
      </c>
      <c r="F44" s="330">
        <f>'WP2 Current Light Rates'!E83</f>
        <v>3.86</v>
      </c>
      <c r="G44" s="330">
        <f>'BDJ-6 Combined Charges'!K104</f>
        <v>4.3199999999999994</v>
      </c>
      <c r="H44" s="330">
        <f>'Sch 141A Lighting Tariff'!J102+'Sch 141C Lighting Tariff'!J102+'Sch 141N Lighting Tariff'!J104+'Sch 141R Lighting Tariff'!J104+G44</f>
        <v>5.67</v>
      </c>
      <c r="I44" s="209">
        <f t="shared" si="95"/>
        <v>2408.64</v>
      </c>
      <c r="J44" s="209">
        <f t="shared" si="96"/>
        <v>2695.6799999999994</v>
      </c>
      <c r="K44" s="209">
        <f t="shared" si="97"/>
        <v>3538.08</v>
      </c>
      <c r="L44" s="209">
        <f t="shared" si="98"/>
        <v>287.03999999999951</v>
      </c>
      <c r="M44" s="209">
        <f t="shared" si="99"/>
        <v>1129.44</v>
      </c>
      <c r="N44" s="36">
        <f t="shared" si="100"/>
        <v>0.11917098445595835</v>
      </c>
      <c r="O44" s="36">
        <f t="shared" si="101"/>
        <v>0.46891191709844565</v>
      </c>
      <c r="P44" s="627"/>
      <c r="Q44" s="630">
        <f t="shared" si="28"/>
        <v>31</v>
      </c>
      <c r="R44" s="629" t="str">
        <f t="shared" ref="R44:R51" si="115">+R43</f>
        <v>53E - Customer Owned</v>
      </c>
      <c r="S44" s="426">
        <v>70</v>
      </c>
      <c r="T44" s="426" t="s">
        <v>69</v>
      </c>
      <c r="U44" s="177">
        <f t="shared" si="102"/>
        <v>52</v>
      </c>
      <c r="V44" s="330">
        <f t="shared" si="103"/>
        <v>4.3199999999999994</v>
      </c>
      <c r="W44" s="330">
        <f t="shared" si="104"/>
        <v>5.67</v>
      </c>
      <c r="X44" s="330">
        <f t="shared" si="105"/>
        <v>4.3199999999999994</v>
      </c>
      <c r="Y44" s="330">
        <f>'Sch 141A Lighting Tariff'!N102+'Sch 141C Lighting Tariff'!N102+'Sch 141N Lighting Tariff'!N104+'Sch 141R Lighting Tariff'!N104+X44</f>
        <v>5.8699999999999992</v>
      </c>
      <c r="Z44" s="209">
        <f t="shared" si="106"/>
        <v>2695.6799999999994</v>
      </c>
      <c r="AA44" s="209">
        <f t="shared" si="107"/>
        <v>3538.08</v>
      </c>
      <c r="AB44" s="209">
        <f t="shared" si="108"/>
        <v>2695.6799999999994</v>
      </c>
      <c r="AC44" s="209">
        <f t="shared" si="109"/>
        <v>3662.8799999999992</v>
      </c>
      <c r="AD44" s="209">
        <f t="shared" si="110"/>
        <v>0</v>
      </c>
      <c r="AE44" s="209">
        <f t="shared" si="111"/>
        <v>124.79999999999927</v>
      </c>
      <c r="AF44" s="36" t="str">
        <f t="shared" si="112"/>
        <v>0%</v>
      </c>
      <c r="AG44" s="36">
        <f t="shared" si="113"/>
        <v>3.5273368606701737E-2</v>
      </c>
      <c r="AH44" s="627"/>
      <c r="AI44" s="630">
        <f t="shared" si="38"/>
        <v>31</v>
      </c>
      <c r="AJ44" s="629" t="str">
        <f t="shared" ref="AJ44:AJ51" si="116">+AJ43</f>
        <v>53E - Customer Owned</v>
      </c>
      <c r="AK44" s="426">
        <v>70</v>
      </c>
      <c r="AL44" s="426" t="s">
        <v>69</v>
      </c>
      <c r="AM44" s="35"/>
      <c r="AN44" s="330"/>
      <c r="AO44" s="330"/>
      <c r="AP44" s="330"/>
      <c r="AQ44" s="330"/>
      <c r="AR44" s="209"/>
      <c r="AS44" s="209"/>
      <c r="AT44" s="209"/>
      <c r="AU44" s="209"/>
      <c r="AV44" s="209"/>
      <c r="AW44" s="209"/>
      <c r="AX44" s="36"/>
      <c r="AY44" s="36"/>
    </row>
    <row r="45" spans="1:51" x14ac:dyDescent="0.2">
      <c r="A45" s="630">
        <f t="shared" si="19"/>
        <v>33</v>
      </c>
      <c r="B45" s="629" t="str">
        <f t="shared" si="114"/>
        <v>53E - Customer Owned</v>
      </c>
      <c r="C45" s="426">
        <v>100</v>
      </c>
      <c r="D45" s="426" t="s">
        <v>69</v>
      </c>
      <c r="E45" s="426">
        <f>'WP1 Light Inventory'!J99</f>
        <v>204</v>
      </c>
      <c r="F45" s="330">
        <f>'WP2 Current Light Rates'!E84</f>
        <v>4.82</v>
      </c>
      <c r="G45" s="330">
        <f>'BDJ-6 Combined Charges'!K105</f>
        <v>5.2</v>
      </c>
      <c r="H45" s="330">
        <f>'Sch 141A Lighting Tariff'!J103+'Sch 141C Lighting Tariff'!J103+'Sch 141N Lighting Tariff'!J105+'Sch 141R Lighting Tariff'!J105+G45</f>
        <v>7.1400000000000006</v>
      </c>
      <c r="I45" s="209">
        <f t="shared" si="95"/>
        <v>11799.36</v>
      </c>
      <c r="J45" s="209">
        <f t="shared" si="96"/>
        <v>12729.599999999999</v>
      </c>
      <c r="K45" s="209">
        <f t="shared" si="97"/>
        <v>17478.72</v>
      </c>
      <c r="L45" s="209">
        <f t="shared" si="98"/>
        <v>930.23999999999796</v>
      </c>
      <c r="M45" s="209">
        <f t="shared" si="99"/>
        <v>5679.3600000000006</v>
      </c>
      <c r="N45" s="36">
        <f t="shared" si="100"/>
        <v>7.8838174273858738E-2</v>
      </c>
      <c r="O45" s="36">
        <f t="shared" si="101"/>
        <v>0.48132780082987553</v>
      </c>
      <c r="P45" s="627"/>
      <c r="Q45" s="630">
        <f t="shared" si="28"/>
        <v>32</v>
      </c>
      <c r="R45" s="629" t="str">
        <f t="shared" si="115"/>
        <v>53E - Customer Owned</v>
      </c>
      <c r="S45" s="426">
        <v>100</v>
      </c>
      <c r="T45" s="426" t="s">
        <v>69</v>
      </c>
      <c r="U45" s="177">
        <f t="shared" si="102"/>
        <v>204</v>
      </c>
      <c r="V45" s="330">
        <f t="shared" si="103"/>
        <v>5.2</v>
      </c>
      <c r="W45" s="330">
        <f t="shared" si="104"/>
        <v>7.1400000000000006</v>
      </c>
      <c r="X45" s="330">
        <f t="shared" si="105"/>
        <v>5.2</v>
      </c>
      <c r="Y45" s="330">
        <f>'Sch 141A Lighting Tariff'!N103+'Sch 141C Lighting Tariff'!N103+'Sch 141N Lighting Tariff'!N105+'Sch 141R Lighting Tariff'!N105+X45</f>
        <v>7.4</v>
      </c>
      <c r="Z45" s="209">
        <f t="shared" si="106"/>
        <v>12729.599999999999</v>
      </c>
      <c r="AA45" s="209">
        <f t="shared" si="107"/>
        <v>17478.72</v>
      </c>
      <c r="AB45" s="209">
        <f t="shared" si="108"/>
        <v>12729.599999999999</v>
      </c>
      <c r="AC45" s="209">
        <f t="shared" si="109"/>
        <v>18115.2</v>
      </c>
      <c r="AD45" s="209">
        <f t="shared" si="110"/>
        <v>0</v>
      </c>
      <c r="AE45" s="209">
        <f t="shared" si="111"/>
        <v>636.47999999999956</v>
      </c>
      <c r="AF45" s="36" t="str">
        <f t="shared" si="112"/>
        <v>0%</v>
      </c>
      <c r="AG45" s="36">
        <f t="shared" si="113"/>
        <v>3.6414565826330507E-2</v>
      </c>
      <c r="AH45" s="627"/>
      <c r="AI45" s="630">
        <f t="shared" si="38"/>
        <v>32</v>
      </c>
      <c r="AJ45" s="629" t="str">
        <f t="shared" si="116"/>
        <v>53E - Customer Owned</v>
      </c>
      <c r="AK45" s="426">
        <v>100</v>
      </c>
      <c r="AL45" s="426" t="s">
        <v>69</v>
      </c>
      <c r="AM45" s="35"/>
      <c r="AN45" s="330"/>
      <c r="AO45" s="330"/>
      <c r="AP45" s="330"/>
      <c r="AQ45" s="330"/>
      <c r="AR45" s="209"/>
      <c r="AS45" s="209"/>
      <c r="AT45" s="209"/>
      <c r="AU45" s="209"/>
      <c r="AV45" s="209"/>
      <c r="AW45" s="209"/>
      <c r="AX45" s="36"/>
      <c r="AY45" s="36"/>
    </row>
    <row r="46" spans="1:51" x14ac:dyDescent="0.2">
      <c r="A46" s="630">
        <f t="shared" si="19"/>
        <v>34</v>
      </c>
      <c r="B46" s="629" t="str">
        <f t="shared" si="114"/>
        <v>53E - Customer Owned</v>
      </c>
      <c r="C46" s="426">
        <v>150</v>
      </c>
      <c r="D46" s="426" t="s">
        <v>69</v>
      </c>
      <c r="E46" s="426">
        <f>'WP1 Light Inventory'!J100</f>
        <v>96</v>
      </c>
      <c r="F46" s="330">
        <f>'WP2 Current Light Rates'!E85</f>
        <v>6.41</v>
      </c>
      <c r="G46" s="330">
        <f>'BDJ-6 Combined Charges'!K106</f>
        <v>6.66</v>
      </c>
      <c r="H46" s="330">
        <f>'Sch 141A Lighting Tariff'!J104+'Sch 141C Lighting Tariff'!J104+'Sch 141N Lighting Tariff'!J106+'Sch 141R Lighting Tariff'!J106+G46</f>
        <v>9.57</v>
      </c>
      <c r="I46" s="209">
        <f t="shared" si="95"/>
        <v>7384.32</v>
      </c>
      <c r="J46" s="209">
        <f t="shared" si="96"/>
        <v>7672.32</v>
      </c>
      <c r="K46" s="209">
        <f t="shared" si="97"/>
        <v>11024.64</v>
      </c>
      <c r="L46" s="209">
        <f t="shared" si="98"/>
        <v>288</v>
      </c>
      <c r="M46" s="209">
        <f t="shared" si="99"/>
        <v>3640.3199999999997</v>
      </c>
      <c r="N46" s="36">
        <f t="shared" si="100"/>
        <v>3.9001560062402497E-2</v>
      </c>
      <c r="O46" s="36">
        <f t="shared" si="101"/>
        <v>0.49297971918876754</v>
      </c>
      <c r="P46" s="627"/>
      <c r="Q46" s="630">
        <f t="shared" si="28"/>
        <v>33</v>
      </c>
      <c r="R46" s="629" t="str">
        <f t="shared" si="115"/>
        <v>53E - Customer Owned</v>
      </c>
      <c r="S46" s="426">
        <v>150</v>
      </c>
      <c r="T46" s="426" t="s">
        <v>69</v>
      </c>
      <c r="U46" s="177">
        <f t="shared" si="102"/>
        <v>96</v>
      </c>
      <c r="V46" s="330">
        <f t="shared" si="103"/>
        <v>6.66</v>
      </c>
      <c r="W46" s="330">
        <f t="shared" si="104"/>
        <v>9.57</v>
      </c>
      <c r="X46" s="330">
        <f t="shared" si="105"/>
        <v>6.66</v>
      </c>
      <c r="Y46" s="330">
        <f>'Sch 141A Lighting Tariff'!N104+'Sch 141C Lighting Tariff'!N104+'Sch 141N Lighting Tariff'!N106+'Sch 141R Lighting Tariff'!N106+X46</f>
        <v>9.9600000000000009</v>
      </c>
      <c r="Z46" s="209">
        <f t="shared" si="106"/>
        <v>7672.32</v>
      </c>
      <c r="AA46" s="209">
        <f t="shared" si="107"/>
        <v>11024.64</v>
      </c>
      <c r="AB46" s="209">
        <f t="shared" si="108"/>
        <v>7672.32</v>
      </c>
      <c r="AC46" s="209">
        <f t="shared" si="109"/>
        <v>11473.920000000002</v>
      </c>
      <c r="AD46" s="209">
        <f t="shared" si="110"/>
        <v>0</v>
      </c>
      <c r="AE46" s="209">
        <f t="shared" si="111"/>
        <v>449.28000000000247</v>
      </c>
      <c r="AF46" s="36" t="str">
        <f t="shared" si="112"/>
        <v>0%</v>
      </c>
      <c r="AG46" s="36">
        <f t="shared" si="113"/>
        <v>4.075235109717891E-2</v>
      </c>
      <c r="AH46" s="627"/>
      <c r="AI46" s="630">
        <f t="shared" si="38"/>
        <v>33</v>
      </c>
      <c r="AJ46" s="629" t="str">
        <f t="shared" si="116"/>
        <v>53E - Customer Owned</v>
      </c>
      <c r="AK46" s="426">
        <v>150</v>
      </c>
      <c r="AL46" s="426" t="s">
        <v>69</v>
      </c>
      <c r="AM46" s="35"/>
      <c r="AN46" s="330"/>
      <c r="AO46" s="330"/>
      <c r="AP46" s="330"/>
      <c r="AQ46" s="330"/>
      <c r="AR46" s="209"/>
      <c r="AS46" s="209"/>
      <c r="AT46" s="209"/>
      <c r="AU46" s="209"/>
      <c r="AV46" s="209"/>
      <c r="AW46" s="209"/>
      <c r="AX46" s="36"/>
      <c r="AY46" s="36"/>
    </row>
    <row r="47" spans="1:51" x14ac:dyDescent="0.2">
      <c r="A47" s="630">
        <f t="shared" si="19"/>
        <v>35</v>
      </c>
      <c r="B47" s="629" t="str">
        <f t="shared" si="114"/>
        <v>53E - Customer Owned</v>
      </c>
      <c r="C47" s="426">
        <v>200</v>
      </c>
      <c r="D47" s="426" t="s">
        <v>69</v>
      </c>
      <c r="E47" s="426">
        <f>'WP1 Light Inventory'!J101</f>
        <v>372</v>
      </c>
      <c r="F47" s="330">
        <f>'WP2 Current Light Rates'!E86</f>
        <v>8</v>
      </c>
      <c r="G47" s="330">
        <f>'BDJ-6 Combined Charges'!K107</f>
        <v>8.14</v>
      </c>
      <c r="H47" s="330">
        <f>'Sch 141A Lighting Tariff'!J105+'Sch 141C Lighting Tariff'!J105+'Sch 141N Lighting Tariff'!J107+'Sch 141R Lighting Tariff'!J107+G47</f>
        <v>12.020000000000001</v>
      </c>
      <c r="I47" s="209">
        <f t="shared" si="95"/>
        <v>35712</v>
      </c>
      <c r="J47" s="209">
        <f t="shared" si="96"/>
        <v>36336.960000000006</v>
      </c>
      <c r="K47" s="209">
        <f t="shared" si="97"/>
        <v>53657.280000000006</v>
      </c>
      <c r="L47" s="209">
        <f t="shared" si="98"/>
        <v>624.9600000000064</v>
      </c>
      <c r="M47" s="209">
        <f t="shared" si="99"/>
        <v>17945.280000000006</v>
      </c>
      <c r="N47" s="36">
        <f t="shared" si="100"/>
        <v>1.7500000000000179E-2</v>
      </c>
      <c r="O47" s="36">
        <f t="shared" si="101"/>
        <v>0.50250000000000017</v>
      </c>
      <c r="P47" s="627"/>
      <c r="Q47" s="630">
        <f t="shared" si="28"/>
        <v>34</v>
      </c>
      <c r="R47" s="629" t="str">
        <f t="shared" si="115"/>
        <v>53E - Customer Owned</v>
      </c>
      <c r="S47" s="426">
        <v>200</v>
      </c>
      <c r="T47" s="426" t="s">
        <v>69</v>
      </c>
      <c r="U47" s="177">
        <f t="shared" si="102"/>
        <v>372</v>
      </c>
      <c r="V47" s="330">
        <f t="shared" si="103"/>
        <v>8.14</v>
      </c>
      <c r="W47" s="330">
        <f t="shared" si="104"/>
        <v>12.020000000000001</v>
      </c>
      <c r="X47" s="330">
        <f t="shared" si="105"/>
        <v>8.14</v>
      </c>
      <c r="Y47" s="330">
        <f>'Sch 141A Lighting Tariff'!N105+'Sch 141C Lighting Tariff'!N105+'Sch 141N Lighting Tariff'!N107+'Sch 141R Lighting Tariff'!N107+X47</f>
        <v>12.540000000000001</v>
      </c>
      <c r="Z47" s="209">
        <f t="shared" si="106"/>
        <v>36336.960000000006</v>
      </c>
      <c r="AA47" s="209">
        <f t="shared" si="107"/>
        <v>53657.280000000006</v>
      </c>
      <c r="AB47" s="209">
        <f t="shared" si="108"/>
        <v>36336.960000000006</v>
      </c>
      <c r="AC47" s="209">
        <f t="shared" si="109"/>
        <v>55978.559999999998</v>
      </c>
      <c r="AD47" s="209">
        <f t="shared" si="110"/>
        <v>0</v>
      </c>
      <c r="AE47" s="209">
        <f t="shared" si="111"/>
        <v>2321.2799999999916</v>
      </c>
      <c r="AF47" s="36" t="str">
        <f t="shared" si="112"/>
        <v>0%</v>
      </c>
      <c r="AG47" s="36">
        <f t="shared" si="113"/>
        <v>4.326123128119784E-2</v>
      </c>
      <c r="AH47" s="627"/>
      <c r="AI47" s="630">
        <f t="shared" si="38"/>
        <v>34</v>
      </c>
      <c r="AJ47" s="629" t="str">
        <f t="shared" si="116"/>
        <v>53E - Customer Owned</v>
      </c>
      <c r="AK47" s="426">
        <v>200</v>
      </c>
      <c r="AL47" s="426" t="s">
        <v>69</v>
      </c>
      <c r="AM47" s="35"/>
      <c r="AN47" s="330"/>
      <c r="AO47" s="330"/>
      <c r="AP47" s="330"/>
      <c r="AQ47" s="330"/>
      <c r="AR47" s="209"/>
      <c r="AS47" s="209"/>
      <c r="AT47" s="209"/>
      <c r="AU47" s="209"/>
      <c r="AV47" s="209"/>
      <c r="AW47" s="209"/>
      <c r="AX47" s="36"/>
      <c r="AY47" s="36"/>
    </row>
    <row r="48" spans="1:51" x14ac:dyDescent="0.2">
      <c r="A48" s="630">
        <f t="shared" si="19"/>
        <v>36</v>
      </c>
      <c r="B48" s="629" t="str">
        <f t="shared" si="114"/>
        <v>53E - Customer Owned</v>
      </c>
      <c r="C48" s="426">
        <v>250</v>
      </c>
      <c r="D48" s="426" t="s">
        <v>69</v>
      </c>
      <c r="E48" s="426">
        <f>'WP1 Light Inventory'!J102</f>
        <v>246</v>
      </c>
      <c r="F48" s="330">
        <f>'WP2 Current Light Rates'!E87</f>
        <v>9.59</v>
      </c>
      <c r="G48" s="330">
        <f>'BDJ-6 Combined Charges'!K108</f>
        <v>9.6</v>
      </c>
      <c r="H48" s="330">
        <f>'Sch 141A Lighting Tariff'!J106+'Sch 141C Lighting Tariff'!J106+'Sch 141N Lighting Tariff'!J108+'Sch 141R Lighting Tariff'!J108+G48</f>
        <v>14.45</v>
      </c>
      <c r="I48" s="209">
        <f t="shared" si="95"/>
        <v>28309.68</v>
      </c>
      <c r="J48" s="209">
        <f t="shared" si="96"/>
        <v>28339.199999999997</v>
      </c>
      <c r="K48" s="209">
        <f t="shared" si="97"/>
        <v>42656.399999999994</v>
      </c>
      <c r="L48" s="209">
        <f t="shared" si="98"/>
        <v>29.519999999996799</v>
      </c>
      <c r="M48" s="209">
        <f t="shared" si="99"/>
        <v>14346.719999999994</v>
      </c>
      <c r="N48" s="36">
        <f t="shared" si="100"/>
        <v>1.0427528675702727E-3</v>
      </c>
      <c r="O48" s="36">
        <f t="shared" si="101"/>
        <v>0.50677789363920733</v>
      </c>
      <c r="P48" s="627"/>
      <c r="Q48" s="630">
        <f t="shared" si="28"/>
        <v>35</v>
      </c>
      <c r="R48" s="629" t="str">
        <f t="shared" si="115"/>
        <v>53E - Customer Owned</v>
      </c>
      <c r="S48" s="426">
        <v>250</v>
      </c>
      <c r="T48" s="426" t="s">
        <v>69</v>
      </c>
      <c r="U48" s="177">
        <f t="shared" si="102"/>
        <v>246</v>
      </c>
      <c r="V48" s="330">
        <f t="shared" si="103"/>
        <v>9.6</v>
      </c>
      <c r="W48" s="330">
        <f t="shared" si="104"/>
        <v>14.45</v>
      </c>
      <c r="X48" s="330">
        <f t="shared" si="105"/>
        <v>9.6</v>
      </c>
      <c r="Y48" s="330">
        <f>'Sch 141A Lighting Tariff'!N106+'Sch 141C Lighting Tariff'!N106+'Sch 141N Lighting Tariff'!N108+'Sch 141R Lighting Tariff'!N108+X48</f>
        <v>15.11</v>
      </c>
      <c r="Z48" s="209">
        <f t="shared" si="106"/>
        <v>28339.199999999997</v>
      </c>
      <c r="AA48" s="209">
        <f t="shared" si="107"/>
        <v>42656.399999999994</v>
      </c>
      <c r="AB48" s="209">
        <f t="shared" si="108"/>
        <v>28339.199999999997</v>
      </c>
      <c r="AC48" s="209">
        <f t="shared" si="109"/>
        <v>44604.72</v>
      </c>
      <c r="AD48" s="209">
        <f t="shared" si="110"/>
        <v>0</v>
      </c>
      <c r="AE48" s="209">
        <f t="shared" si="111"/>
        <v>1948.320000000007</v>
      </c>
      <c r="AF48" s="36" t="str">
        <f t="shared" si="112"/>
        <v>0%</v>
      </c>
      <c r="AG48" s="36">
        <f t="shared" si="113"/>
        <v>4.5674740484429238E-2</v>
      </c>
      <c r="AH48" s="627"/>
      <c r="AI48" s="630">
        <f t="shared" si="38"/>
        <v>35</v>
      </c>
      <c r="AJ48" s="629" t="str">
        <f t="shared" si="116"/>
        <v>53E - Customer Owned</v>
      </c>
      <c r="AK48" s="426">
        <v>250</v>
      </c>
      <c r="AL48" s="426" t="s">
        <v>69</v>
      </c>
      <c r="AM48" s="35"/>
      <c r="AN48" s="330"/>
      <c r="AO48" s="330"/>
      <c r="AP48" s="330"/>
      <c r="AQ48" s="330"/>
      <c r="AR48" s="209"/>
      <c r="AS48" s="209"/>
      <c r="AT48" s="209"/>
      <c r="AU48" s="209"/>
      <c r="AV48" s="209"/>
      <c r="AW48" s="209"/>
      <c r="AX48" s="36"/>
      <c r="AY48" s="36"/>
    </row>
    <row r="49" spans="1:51" x14ac:dyDescent="0.2">
      <c r="A49" s="630">
        <f t="shared" si="19"/>
        <v>37</v>
      </c>
      <c r="B49" s="629" t="str">
        <f t="shared" si="114"/>
        <v>53E - Customer Owned</v>
      </c>
      <c r="C49" s="426">
        <v>310</v>
      </c>
      <c r="D49" s="426" t="s">
        <v>69</v>
      </c>
      <c r="E49" s="426">
        <f>'WP1 Light Inventory'!J103</f>
        <v>7</v>
      </c>
      <c r="F49" s="330">
        <f>'WP2 Current Light Rates'!E88</f>
        <v>11.51</v>
      </c>
      <c r="G49" s="330">
        <f>'BDJ-6 Combined Charges'!K109</f>
        <v>11.379999999999999</v>
      </c>
      <c r="H49" s="330">
        <f>'Sch 141A Lighting Tariff'!J107+'Sch 141C Lighting Tariff'!J107+'Sch 141N Lighting Tariff'!J109+'Sch 141R Lighting Tariff'!J109+G49</f>
        <v>17.38</v>
      </c>
      <c r="I49" s="209">
        <f t="shared" si="95"/>
        <v>966.83999999999992</v>
      </c>
      <c r="J49" s="209">
        <f t="shared" si="96"/>
        <v>955.92</v>
      </c>
      <c r="K49" s="209">
        <f t="shared" si="97"/>
        <v>1459.92</v>
      </c>
      <c r="L49" s="209">
        <f t="shared" si="98"/>
        <v>-10.919999999999959</v>
      </c>
      <c r="M49" s="209">
        <f t="shared" si="99"/>
        <v>493.08000000000015</v>
      </c>
      <c r="N49" s="36">
        <f t="shared" si="100"/>
        <v>-1.1294526498696745E-2</v>
      </c>
      <c r="O49" s="36">
        <f t="shared" si="101"/>
        <v>0.50999131190269353</v>
      </c>
      <c r="P49" s="627"/>
      <c r="Q49" s="630">
        <f t="shared" si="28"/>
        <v>36</v>
      </c>
      <c r="R49" s="629" t="str">
        <f t="shared" si="115"/>
        <v>53E - Customer Owned</v>
      </c>
      <c r="S49" s="426">
        <v>310</v>
      </c>
      <c r="T49" s="426" t="s">
        <v>69</v>
      </c>
      <c r="U49" s="177">
        <f t="shared" si="102"/>
        <v>7</v>
      </c>
      <c r="V49" s="330">
        <f t="shared" si="103"/>
        <v>11.379999999999999</v>
      </c>
      <c r="W49" s="330">
        <f t="shared" si="104"/>
        <v>17.38</v>
      </c>
      <c r="X49" s="330">
        <f t="shared" si="105"/>
        <v>11.379999999999999</v>
      </c>
      <c r="Y49" s="330">
        <f>'Sch 141A Lighting Tariff'!N107+'Sch 141C Lighting Tariff'!N107+'Sch 141N Lighting Tariff'!N109+'Sch 141R Lighting Tariff'!N109+X49</f>
        <v>18.21</v>
      </c>
      <c r="Z49" s="209">
        <f t="shared" si="106"/>
        <v>955.92</v>
      </c>
      <c r="AA49" s="209">
        <f t="shared" si="107"/>
        <v>1459.92</v>
      </c>
      <c r="AB49" s="209">
        <f t="shared" si="108"/>
        <v>955.92</v>
      </c>
      <c r="AC49" s="209">
        <f t="shared" si="109"/>
        <v>1529.6399999999999</v>
      </c>
      <c r="AD49" s="209">
        <f t="shared" si="110"/>
        <v>0</v>
      </c>
      <c r="AE49" s="209">
        <f t="shared" si="111"/>
        <v>69.7199999999998</v>
      </c>
      <c r="AF49" s="36" t="str">
        <f t="shared" si="112"/>
        <v>0%</v>
      </c>
      <c r="AG49" s="36">
        <f t="shared" si="113"/>
        <v>4.7756041426927361E-2</v>
      </c>
      <c r="AH49" s="627"/>
      <c r="AI49" s="630">
        <f t="shared" si="38"/>
        <v>36</v>
      </c>
      <c r="AJ49" s="629" t="str">
        <f t="shared" si="116"/>
        <v>53E - Customer Owned</v>
      </c>
      <c r="AK49" s="426">
        <v>310</v>
      </c>
      <c r="AL49" s="426" t="s">
        <v>69</v>
      </c>
      <c r="AM49" s="35"/>
      <c r="AN49" s="330"/>
      <c r="AO49" s="330"/>
      <c r="AP49" s="330"/>
      <c r="AQ49" s="330"/>
      <c r="AR49" s="209"/>
      <c r="AS49" s="209"/>
      <c r="AT49" s="209"/>
      <c r="AU49" s="209"/>
      <c r="AV49" s="209"/>
      <c r="AW49" s="209"/>
      <c r="AX49" s="36"/>
      <c r="AY49" s="36"/>
    </row>
    <row r="50" spans="1:51" x14ac:dyDescent="0.2">
      <c r="A50" s="630">
        <f t="shared" si="19"/>
        <v>38</v>
      </c>
      <c r="B50" s="629" t="str">
        <f t="shared" si="114"/>
        <v>53E - Customer Owned</v>
      </c>
      <c r="C50" s="426">
        <v>400</v>
      </c>
      <c r="D50" s="426" t="s">
        <v>69</v>
      </c>
      <c r="E50" s="426">
        <f>'WP1 Light Inventory'!J104</f>
        <v>398</v>
      </c>
      <c r="F50" s="330">
        <f>'WP2 Current Light Rates'!E89</f>
        <v>14.37</v>
      </c>
      <c r="G50" s="330">
        <f>'BDJ-6 Combined Charges'!K110</f>
        <v>14.03</v>
      </c>
      <c r="H50" s="330">
        <f>'Sch 141A Lighting Tariff'!J108+'Sch 141C Lighting Tariff'!J108+'Sch 141N Lighting Tariff'!J110+'Sch 141R Lighting Tariff'!J110+G50</f>
        <v>21.79</v>
      </c>
      <c r="I50" s="209">
        <f t="shared" si="95"/>
        <v>68631.12</v>
      </c>
      <c r="J50" s="209">
        <f t="shared" si="96"/>
        <v>67007.28</v>
      </c>
      <c r="K50" s="209">
        <f t="shared" si="97"/>
        <v>104069.04000000001</v>
      </c>
      <c r="L50" s="209">
        <f t="shared" si="98"/>
        <v>-1623.8399999999965</v>
      </c>
      <c r="M50" s="209">
        <f t="shared" si="99"/>
        <v>35437.920000000013</v>
      </c>
      <c r="N50" s="36">
        <f t="shared" si="100"/>
        <v>-2.3660403618649916E-2</v>
      </c>
      <c r="O50" s="36">
        <f t="shared" si="101"/>
        <v>0.51635351426583187</v>
      </c>
      <c r="P50" s="627"/>
      <c r="Q50" s="630">
        <f t="shared" si="28"/>
        <v>37</v>
      </c>
      <c r="R50" s="629" t="str">
        <f t="shared" si="115"/>
        <v>53E - Customer Owned</v>
      </c>
      <c r="S50" s="426">
        <v>400</v>
      </c>
      <c r="T50" s="426" t="s">
        <v>69</v>
      </c>
      <c r="U50" s="177">
        <f t="shared" si="102"/>
        <v>398</v>
      </c>
      <c r="V50" s="330">
        <f t="shared" si="103"/>
        <v>14.03</v>
      </c>
      <c r="W50" s="330">
        <f t="shared" si="104"/>
        <v>21.79</v>
      </c>
      <c r="X50" s="330">
        <f t="shared" si="105"/>
        <v>14.03</v>
      </c>
      <c r="Y50" s="330">
        <f>'Sch 141A Lighting Tariff'!N108+'Sch 141C Lighting Tariff'!N108+'Sch 141N Lighting Tariff'!N110+'Sch 141R Lighting Tariff'!N110+X50</f>
        <v>22.85</v>
      </c>
      <c r="Z50" s="209">
        <f t="shared" si="106"/>
        <v>67007.28</v>
      </c>
      <c r="AA50" s="209">
        <f t="shared" si="107"/>
        <v>104069.04000000001</v>
      </c>
      <c r="AB50" s="209">
        <f t="shared" si="108"/>
        <v>67007.28</v>
      </c>
      <c r="AC50" s="209">
        <f t="shared" si="109"/>
        <v>109131.6</v>
      </c>
      <c r="AD50" s="209">
        <f t="shared" si="110"/>
        <v>0</v>
      </c>
      <c r="AE50" s="209">
        <f t="shared" si="111"/>
        <v>5062.5599999999977</v>
      </c>
      <c r="AF50" s="36" t="str">
        <f t="shared" si="112"/>
        <v>0%</v>
      </c>
      <c r="AG50" s="36">
        <f t="shared" si="113"/>
        <v>4.8646167966957296E-2</v>
      </c>
      <c r="AH50" s="627"/>
      <c r="AI50" s="630">
        <f t="shared" si="38"/>
        <v>37</v>
      </c>
      <c r="AJ50" s="629" t="str">
        <f t="shared" si="116"/>
        <v>53E - Customer Owned</v>
      </c>
      <c r="AK50" s="426">
        <v>400</v>
      </c>
      <c r="AL50" s="426" t="s">
        <v>69</v>
      </c>
      <c r="AM50" s="35"/>
      <c r="AN50" s="330"/>
      <c r="AO50" s="330"/>
      <c r="AP50" s="330"/>
      <c r="AQ50" s="330"/>
      <c r="AR50" s="209"/>
      <c r="AS50" s="209"/>
      <c r="AT50" s="209"/>
      <c r="AU50" s="209"/>
      <c r="AV50" s="209"/>
      <c r="AW50" s="209"/>
      <c r="AX50" s="36"/>
      <c r="AY50" s="36"/>
    </row>
    <row r="51" spans="1:51" x14ac:dyDescent="0.2">
      <c r="A51" s="630">
        <f t="shared" si="19"/>
        <v>39</v>
      </c>
      <c r="B51" s="629" t="str">
        <f t="shared" si="114"/>
        <v>53E - Customer Owned</v>
      </c>
      <c r="C51" s="593">
        <v>1000</v>
      </c>
      <c r="D51" s="426" t="s">
        <v>69</v>
      </c>
      <c r="E51" s="426">
        <f>'WP1 Light Inventory'!J105</f>
        <v>0</v>
      </c>
      <c r="F51" s="330">
        <f>'WP2 Current Light Rates'!E90</f>
        <v>33.479999999999997</v>
      </c>
      <c r="G51" s="330">
        <f>'BDJ-6 Combined Charges'!K111</f>
        <v>31.689999999999998</v>
      </c>
      <c r="H51" s="330">
        <f>'Sch 141A Lighting Tariff'!J109+'Sch 141C Lighting Tariff'!J109+'Sch 141N Lighting Tariff'!J111+'Sch 141R Lighting Tariff'!J111+G51</f>
        <v>51.08</v>
      </c>
      <c r="I51" s="209">
        <f t="shared" si="95"/>
        <v>0</v>
      </c>
      <c r="J51" s="209">
        <f t="shared" si="96"/>
        <v>0</v>
      </c>
      <c r="K51" s="209">
        <f t="shared" si="97"/>
        <v>0</v>
      </c>
      <c r="L51" s="209">
        <f t="shared" si="98"/>
        <v>0</v>
      </c>
      <c r="M51" s="209">
        <f t="shared" si="99"/>
        <v>0</v>
      </c>
      <c r="N51" s="36" t="str">
        <f t="shared" si="100"/>
        <v>0%</v>
      </c>
      <c r="O51" s="36" t="str">
        <f t="shared" si="101"/>
        <v>0%</v>
      </c>
      <c r="P51" s="627"/>
      <c r="Q51" s="630">
        <f t="shared" si="28"/>
        <v>38</v>
      </c>
      <c r="R51" s="629" t="str">
        <f t="shared" si="115"/>
        <v>53E - Customer Owned</v>
      </c>
      <c r="S51" s="593">
        <v>1000</v>
      </c>
      <c r="T51" s="426" t="s">
        <v>69</v>
      </c>
      <c r="U51" s="177">
        <f t="shared" si="102"/>
        <v>0</v>
      </c>
      <c r="V51" s="330">
        <f t="shared" si="103"/>
        <v>31.689999999999998</v>
      </c>
      <c r="W51" s="330">
        <f t="shared" si="104"/>
        <v>51.08</v>
      </c>
      <c r="X51" s="330">
        <f t="shared" si="105"/>
        <v>31.689999999999998</v>
      </c>
      <c r="Y51" s="330">
        <f>'Sch 141A Lighting Tariff'!N109+'Sch 141C Lighting Tariff'!N109+'Sch 141N Lighting Tariff'!N111+'Sch 141R Lighting Tariff'!N111+X51</f>
        <v>53.73</v>
      </c>
      <c r="Z51" s="209">
        <f t="shared" si="106"/>
        <v>0</v>
      </c>
      <c r="AA51" s="209">
        <f t="shared" si="107"/>
        <v>0</v>
      </c>
      <c r="AB51" s="209">
        <f t="shared" si="108"/>
        <v>0</v>
      </c>
      <c r="AC51" s="209">
        <f t="shared" si="109"/>
        <v>0</v>
      </c>
      <c r="AD51" s="209">
        <f t="shared" si="110"/>
        <v>0</v>
      </c>
      <c r="AE51" s="209">
        <f t="shared" si="111"/>
        <v>0</v>
      </c>
      <c r="AF51" s="36" t="str">
        <f t="shared" si="112"/>
        <v>0%</v>
      </c>
      <c r="AG51" s="36" t="str">
        <f t="shared" si="113"/>
        <v>0%</v>
      </c>
      <c r="AH51" s="627"/>
      <c r="AI51" s="630">
        <f t="shared" si="38"/>
        <v>38</v>
      </c>
      <c r="AJ51" s="629" t="str">
        <f t="shared" si="116"/>
        <v>53E - Customer Owned</v>
      </c>
      <c r="AK51" s="593">
        <v>1000</v>
      </c>
      <c r="AL51" s="426" t="s">
        <v>69</v>
      </c>
      <c r="AM51" s="35"/>
      <c r="AN51" s="330"/>
      <c r="AO51" s="330"/>
      <c r="AP51" s="330"/>
      <c r="AQ51" s="330"/>
      <c r="AR51" s="209"/>
      <c r="AS51" s="209"/>
      <c r="AT51" s="209"/>
      <c r="AU51" s="209"/>
      <c r="AV51" s="209"/>
      <c r="AW51" s="209"/>
      <c r="AX51" s="36"/>
      <c r="AY51" s="36"/>
    </row>
    <row r="52" spans="1:51" x14ac:dyDescent="0.2">
      <c r="A52" s="630">
        <f t="shared" si="19"/>
        <v>40</v>
      </c>
      <c r="B52" s="629"/>
      <c r="C52" s="593"/>
      <c r="D52" s="426" t="str">
        <f>D51</f>
        <v>Sodium Vapor</v>
      </c>
      <c r="E52" s="368">
        <f>SUM(E43:E51)</f>
        <v>1375</v>
      </c>
      <c r="F52" s="42"/>
      <c r="G52" s="42"/>
      <c r="H52" s="42"/>
      <c r="I52" s="266">
        <f>SUM(I43:I51)</f>
        <v>155211.96</v>
      </c>
      <c r="J52" s="266">
        <f t="shared" ref="J52:M52" si="117">SUM(J43:J51)</f>
        <v>155736.96000000002</v>
      </c>
      <c r="K52" s="266">
        <f t="shared" si="117"/>
        <v>233884.08000000002</v>
      </c>
      <c r="L52" s="266">
        <f t="shared" si="117"/>
        <v>525.00000000000409</v>
      </c>
      <c r="M52" s="266">
        <f t="shared" si="117"/>
        <v>78672.120000000024</v>
      </c>
      <c r="N52" s="267">
        <f t="shared" ref="N52" si="118">IF(+L52=0,"0%",L52/I52)</f>
        <v>3.3824712992478424E-3</v>
      </c>
      <c r="O52" s="267">
        <f t="shared" ref="O52" si="119">IF(+M52=0,"0%",M52/I52)</f>
        <v>0.50686892943043838</v>
      </c>
      <c r="P52" s="627"/>
      <c r="Q52" s="630">
        <f t="shared" si="28"/>
        <v>39</v>
      </c>
      <c r="R52" s="629"/>
      <c r="S52" s="593"/>
      <c r="T52" s="426" t="str">
        <f>T51</f>
        <v>Sodium Vapor</v>
      </c>
      <c r="U52" s="368">
        <f>SUM(U43:U51)</f>
        <v>1375</v>
      </c>
      <c r="V52" s="42"/>
      <c r="W52" s="42"/>
      <c r="X52" s="42"/>
      <c r="Y52" s="42"/>
      <c r="Z52" s="266">
        <f t="shared" ref="Z52:AE52" si="120">SUM(Z43:Z51)</f>
        <v>155736.96000000002</v>
      </c>
      <c r="AA52" s="266">
        <f t="shared" si="120"/>
        <v>233884.08000000002</v>
      </c>
      <c r="AB52" s="266">
        <f t="shared" si="120"/>
        <v>155736.96000000002</v>
      </c>
      <c r="AC52" s="266">
        <f t="shared" si="120"/>
        <v>244496.52000000002</v>
      </c>
      <c r="AD52" s="266">
        <f t="shared" si="120"/>
        <v>0</v>
      </c>
      <c r="AE52" s="266">
        <f t="shared" si="120"/>
        <v>10612.439999999997</v>
      </c>
      <c r="AF52" s="267" t="str">
        <f t="shared" ref="AF52" si="121">IF(+AD52=0,"0%",AD52/Z52)</f>
        <v>0%</v>
      </c>
      <c r="AG52" s="267">
        <f t="shared" ref="AG52" si="122">IF(+AE52=0,"0%",AE52/AA52)</f>
        <v>4.5374785663051524E-2</v>
      </c>
      <c r="AH52" s="627"/>
      <c r="AI52" s="630">
        <f t="shared" si="38"/>
        <v>39</v>
      </c>
      <c r="AJ52" s="629"/>
      <c r="AK52" s="593"/>
      <c r="AL52" s="426" t="str">
        <f>AL51</f>
        <v>Sodium Vapor</v>
      </c>
      <c r="AM52" s="368"/>
      <c r="AN52" s="42"/>
      <c r="AO52" s="42"/>
      <c r="AP52" s="42"/>
      <c r="AQ52" s="42"/>
      <c r="AR52" s="266"/>
      <c r="AS52" s="266"/>
      <c r="AT52" s="266"/>
      <c r="AU52" s="266"/>
      <c r="AV52" s="266"/>
      <c r="AW52" s="266"/>
      <c r="AX52" s="267"/>
      <c r="AY52" s="267"/>
    </row>
    <row r="53" spans="1:51" x14ac:dyDescent="0.2">
      <c r="A53" s="630">
        <f t="shared" si="19"/>
        <v>41</v>
      </c>
      <c r="B53" s="629"/>
      <c r="C53" s="426"/>
      <c r="D53" s="426"/>
      <c r="E53" s="426"/>
      <c r="F53" s="330"/>
      <c r="G53" s="330"/>
      <c r="H53" s="330"/>
      <c r="I53" s="209"/>
      <c r="J53" s="209"/>
      <c r="K53" s="209"/>
      <c r="L53" s="209"/>
      <c r="M53" s="209"/>
      <c r="N53" s="518"/>
      <c r="O53" s="518"/>
      <c r="P53" s="627"/>
      <c r="Q53" s="630">
        <f t="shared" si="28"/>
        <v>40</v>
      </c>
      <c r="R53" s="629"/>
      <c r="S53" s="426"/>
      <c r="T53" s="426"/>
      <c r="W53" s="330"/>
      <c r="Y53" s="330"/>
      <c r="AA53" s="209"/>
      <c r="AC53" s="209"/>
      <c r="AE53" s="209"/>
      <c r="AF53" s="518"/>
      <c r="AG53" s="518"/>
      <c r="AH53" s="627"/>
      <c r="AI53" s="630">
        <f t="shared" si="38"/>
        <v>40</v>
      </c>
      <c r="AJ53" s="629"/>
      <c r="AK53" s="426"/>
      <c r="AL53" s="426"/>
      <c r="AO53" s="330"/>
      <c r="AQ53" s="330"/>
      <c r="AS53" s="209"/>
      <c r="AU53" s="209"/>
      <c r="AW53" s="209"/>
      <c r="AX53" s="518"/>
      <c r="AY53" s="518"/>
    </row>
    <row r="54" spans="1:51" x14ac:dyDescent="0.2">
      <c r="A54" s="630">
        <f t="shared" si="19"/>
        <v>42</v>
      </c>
      <c r="B54" s="629" t="str">
        <f>+B51</f>
        <v>53E - Customer Owned</v>
      </c>
      <c r="C54" s="426">
        <v>70</v>
      </c>
      <c r="D54" s="426" t="s">
        <v>80</v>
      </c>
      <c r="E54" s="426">
        <f>'WP1 Light Inventory'!J107</f>
        <v>0</v>
      </c>
      <c r="F54" s="330">
        <f>'WP2 Current Light Rates'!E92</f>
        <v>5.49</v>
      </c>
      <c r="G54" s="330">
        <f>'BDJ-6 Combined Charges'!K113</f>
        <v>6.5799999999999992</v>
      </c>
      <c r="H54" s="330">
        <f>'Sch 141A Lighting Tariff'!J111+'Sch 141C Lighting Tariff'!J111+'Sch 141N Lighting Tariff'!J113+'Sch 141R Lighting Tariff'!J113+G54</f>
        <v>7.93</v>
      </c>
      <c r="I54" s="209">
        <f t="shared" ref="I54:I59" si="123">(+F54*$E54*12)</f>
        <v>0</v>
      </c>
      <c r="J54" s="209">
        <f t="shared" ref="J54:J59" si="124">(+G54*$E54*12)</f>
        <v>0</v>
      </c>
      <c r="K54" s="209">
        <f t="shared" ref="K54:K59" si="125">(H54)*E54*12</f>
        <v>0</v>
      </c>
      <c r="L54" s="209">
        <f t="shared" ref="L54:L59" si="126">+J54-I54</f>
        <v>0</v>
      </c>
      <c r="M54" s="209">
        <f t="shared" ref="M54:M59" si="127">+K54-I54</f>
        <v>0</v>
      </c>
      <c r="N54" s="36" t="str">
        <f t="shared" ref="N54:N59" si="128">IF(+L54=0,"0%",L54/I54)</f>
        <v>0%</v>
      </c>
      <c r="O54" s="36" t="str">
        <f t="shared" ref="O54:O59" si="129">IF(+M54=0,"0%",M54/I54)</f>
        <v>0%</v>
      </c>
      <c r="P54" s="627"/>
      <c r="Q54" s="630">
        <f t="shared" si="28"/>
        <v>41</v>
      </c>
      <c r="R54" s="629" t="str">
        <f>+R51</f>
        <v>53E - Customer Owned</v>
      </c>
      <c r="S54" s="426">
        <v>70</v>
      </c>
      <c r="T54" s="426" t="s">
        <v>80</v>
      </c>
      <c r="U54" s="177">
        <f t="shared" ref="U54:U59" si="130">E54</f>
        <v>0</v>
      </c>
      <c r="V54" s="330">
        <f t="shared" ref="V54:W59" si="131">G54</f>
        <v>6.5799999999999992</v>
      </c>
      <c r="W54" s="330">
        <f t="shared" si="131"/>
        <v>7.93</v>
      </c>
      <c r="X54" s="330">
        <f t="shared" ref="X54:X59" si="132">V54</f>
        <v>6.5799999999999992</v>
      </c>
      <c r="Y54" s="330">
        <f>'Sch 141A Lighting Tariff'!N111+'Sch 141C Lighting Tariff'!N111+'Sch 141N Lighting Tariff'!N113+'Sch 141R Lighting Tariff'!N113+X54</f>
        <v>8.129999999999999</v>
      </c>
      <c r="Z54" s="209">
        <f t="shared" ref="Z54:Z59" si="133">(+V54*$U54*12)</f>
        <v>0</v>
      </c>
      <c r="AA54" s="209">
        <f t="shared" ref="AA54:AA59" si="134">(+W54*$U54*12)</f>
        <v>0</v>
      </c>
      <c r="AB54" s="209">
        <f t="shared" ref="AB54:AB59" si="135">(+X54*$U54*12)</f>
        <v>0</v>
      </c>
      <c r="AC54" s="209">
        <f t="shared" ref="AC54:AC59" si="136">(+Y54*$U54*12)</f>
        <v>0</v>
      </c>
      <c r="AD54" s="209">
        <f t="shared" ref="AD54:AD59" si="137">+AB54-Z54</f>
        <v>0</v>
      </c>
      <c r="AE54" s="209">
        <f t="shared" ref="AE54:AE59" si="138">+AC54-AA54</f>
        <v>0</v>
      </c>
      <c r="AF54" s="36" t="str">
        <f t="shared" ref="AF54:AF59" si="139">IF(+AD54=0,"0%",AD54/Z54)</f>
        <v>0%</v>
      </c>
      <c r="AG54" s="36" t="str">
        <f t="shared" ref="AG54:AG59" si="140">IF(+AE54=0,"0%",AE54/AA54)</f>
        <v>0%</v>
      </c>
      <c r="AH54" s="627"/>
      <c r="AI54" s="630">
        <f t="shared" si="38"/>
        <v>41</v>
      </c>
      <c r="AJ54" s="629" t="str">
        <f>+AJ51</f>
        <v>53E - Customer Owned</v>
      </c>
      <c r="AK54" s="426">
        <v>70</v>
      </c>
      <c r="AL54" s="426" t="s">
        <v>80</v>
      </c>
      <c r="AM54" s="35"/>
      <c r="AN54" s="330"/>
      <c r="AO54" s="330"/>
      <c r="AP54" s="330"/>
      <c r="AQ54" s="330"/>
      <c r="AR54" s="209"/>
      <c r="AS54" s="209"/>
      <c r="AT54" s="209"/>
      <c r="AU54" s="209"/>
      <c r="AV54" s="209"/>
      <c r="AW54" s="209"/>
      <c r="AX54" s="36"/>
      <c r="AY54" s="36"/>
    </row>
    <row r="55" spans="1:51" x14ac:dyDescent="0.2">
      <c r="A55" s="630">
        <f t="shared" si="19"/>
        <v>43</v>
      </c>
      <c r="B55" s="629" t="str">
        <f>+B54</f>
        <v>53E - Customer Owned</v>
      </c>
      <c r="C55" s="426">
        <v>100</v>
      </c>
      <c r="D55" s="426" t="s">
        <v>80</v>
      </c>
      <c r="E55" s="426">
        <f>'WP1 Light Inventory'!J108</f>
        <v>0</v>
      </c>
      <c r="F55" s="330">
        <f>'WP2 Current Light Rates'!E93</f>
        <v>6.45</v>
      </c>
      <c r="G55" s="330">
        <f>'BDJ-6 Combined Charges'!K114</f>
        <v>7.46</v>
      </c>
      <c r="H55" s="330">
        <f>'Sch 141A Lighting Tariff'!J112+'Sch 141C Lighting Tariff'!J112+'Sch 141N Lighting Tariff'!J114+'Sch 141R Lighting Tariff'!J114+G55</f>
        <v>9.4</v>
      </c>
      <c r="I55" s="209">
        <f t="shared" si="123"/>
        <v>0</v>
      </c>
      <c r="J55" s="209">
        <f t="shared" si="124"/>
        <v>0</v>
      </c>
      <c r="K55" s="209">
        <f t="shared" si="125"/>
        <v>0</v>
      </c>
      <c r="L55" s="209">
        <f t="shared" si="126"/>
        <v>0</v>
      </c>
      <c r="M55" s="209">
        <f t="shared" si="127"/>
        <v>0</v>
      </c>
      <c r="N55" s="36" t="str">
        <f t="shared" si="128"/>
        <v>0%</v>
      </c>
      <c r="O55" s="36" t="str">
        <f t="shared" si="129"/>
        <v>0%</v>
      </c>
      <c r="P55" s="627"/>
      <c r="Q55" s="630">
        <f t="shared" si="28"/>
        <v>42</v>
      </c>
      <c r="R55" s="629" t="str">
        <f>+R54</f>
        <v>53E - Customer Owned</v>
      </c>
      <c r="S55" s="426">
        <v>100</v>
      </c>
      <c r="T55" s="426" t="s">
        <v>80</v>
      </c>
      <c r="U55" s="177">
        <f t="shared" si="130"/>
        <v>0</v>
      </c>
      <c r="V55" s="330">
        <f t="shared" si="131"/>
        <v>7.46</v>
      </c>
      <c r="W55" s="330">
        <f t="shared" si="131"/>
        <v>9.4</v>
      </c>
      <c r="X55" s="330">
        <f t="shared" si="132"/>
        <v>7.46</v>
      </c>
      <c r="Y55" s="330">
        <f>'Sch 141A Lighting Tariff'!N112+'Sch 141C Lighting Tariff'!N112+'Sch 141N Lighting Tariff'!N114+'Sch 141R Lighting Tariff'!N114+X55</f>
        <v>9.66</v>
      </c>
      <c r="Z55" s="209">
        <f t="shared" si="133"/>
        <v>0</v>
      </c>
      <c r="AA55" s="209">
        <f t="shared" si="134"/>
        <v>0</v>
      </c>
      <c r="AB55" s="209">
        <f t="shared" si="135"/>
        <v>0</v>
      </c>
      <c r="AC55" s="209">
        <f t="shared" si="136"/>
        <v>0</v>
      </c>
      <c r="AD55" s="209">
        <f t="shared" si="137"/>
        <v>0</v>
      </c>
      <c r="AE55" s="209">
        <f t="shared" si="138"/>
        <v>0</v>
      </c>
      <c r="AF55" s="36" t="str">
        <f t="shared" si="139"/>
        <v>0%</v>
      </c>
      <c r="AG55" s="36" t="str">
        <f t="shared" si="140"/>
        <v>0%</v>
      </c>
      <c r="AH55" s="627"/>
      <c r="AI55" s="630">
        <f t="shared" si="38"/>
        <v>42</v>
      </c>
      <c r="AJ55" s="629" t="str">
        <f>+AJ54</f>
        <v>53E - Customer Owned</v>
      </c>
      <c r="AK55" s="426">
        <v>100</v>
      </c>
      <c r="AL55" s="426" t="s">
        <v>80</v>
      </c>
      <c r="AM55" s="35"/>
      <c r="AN55" s="330"/>
      <c r="AO55" s="330"/>
      <c r="AP55" s="330"/>
      <c r="AQ55" s="330"/>
      <c r="AR55" s="209"/>
      <c r="AS55" s="209"/>
      <c r="AT55" s="209"/>
      <c r="AU55" s="209"/>
      <c r="AV55" s="209"/>
      <c r="AW55" s="209"/>
      <c r="AX55" s="36"/>
      <c r="AY55" s="36"/>
    </row>
    <row r="56" spans="1:51" x14ac:dyDescent="0.2">
      <c r="A56" s="630">
        <f t="shared" si="19"/>
        <v>44</v>
      </c>
      <c r="B56" s="629" t="str">
        <f>+B55</f>
        <v>53E - Customer Owned</v>
      </c>
      <c r="C56" s="426">
        <v>150</v>
      </c>
      <c r="D56" s="426" t="s">
        <v>80</v>
      </c>
      <c r="E56" s="426">
        <f>'WP1 Light Inventory'!J109</f>
        <v>0</v>
      </c>
      <c r="F56" s="330">
        <f>'WP2 Current Light Rates'!E94</f>
        <v>8.0399999999999991</v>
      </c>
      <c r="G56" s="330">
        <f>'BDJ-6 Combined Charges'!K115</f>
        <v>8.92</v>
      </c>
      <c r="H56" s="330">
        <f>'Sch 141A Lighting Tariff'!J113+'Sch 141C Lighting Tariff'!J113+'Sch 141N Lighting Tariff'!J115+'Sch 141R Lighting Tariff'!J115+G56</f>
        <v>11.83</v>
      </c>
      <c r="I56" s="209">
        <f t="shared" si="123"/>
        <v>0</v>
      </c>
      <c r="J56" s="209">
        <f t="shared" si="124"/>
        <v>0</v>
      </c>
      <c r="K56" s="209">
        <f t="shared" si="125"/>
        <v>0</v>
      </c>
      <c r="L56" s="209">
        <f t="shared" si="126"/>
        <v>0</v>
      </c>
      <c r="M56" s="209">
        <f t="shared" si="127"/>
        <v>0</v>
      </c>
      <c r="N56" s="36" t="str">
        <f t="shared" si="128"/>
        <v>0%</v>
      </c>
      <c r="O56" s="36" t="str">
        <f t="shared" si="129"/>
        <v>0%</v>
      </c>
      <c r="P56" s="627"/>
      <c r="Q56" s="630">
        <f t="shared" si="28"/>
        <v>43</v>
      </c>
      <c r="R56" s="629" t="str">
        <f>+R55</f>
        <v>53E - Customer Owned</v>
      </c>
      <c r="S56" s="426">
        <v>150</v>
      </c>
      <c r="T56" s="426" t="s">
        <v>80</v>
      </c>
      <c r="U56" s="177">
        <f t="shared" si="130"/>
        <v>0</v>
      </c>
      <c r="V56" s="330">
        <f t="shared" si="131"/>
        <v>8.92</v>
      </c>
      <c r="W56" s="330">
        <f t="shared" si="131"/>
        <v>11.83</v>
      </c>
      <c r="X56" s="330">
        <f t="shared" si="132"/>
        <v>8.92</v>
      </c>
      <c r="Y56" s="330">
        <f>'Sch 141A Lighting Tariff'!N113+'Sch 141C Lighting Tariff'!N113+'Sch 141N Lighting Tariff'!N115+'Sch 141R Lighting Tariff'!N115+X56</f>
        <v>12.22</v>
      </c>
      <c r="Z56" s="209">
        <f t="shared" si="133"/>
        <v>0</v>
      </c>
      <c r="AA56" s="209">
        <f t="shared" si="134"/>
        <v>0</v>
      </c>
      <c r="AB56" s="209">
        <f t="shared" si="135"/>
        <v>0</v>
      </c>
      <c r="AC56" s="209">
        <f t="shared" si="136"/>
        <v>0</v>
      </c>
      <c r="AD56" s="209">
        <f t="shared" si="137"/>
        <v>0</v>
      </c>
      <c r="AE56" s="209">
        <f t="shared" si="138"/>
        <v>0</v>
      </c>
      <c r="AF56" s="36" t="str">
        <f t="shared" si="139"/>
        <v>0%</v>
      </c>
      <c r="AG56" s="36" t="str">
        <f t="shared" si="140"/>
        <v>0%</v>
      </c>
      <c r="AH56" s="627"/>
      <c r="AI56" s="630">
        <f t="shared" si="38"/>
        <v>43</v>
      </c>
      <c r="AJ56" s="629" t="str">
        <f>+AJ55</f>
        <v>53E - Customer Owned</v>
      </c>
      <c r="AK56" s="426">
        <v>150</v>
      </c>
      <c r="AL56" s="426" t="s">
        <v>80</v>
      </c>
      <c r="AM56" s="35"/>
      <c r="AN56" s="330"/>
      <c r="AO56" s="330"/>
      <c r="AP56" s="330"/>
      <c r="AQ56" s="330"/>
      <c r="AR56" s="209"/>
      <c r="AS56" s="209"/>
      <c r="AT56" s="209"/>
      <c r="AU56" s="209"/>
      <c r="AV56" s="209"/>
      <c r="AW56" s="209"/>
      <c r="AX56" s="36"/>
      <c r="AY56" s="36"/>
    </row>
    <row r="57" spans="1:51" x14ac:dyDescent="0.2">
      <c r="A57" s="630">
        <f t="shared" si="19"/>
        <v>45</v>
      </c>
      <c r="B57" s="629" t="str">
        <f>+B56</f>
        <v>53E - Customer Owned</v>
      </c>
      <c r="C57" s="426">
        <v>175</v>
      </c>
      <c r="D57" s="426" t="s">
        <v>80</v>
      </c>
      <c r="E57" s="426">
        <f>'WP1 Light Inventory'!J110</f>
        <v>4</v>
      </c>
      <c r="F57" s="330">
        <f>'WP2 Current Light Rates'!E95</f>
        <v>8.84</v>
      </c>
      <c r="G57" s="330">
        <f>'BDJ-6 Combined Charges'!K116</f>
        <v>9.66</v>
      </c>
      <c r="H57" s="330">
        <f>'Sch 141A Lighting Tariff'!J114+'Sch 141C Lighting Tariff'!J114+'Sch 141N Lighting Tariff'!J116+'Sch 141R Lighting Tariff'!J116+G57</f>
        <v>13.06</v>
      </c>
      <c r="I57" s="209">
        <f t="shared" si="123"/>
        <v>424.32</v>
      </c>
      <c r="J57" s="209">
        <f t="shared" si="124"/>
        <v>463.68</v>
      </c>
      <c r="K57" s="209">
        <f t="shared" si="125"/>
        <v>626.88</v>
      </c>
      <c r="L57" s="209">
        <f t="shared" si="126"/>
        <v>39.360000000000014</v>
      </c>
      <c r="M57" s="209">
        <f t="shared" si="127"/>
        <v>202.56</v>
      </c>
      <c r="N57" s="36">
        <f t="shared" si="128"/>
        <v>9.2760180995475144E-2</v>
      </c>
      <c r="O57" s="36">
        <f t="shared" si="129"/>
        <v>0.47737556561085975</v>
      </c>
      <c r="P57" s="627"/>
      <c r="Q57" s="630">
        <f t="shared" si="28"/>
        <v>44</v>
      </c>
      <c r="R57" s="629" t="str">
        <f>+R56</f>
        <v>53E - Customer Owned</v>
      </c>
      <c r="S57" s="426">
        <v>175</v>
      </c>
      <c r="T57" s="426" t="s">
        <v>80</v>
      </c>
      <c r="U57" s="177">
        <f t="shared" si="130"/>
        <v>4</v>
      </c>
      <c r="V57" s="330">
        <f t="shared" si="131"/>
        <v>9.66</v>
      </c>
      <c r="W57" s="330">
        <f t="shared" si="131"/>
        <v>13.06</v>
      </c>
      <c r="X57" s="330">
        <f t="shared" si="132"/>
        <v>9.66</v>
      </c>
      <c r="Y57" s="330">
        <f>'Sch 141A Lighting Tariff'!N114+'Sch 141C Lighting Tariff'!N114+'Sch 141N Lighting Tariff'!N116+'Sch 141R Lighting Tariff'!N116+X57</f>
        <v>13.52</v>
      </c>
      <c r="Z57" s="209">
        <f t="shared" si="133"/>
        <v>463.68</v>
      </c>
      <c r="AA57" s="209">
        <f t="shared" si="134"/>
        <v>626.88</v>
      </c>
      <c r="AB57" s="209">
        <f t="shared" si="135"/>
        <v>463.68</v>
      </c>
      <c r="AC57" s="209">
        <f t="shared" si="136"/>
        <v>648.96</v>
      </c>
      <c r="AD57" s="209">
        <f t="shared" si="137"/>
        <v>0</v>
      </c>
      <c r="AE57" s="209">
        <f t="shared" si="138"/>
        <v>22.080000000000041</v>
      </c>
      <c r="AF57" s="36" t="str">
        <f t="shared" si="139"/>
        <v>0%</v>
      </c>
      <c r="AG57" s="36">
        <f t="shared" si="140"/>
        <v>3.5222052067381382E-2</v>
      </c>
      <c r="AH57" s="627"/>
      <c r="AI57" s="630">
        <f t="shared" si="38"/>
        <v>44</v>
      </c>
      <c r="AJ57" s="629" t="str">
        <f>+AJ56</f>
        <v>53E - Customer Owned</v>
      </c>
      <c r="AK57" s="426">
        <v>175</v>
      </c>
      <c r="AL57" s="426" t="s">
        <v>80</v>
      </c>
      <c r="AM57" s="35"/>
      <c r="AN57" s="330"/>
      <c r="AO57" s="330"/>
      <c r="AP57" s="330"/>
      <c r="AQ57" s="330"/>
      <c r="AR57" s="209"/>
      <c r="AS57" s="209"/>
      <c r="AT57" s="209"/>
      <c r="AU57" s="209"/>
      <c r="AV57" s="209"/>
      <c r="AW57" s="209"/>
      <c r="AX57" s="36"/>
      <c r="AY57" s="36"/>
    </row>
    <row r="58" spans="1:51" x14ac:dyDescent="0.2">
      <c r="A58" s="630">
        <f t="shared" si="19"/>
        <v>46</v>
      </c>
      <c r="B58" s="629" t="str">
        <f>+B57</f>
        <v>53E - Customer Owned</v>
      </c>
      <c r="C58" s="426">
        <v>250</v>
      </c>
      <c r="D58" s="426" t="s">
        <v>80</v>
      </c>
      <c r="E58" s="426">
        <f>'WP1 Light Inventory'!J111</f>
        <v>0</v>
      </c>
      <c r="F58" s="330">
        <f>'WP2 Current Light Rates'!E96</f>
        <v>11.23</v>
      </c>
      <c r="G58" s="330">
        <f>'BDJ-6 Combined Charges'!K117</f>
        <v>11.86</v>
      </c>
      <c r="H58" s="330">
        <f>'Sch 141A Lighting Tariff'!J115+'Sch 141C Lighting Tariff'!J115+'Sch 141N Lighting Tariff'!J117+'Sch 141R Lighting Tariff'!J117+G58</f>
        <v>16.71</v>
      </c>
      <c r="I58" s="209">
        <f t="shared" si="123"/>
        <v>0</v>
      </c>
      <c r="J58" s="209">
        <f t="shared" si="124"/>
        <v>0</v>
      </c>
      <c r="K58" s="209">
        <f t="shared" si="125"/>
        <v>0</v>
      </c>
      <c r="L58" s="209">
        <f t="shared" si="126"/>
        <v>0</v>
      </c>
      <c r="M58" s="209">
        <f t="shared" si="127"/>
        <v>0</v>
      </c>
      <c r="N58" s="36" t="str">
        <f t="shared" si="128"/>
        <v>0%</v>
      </c>
      <c r="O58" s="36" t="str">
        <f t="shared" si="129"/>
        <v>0%</v>
      </c>
      <c r="P58" s="627"/>
      <c r="Q58" s="630">
        <f t="shared" si="28"/>
        <v>45</v>
      </c>
      <c r="R58" s="629" t="str">
        <f>+R57</f>
        <v>53E - Customer Owned</v>
      </c>
      <c r="S58" s="426">
        <v>250</v>
      </c>
      <c r="T58" s="426" t="s">
        <v>80</v>
      </c>
      <c r="U58" s="177">
        <f t="shared" si="130"/>
        <v>0</v>
      </c>
      <c r="V58" s="330">
        <f t="shared" si="131"/>
        <v>11.86</v>
      </c>
      <c r="W58" s="330">
        <f t="shared" si="131"/>
        <v>16.71</v>
      </c>
      <c r="X58" s="330">
        <f t="shared" si="132"/>
        <v>11.86</v>
      </c>
      <c r="Y58" s="330">
        <f>'Sch 141A Lighting Tariff'!N115+'Sch 141C Lighting Tariff'!N115+'Sch 141N Lighting Tariff'!N117+'Sch 141R Lighting Tariff'!N117+X58</f>
        <v>17.369999999999997</v>
      </c>
      <c r="Z58" s="209">
        <f t="shared" si="133"/>
        <v>0</v>
      </c>
      <c r="AA58" s="209">
        <f t="shared" si="134"/>
        <v>0</v>
      </c>
      <c r="AB58" s="209">
        <f t="shared" si="135"/>
        <v>0</v>
      </c>
      <c r="AC58" s="209">
        <f t="shared" si="136"/>
        <v>0</v>
      </c>
      <c r="AD58" s="209">
        <f t="shared" si="137"/>
        <v>0</v>
      </c>
      <c r="AE58" s="209">
        <f t="shared" si="138"/>
        <v>0</v>
      </c>
      <c r="AF58" s="36" t="str">
        <f t="shared" si="139"/>
        <v>0%</v>
      </c>
      <c r="AG58" s="36" t="str">
        <f t="shared" si="140"/>
        <v>0%</v>
      </c>
      <c r="AH58" s="627"/>
      <c r="AI58" s="630">
        <f t="shared" si="38"/>
        <v>45</v>
      </c>
      <c r="AJ58" s="629" t="str">
        <f>+AJ57</f>
        <v>53E - Customer Owned</v>
      </c>
      <c r="AK58" s="426">
        <v>250</v>
      </c>
      <c r="AL58" s="426" t="s">
        <v>80</v>
      </c>
      <c r="AM58" s="35"/>
      <c r="AN58" s="330"/>
      <c r="AO58" s="330"/>
      <c r="AP58" s="330"/>
      <c r="AQ58" s="330"/>
      <c r="AR58" s="209"/>
      <c r="AS58" s="209"/>
      <c r="AT58" s="209"/>
      <c r="AU58" s="209"/>
      <c r="AV58" s="209"/>
      <c r="AW58" s="209"/>
      <c r="AX58" s="36"/>
      <c r="AY58" s="36"/>
    </row>
    <row r="59" spans="1:51" x14ac:dyDescent="0.2">
      <c r="A59" s="630">
        <f t="shared" si="19"/>
        <v>47</v>
      </c>
      <c r="B59" s="629" t="str">
        <f>+B58</f>
        <v>53E - Customer Owned</v>
      </c>
      <c r="C59" s="593">
        <v>400</v>
      </c>
      <c r="D59" s="426" t="s">
        <v>80</v>
      </c>
      <c r="E59" s="426">
        <f>'WP1 Light Inventory'!J112</f>
        <v>0</v>
      </c>
      <c r="F59" s="330">
        <f>'WP2 Current Light Rates'!E97</f>
        <v>16</v>
      </c>
      <c r="G59" s="330">
        <f>'BDJ-6 Combined Charges'!K118</f>
        <v>16.29</v>
      </c>
      <c r="H59" s="330">
        <f>'Sch 141A Lighting Tariff'!J116+'Sch 141C Lighting Tariff'!J116+'Sch 141N Lighting Tariff'!J118+'Sch 141R Lighting Tariff'!J118+G59</f>
        <v>24.05</v>
      </c>
      <c r="I59" s="209">
        <f t="shared" si="123"/>
        <v>0</v>
      </c>
      <c r="J59" s="209">
        <f t="shared" si="124"/>
        <v>0</v>
      </c>
      <c r="K59" s="209">
        <f t="shared" si="125"/>
        <v>0</v>
      </c>
      <c r="L59" s="209">
        <f t="shared" si="126"/>
        <v>0</v>
      </c>
      <c r="M59" s="209">
        <f t="shared" si="127"/>
        <v>0</v>
      </c>
      <c r="N59" s="36" t="str">
        <f t="shared" si="128"/>
        <v>0%</v>
      </c>
      <c r="O59" s="36" t="str">
        <f t="shared" si="129"/>
        <v>0%</v>
      </c>
      <c r="P59" s="627"/>
      <c r="Q59" s="630">
        <f t="shared" si="28"/>
        <v>46</v>
      </c>
      <c r="R59" s="629" t="str">
        <f>+R58</f>
        <v>53E - Customer Owned</v>
      </c>
      <c r="S59" s="593">
        <v>400</v>
      </c>
      <c r="T59" s="426" t="s">
        <v>80</v>
      </c>
      <c r="U59" s="177">
        <f t="shared" si="130"/>
        <v>0</v>
      </c>
      <c r="V59" s="330">
        <f t="shared" si="131"/>
        <v>16.29</v>
      </c>
      <c r="W59" s="330">
        <f t="shared" si="131"/>
        <v>24.05</v>
      </c>
      <c r="X59" s="330">
        <f t="shared" si="132"/>
        <v>16.29</v>
      </c>
      <c r="Y59" s="330">
        <f>'Sch 141A Lighting Tariff'!N116+'Sch 141C Lighting Tariff'!N116+'Sch 141N Lighting Tariff'!N118+'Sch 141R Lighting Tariff'!N118+X59</f>
        <v>25.11</v>
      </c>
      <c r="Z59" s="209">
        <f t="shared" si="133"/>
        <v>0</v>
      </c>
      <c r="AA59" s="209">
        <f t="shared" si="134"/>
        <v>0</v>
      </c>
      <c r="AB59" s="209">
        <f t="shared" si="135"/>
        <v>0</v>
      </c>
      <c r="AC59" s="209">
        <f t="shared" si="136"/>
        <v>0</v>
      </c>
      <c r="AD59" s="209">
        <f t="shared" si="137"/>
        <v>0</v>
      </c>
      <c r="AE59" s="209">
        <f t="shared" si="138"/>
        <v>0</v>
      </c>
      <c r="AF59" s="36" t="str">
        <f t="shared" si="139"/>
        <v>0%</v>
      </c>
      <c r="AG59" s="36" t="str">
        <f t="shared" si="140"/>
        <v>0%</v>
      </c>
      <c r="AH59" s="627"/>
      <c r="AI59" s="630">
        <f t="shared" si="38"/>
        <v>46</v>
      </c>
      <c r="AJ59" s="629" t="str">
        <f>+AJ58</f>
        <v>53E - Customer Owned</v>
      </c>
      <c r="AK59" s="593">
        <v>400</v>
      </c>
      <c r="AL59" s="426" t="s">
        <v>80</v>
      </c>
      <c r="AM59" s="35"/>
      <c r="AN59" s="330"/>
      <c r="AO59" s="330"/>
      <c r="AP59" s="330"/>
      <c r="AQ59" s="330"/>
      <c r="AR59" s="209"/>
      <c r="AS59" s="209"/>
      <c r="AT59" s="209"/>
      <c r="AU59" s="209"/>
      <c r="AV59" s="209"/>
      <c r="AW59" s="209"/>
      <c r="AX59" s="36"/>
      <c r="AY59" s="36"/>
    </row>
    <row r="60" spans="1:51" x14ac:dyDescent="0.2">
      <c r="A60" s="630">
        <f t="shared" si="19"/>
        <v>48</v>
      </c>
      <c r="B60" s="629"/>
      <c r="C60" s="593"/>
      <c r="D60" s="426" t="str">
        <f>D59</f>
        <v>Metal Halide</v>
      </c>
      <c r="E60" s="368">
        <f>SUM(E54:E59)</f>
        <v>4</v>
      </c>
      <c r="F60" s="42"/>
      <c r="G60" s="42"/>
      <c r="H60" s="42"/>
      <c r="I60" s="266">
        <f>SUM(I54:I59)</f>
        <v>424.32</v>
      </c>
      <c r="J60" s="266">
        <f t="shared" ref="J60:M60" si="141">SUM(J54:J59)</f>
        <v>463.68</v>
      </c>
      <c r="K60" s="266">
        <f t="shared" si="141"/>
        <v>626.88</v>
      </c>
      <c r="L60" s="266">
        <f t="shared" si="141"/>
        <v>39.360000000000014</v>
      </c>
      <c r="M60" s="266">
        <f t="shared" si="141"/>
        <v>202.56</v>
      </c>
      <c r="N60" s="267">
        <f t="shared" ref="N60" si="142">IF(+L60=0,"0%",L60/I60)</f>
        <v>9.2760180995475144E-2</v>
      </c>
      <c r="O60" s="267">
        <f t="shared" ref="O60" si="143">IF(+M60=0,"0%",M60/I60)</f>
        <v>0.47737556561085975</v>
      </c>
      <c r="P60" s="627"/>
      <c r="Q60" s="630">
        <f>Q61+1</f>
        <v>48</v>
      </c>
      <c r="R60" s="629"/>
      <c r="S60" s="593"/>
      <c r="T60" s="426" t="str">
        <f>T59</f>
        <v>Metal Halide</v>
      </c>
      <c r="U60" s="368">
        <f>SUM(U54:U59)</f>
        <v>4</v>
      </c>
      <c r="V60" s="42"/>
      <c r="W60" s="42"/>
      <c r="X60" s="42"/>
      <c r="Y60" s="42"/>
      <c r="Z60" s="266">
        <f t="shared" ref="Z60:AE60" si="144">SUM(Z54:Z59)</f>
        <v>463.68</v>
      </c>
      <c r="AA60" s="266">
        <f t="shared" si="144"/>
        <v>626.88</v>
      </c>
      <c r="AB60" s="266">
        <f t="shared" si="144"/>
        <v>463.68</v>
      </c>
      <c r="AC60" s="266">
        <f t="shared" si="144"/>
        <v>648.96</v>
      </c>
      <c r="AD60" s="266">
        <f t="shared" si="144"/>
        <v>0</v>
      </c>
      <c r="AE60" s="266">
        <f t="shared" si="144"/>
        <v>22.080000000000041</v>
      </c>
      <c r="AF60" s="267" t="str">
        <f t="shared" ref="AF60:AG60" si="145">IF(+AD60=0,"0%",AD60/Z60)</f>
        <v>0%</v>
      </c>
      <c r="AG60" s="267">
        <f t="shared" si="145"/>
        <v>3.5222052067381382E-2</v>
      </c>
      <c r="AH60" s="627"/>
      <c r="AI60" s="630">
        <f>AI61+1</f>
        <v>48</v>
      </c>
      <c r="AJ60" s="629"/>
      <c r="AK60" s="593"/>
      <c r="AL60" s="426" t="str">
        <f>AL59</f>
        <v>Metal Halide</v>
      </c>
      <c r="AM60" s="368"/>
      <c r="AN60" s="42"/>
      <c r="AO60" s="42"/>
      <c r="AP60" s="42"/>
      <c r="AQ60" s="42"/>
      <c r="AR60" s="266"/>
      <c r="AS60" s="266"/>
      <c r="AT60" s="266"/>
      <c r="AU60" s="266"/>
      <c r="AV60" s="266"/>
      <c r="AW60" s="266"/>
      <c r="AX60" s="267"/>
      <c r="AY60" s="267"/>
    </row>
    <row r="61" spans="1:51" x14ac:dyDescent="0.2">
      <c r="A61" s="630">
        <f t="shared" si="19"/>
        <v>49</v>
      </c>
      <c r="B61" s="629"/>
      <c r="C61" s="426"/>
      <c r="D61" s="426"/>
      <c r="E61" s="426"/>
      <c r="F61" s="330"/>
      <c r="G61" s="330"/>
      <c r="H61" s="330"/>
      <c r="I61" s="209"/>
      <c r="J61" s="209"/>
      <c r="K61" s="209"/>
      <c r="L61" s="209"/>
      <c r="M61" s="209"/>
      <c r="N61" s="518"/>
      <c r="O61" s="518"/>
      <c r="P61" s="627"/>
      <c r="Q61" s="630">
        <f>Q59+1</f>
        <v>47</v>
      </c>
      <c r="R61" s="629"/>
      <c r="S61" s="426"/>
      <c r="T61" s="426"/>
      <c r="W61" s="330"/>
      <c r="Y61" s="330"/>
      <c r="AA61" s="209"/>
      <c r="AC61" s="209"/>
      <c r="AE61" s="209"/>
      <c r="AF61" s="518"/>
      <c r="AG61" s="518"/>
      <c r="AH61" s="627"/>
      <c r="AI61" s="630">
        <f>AI59+1</f>
        <v>47</v>
      </c>
      <c r="AJ61" s="629"/>
      <c r="AK61" s="426"/>
      <c r="AL61" s="426"/>
      <c r="AO61" s="330"/>
      <c r="AQ61" s="330"/>
      <c r="AS61" s="209"/>
      <c r="AU61" s="209"/>
      <c r="AW61" s="209"/>
      <c r="AX61" s="518"/>
      <c r="AY61" s="518"/>
    </row>
    <row r="62" spans="1:51" x14ac:dyDescent="0.2">
      <c r="A62" s="630">
        <f t="shared" si="19"/>
        <v>50</v>
      </c>
      <c r="B62" s="629" t="str">
        <f>+B58</f>
        <v>53E - Customer Owned</v>
      </c>
      <c r="C62" s="593" t="s">
        <v>932</v>
      </c>
      <c r="D62" s="426" t="s">
        <v>117</v>
      </c>
      <c r="E62" s="426">
        <f>'WP1 Light Inventory'!J114</f>
        <v>0</v>
      </c>
      <c r="F62" s="330">
        <f>'WP2 Current Light Rates'!E99</f>
        <v>1.76</v>
      </c>
      <c r="G62" s="330">
        <f>'BDJ-6 Combined Charges'!K120</f>
        <v>0.89000000000000012</v>
      </c>
      <c r="H62" s="330">
        <f>'Sch 141A Lighting Tariff'!J118+'Sch 141C Lighting Tariff'!J118+'Sch 141N Lighting Tariff'!J120+'Sch 141R Lighting Tariff'!J120+G62</f>
        <v>1.1700000000000002</v>
      </c>
      <c r="I62" s="209">
        <f t="shared" ref="I62:I71" si="146">(+F62*$E62*12)</f>
        <v>0</v>
      </c>
      <c r="J62" s="209">
        <f t="shared" ref="J62:J71" si="147">(+G62*$E62*12)</f>
        <v>0</v>
      </c>
      <c r="K62" s="209">
        <f t="shared" ref="K62:K71" si="148">(H62)*E62*12</f>
        <v>0</v>
      </c>
      <c r="L62" s="209">
        <f t="shared" ref="L62:L71" si="149">+J62-I62</f>
        <v>0</v>
      </c>
      <c r="M62" s="209">
        <f t="shared" ref="M62:M71" si="150">+K62-I62</f>
        <v>0</v>
      </c>
      <c r="N62" s="36" t="str">
        <f t="shared" ref="N62:N71" si="151">IF(+L62=0,"0%",L62/I62)</f>
        <v>0%</v>
      </c>
      <c r="O62" s="36" t="str">
        <f t="shared" ref="O62:O71" si="152">IF(+M62=0,"0%",M62/I62)</f>
        <v>0%</v>
      </c>
      <c r="P62" s="627"/>
      <c r="Q62" s="630">
        <f>Q60+1</f>
        <v>49</v>
      </c>
      <c r="R62" s="629" t="str">
        <f>+R58</f>
        <v>53E - Customer Owned</v>
      </c>
      <c r="S62" s="593" t="s">
        <v>932</v>
      </c>
      <c r="T62" s="426" t="s">
        <v>117</v>
      </c>
      <c r="U62" s="177">
        <f t="shared" ref="U62" si="153">E62</f>
        <v>0</v>
      </c>
      <c r="V62" s="330">
        <f t="shared" ref="V62" si="154">G62</f>
        <v>0.89000000000000012</v>
      </c>
      <c r="W62" s="330">
        <f t="shared" ref="W62" si="155">H62</f>
        <v>1.1700000000000002</v>
      </c>
      <c r="X62" s="330">
        <f t="shared" ref="X62" si="156">V62</f>
        <v>0.89000000000000012</v>
      </c>
      <c r="Y62" s="330">
        <f>'Sch 141A Lighting Tariff'!N118+'Sch 141C Lighting Tariff'!N118+'Sch 141N Lighting Tariff'!N120+'Sch 141R Lighting Tariff'!N120+X62</f>
        <v>1.2100000000000002</v>
      </c>
      <c r="Z62" s="209">
        <f t="shared" ref="Z62:Z71" si="157">(+V62*$U62*12)</f>
        <v>0</v>
      </c>
      <c r="AA62" s="209">
        <f t="shared" ref="AA62:AA71" si="158">(+W62*$U62*12)</f>
        <v>0</v>
      </c>
      <c r="AB62" s="209">
        <f t="shared" ref="AB62:AB71" si="159">(+X62*$U62*12)</f>
        <v>0</v>
      </c>
      <c r="AC62" s="209">
        <f t="shared" ref="AC62:AC71" si="160">(+Y62*$U62*12)</f>
        <v>0</v>
      </c>
      <c r="AD62" s="209">
        <f t="shared" ref="AD62:AD71" si="161">+AB62-Z62</f>
        <v>0</v>
      </c>
      <c r="AE62" s="209">
        <f t="shared" ref="AE62:AE71" si="162">+AC62-AA62</f>
        <v>0</v>
      </c>
      <c r="AF62" s="36" t="str">
        <f t="shared" ref="AF62:AF71" si="163">IF(+AD62=0,"0%",AD62/Z62)</f>
        <v>0%</v>
      </c>
      <c r="AG62" s="36" t="str">
        <f t="shared" ref="AG62:AG71" si="164">IF(+AE62=0,"0%",AE62/AA62)</f>
        <v>0%</v>
      </c>
      <c r="AH62" s="627"/>
      <c r="AI62" s="630">
        <f>AI60+1</f>
        <v>49</v>
      </c>
      <c r="AJ62" s="629" t="str">
        <f>+AJ58</f>
        <v>53E - Customer Owned</v>
      </c>
      <c r="AK62" s="593" t="s">
        <v>932</v>
      </c>
      <c r="AL62" s="426" t="s">
        <v>117</v>
      </c>
      <c r="AM62" s="35"/>
      <c r="AN62" s="330"/>
      <c r="AO62" s="330"/>
      <c r="AP62" s="330"/>
      <c r="AQ62" s="330"/>
      <c r="AR62" s="209"/>
      <c r="AS62" s="209"/>
      <c r="AT62" s="209"/>
      <c r="AU62" s="209"/>
      <c r="AV62" s="209"/>
      <c r="AW62" s="209"/>
      <c r="AX62" s="36"/>
      <c r="AY62" s="36"/>
    </row>
    <row r="63" spans="1:51" x14ac:dyDescent="0.2">
      <c r="A63" s="630">
        <f t="shared" si="19"/>
        <v>51</v>
      </c>
      <c r="B63" s="629" t="str">
        <f>+B59</f>
        <v>53E - Customer Owned</v>
      </c>
      <c r="C63" s="593" t="s">
        <v>568</v>
      </c>
      <c r="D63" s="426" t="s">
        <v>117</v>
      </c>
      <c r="E63" s="426">
        <f>'WP1 Light Inventory'!J115</f>
        <v>656</v>
      </c>
      <c r="F63" s="330">
        <f>'WP2 Current Light Rates'!E100</f>
        <v>1.76</v>
      </c>
      <c r="G63" s="330">
        <f>'BDJ-6 Combined Charges'!K121</f>
        <v>1.77</v>
      </c>
      <c r="H63" s="330">
        <f>'Sch 141A Lighting Tariff'!J119+'Sch 141C Lighting Tariff'!J119+'Sch 141N Lighting Tariff'!J121+'Sch 141R Lighting Tariff'!J121+G63</f>
        <v>2.64</v>
      </c>
      <c r="I63" s="209">
        <f t="shared" si="146"/>
        <v>13854.72</v>
      </c>
      <c r="J63" s="209">
        <f t="shared" si="147"/>
        <v>13933.440000000002</v>
      </c>
      <c r="K63" s="209">
        <f t="shared" si="148"/>
        <v>20782.080000000002</v>
      </c>
      <c r="L63" s="209">
        <f t="shared" si="149"/>
        <v>78.720000000002983</v>
      </c>
      <c r="M63" s="209">
        <f t="shared" si="150"/>
        <v>6927.3600000000024</v>
      </c>
      <c r="N63" s="36">
        <f t="shared" si="151"/>
        <v>5.6818181818183971E-3</v>
      </c>
      <c r="O63" s="36">
        <f t="shared" si="152"/>
        <v>0.50000000000000022</v>
      </c>
      <c r="P63" s="627"/>
      <c r="Q63" s="630">
        <f>Q61+1</f>
        <v>48</v>
      </c>
      <c r="R63" s="629" t="str">
        <f>+R59</f>
        <v>53E - Customer Owned</v>
      </c>
      <c r="S63" s="593" t="s">
        <v>568</v>
      </c>
      <c r="T63" s="426" t="s">
        <v>117</v>
      </c>
      <c r="U63" s="177">
        <f t="shared" ref="U63:U71" si="165">E63</f>
        <v>656</v>
      </c>
      <c r="V63" s="330">
        <f t="shared" ref="V63:V71" si="166">G63</f>
        <v>1.77</v>
      </c>
      <c r="W63" s="330">
        <f t="shared" ref="W63:W71" si="167">H63</f>
        <v>2.64</v>
      </c>
      <c r="X63" s="330">
        <f t="shared" ref="X63:X71" si="168">V63</f>
        <v>1.77</v>
      </c>
      <c r="Y63" s="330">
        <f>'Sch 141A Lighting Tariff'!N119+'Sch 141C Lighting Tariff'!N119+'Sch 141N Lighting Tariff'!N121+'Sch 141R Lighting Tariff'!N121+X63</f>
        <v>2.76</v>
      </c>
      <c r="Z63" s="209">
        <f t="shared" si="157"/>
        <v>13933.440000000002</v>
      </c>
      <c r="AA63" s="209">
        <f t="shared" si="158"/>
        <v>20782.080000000002</v>
      </c>
      <c r="AB63" s="209">
        <f t="shared" si="159"/>
        <v>13933.440000000002</v>
      </c>
      <c r="AC63" s="209">
        <f t="shared" si="160"/>
        <v>21726.720000000001</v>
      </c>
      <c r="AD63" s="209">
        <f t="shared" si="161"/>
        <v>0</v>
      </c>
      <c r="AE63" s="209">
        <f t="shared" si="162"/>
        <v>944.63999999999942</v>
      </c>
      <c r="AF63" s="36" t="str">
        <f t="shared" si="163"/>
        <v>0%</v>
      </c>
      <c r="AG63" s="36">
        <f t="shared" si="164"/>
        <v>4.5454545454545421E-2</v>
      </c>
      <c r="AH63" s="627"/>
      <c r="AI63" s="630">
        <f>AI61+1</f>
        <v>48</v>
      </c>
      <c r="AJ63" s="629" t="str">
        <f>+AJ59</f>
        <v>53E - Customer Owned</v>
      </c>
      <c r="AK63" s="593" t="s">
        <v>568</v>
      </c>
      <c r="AL63" s="426" t="s">
        <v>117</v>
      </c>
      <c r="AM63" s="35"/>
      <c r="AN63" s="330"/>
      <c r="AO63" s="330"/>
      <c r="AP63" s="330"/>
      <c r="AQ63" s="330"/>
      <c r="AR63" s="209"/>
      <c r="AS63" s="209"/>
      <c r="AT63" s="209"/>
      <c r="AU63" s="209"/>
      <c r="AV63" s="209"/>
      <c r="AW63" s="209"/>
      <c r="AX63" s="36"/>
      <c r="AY63" s="36"/>
    </row>
    <row r="64" spans="1:51" x14ac:dyDescent="0.2">
      <c r="A64" s="630">
        <f t="shared" si="19"/>
        <v>52</v>
      </c>
      <c r="B64" s="629" t="str">
        <f t="shared" ref="B64:B71" si="169">+B63</f>
        <v>53E - Customer Owned</v>
      </c>
      <c r="C64" s="593" t="s">
        <v>569</v>
      </c>
      <c r="D64" s="426" t="s">
        <v>117</v>
      </c>
      <c r="E64" s="426">
        <f>'WP1 Light Inventory'!J116</f>
        <v>634</v>
      </c>
      <c r="F64" s="330">
        <f>'WP2 Current Light Rates'!E101</f>
        <v>2.72</v>
      </c>
      <c r="G64" s="330">
        <f>'BDJ-6 Combined Charges'!K122</f>
        <v>2.65</v>
      </c>
      <c r="H64" s="330">
        <f>'Sch 141A Lighting Tariff'!J120+'Sch 141C Lighting Tariff'!J120+'Sch 141N Lighting Tariff'!J122+'Sch 141R Lighting Tariff'!J122+G64</f>
        <v>4.1099999999999994</v>
      </c>
      <c r="I64" s="209">
        <f t="shared" si="146"/>
        <v>20693.760000000002</v>
      </c>
      <c r="J64" s="209">
        <f t="shared" si="147"/>
        <v>20161.199999999997</v>
      </c>
      <c r="K64" s="209">
        <f t="shared" si="148"/>
        <v>31268.879999999997</v>
      </c>
      <c r="L64" s="209">
        <f t="shared" si="149"/>
        <v>-532.56000000000495</v>
      </c>
      <c r="M64" s="209">
        <f t="shared" si="150"/>
        <v>10575.119999999995</v>
      </c>
      <c r="N64" s="36">
        <f t="shared" si="151"/>
        <v>-2.5735294117647297E-2</v>
      </c>
      <c r="O64" s="36">
        <f t="shared" si="152"/>
        <v>0.51102941176470562</v>
      </c>
      <c r="P64" s="627"/>
      <c r="Q64" s="630">
        <f t="shared" ref="Q64:Q74" si="170">Q63+1</f>
        <v>49</v>
      </c>
      <c r="R64" s="629" t="str">
        <f t="shared" ref="R64:R71" si="171">+R63</f>
        <v>53E - Customer Owned</v>
      </c>
      <c r="S64" s="593" t="s">
        <v>569</v>
      </c>
      <c r="T64" s="426" t="s">
        <v>117</v>
      </c>
      <c r="U64" s="177">
        <f t="shared" si="165"/>
        <v>634</v>
      </c>
      <c r="V64" s="330">
        <f t="shared" si="166"/>
        <v>2.65</v>
      </c>
      <c r="W64" s="330">
        <f t="shared" si="167"/>
        <v>4.1099999999999994</v>
      </c>
      <c r="X64" s="330">
        <f t="shared" si="168"/>
        <v>2.65</v>
      </c>
      <c r="Y64" s="330">
        <f>'Sch 141A Lighting Tariff'!N120+'Sch 141C Lighting Tariff'!N120+'Sch 141N Lighting Tariff'!N122+'Sch 141R Lighting Tariff'!N122+X64</f>
        <v>4.3</v>
      </c>
      <c r="Z64" s="209">
        <f t="shared" si="157"/>
        <v>20161.199999999997</v>
      </c>
      <c r="AA64" s="209">
        <f t="shared" si="158"/>
        <v>31268.879999999997</v>
      </c>
      <c r="AB64" s="209">
        <f t="shared" si="159"/>
        <v>20161.199999999997</v>
      </c>
      <c r="AC64" s="209">
        <f t="shared" si="160"/>
        <v>32714.399999999998</v>
      </c>
      <c r="AD64" s="209">
        <f t="shared" si="161"/>
        <v>0</v>
      </c>
      <c r="AE64" s="209">
        <f t="shared" si="162"/>
        <v>1445.5200000000004</v>
      </c>
      <c r="AF64" s="36" t="str">
        <f t="shared" si="163"/>
        <v>0%</v>
      </c>
      <c r="AG64" s="36">
        <f t="shared" si="164"/>
        <v>4.6228710462287124E-2</v>
      </c>
      <c r="AH64" s="627"/>
      <c r="AI64" s="630">
        <f t="shared" ref="AI64:AI74" si="172">AI63+1</f>
        <v>49</v>
      </c>
      <c r="AJ64" s="629" t="str">
        <f t="shared" ref="AJ64:AJ71" si="173">+AJ63</f>
        <v>53E - Customer Owned</v>
      </c>
      <c r="AK64" s="593" t="s">
        <v>569</v>
      </c>
      <c r="AL64" s="426" t="s">
        <v>117</v>
      </c>
      <c r="AM64" s="35"/>
      <c r="AN64" s="330"/>
      <c r="AO64" s="330"/>
      <c r="AP64" s="330"/>
      <c r="AQ64" s="330"/>
      <c r="AR64" s="209"/>
      <c r="AS64" s="209"/>
      <c r="AT64" s="209"/>
      <c r="AU64" s="209"/>
      <c r="AV64" s="209"/>
      <c r="AW64" s="209"/>
      <c r="AX64" s="36"/>
      <c r="AY64" s="36"/>
    </row>
    <row r="65" spans="1:51" x14ac:dyDescent="0.2">
      <c r="A65" s="630">
        <f t="shared" si="19"/>
        <v>53</v>
      </c>
      <c r="B65" s="629" t="str">
        <f t="shared" si="169"/>
        <v>53E - Customer Owned</v>
      </c>
      <c r="C65" s="593" t="s">
        <v>570</v>
      </c>
      <c r="D65" s="426" t="s">
        <v>117</v>
      </c>
      <c r="E65" s="426">
        <f>'WP1 Light Inventory'!J117</f>
        <v>869</v>
      </c>
      <c r="F65" s="330">
        <f>'WP2 Current Light Rates'!E102</f>
        <v>3.67</v>
      </c>
      <c r="G65" s="330">
        <f>'BDJ-6 Combined Charges'!K123</f>
        <v>3.53</v>
      </c>
      <c r="H65" s="330">
        <f>'Sch 141A Lighting Tariff'!J121+'Sch 141C Lighting Tariff'!J121+'Sch 141N Lighting Tariff'!J123+'Sch 141R Lighting Tariff'!J123+G65</f>
        <v>5.57</v>
      </c>
      <c r="I65" s="209">
        <f t="shared" si="146"/>
        <v>38270.76</v>
      </c>
      <c r="J65" s="209">
        <f t="shared" si="147"/>
        <v>36810.839999999997</v>
      </c>
      <c r="K65" s="209">
        <f t="shared" si="148"/>
        <v>58083.96</v>
      </c>
      <c r="L65" s="209">
        <f t="shared" si="149"/>
        <v>-1459.9200000000055</v>
      </c>
      <c r="M65" s="209">
        <f t="shared" si="150"/>
        <v>19813.199999999997</v>
      </c>
      <c r="N65" s="36">
        <f t="shared" si="151"/>
        <v>-3.8147138964577797E-2</v>
      </c>
      <c r="O65" s="36">
        <f t="shared" si="152"/>
        <v>0.51771117166212521</v>
      </c>
      <c r="P65" s="627"/>
      <c r="Q65" s="630">
        <f t="shared" si="170"/>
        <v>50</v>
      </c>
      <c r="R65" s="629" t="str">
        <f t="shared" si="171"/>
        <v>53E - Customer Owned</v>
      </c>
      <c r="S65" s="593" t="s">
        <v>570</v>
      </c>
      <c r="T65" s="426" t="s">
        <v>117</v>
      </c>
      <c r="U65" s="177">
        <f t="shared" si="165"/>
        <v>869</v>
      </c>
      <c r="V65" s="330">
        <f t="shared" si="166"/>
        <v>3.53</v>
      </c>
      <c r="W65" s="330">
        <f t="shared" si="167"/>
        <v>5.57</v>
      </c>
      <c r="X65" s="330">
        <f t="shared" si="168"/>
        <v>3.53</v>
      </c>
      <c r="Y65" s="330">
        <f>'Sch 141A Lighting Tariff'!N121+'Sch 141C Lighting Tariff'!N121+'Sch 141N Lighting Tariff'!N123+'Sch 141R Lighting Tariff'!N123+X65</f>
        <v>5.85</v>
      </c>
      <c r="Z65" s="209">
        <f t="shared" si="157"/>
        <v>36810.839999999997</v>
      </c>
      <c r="AA65" s="209">
        <f t="shared" si="158"/>
        <v>58083.96</v>
      </c>
      <c r="AB65" s="209">
        <f t="shared" si="159"/>
        <v>36810.839999999997</v>
      </c>
      <c r="AC65" s="209">
        <f t="shared" si="160"/>
        <v>61003.799999999996</v>
      </c>
      <c r="AD65" s="209">
        <f t="shared" si="161"/>
        <v>0</v>
      </c>
      <c r="AE65" s="209">
        <f t="shared" si="162"/>
        <v>2919.8399999999965</v>
      </c>
      <c r="AF65" s="36" t="str">
        <f t="shared" si="163"/>
        <v>0%</v>
      </c>
      <c r="AG65" s="36">
        <f t="shared" si="164"/>
        <v>5.0269299820466726E-2</v>
      </c>
      <c r="AH65" s="627"/>
      <c r="AI65" s="630">
        <f t="shared" si="172"/>
        <v>50</v>
      </c>
      <c r="AJ65" s="629" t="str">
        <f t="shared" si="173"/>
        <v>53E - Customer Owned</v>
      </c>
      <c r="AK65" s="593" t="s">
        <v>570</v>
      </c>
      <c r="AL65" s="426" t="s">
        <v>117</v>
      </c>
      <c r="AM65" s="35"/>
      <c r="AN65" s="330"/>
      <c r="AO65" s="330"/>
      <c r="AP65" s="330"/>
      <c r="AQ65" s="330"/>
      <c r="AR65" s="209"/>
      <c r="AS65" s="209"/>
      <c r="AT65" s="209"/>
      <c r="AU65" s="209"/>
      <c r="AV65" s="209"/>
      <c r="AW65" s="209"/>
      <c r="AX65" s="36"/>
      <c r="AY65" s="36"/>
    </row>
    <row r="66" spans="1:51" x14ac:dyDescent="0.2">
      <c r="A66" s="630">
        <f t="shared" si="19"/>
        <v>54</v>
      </c>
      <c r="B66" s="629" t="str">
        <f t="shared" si="169"/>
        <v>53E - Customer Owned</v>
      </c>
      <c r="C66" s="593" t="s">
        <v>571</v>
      </c>
      <c r="D66" s="426" t="s">
        <v>117</v>
      </c>
      <c r="E66" s="426">
        <f>'WP1 Light Inventory'!J118</f>
        <v>101</v>
      </c>
      <c r="F66" s="330">
        <f>'WP2 Current Light Rates'!E103</f>
        <v>4.63</v>
      </c>
      <c r="G66" s="330">
        <f>'BDJ-6 Combined Charges'!K124</f>
        <v>4.42</v>
      </c>
      <c r="H66" s="330">
        <f>'Sch 141A Lighting Tariff'!J122+'Sch 141C Lighting Tariff'!J122+'Sch 141N Lighting Tariff'!J124+'Sch 141R Lighting Tariff'!J124+G66</f>
        <v>7.03</v>
      </c>
      <c r="I66" s="209">
        <f t="shared" si="146"/>
        <v>5611.5599999999995</v>
      </c>
      <c r="J66" s="209">
        <f t="shared" si="147"/>
        <v>5357.04</v>
      </c>
      <c r="K66" s="209">
        <f t="shared" si="148"/>
        <v>8520.36</v>
      </c>
      <c r="L66" s="209">
        <f t="shared" si="149"/>
        <v>-254.51999999999953</v>
      </c>
      <c r="M66" s="209">
        <f t="shared" si="150"/>
        <v>2908.8000000000011</v>
      </c>
      <c r="N66" s="36">
        <f t="shared" si="151"/>
        <v>-4.5356371490280697E-2</v>
      </c>
      <c r="O66" s="36">
        <f t="shared" si="152"/>
        <v>0.51835853131749487</v>
      </c>
      <c r="P66" s="627"/>
      <c r="Q66" s="630">
        <f t="shared" si="170"/>
        <v>51</v>
      </c>
      <c r="R66" s="629" t="str">
        <f t="shared" si="171"/>
        <v>53E - Customer Owned</v>
      </c>
      <c r="S66" s="593" t="s">
        <v>571</v>
      </c>
      <c r="T66" s="426" t="s">
        <v>117</v>
      </c>
      <c r="U66" s="177">
        <f t="shared" si="165"/>
        <v>101</v>
      </c>
      <c r="V66" s="330">
        <f t="shared" si="166"/>
        <v>4.42</v>
      </c>
      <c r="W66" s="330">
        <f t="shared" si="167"/>
        <v>7.03</v>
      </c>
      <c r="X66" s="330">
        <f t="shared" si="168"/>
        <v>4.42</v>
      </c>
      <c r="Y66" s="330">
        <f>'Sch 141A Lighting Tariff'!N122+'Sch 141C Lighting Tariff'!N122+'Sch 141N Lighting Tariff'!N124+'Sch 141R Lighting Tariff'!N124+X66</f>
        <v>7.3999999999999995</v>
      </c>
      <c r="Z66" s="209">
        <f t="shared" si="157"/>
        <v>5357.04</v>
      </c>
      <c r="AA66" s="209">
        <f t="shared" si="158"/>
        <v>8520.36</v>
      </c>
      <c r="AB66" s="209">
        <f t="shared" si="159"/>
        <v>5357.04</v>
      </c>
      <c r="AC66" s="209">
        <f t="shared" si="160"/>
        <v>8968.7999999999993</v>
      </c>
      <c r="AD66" s="209">
        <f t="shared" si="161"/>
        <v>0</v>
      </c>
      <c r="AE66" s="209">
        <f t="shared" si="162"/>
        <v>448.43999999999869</v>
      </c>
      <c r="AF66" s="36" t="str">
        <f t="shared" si="163"/>
        <v>0%</v>
      </c>
      <c r="AG66" s="36">
        <f t="shared" si="164"/>
        <v>5.2631578947368265E-2</v>
      </c>
      <c r="AH66" s="627"/>
      <c r="AI66" s="630">
        <f t="shared" si="172"/>
        <v>51</v>
      </c>
      <c r="AJ66" s="629" t="str">
        <f t="shared" si="173"/>
        <v>53E - Customer Owned</v>
      </c>
      <c r="AK66" s="593" t="s">
        <v>571</v>
      </c>
      <c r="AL66" s="426" t="s">
        <v>117</v>
      </c>
      <c r="AM66" s="35"/>
      <c r="AN66" s="330"/>
      <c r="AO66" s="330"/>
      <c r="AP66" s="330"/>
      <c r="AQ66" s="330"/>
      <c r="AR66" s="209"/>
      <c r="AS66" s="209"/>
      <c r="AT66" s="209"/>
      <c r="AU66" s="209"/>
      <c r="AV66" s="209"/>
      <c r="AW66" s="209"/>
      <c r="AX66" s="36"/>
      <c r="AY66" s="36"/>
    </row>
    <row r="67" spans="1:51" x14ac:dyDescent="0.2">
      <c r="A67" s="630">
        <f t="shared" si="19"/>
        <v>55</v>
      </c>
      <c r="B67" s="629" t="str">
        <f t="shared" si="169"/>
        <v>53E - Customer Owned</v>
      </c>
      <c r="C67" s="593" t="s">
        <v>572</v>
      </c>
      <c r="D67" s="426" t="s">
        <v>117</v>
      </c>
      <c r="E67" s="426">
        <f>'WP1 Light Inventory'!J119</f>
        <v>1330</v>
      </c>
      <c r="F67" s="330">
        <f>'WP2 Current Light Rates'!E104</f>
        <v>5.58</v>
      </c>
      <c r="G67" s="330">
        <f>'BDJ-6 Combined Charges'!K125</f>
        <v>5.3</v>
      </c>
      <c r="H67" s="330">
        <f>'Sch 141A Lighting Tariff'!J123+'Sch 141C Lighting Tariff'!J123+'Sch 141N Lighting Tariff'!J125+'Sch 141R Lighting Tariff'!J125+G67</f>
        <v>8.49</v>
      </c>
      <c r="I67" s="209">
        <f t="shared" si="146"/>
        <v>89056.8</v>
      </c>
      <c r="J67" s="209">
        <f t="shared" si="147"/>
        <v>84588</v>
      </c>
      <c r="K67" s="209">
        <f t="shared" si="148"/>
        <v>135500.40000000002</v>
      </c>
      <c r="L67" s="209">
        <f t="shared" si="149"/>
        <v>-4468.8000000000029</v>
      </c>
      <c r="M67" s="209">
        <f t="shared" si="150"/>
        <v>46443.60000000002</v>
      </c>
      <c r="N67" s="36">
        <f t="shared" si="151"/>
        <v>-5.017921146953408E-2</v>
      </c>
      <c r="O67" s="36">
        <f t="shared" si="152"/>
        <v>0.52150537634408622</v>
      </c>
      <c r="P67" s="627"/>
      <c r="Q67" s="630">
        <f t="shared" si="170"/>
        <v>52</v>
      </c>
      <c r="R67" s="629" t="str">
        <f t="shared" si="171"/>
        <v>53E - Customer Owned</v>
      </c>
      <c r="S67" s="593" t="s">
        <v>572</v>
      </c>
      <c r="T67" s="426" t="s">
        <v>117</v>
      </c>
      <c r="U67" s="177">
        <f t="shared" si="165"/>
        <v>1330</v>
      </c>
      <c r="V67" s="330">
        <f t="shared" si="166"/>
        <v>5.3</v>
      </c>
      <c r="W67" s="330">
        <f t="shared" si="167"/>
        <v>8.49</v>
      </c>
      <c r="X67" s="330">
        <f t="shared" si="168"/>
        <v>5.3</v>
      </c>
      <c r="Y67" s="330">
        <f>'Sch 141A Lighting Tariff'!N123+'Sch 141C Lighting Tariff'!N123+'Sch 141N Lighting Tariff'!N125+'Sch 141R Lighting Tariff'!N125+X67</f>
        <v>8.94</v>
      </c>
      <c r="Z67" s="209">
        <f t="shared" si="157"/>
        <v>84588</v>
      </c>
      <c r="AA67" s="209">
        <f t="shared" si="158"/>
        <v>135500.40000000002</v>
      </c>
      <c r="AB67" s="209">
        <f t="shared" si="159"/>
        <v>84588</v>
      </c>
      <c r="AC67" s="209">
        <f t="shared" si="160"/>
        <v>142682.4</v>
      </c>
      <c r="AD67" s="209">
        <f t="shared" si="161"/>
        <v>0</v>
      </c>
      <c r="AE67" s="209">
        <f t="shared" si="162"/>
        <v>7181.9999999999709</v>
      </c>
      <c r="AF67" s="36" t="str">
        <f t="shared" si="163"/>
        <v>0%</v>
      </c>
      <c r="AG67" s="36">
        <f t="shared" si="164"/>
        <v>5.3003533568904367E-2</v>
      </c>
      <c r="AH67" s="627"/>
      <c r="AI67" s="630">
        <f t="shared" si="172"/>
        <v>52</v>
      </c>
      <c r="AJ67" s="629" t="str">
        <f t="shared" si="173"/>
        <v>53E - Customer Owned</v>
      </c>
      <c r="AK67" s="593" t="s">
        <v>572</v>
      </c>
      <c r="AL67" s="426" t="s">
        <v>117</v>
      </c>
      <c r="AM67" s="35"/>
      <c r="AN67" s="330"/>
      <c r="AO67" s="330"/>
      <c r="AP67" s="330"/>
      <c r="AQ67" s="330"/>
      <c r="AR67" s="209"/>
      <c r="AS67" s="209"/>
      <c r="AT67" s="209"/>
      <c r="AU67" s="209"/>
      <c r="AV67" s="209"/>
      <c r="AW67" s="209"/>
      <c r="AX67" s="36"/>
      <c r="AY67" s="36"/>
    </row>
    <row r="68" spans="1:51" x14ac:dyDescent="0.2">
      <c r="A68" s="630">
        <f t="shared" si="19"/>
        <v>56</v>
      </c>
      <c r="B68" s="629" t="str">
        <f t="shared" si="169"/>
        <v>53E - Customer Owned</v>
      </c>
      <c r="C68" s="593" t="s">
        <v>587</v>
      </c>
      <c r="D68" s="426" t="s">
        <v>117</v>
      </c>
      <c r="E68" s="426">
        <f>'WP1 Light Inventory'!J120</f>
        <v>106</v>
      </c>
      <c r="F68" s="330">
        <f>'WP2 Current Light Rates'!E105</f>
        <v>6.54</v>
      </c>
      <c r="G68" s="330">
        <f>'BDJ-6 Combined Charges'!K126</f>
        <v>6.1899999999999995</v>
      </c>
      <c r="H68" s="330">
        <f>'Sch 141A Lighting Tariff'!J124+'Sch 141C Lighting Tariff'!J124+'Sch 141N Lighting Tariff'!J126+'Sch 141R Lighting Tariff'!J126+G68</f>
        <v>9.98</v>
      </c>
      <c r="I68" s="209">
        <f t="shared" si="146"/>
        <v>8318.880000000001</v>
      </c>
      <c r="J68" s="209">
        <f t="shared" si="147"/>
        <v>7873.68</v>
      </c>
      <c r="K68" s="209">
        <f t="shared" si="148"/>
        <v>12694.560000000001</v>
      </c>
      <c r="L68" s="209">
        <f t="shared" si="149"/>
        <v>-445.20000000000073</v>
      </c>
      <c r="M68" s="209">
        <f t="shared" si="150"/>
        <v>4375.68</v>
      </c>
      <c r="N68" s="36">
        <f t="shared" si="151"/>
        <v>-5.3516819571865527E-2</v>
      </c>
      <c r="O68" s="36">
        <f t="shared" si="152"/>
        <v>0.52599388379204892</v>
      </c>
      <c r="P68" s="627"/>
      <c r="Q68" s="630">
        <f t="shared" si="170"/>
        <v>53</v>
      </c>
      <c r="R68" s="629" t="str">
        <f t="shared" si="171"/>
        <v>53E - Customer Owned</v>
      </c>
      <c r="S68" s="593" t="s">
        <v>587</v>
      </c>
      <c r="T68" s="426" t="s">
        <v>117</v>
      </c>
      <c r="U68" s="177">
        <f t="shared" si="165"/>
        <v>106</v>
      </c>
      <c r="V68" s="330">
        <f t="shared" si="166"/>
        <v>6.1899999999999995</v>
      </c>
      <c r="W68" s="330">
        <f t="shared" si="167"/>
        <v>9.98</v>
      </c>
      <c r="X68" s="330">
        <f t="shared" si="168"/>
        <v>6.1899999999999995</v>
      </c>
      <c r="Y68" s="330">
        <f>'Sch 141A Lighting Tariff'!N124+'Sch 141C Lighting Tariff'!N124+'Sch 141N Lighting Tariff'!N126+'Sch 141R Lighting Tariff'!N126+X68</f>
        <v>10.48</v>
      </c>
      <c r="Z68" s="209">
        <f t="shared" si="157"/>
        <v>7873.68</v>
      </c>
      <c r="AA68" s="209">
        <f t="shared" si="158"/>
        <v>12694.560000000001</v>
      </c>
      <c r="AB68" s="209">
        <f t="shared" si="159"/>
        <v>7873.68</v>
      </c>
      <c r="AC68" s="209">
        <f t="shared" si="160"/>
        <v>13330.560000000001</v>
      </c>
      <c r="AD68" s="209">
        <f t="shared" si="161"/>
        <v>0</v>
      </c>
      <c r="AE68" s="209">
        <f t="shared" si="162"/>
        <v>636</v>
      </c>
      <c r="AF68" s="36" t="str">
        <f t="shared" si="163"/>
        <v>0%</v>
      </c>
      <c r="AG68" s="36">
        <f t="shared" si="164"/>
        <v>5.0100200400801598E-2</v>
      </c>
      <c r="AH68" s="627"/>
      <c r="AI68" s="630">
        <f t="shared" si="172"/>
        <v>53</v>
      </c>
      <c r="AJ68" s="629" t="str">
        <f t="shared" si="173"/>
        <v>53E - Customer Owned</v>
      </c>
      <c r="AK68" s="593" t="s">
        <v>587</v>
      </c>
      <c r="AL68" s="426" t="s">
        <v>117</v>
      </c>
      <c r="AM68" s="35"/>
      <c r="AN68" s="330"/>
      <c r="AO68" s="330"/>
      <c r="AP68" s="330"/>
      <c r="AQ68" s="330"/>
      <c r="AR68" s="209"/>
      <c r="AS68" s="209"/>
      <c r="AT68" s="209"/>
      <c r="AU68" s="209"/>
      <c r="AV68" s="209"/>
      <c r="AW68" s="209"/>
      <c r="AX68" s="36"/>
      <c r="AY68" s="36"/>
    </row>
    <row r="69" spans="1:51" x14ac:dyDescent="0.2">
      <c r="A69" s="630">
        <f t="shared" si="19"/>
        <v>57</v>
      </c>
      <c r="B69" s="629" t="str">
        <f t="shared" si="169"/>
        <v>53E - Customer Owned</v>
      </c>
      <c r="C69" s="593" t="s">
        <v>586</v>
      </c>
      <c r="D69" s="426" t="s">
        <v>117</v>
      </c>
      <c r="E69" s="426">
        <f>'WP1 Light Inventory'!J121</f>
        <v>0</v>
      </c>
      <c r="F69" s="330">
        <f>'WP2 Current Light Rates'!E106</f>
        <v>7.49</v>
      </c>
      <c r="G69" s="330">
        <f>'BDJ-6 Combined Charges'!K127</f>
        <v>7.08</v>
      </c>
      <c r="H69" s="330">
        <f>'Sch 141A Lighting Tariff'!J125+'Sch 141C Lighting Tariff'!J125+'Sch 141N Lighting Tariff'!J127+'Sch 141R Lighting Tariff'!J127+G69</f>
        <v>11.46</v>
      </c>
      <c r="I69" s="209">
        <f t="shared" si="146"/>
        <v>0</v>
      </c>
      <c r="J69" s="209">
        <f t="shared" si="147"/>
        <v>0</v>
      </c>
      <c r="K69" s="209">
        <f t="shared" si="148"/>
        <v>0</v>
      </c>
      <c r="L69" s="209">
        <f t="shared" si="149"/>
        <v>0</v>
      </c>
      <c r="M69" s="209">
        <f t="shared" si="150"/>
        <v>0</v>
      </c>
      <c r="N69" s="36" t="str">
        <f t="shared" si="151"/>
        <v>0%</v>
      </c>
      <c r="O69" s="36" t="str">
        <f t="shared" si="152"/>
        <v>0%</v>
      </c>
      <c r="P69" s="627"/>
      <c r="Q69" s="630">
        <f t="shared" si="170"/>
        <v>54</v>
      </c>
      <c r="R69" s="629" t="str">
        <f t="shared" si="171"/>
        <v>53E - Customer Owned</v>
      </c>
      <c r="S69" s="593" t="s">
        <v>586</v>
      </c>
      <c r="T69" s="426" t="s">
        <v>117</v>
      </c>
      <c r="U69" s="177">
        <f t="shared" si="165"/>
        <v>0</v>
      </c>
      <c r="V69" s="330">
        <f t="shared" si="166"/>
        <v>7.08</v>
      </c>
      <c r="W69" s="330">
        <f t="shared" si="167"/>
        <v>11.46</v>
      </c>
      <c r="X69" s="330">
        <f t="shared" si="168"/>
        <v>7.08</v>
      </c>
      <c r="Y69" s="330">
        <f>'Sch 141A Lighting Tariff'!N125+'Sch 141C Lighting Tariff'!N125+'Sch 141N Lighting Tariff'!N127+'Sch 141R Lighting Tariff'!N127+X69</f>
        <v>12.030000000000001</v>
      </c>
      <c r="Z69" s="209">
        <f t="shared" si="157"/>
        <v>0</v>
      </c>
      <c r="AA69" s="209">
        <f t="shared" si="158"/>
        <v>0</v>
      </c>
      <c r="AB69" s="209">
        <f t="shared" si="159"/>
        <v>0</v>
      </c>
      <c r="AC69" s="209">
        <f t="shared" si="160"/>
        <v>0</v>
      </c>
      <c r="AD69" s="209">
        <f t="shared" si="161"/>
        <v>0</v>
      </c>
      <c r="AE69" s="209">
        <f t="shared" si="162"/>
        <v>0</v>
      </c>
      <c r="AF69" s="36" t="str">
        <f t="shared" si="163"/>
        <v>0%</v>
      </c>
      <c r="AG69" s="36" t="str">
        <f t="shared" si="164"/>
        <v>0%</v>
      </c>
      <c r="AH69" s="627"/>
      <c r="AI69" s="630">
        <f t="shared" si="172"/>
        <v>54</v>
      </c>
      <c r="AJ69" s="629" t="str">
        <f t="shared" si="173"/>
        <v>53E - Customer Owned</v>
      </c>
      <c r="AK69" s="593" t="s">
        <v>586</v>
      </c>
      <c r="AL69" s="426" t="s">
        <v>117</v>
      </c>
      <c r="AM69" s="35"/>
      <c r="AN69" s="330"/>
      <c r="AO69" s="330"/>
      <c r="AP69" s="330"/>
      <c r="AQ69" s="330"/>
      <c r="AR69" s="209"/>
      <c r="AS69" s="209"/>
      <c r="AT69" s="209"/>
      <c r="AU69" s="209"/>
      <c r="AV69" s="209"/>
      <c r="AW69" s="209"/>
      <c r="AX69" s="36"/>
      <c r="AY69" s="36"/>
    </row>
    <row r="70" spans="1:51" x14ac:dyDescent="0.2">
      <c r="A70" s="630">
        <f t="shared" si="19"/>
        <v>58</v>
      </c>
      <c r="B70" s="629" t="str">
        <f t="shared" si="169"/>
        <v>53E - Customer Owned</v>
      </c>
      <c r="C70" s="593" t="s">
        <v>573</v>
      </c>
      <c r="D70" s="426" t="s">
        <v>117</v>
      </c>
      <c r="E70" s="426">
        <f>'WP1 Light Inventory'!J122</f>
        <v>2</v>
      </c>
      <c r="F70" s="330">
        <f>'WP2 Current Light Rates'!E107</f>
        <v>8.4499999999999993</v>
      </c>
      <c r="G70" s="330">
        <f>'BDJ-6 Combined Charges'!K128</f>
        <v>7.9600000000000009</v>
      </c>
      <c r="H70" s="330">
        <f>'Sch 141A Lighting Tariff'!J126+'Sch 141C Lighting Tariff'!J126+'Sch 141N Lighting Tariff'!J128+'Sch 141R Lighting Tariff'!J128+G70</f>
        <v>12.900000000000002</v>
      </c>
      <c r="I70" s="209">
        <f t="shared" si="146"/>
        <v>202.79999999999998</v>
      </c>
      <c r="J70" s="209">
        <f t="shared" si="147"/>
        <v>191.04000000000002</v>
      </c>
      <c r="K70" s="209">
        <f t="shared" si="148"/>
        <v>309.60000000000002</v>
      </c>
      <c r="L70" s="209">
        <f t="shared" si="149"/>
        <v>-11.759999999999962</v>
      </c>
      <c r="M70" s="209">
        <f t="shared" si="150"/>
        <v>106.80000000000004</v>
      </c>
      <c r="N70" s="36">
        <f t="shared" si="151"/>
        <v>-5.7988165680473193E-2</v>
      </c>
      <c r="O70" s="36">
        <f t="shared" si="152"/>
        <v>0.52662721893491149</v>
      </c>
      <c r="P70" s="627"/>
      <c r="Q70" s="630">
        <f t="shared" si="170"/>
        <v>55</v>
      </c>
      <c r="R70" s="629" t="str">
        <f t="shared" si="171"/>
        <v>53E - Customer Owned</v>
      </c>
      <c r="S70" s="593" t="s">
        <v>573</v>
      </c>
      <c r="T70" s="426" t="s">
        <v>117</v>
      </c>
      <c r="U70" s="177">
        <f t="shared" si="165"/>
        <v>2</v>
      </c>
      <c r="V70" s="330">
        <f t="shared" si="166"/>
        <v>7.9600000000000009</v>
      </c>
      <c r="W70" s="330">
        <f t="shared" si="167"/>
        <v>12.900000000000002</v>
      </c>
      <c r="X70" s="330">
        <f t="shared" si="168"/>
        <v>7.9600000000000009</v>
      </c>
      <c r="Y70" s="330">
        <f>'Sch 141A Lighting Tariff'!N126+'Sch 141C Lighting Tariff'!N126+'Sch 141N Lighting Tariff'!N128+'Sch 141R Lighting Tariff'!N128+X70</f>
        <v>13.580000000000002</v>
      </c>
      <c r="Z70" s="209">
        <f t="shared" si="157"/>
        <v>191.04000000000002</v>
      </c>
      <c r="AA70" s="209">
        <f t="shared" si="158"/>
        <v>309.60000000000002</v>
      </c>
      <c r="AB70" s="209">
        <f t="shared" si="159"/>
        <v>191.04000000000002</v>
      </c>
      <c r="AC70" s="209">
        <f t="shared" si="160"/>
        <v>325.92000000000007</v>
      </c>
      <c r="AD70" s="209">
        <f t="shared" si="161"/>
        <v>0</v>
      </c>
      <c r="AE70" s="209">
        <f t="shared" si="162"/>
        <v>16.32000000000005</v>
      </c>
      <c r="AF70" s="36" t="str">
        <f t="shared" si="163"/>
        <v>0%</v>
      </c>
      <c r="AG70" s="36">
        <f t="shared" si="164"/>
        <v>5.2713178294573802E-2</v>
      </c>
      <c r="AH70" s="627"/>
      <c r="AI70" s="630">
        <f t="shared" si="172"/>
        <v>55</v>
      </c>
      <c r="AJ70" s="629" t="str">
        <f t="shared" si="173"/>
        <v>53E - Customer Owned</v>
      </c>
      <c r="AK70" s="593" t="s">
        <v>573</v>
      </c>
      <c r="AL70" s="426" t="s">
        <v>117</v>
      </c>
      <c r="AM70" s="35"/>
      <c r="AN70" s="330"/>
      <c r="AO70" s="330"/>
      <c r="AP70" s="330"/>
      <c r="AQ70" s="330"/>
      <c r="AR70" s="209"/>
      <c r="AS70" s="209"/>
      <c r="AT70" s="209"/>
      <c r="AU70" s="209"/>
      <c r="AV70" s="209"/>
      <c r="AW70" s="209"/>
      <c r="AX70" s="36"/>
      <c r="AY70" s="36"/>
    </row>
    <row r="71" spans="1:51" x14ac:dyDescent="0.2">
      <c r="A71" s="630">
        <f t="shared" ref="A71:A74" si="174">A70+1</f>
        <v>59</v>
      </c>
      <c r="B71" s="629" t="str">
        <f t="shared" si="169"/>
        <v>53E - Customer Owned</v>
      </c>
      <c r="C71" s="593" t="s">
        <v>574</v>
      </c>
      <c r="D71" s="426" t="s">
        <v>117</v>
      </c>
      <c r="E71" s="426">
        <f>'WP1 Light Inventory'!J123</f>
        <v>0</v>
      </c>
      <c r="F71" s="330">
        <f>'WP2 Current Light Rates'!E108</f>
        <v>9.4</v>
      </c>
      <c r="G71" s="330">
        <f>'BDJ-6 Combined Charges'!K129</f>
        <v>8.84</v>
      </c>
      <c r="H71" s="330">
        <f>'Sch 141A Lighting Tariff'!J127+'Sch 141C Lighting Tariff'!J127+'Sch 141N Lighting Tariff'!J129+'Sch 141R Lighting Tariff'!J129+G71</f>
        <v>14.370000000000001</v>
      </c>
      <c r="I71" s="209">
        <f t="shared" si="146"/>
        <v>0</v>
      </c>
      <c r="J71" s="209">
        <f t="shared" si="147"/>
        <v>0</v>
      </c>
      <c r="K71" s="209">
        <f t="shared" si="148"/>
        <v>0</v>
      </c>
      <c r="L71" s="209">
        <f t="shared" si="149"/>
        <v>0</v>
      </c>
      <c r="M71" s="209">
        <f t="shared" si="150"/>
        <v>0</v>
      </c>
      <c r="N71" s="36" t="str">
        <f t="shared" si="151"/>
        <v>0%</v>
      </c>
      <c r="O71" s="36" t="str">
        <f t="shared" si="152"/>
        <v>0%</v>
      </c>
      <c r="P71" s="627"/>
      <c r="Q71" s="630">
        <f t="shared" si="170"/>
        <v>56</v>
      </c>
      <c r="R71" s="629" t="str">
        <f t="shared" si="171"/>
        <v>53E - Customer Owned</v>
      </c>
      <c r="S71" s="593" t="s">
        <v>574</v>
      </c>
      <c r="T71" s="426" t="s">
        <v>117</v>
      </c>
      <c r="U71" s="177">
        <f t="shared" si="165"/>
        <v>0</v>
      </c>
      <c r="V71" s="330">
        <f t="shared" si="166"/>
        <v>8.84</v>
      </c>
      <c r="W71" s="330">
        <f t="shared" si="167"/>
        <v>14.370000000000001</v>
      </c>
      <c r="X71" s="330">
        <f t="shared" si="168"/>
        <v>8.84</v>
      </c>
      <c r="Y71" s="330">
        <f>'Sch 141A Lighting Tariff'!N127+'Sch 141C Lighting Tariff'!N127+'Sch 141N Lighting Tariff'!N129+'Sch 141R Lighting Tariff'!N129+X71</f>
        <v>15.120000000000001</v>
      </c>
      <c r="Z71" s="209">
        <f t="shared" si="157"/>
        <v>0</v>
      </c>
      <c r="AA71" s="209">
        <f t="shared" si="158"/>
        <v>0</v>
      </c>
      <c r="AB71" s="209">
        <f t="shared" si="159"/>
        <v>0</v>
      </c>
      <c r="AC71" s="209">
        <f t="shared" si="160"/>
        <v>0</v>
      </c>
      <c r="AD71" s="209">
        <f t="shared" si="161"/>
        <v>0</v>
      </c>
      <c r="AE71" s="209">
        <f t="shared" si="162"/>
        <v>0</v>
      </c>
      <c r="AF71" s="36" t="str">
        <f t="shared" si="163"/>
        <v>0%</v>
      </c>
      <c r="AG71" s="36" t="str">
        <f t="shared" si="164"/>
        <v>0%</v>
      </c>
      <c r="AH71" s="627"/>
      <c r="AI71" s="630">
        <f t="shared" si="172"/>
        <v>56</v>
      </c>
      <c r="AJ71" s="629" t="str">
        <f t="shared" si="173"/>
        <v>53E - Customer Owned</v>
      </c>
      <c r="AK71" s="593" t="s">
        <v>574</v>
      </c>
      <c r="AL71" s="426" t="s">
        <v>117</v>
      </c>
      <c r="AM71" s="35"/>
      <c r="AN71" s="330"/>
      <c r="AO71" s="330"/>
      <c r="AP71" s="330"/>
      <c r="AQ71" s="330"/>
      <c r="AR71" s="209"/>
      <c r="AS71" s="209"/>
      <c r="AT71" s="209"/>
      <c r="AU71" s="209"/>
      <c r="AV71" s="209"/>
      <c r="AW71" s="209"/>
      <c r="AX71" s="36"/>
      <c r="AY71" s="36"/>
    </row>
    <row r="72" spans="1:51" x14ac:dyDescent="0.2">
      <c r="A72" s="630">
        <f t="shared" si="174"/>
        <v>60</v>
      </c>
      <c r="B72" s="629"/>
      <c r="C72" s="593"/>
      <c r="D72" s="426" t="s">
        <v>117</v>
      </c>
      <c r="E72" s="272">
        <f>SUM(E62:E71)</f>
        <v>3698</v>
      </c>
      <c r="F72" s="42"/>
      <c r="G72" s="42"/>
      <c r="H72" s="42"/>
      <c r="I72" s="266">
        <f t="shared" ref="I72:M72" si="175">SUM(I62:I71)</f>
        <v>176009.28</v>
      </c>
      <c r="J72" s="266">
        <f t="shared" si="175"/>
        <v>168915.24</v>
      </c>
      <c r="K72" s="266">
        <f t="shared" si="175"/>
        <v>267159.84000000003</v>
      </c>
      <c r="L72" s="266">
        <f t="shared" si="175"/>
        <v>-7094.0400000000109</v>
      </c>
      <c r="M72" s="266">
        <f t="shared" si="175"/>
        <v>91150.560000000012</v>
      </c>
      <c r="N72" s="267">
        <f t="shared" ref="N72" si="176">IF(+L72=0,"0%",L72/I72)</f>
        <v>-4.0304920286021347E-2</v>
      </c>
      <c r="O72" s="267">
        <f t="shared" ref="O72" si="177">IF(+M72=0,"0%",M72/I72)</f>
        <v>0.51787360302820407</v>
      </c>
      <c r="P72" s="627"/>
      <c r="Q72" s="630">
        <f t="shared" si="170"/>
        <v>57</v>
      </c>
      <c r="R72" s="629"/>
      <c r="S72" s="593"/>
      <c r="T72" s="426" t="s">
        <v>117</v>
      </c>
      <c r="U72" s="272">
        <f>SUM(U62:U71)</f>
        <v>3698</v>
      </c>
      <c r="V72" s="42"/>
      <c r="W72" s="42"/>
      <c r="X72" s="42"/>
      <c r="Y72" s="42"/>
      <c r="Z72" s="266">
        <f t="shared" ref="Z72:AE72" si="178">SUM(Z62:Z71)</f>
        <v>168915.24</v>
      </c>
      <c r="AA72" s="266">
        <f t="shared" si="178"/>
        <v>267159.84000000003</v>
      </c>
      <c r="AB72" s="266">
        <f t="shared" si="178"/>
        <v>168915.24</v>
      </c>
      <c r="AC72" s="266">
        <f t="shared" si="178"/>
        <v>280752.59999999998</v>
      </c>
      <c r="AD72" s="266">
        <f t="shared" si="178"/>
        <v>0</v>
      </c>
      <c r="AE72" s="266">
        <f t="shared" si="178"/>
        <v>13592.759999999966</v>
      </c>
      <c r="AF72" s="267" t="str">
        <f t="shared" ref="AF72" si="179">IF(+AD72=0,"0%",AD72/Z72)</f>
        <v>0%</v>
      </c>
      <c r="AG72" s="267">
        <f t="shared" ref="AG72" si="180">IF(+AE72=0,"0%",AE72/AA72)</f>
        <v>5.0878754830815755E-2</v>
      </c>
      <c r="AH72" s="627"/>
      <c r="AI72" s="630">
        <f t="shared" si="172"/>
        <v>57</v>
      </c>
      <c r="AJ72" s="629"/>
      <c r="AK72" s="593"/>
      <c r="AL72" s="426" t="s">
        <v>117</v>
      </c>
      <c r="AM72" s="272"/>
      <c r="AN72" s="42"/>
      <c r="AO72" s="42"/>
      <c r="AP72" s="42"/>
      <c r="AQ72" s="42"/>
      <c r="AR72" s="266"/>
      <c r="AS72" s="266"/>
      <c r="AT72" s="266"/>
      <c r="AU72" s="266"/>
      <c r="AV72" s="266"/>
      <c r="AW72" s="266"/>
      <c r="AX72" s="267"/>
      <c r="AY72" s="267"/>
    </row>
    <row r="73" spans="1:51" x14ac:dyDescent="0.2">
      <c r="A73" s="630">
        <f t="shared" si="174"/>
        <v>61</v>
      </c>
      <c r="B73" s="629"/>
      <c r="C73" s="593"/>
      <c r="D73" s="426"/>
      <c r="E73" s="273"/>
      <c r="F73" s="274"/>
      <c r="G73" s="274"/>
      <c r="H73" s="274"/>
      <c r="I73" s="275"/>
      <c r="J73" s="275"/>
      <c r="K73" s="275"/>
      <c r="L73" s="275"/>
      <c r="M73" s="275"/>
      <c r="N73" s="276"/>
      <c r="O73" s="276"/>
      <c r="P73" s="627"/>
      <c r="Q73" s="630">
        <f t="shared" si="170"/>
        <v>58</v>
      </c>
      <c r="R73" s="629"/>
      <c r="S73" s="593"/>
      <c r="T73" s="426"/>
      <c r="U73" s="273"/>
      <c r="V73" s="274"/>
      <c r="W73" s="274"/>
      <c r="X73" s="274"/>
      <c r="Y73" s="274"/>
      <c r="Z73" s="275"/>
      <c r="AA73" s="275"/>
      <c r="AB73" s="275"/>
      <c r="AC73" s="275"/>
      <c r="AD73" s="275"/>
      <c r="AE73" s="275"/>
      <c r="AF73" s="276"/>
      <c r="AG73" s="276"/>
      <c r="AH73" s="627"/>
      <c r="AI73" s="630">
        <f t="shared" si="172"/>
        <v>58</v>
      </c>
      <c r="AJ73" s="629"/>
      <c r="AK73" s="593"/>
      <c r="AL73" s="426"/>
      <c r="AM73" s="273"/>
      <c r="AN73" s="274"/>
      <c r="AO73" s="274"/>
      <c r="AP73" s="274"/>
      <c r="AQ73" s="274"/>
      <c r="AR73" s="275"/>
      <c r="AS73" s="275"/>
      <c r="AT73" s="275"/>
      <c r="AU73" s="275"/>
      <c r="AV73" s="275"/>
      <c r="AW73" s="275"/>
      <c r="AX73" s="276"/>
      <c r="AY73" s="276"/>
    </row>
    <row r="74" spans="1:51" ht="10.8" thickBot="1" x14ac:dyDescent="0.25">
      <c r="A74" s="630">
        <f t="shared" si="174"/>
        <v>62</v>
      </c>
      <c r="B74" s="177" t="s">
        <v>20</v>
      </c>
      <c r="C74" s="109"/>
      <c r="D74" s="109"/>
      <c r="E74" s="109">
        <f>E22+E29+E41+E52+E60+E72</f>
        <v>75119</v>
      </c>
      <c r="F74" s="534"/>
      <c r="G74" s="534"/>
      <c r="H74" s="534"/>
      <c r="I74" s="147">
        <f>SUM(I22,I29,I41,I52,I60,I72)</f>
        <v>11772795.24</v>
      </c>
      <c r="J74" s="147">
        <f t="shared" ref="J74:M74" si="181">SUM(J22,J29,J41,J52,J60,J72)</f>
        <v>11539920.6</v>
      </c>
      <c r="K74" s="147">
        <f t="shared" si="181"/>
        <v>13335755.880000001</v>
      </c>
      <c r="L74" s="147">
        <f t="shared" si="181"/>
        <v>-232874.63999999923</v>
      </c>
      <c r="M74" s="147">
        <f t="shared" si="181"/>
        <v>1562960.6400000006</v>
      </c>
      <c r="N74" s="270">
        <f>IF(+L74=0,"0%",L74/I74)</f>
        <v>-1.9780743251931326E-2</v>
      </c>
      <c r="O74" s="270">
        <f>IF(+M74=0,"0%",M74/I74)</f>
        <v>0.13276036898098642</v>
      </c>
      <c r="P74" s="627"/>
      <c r="Q74" s="630">
        <f t="shared" si="170"/>
        <v>59</v>
      </c>
      <c r="R74" s="177" t="s">
        <v>20</v>
      </c>
      <c r="S74" s="109"/>
      <c r="T74" s="109"/>
      <c r="U74" s="109">
        <f>U22+U29+U41+U52+U60+U72</f>
        <v>75119</v>
      </c>
      <c r="V74" s="534"/>
      <c r="W74" s="534"/>
      <c r="X74" s="534"/>
      <c r="Y74" s="534"/>
      <c r="Z74" s="147">
        <f t="shared" ref="Z74:AE74" si="182">SUM(Z22,Z29,Z41,Z52,Z60,Z72)</f>
        <v>11539920.6</v>
      </c>
      <c r="AA74" s="147">
        <f t="shared" si="182"/>
        <v>13335755.880000001</v>
      </c>
      <c r="AB74" s="147">
        <f t="shared" si="182"/>
        <v>11539920.6</v>
      </c>
      <c r="AC74" s="147">
        <f t="shared" si="182"/>
        <v>13579796.159999998</v>
      </c>
      <c r="AD74" s="147">
        <f t="shared" si="182"/>
        <v>0</v>
      </c>
      <c r="AE74" s="147">
        <f t="shared" si="182"/>
        <v>244040.2799999998</v>
      </c>
      <c r="AF74" s="38" t="str">
        <f>IF(+AD74=0,"0%",AD74/Z74)</f>
        <v>0%</v>
      </c>
      <c r="AG74" s="270">
        <f>IF(+AE74=0,"0%",AE74/AA74)</f>
        <v>1.8299696109914079E-2</v>
      </c>
      <c r="AH74" s="627"/>
      <c r="AI74" s="630">
        <f t="shared" si="172"/>
        <v>59</v>
      </c>
      <c r="AJ74" s="177" t="s">
        <v>20</v>
      </c>
      <c r="AK74" s="109"/>
      <c r="AL74" s="109"/>
      <c r="AM74" s="109"/>
      <c r="AN74" s="534"/>
      <c r="AO74" s="534"/>
      <c r="AP74" s="534"/>
      <c r="AQ74" s="534"/>
      <c r="AR74" s="147"/>
      <c r="AS74" s="147"/>
      <c r="AT74" s="147"/>
      <c r="AU74" s="147"/>
      <c r="AV74" s="147"/>
      <c r="AW74" s="147"/>
      <c r="AX74" s="38"/>
      <c r="AY74" s="270"/>
    </row>
    <row r="75" spans="1:51" ht="10.8" thickTop="1" x14ac:dyDescent="0.2"/>
    <row r="77" spans="1:51" ht="13.8" x14ac:dyDescent="0.3">
      <c r="B77" s="633"/>
    </row>
  </sheetData>
  <mergeCells count="21">
    <mergeCell ref="A4:O4"/>
    <mergeCell ref="A5:O5"/>
    <mergeCell ref="A3:O3"/>
    <mergeCell ref="A6:O6"/>
    <mergeCell ref="J8:O8"/>
    <mergeCell ref="Q6:AG6"/>
    <mergeCell ref="AB8:AG8"/>
    <mergeCell ref="A1:O1"/>
    <mergeCell ref="A2:O2"/>
    <mergeCell ref="AT8:AY8"/>
    <mergeCell ref="AI1:AY1"/>
    <mergeCell ref="AI2:AY2"/>
    <mergeCell ref="AI3:AY3"/>
    <mergeCell ref="AI4:AY4"/>
    <mergeCell ref="AI5:AY5"/>
    <mergeCell ref="AI6:AY6"/>
    <mergeCell ref="Q1:AG1"/>
    <mergeCell ref="Q2:AG2"/>
    <mergeCell ref="Q3:AG3"/>
    <mergeCell ref="Q4:AG4"/>
    <mergeCell ref="Q5:AG5"/>
  </mergeCells>
  <printOptions horizontalCentered="1"/>
  <pageMargins left="0.25" right="0.25" top="1" bottom="1" header="0.5" footer="0.5"/>
  <pageSetup scale="42" fitToWidth="3" orientation="landscape" r:id="rId1"/>
  <headerFooter alignWithMargins="0">
    <oddFooter>&amp;R&amp;"Times New Roman,Regular"&amp;F
&amp;A
&amp;P of &amp;N</oddFooter>
  </headerFooter>
  <colBreaks count="2" manualBreakCount="2">
    <brk id="16" max="1048575" man="1"/>
    <brk id="34" max="1048575" man="1"/>
  </colBreaks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Y38"/>
  <sheetViews>
    <sheetView zoomScaleNormal="100" zoomScaleSheetLayoutView="85" workbookViewId="0">
      <selection activeCell="K24" sqref="K24"/>
    </sheetView>
  </sheetViews>
  <sheetFormatPr defaultColWidth="9.109375" defaultRowHeight="10.199999999999999" x14ac:dyDescent="0.2"/>
  <cols>
    <col min="1" max="1" width="6.33203125" style="177" customWidth="1"/>
    <col min="2" max="2" width="9.109375" style="177"/>
    <col min="3" max="3" width="11.6640625" style="177" bestFit="1" customWidth="1"/>
    <col min="4" max="4" width="18.109375" style="177" bestFit="1" customWidth="1"/>
    <col min="5" max="5" width="8.6640625" style="177" bestFit="1" customWidth="1"/>
    <col min="6" max="6" width="9.88671875" style="177" customWidth="1"/>
    <col min="7" max="7" width="10" style="177" bestFit="1" customWidth="1"/>
    <col min="8" max="8" width="11.109375" style="177" customWidth="1"/>
    <col min="9" max="9" width="10.44140625" style="177" bestFit="1" customWidth="1"/>
    <col min="10" max="10" width="10.6640625" style="177" bestFit="1" customWidth="1"/>
    <col min="11" max="11" width="10.5546875" style="177" customWidth="1"/>
    <col min="12" max="12" width="8.88671875" style="177" bestFit="1" customWidth="1"/>
    <col min="13" max="13" width="11.88671875" style="177" customWidth="1"/>
    <col min="14" max="15" width="8.88671875" style="177" bestFit="1" customWidth="1"/>
    <col min="16" max="16" width="0.88671875" style="177" customWidth="1"/>
    <col min="17" max="17" width="6.33203125" style="177" customWidth="1"/>
    <col min="18" max="18" width="9.109375" style="177"/>
    <col min="19" max="19" width="9.33203125" style="177" bestFit="1" customWidth="1"/>
    <col min="20" max="20" width="18.109375" style="177" bestFit="1" customWidth="1"/>
    <col min="21" max="21" width="8.6640625" style="177" bestFit="1" customWidth="1"/>
    <col min="22" max="22" width="9.109375" style="177" bestFit="1" customWidth="1"/>
    <col min="23" max="23" width="10.5546875" style="177" customWidth="1"/>
    <col min="24" max="24" width="8.88671875" style="177" bestFit="1" customWidth="1"/>
    <col min="25" max="25" width="10.44140625" style="177" customWidth="1"/>
    <col min="26" max="26" width="10.44140625" style="177" bestFit="1" customWidth="1"/>
    <col min="27" max="27" width="10.5546875" style="177" customWidth="1"/>
    <col min="28" max="28" width="9.33203125" style="177" bestFit="1" customWidth="1"/>
    <col min="29" max="29" width="11.33203125" style="177" customWidth="1"/>
    <col min="30" max="30" width="8" style="177" bestFit="1" customWidth="1"/>
    <col min="31" max="31" width="11.6640625" style="177" customWidth="1"/>
    <col min="32" max="32" width="8.6640625" style="177" bestFit="1" customWidth="1"/>
    <col min="33" max="33" width="8.88671875" style="177" bestFit="1" customWidth="1"/>
    <col min="34" max="34" width="0.88671875" style="177" customWidth="1"/>
    <col min="35" max="35" width="6.88671875" style="177" customWidth="1"/>
    <col min="36" max="36" width="9.109375" style="177"/>
    <col min="37" max="37" width="9.33203125" style="177" bestFit="1" customWidth="1"/>
    <col min="38" max="38" width="18.109375" style="177" bestFit="1" customWidth="1"/>
    <col min="39" max="39" width="8.5546875" style="177" bestFit="1" customWidth="1"/>
    <col min="40" max="40" width="9" style="177" bestFit="1" customWidth="1"/>
    <col min="41" max="41" width="10.6640625" style="177" customWidth="1"/>
    <col min="42" max="42" width="8.6640625" style="177" bestFit="1" customWidth="1"/>
    <col min="43" max="43" width="9.6640625" style="177" customWidth="1"/>
    <col min="44" max="44" width="10.33203125" style="177" bestFit="1" customWidth="1"/>
    <col min="45" max="45" width="11.33203125" style="177" customWidth="1"/>
    <col min="46" max="46" width="9.109375" style="177"/>
    <col min="47" max="47" width="9.88671875" style="177" customWidth="1"/>
    <col min="48" max="48" width="7.88671875" style="177" bestFit="1" customWidth="1"/>
    <col min="49" max="49" width="11.33203125" style="177" customWidth="1"/>
    <col min="50" max="51" width="8.6640625" style="177" bestFit="1" customWidth="1"/>
    <col min="52" max="16384" width="9.109375" style="177"/>
  </cols>
  <sheetData>
    <row r="1" spans="1:51" s="574" customFormat="1" x14ac:dyDescent="0.2">
      <c r="A1" s="736" t="str">
        <f>'Schedule 53E'!A1:O1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177"/>
      <c r="Q1" s="736" t="str">
        <f>A1</f>
        <v>Puget Sound Energy</v>
      </c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177"/>
      <c r="AI1" s="736" t="str">
        <f>Q1</f>
        <v>Puget Sound Energy</v>
      </c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</row>
    <row r="2" spans="1:51" s="574" customFormat="1" x14ac:dyDescent="0.2">
      <c r="A2" s="736" t="str">
        <f>'Schedule 53E'!A2:O2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177"/>
      <c r="Q2" s="736" t="str">
        <f>A2</f>
        <v>ProForma Proposed Revenue</v>
      </c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177"/>
      <c r="AI2" s="736" t="str">
        <f>Q2</f>
        <v>ProForma Proposed Revenue</v>
      </c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</row>
    <row r="3" spans="1:51" s="574" customFormat="1" x14ac:dyDescent="0.2">
      <c r="A3" s="736" t="str">
        <f>'Schedule 53E'!A3:O3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177"/>
      <c r="Q3" s="736" t="str">
        <f>A3</f>
        <v>2022 General Rate Case (GRC)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177"/>
      <c r="AI3" s="736" t="str">
        <f>Q3</f>
        <v>2022 General Rate Case (GRC)</v>
      </c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</row>
    <row r="4" spans="1:51" s="574" customFormat="1" x14ac:dyDescent="0.2">
      <c r="A4" s="736" t="str">
        <f>'Schedule 53E'!A4:O4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177"/>
      <c r="Q4" s="736" t="str">
        <f>A4</f>
        <v>Test Year Ending June 30, 2021</v>
      </c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177"/>
      <c r="AI4" s="736" t="str">
        <f>Q4</f>
        <v>Test Year Ending June 30, 2021</v>
      </c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</row>
    <row r="5" spans="1:51" s="574" customFormat="1" x14ac:dyDescent="0.2">
      <c r="A5" s="736" t="s">
        <v>478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177"/>
      <c r="Q5" s="736" t="str">
        <f>A5</f>
        <v>Schedule 54 - Street Lighting Service - Energy Only</v>
      </c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177"/>
      <c r="AI5" s="736" t="str">
        <f>Q5</f>
        <v>Schedule 54 - Street Lighting Service - Energy Only</v>
      </c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</row>
    <row r="6" spans="1:51" s="574" customFormat="1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177"/>
      <c r="Q6" s="736" t="s">
        <v>882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177"/>
      <c r="AI6" s="736" t="s">
        <v>881</v>
      </c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</row>
    <row r="7" spans="1:51" s="574" customFormat="1" x14ac:dyDescent="0.2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177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177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</row>
    <row r="8" spans="1:51" ht="14.4" x14ac:dyDescent="0.3">
      <c r="J8" s="765" t="s">
        <v>653</v>
      </c>
      <c r="K8" s="782"/>
      <c r="L8" s="782"/>
      <c r="M8" s="782"/>
      <c r="N8" s="782"/>
      <c r="O8" s="783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765" t="s">
        <v>653</v>
      </c>
      <c r="AC8" s="782"/>
      <c r="AD8" s="782"/>
      <c r="AE8" s="782"/>
      <c r="AF8" s="782"/>
      <c r="AG8" s="783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765" t="s">
        <v>653</v>
      </c>
      <c r="AU8" s="782"/>
      <c r="AV8" s="782"/>
      <c r="AW8" s="782"/>
      <c r="AX8" s="782"/>
      <c r="AY8" s="783"/>
    </row>
    <row r="9" spans="1:51" s="627" customFormat="1" ht="81.599999999999994" x14ac:dyDescent="0.2">
      <c r="A9" s="632" t="str">
        <f>'Schedule 50E'!A9</f>
        <v>Line No.</v>
      </c>
      <c r="B9" s="632" t="str">
        <f>'Schedule 50E'!B9</f>
        <v>Schedule</v>
      </c>
      <c r="C9" s="632" t="str">
        <f>'Schedule 50E'!C9</f>
        <v>Lamp Size (Watts)</v>
      </c>
      <c r="D9" s="632" t="str">
        <f>'Schedule 50E'!D9</f>
        <v>Lamp Type</v>
      </c>
      <c r="E9" s="632" t="str">
        <f>'Schedule 50E'!E9</f>
        <v>Monthly Test Year Inventory</v>
      </c>
      <c r="F9" s="632" t="str">
        <f>'Schedule 50E'!F9</f>
        <v>Base Rates
Effective
10-1-2021</v>
      </c>
      <c r="G9" s="632" t="str">
        <f>'Schedule 50E'!G9</f>
        <v>Proposed Lamp Charge (Base)</v>
      </c>
      <c r="H9" s="632" t="str">
        <f>'Schedule 50E'!H9</f>
        <v>TOTAL Proposed Charge (Base + 141COL + 141N + 141R + 141A)</v>
      </c>
      <c r="I9" s="632" t="str">
        <f>'Schedule 50E'!I9</f>
        <v>Current Annual Rate Revenue (Base)</v>
      </c>
      <c r="J9" s="632" t="str">
        <f>'Schedule 50E'!J9</f>
        <v>Annual Revenue (Base)</v>
      </c>
      <c r="K9" s="632" t="str">
        <f>'Schedule 50E'!K9</f>
        <v>TOTAL Annual Revenue (Base + 141COL + 141N + 141R + 141A)</v>
      </c>
      <c r="L9" s="632" t="str">
        <f>'Schedule 50E'!L9</f>
        <v>Revenue Change (Base)</v>
      </c>
      <c r="M9" s="632" t="str">
        <f>'Schedule 50E'!M9</f>
        <v>TOTAL Revenue Change (Base + 141COL + 141N + 141R + 141A)</v>
      </c>
      <c r="N9" s="632" t="str">
        <f>'Schedule 50E'!N9</f>
        <v>Base Change %</v>
      </c>
      <c r="O9" s="632" t="str">
        <f>'Schedule 50E'!O9</f>
        <v>TOTAL Overall Change %</v>
      </c>
      <c r="P9" s="626"/>
      <c r="Q9" s="632" t="s">
        <v>1</v>
      </c>
      <c r="R9" s="632" t="s">
        <v>53</v>
      </c>
      <c r="S9" s="631" t="s">
        <v>66</v>
      </c>
      <c r="T9" s="632" t="s">
        <v>67</v>
      </c>
      <c r="U9" s="632" t="str">
        <f>'Schedule 50E'!U9</f>
        <v>Monthly Test Year Inventory</v>
      </c>
      <c r="V9" s="632" t="str">
        <f>'Schedule 50E'!V9</f>
        <v>Rates Effective 1-1-2023 (Base)</v>
      </c>
      <c r="W9" s="632" t="str">
        <f>'Schedule 50E'!W9</f>
        <v>TOTAL Rates Effective 1-1-2023 (Base + 141COL + 141N + 141R + 141A)</v>
      </c>
      <c r="X9" s="632" t="str">
        <f>'Schedule 50E'!X9</f>
        <v>Proposed Lamp Charge (Base)</v>
      </c>
      <c r="Y9" s="632" t="str">
        <f>'Schedule 50E'!Y9</f>
        <v>TOTAL Proposed Charge (Base + 141COL + 141N + 141R + 141A)</v>
      </c>
      <c r="Z9" s="632" t="str">
        <f>'Schedule 50E'!Z9</f>
        <v>Current Annual Rate Revenue (Base)</v>
      </c>
      <c r="AA9" s="632" t="str">
        <f>'Schedule 50E'!AA9</f>
        <v>TOTAL Current Annual Rate Revenue (Base + 141COL + 141N + 141R + 141A)</v>
      </c>
      <c r="AB9" s="632" t="str">
        <f>'Schedule 50E'!AB9</f>
        <v>Annual Revenue (Base)</v>
      </c>
      <c r="AC9" s="632" t="str">
        <f>'Schedule 50E'!AC9</f>
        <v>TOTAL Annual Revenue (Base + 141COL + 141N + 141R + 141A)</v>
      </c>
      <c r="AD9" s="632" t="str">
        <f>'Schedule 50E'!AD9</f>
        <v>Revenue Change (Base)</v>
      </c>
      <c r="AE9" s="632" t="str">
        <f>'Schedule 50E'!AE9</f>
        <v>TOTAL Revenue Change  (Base + 141COL + 141N + 141R + 141A)</v>
      </c>
      <c r="AF9" s="632" t="str">
        <f>'Schedule 50E'!AF9</f>
        <v>Base Change %</v>
      </c>
      <c r="AG9" s="632" t="str">
        <f>'Schedule 50E'!AG9</f>
        <v>TOTAL Overall Change %</v>
      </c>
      <c r="AH9" s="626"/>
      <c r="AI9" s="632" t="s">
        <v>1</v>
      </c>
      <c r="AJ9" s="632" t="s">
        <v>53</v>
      </c>
      <c r="AK9" s="631" t="s">
        <v>66</v>
      </c>
      <c r="AL9" s="632" t="s">
        <v>67</v>
      </c>
      <c r="AM9" s="632" t="str">
        <f>'Schedule 50E'!AM9</f>
        <v>Monthly Test Year Inventory</v>
      </c>
      <c r="AN9" s="632" t="str">
        <f>'Schedule 50E'!AN9</f>
        <v>Rates Effective 1-1-2024 (Base)</v>
      </c>
      <c r="AO9" s="632" t="str">
        <f>'Schedule 50E'!AO9</f>
        <v>TOTAL Rates Effective 1-1-2024 (Base + 141COL + 141N + 141R + 141A)</v>
      </c>
      <c r="AP9" s="632" t="str">
        <f>'Schedule 50E'!AP9</f>
        <v>Proposed Lamp Charge (Base)</v>
      </c>
      <c r="AQ9" s="632" t="str">
        <f>'Schedule 50E'!AQ9</f>
        <v>TOTAL Proposed Charge (Base + 141COL + 141N + 141R + 141A)</v>
      </c>
      <c r="AR9" s="632" t="str">
        <f>'Schedule 50E'!AR9</f>
        <v>Current Annual Rate Revenue (Base)</v>
      </c>
      <c r="AS9" s="632" t="str">
        <f>'Schedule 50E'!AS9</f>
        <v>TOTAL Current Annual Rate Revenue (Base + 141COL + 141N + 141R + 141A)</v>
      </c>
      <c r="AT9" s="632" t="str">
        <f>'Schedule 50E'!AT9</f>
        <v>Annual Revenue (Base)</v>
      </c>
      <c r="AU9" s="632" t="str">
        <f>'Schedule 50E'!AU9</f>
        <v>TOTAL Annual Revenue (Base + 141COL + 141N + 141R + 141A)</v>
      </c>
      <c r="AV9" s="632" t="str">
        <f>'Schedule 50E'!AV9</f>
        <v>Revenue Change (Base)</v>
      </c>
      <c r="AW9" s="632" t="str">
        <f>'Schedule 50E'!AW9</f>
        <v>TOTAL Revenue Change (Base + 141COL + 141N + 141R + 141A)</v>
      </c>
      <c r="AX9" s="632" t="str">
        <f>'Schedule 50E'!AX9</f>
        <v>Base Change %</v>
      </c>
      <c r="AY9" s="632" t="str">
        <f>'Schedule 50E'!AY9</f>
        <v>TOTAL Overall Change %</v>
      </c>
    </row>
    <row r="10" spans="1:51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169" t="s">
        <v>13</v>
      </c>
      <c r="P10" s="626"/>
      <c r="Q10" s="98"/>
      <c r="R10" s="98" t="s">
        <v>3</v>
      </c>
      <c r="S10" s="169" t="s">
        <v>4</v>
      </c>
      <c r="T10" s="169" t="s">
        <v>5</v>
      </c>
      <c r="U10" s="169" t="s">
        <v>6</v>
      </c>
      <c r="V10" s="169" t="s">
        <v>390</v>
      </c>
      <c r="W10" s="169" t="s">
        <v>21</v>
      </c>
      <c r="X10" s="169" t="s">
        <v>8</v>
      </c>
      <c r="Y10" s="169" t="s">
        <v>9</v>
      </c>
      <c r="Z10" s="169" t="s">
        <v>22</v>
      </c>
      <c r="AA10" s="169" t="s">
        <v>23</v>
      </c>
      <c r="AB10" s="169" t="s">
        <v>10</v>
      </c>
      <c r="AC10" s="169" t="s">
        <v>11</v>
      </c>
      <c r="AD10" s="169" t="s">
        <v>12</v>
      </c>
      <c r="AE10" s="169" t="s">
        <v>13</v>
      </c>
      <c r="AF10" s="169" t="s">
        <v>14</v>
      </c>
      <c r="AG10" s="169" t="s">
        <v>877</v>
      </c>
      <c r="AH10" s="626"/>
      <c r="AI10" s="98"/>
      <c r="AJ10" s="98" t="s">
        <v>3</v>
      </c>
      <c r="AK10" s="169" t="s">
        <v>4</v>
      </c>
      <c r="AL10" s="169" t="s">
        <v>5</v>
      </c>
      <c r="AM10" s="169" t="s">
        <v>6</v>
      </c>
      <c r="AN10" s="169" t="s">
        <v>390</v>
      </c>
      <c r="AO10" s="169" t="s">
        <v>21</v>
      </c>
      <c r="AP10" s="169" t="s">
        <v>8</v>
      </c>
      <c r="AQ10" s="169" t="s">
        <v>9</v>
      </c>
      <c r="AR10" s="169" t="s">
        <v>22</v>
      </c>
      <c r="AS10" s="169" t="s">
        <v>23</v>
      </c>
      <c r="AT10" s="169" t="s">
        <v>10</v>
      </c>
      <c r="AU10" s="169" t="s">
        <v>11</v>
      </c>
      <c r="AV10" s="169" t="s">
        <v>12</v>
      </c>
      <c r="AW10" s="169" t="s">
        <v>13</v>
      </c>
      <c r="AX10" s="169" t="s">
        <v>14</v>
      </c>
      <c r="AY10" s="169" t="s">
        <v>877</v>
      </c>
    </row>
    <row r="11" spans="1:51" s="627" customFormat="1" ht="20.399999999999999" x14ac:dyDescent="0.2">
      <c r="A11" s="98" t="s">
        <v>396</v>
      </c>
      <c r="B11" s="98"/>
      <c r="C11" s="169"/>
      <c r="D11" s="169"/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416</v>
      </c>
      <c r="J11" s="169" t="s">
        <v>483</v>
      </c>
      <c r="K11" s="169" t="s">
        <v>484</v>
      </c>
      <c r="L11" s="169" t="s">
        <v>492</v>
      </c>
      <c r="M11" s="169" t="s">
        <v>398</v>
      </c>
      <c r="N11" s="169" t="s">
        <v>399</v>
      </c>
      <c r="O11" s="169" t="s">
        <v>876</v>
      </c>
      <c r="P11" s="626"/>
      <c r="Q11" s="98" t="s">
        <v>396</v>
      </c>
      <c r="R11" s="98"/>
      <c r="S11" s="169"/>
      <c r="T11" s="169"/>
      <c r="U11" s="169" t="s">
        <v>397</v>
      </c>
      <c r="V11" s="169" t="s">
        <v>397</v>
      </c>
      <c r="W11" s="169" t="s">
        <v>397</v>
      </c>
      <c r="X11" s="169" t="s">
        <v>397</v>
      </c>
      <c r="Y11" s="169" t="s">
        <v>397</v>
      </c>
      <c r="Z11" s="169" t="s">
        <v>416</v>
      </c>
      <c r="AA11" s="169" t="s">
        <v>483</v>
      </c>
      <c r="AB11" s="169" t="s">
        <v>484</v>
      </c>
      <c r="AC11" s="169" t="s">
        <v>875</v>
      </c>
      <c r="AD11" s="169" t="s">
        <v>493</v>
      </c>
      <c r="AE11" s="169" t="s">
        <v>874</v>
      </c>
      <c r="AF11" s="169" t="s">
        <v>873</v>
      </c>
      <c r="AG11" s="169" t="s">
        <v>872</v>
      </c>
      <c r="AH11" s="626"/>
      <c r="AI11" s="98" t="s">
        <v>396</v>
      </c>
      <c r="AJ11" s="98"/>
      <c r="AK11" s="169"/>
      <c r="AL11" s="169"/>
      <c r="AM11" s="169" t="s">
        <v>397</v>
      </c>
      <c r="AN11" s="169" t="s">
        <v>397</v>
      </c>
      <c r="AO11" s="169" t="s">
        <v>397</v>
      </c>
      <c r="AP11" s="169" t="s">
        <v>397</v>
      </c>
      <c r="AQ11" s="169" t="s">
        <v>397</v>
      </c>
      <c r="AR11" s="169" t="s">
        <v>416</v>
      </c>
      <c r="AS11" s="169" t="s">
        <v>483</v>
      </c>
      <c r="AT11" s="169" t="s">
        <v>484</v>
      </c>
      <c r="AU11" s="169" t="s">
        <v>875</v>
      </c>
      <c r="AV11" s="169" t="s">
        <v>493</v>
      </c>
      <c r="AW11" s="169" t="s">
        <v>874</v>
      </c>
      <c r="AX11" s="169" t="s">
        <v>873</v>
      </c>
      <c r="AY11" s="169" t="s">
        <v>872</v>
      </c>
    </row>
    <row r="12" spans="1:51" s="627" customFormat="1" x14ac:dyDescent="0.2">
      <c r="A12" s="98"/>
      <c r="B12" s="9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P12" s="626"/>
      <c r="Q12" s="98"/>
      <c r="R12" s="98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H12" s="626"/>
      <c r="AI12" s="98"/>
      <c r="AJ12" s="98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</row>
    <row r="13" spans="1:51" x14ac:dyDescent="0.2">
      <c r="A13" s="630">
        <v>1</v>
      </c>
      <c r="B13" s="202" t="s">
        <v>60</v>
      </c>
      <c r="C13" s="426">
        <v>50</v>
      </c>
      <c r="D13" s="426" t="s">
        <v>69</v>
      </c>
      <c r="E13" s="426">
        <f>'WP1 Light Inventory'!J125</f>
        <v>38</v>
      </c>
      <c r="F13" s="330">
        <f>'WP2 Current Light Rates'!E110</f>
        <v>1.59</v>
      </c>
      <c r="G13" s="330">
        <f>'BDJ-6 Combined Charges'!K132</f>
        <v>1.46</v>
      </c>
      <c r="H13" s="330">
        <f>'Sch 141A Lighting Tariff'!J130+'Sch 141C Lighting Tariff'!J130+'Sch 141N Lighting Tariff'!J132+'Sch 141R Lighting Tariff'!J132+G13</f>
        <v>2.4300000000000002</v>
      </c>
      <c r="I13" s="209">
        <f t="shared" ref="I13" si="0">(+F13*$E13*12)</f>
        <v>725.04</v>
      </c>
      <c r="J13" s="209">
        <f t="shared" ref="J13" si="1">(+G13*$E13*12)</f>
        <v>665.76</v>
      </c>
      <c r="K13" s="209">
        <f t="shared" ref="K13" si="2">(H13)*E13*12</f>
        <v>1108.08</v>
      </c>
      <c r="L13" s="209">
        <f t="shared" ref="L13" si="3">+J13-I13</f>
        <v>-59.279999999999973</v>
      </c>
      <c r="M13" s="209">
        <f t="shared" ref="M13" si="4">+K13-I13</f>
        <v>383.03999999999996</v>
      </c>
      <c r="N13" s="36">
        <f t="shared" ref="N13:N22" si="5">IF(+L13=0,"0%",L13/I13)</f>
        <v>-8.1761006289308144E-2</v>
      </c>
      <c r="O13" s="36">
        <f t="shared" ref="O13:O22" si="6">IF(+M13=0,"0%",M13/I13)</f>
        <v>0.52830188679245282</v>
      </c>
      <c r="P13" s="627"/>
      <c r="Q13" s="630">
        <v>1</v>
      </c>
      <c r="R13" s="202" t="s">
        <v>60</v>
      </c>
      <c r="S13" s="426">
        <v>50</v>
      </c>
      <c r="T13" s="426" t="s">
        <v>69</v>
      </c>
      <c r="U13" s="35">
        <f t="shared" ref="U13:U21" si="7">E13</f>
        <v>38</v>
      </c>
      <c r="V13" s="330">
        <f t="shared" ref="V13:V21" si="8">G13</f>
        <v>1.46</v>
      </c>
      <c r="W13" s="330">
        <f t="shared" ref="W13:W21" si="9">H13</f>
        <v>2.4300000000000002</v>
      </c>
      <c r="X13" s="330">
        <f t="shared" ref="X13:X21" si="10">V13</f>
        <v>1.46</v>
      </c>
      <c r="Y13" s="330">
        <f>'Sch 141A Lighting Tariff'!N130+'Sch 141C Lighting Tariff'!N130+'Sch 141N Lighting Tariff'!N132+'Sch 141R Lighting Tariff'!N132+X13</f>
        <v>2.56</v>
      </c>
      <c r="Z13" s="209">
        <f t="shared" ref="Z13" si="11">(+V13*$U13*12)</f>
        <v>665.76</v>
      </c>
      <c r="AA13" s="209">
        <f t="shared" ref="AA13" si="12">(+W13*$U13*12)</f>
        <v>1108.08</v>
      </c>
      <c r="AB13" s="209">
        <f t="shared" ref="AB13" si="13">(+X13*$U13*12)</f>
        <v>665.76</v>
      </c>
      <c r="AC13" s="209">
        <f t="shared" ref="AC13" si="14">(+Y13*$U13*12)</f>
        <v>1167.3600000000001</v>
      </c>
      <c r="AD13" s="209">
        <f t="shared" ref="AD13" si="15">+AB13-Z13</f>
        <v>0</v>
      </c>
      <c r="AE13" s="209">
        <f t="shared" ref="AE13" si="16">+AC13-AA13</f>
        <v>59.2800000000002</v>
      </c>
      <c r="AF13" s="36" t="str">
        <f t="shared" ref="AF13:AF22" si="17">IF(+AD13=0,"0%",AD13/Z13)</f>
        <v>0%</v>
      </c>
      <c r="AG13" s="36">
        <f t="shared" ref="AG13:AG22" si="18">IF(+AE13=0,"0%",AE13/AA13)</f>
        <v>5.3497942386831462E-2</v>
      </c>
      <c r="AH13" s="627"/>
      <c r="AI13" s="630">
        <v>1</v>
      </c>
      <c r="AJ13" s="202" t="s">
        <v>60</v>
      </c>
      <c r="AK13" s="426">
        <v>50</v>
      </c>
      <c r="AL13" s="426" t="s">
        <v>69</v>
      </c>
      <c r="AM13" s="35"/>
      <c r="AN13" s="330"/>
      <c r="AO13" s="330"/>
      <c r="AP13" s="330"/>
      <c r="AQ13" s="330"/>
      <c r="AR13" s="209"/>
      <c r="AS13" s="209"/>
      <c r="AT13" s="209"/>
      <c r="AU13" s="209"/>
      <c r="AV13" s="209"/>
      <c r="AW13" s="209"/>
      <c r="AX13" s="36"/>
      <c r="AY13" s="36"/>
    </row>
    <row r="14" spans="1:51" x14ac:dyDescent="0.2">
      <c r="A14" s="630">
        <f t="shared" ref="A14:A36" si="19">A13+1</f>
        <v>2</v>
      </c>
      <c r="B14" s="629" t="str">
        <f t="shared" ref="B14:B21" si="20">+B13</f>
        <v>54E</v>
      </c>
      <c r="C14" s="426">
        <v>70</v>
      </c>
      <c r="D14" s="426" t="s">
        <v>69</v>
      </c>
      <c r="E14" s="426">
        <f>'WP1 Light Inventory'!J126</f>
        <v>676</v>
      </c>
      <c r="F14" s="330">
        <f>'WP2 Current Light Rates'!E111</f>
        <v>2.23</v>
      </c>
      <c r="G14" s="330">
        <f>'BDJ-6 Combined Charges'!K133</f>
        <v>2.0700000000000003</v>
      </c>
      <c r="H14" s="330">
        <f>'Sch 141A Lighting Tariff'!J131+'Sch 141C Lighting Tariff'!J131+'Sch 141N Lighting Tariff'!J133+'Sch 141R Lighting Tariff'!J133+G14</f>
        <v>3.4200000000000004</v>
      </c>
      <c r="I14" s="209">
        <f t="shared" ref="I14:I21" si="21">(+F14*$E14*12)</f>
        <v>18089.760000000002</v>
      </c>
      <c r="J14" s="209">
        <f t="shared" ref="J14:J21" si="22">(+G14*$E14*12)</f>
        <v>16791.840000000004</v>
      </c>
      <c r="K14" s="209">
        <f t="shared" ref="K14:K21" si="23">(H14)*E14*12</f>
        <v>27743.040000000001</v>
      </c>
      <c r="L14" s="209">
        <f t="shared" ref="L14:L21" si="24">+J14-I14</f>
        <v>-1297.9199999999983</v>
      </c>
      <c r="M14" s="209">
        <f t="shared" ref="M14:M21" si="25">+K14-I14</f>
        <v>9653.2799999999988</v>
      </c>
      <c r="N14" s="36">
        <f t="shared" ref="N14:N21" si="26">IF(+L14=0,"0%",L14/I14)</f>
        <v>-7.1748878923766718E-2</v>
      </c>
      <c r="O14" s="36">
        <f t="shared" ref="O14:O21" si="27">IF(+M14=0,"0%",M14/I14)</f>
        <v>0.53363228699551557</v>
      </c>
      <c r="P14" s="627"/>
      <c r="Q14" s="630">
        <f t="shared" ref="Q14:Q36" si="28">Q13+1</f>
        <v>2</v>
      </c>
      <c r="R14" s="629" t="str">
        <f t="shared" ref="R14:R21" si="29">+R13</f>
        <v>54E</v>
      </c>
      <c r="S14" s="426">
        <v>70</v>
      </c>
      <c r="T14" s="426" t="s">
        <v>69</v>
      </c>
      <c r="U14" s="35">
        <f t="shared" si="7"/>
        <v>676</v>
      </c>
      <c r="V14" s="330">
        <f t="shared" si="8"/>
        <v>2.0700000000000003</v>
      </c>
      <c r="W14" s="330">
        <f t="shared" si="9"/>
        <v>3.4200000000000004</v>
      </c>
      <c r="X14" s="330">
        <f t="shared" si="10"/>
        <v>2.0700000000000003</v>
      </c>
      <c r="Y14" s="330">
        <f>'Sch 141A Lighting Tariff'!N131+'Sch 141C Lighting Tariff'!N131+'Sch 141N Lighting Tariff'!N133+'Sch 141R Lighting Tariff'!N133+X14</f>
        <v>3.62</v>
      </c>
      <c r="Z14" s="209">
        <f t="shared" ref="Z14:Z21" si="30">(+V14*$U14*12)</f>
        <v>16791.840000000004</v>
      </c>
      <c r="AA14" s="209">
        <f t="shared" ref="AA14:AA21" si="31">(+W14*$U14*12)</f>
        <v>27743.040000000001</v>
      </c>
      <c r="AB14" s="209">
        <f t="shared" ref="AB14:AB21" si="32">(+X14*$U14*12)</f>
        <v>16791.840000000004</v>
      </c>
      <c r="AC14" s="209">
        <f t="shared" ref="AC14:AC21" si="33">(+Y14*$U14*12)</f>
        <v>29365.439999999999</v>
      </c>
      <c r="AD14" s="209">
        <f t="shared" ref="AD14:AD21" si="34">+AB14-Z14</f>
        <v>0</v>
      </c>
      <c r="AE14" s="209">
        <f t="shared" ref="AE14:AE21" si="35">+AC14-AA14</f>
        <v>1622.3999999999978</v>
      </c>
      <c r="AF14" s="36" t="str">
        <f t="shared" ref="AF14:AF21" si="36">IF(+AD14=0,"0%",AD14/Z14)</f>
        <v>0%</v>
      </c>
      <c r="AG14" s="36">
        <f t="shared" ref="AG14:AG21" si="37">IF(+AE14=0,"0%",AE14/AA14)</f>
        <v>5.847953216374261E-2</v>
      </c>
      <c r="AH14" s="627"/>
      <c r="AI14" s="630">
        <f t="shared" ref="AI14:AI36" si="38">AI13+1</f>
        <v>2</v>
      </c>
      <c r="AJ14" s="629" t="str">
        <f t="shared" ref="AJ14:AJ21" si="39">+AJ13</f>
        <v>54E</v>
      </c>
      <c r="AK14" s="426">
        <v>70</v>
      </c>
      <c r="AL14" s="426" t="s">
        <v>69</v>
      </c>
      <c r="AM14" s="35"/>
      <c r="AN14" s="330"/>
      <c r="AO14" s="330"/>
      <c r="AP14" s="330"/>
      <c r="AQ14" s="330"/>
      <c r="AR14" s="209"/>
      <c r="AS14" s="209"/>
      <c r="AT14" s="209"/>
      <c r="AU14" s="209"/>
      <c r="AV14" s="209"/>
      <c r="AW14" s="209"/>
      <c r="AX14" s="36"/>
      <c r="AY14" s="36"/>
    </row>
    <row r="15" spans="1:51" x14ac:dyDescent="0.2">
      <c r="A15" s="630">
        <f t="shared" si="19"/>
        <v>3</v>
      </c>
      <c r="B15" s="629" t="str">
        <f t="shared" si="20"/>
        <v>54E</v>
      </c>
      <c r="C15" s="426">
        <v>100</v>
      </c>
      <c r="D15" s="426" t="s">
        <v>69</v>
      </c>
      <c r="E15" s="426">
        <f>'WP1 Light Inventory'!J127</f>
        <v>1524</v>
      </c>
      <c r="F15" s="330">
        <f>'WP2 Current Light Rates'!E112</f>
        <v>3.19</v>
      </c>
      <c r="G15" s="330">
        <f>'BDJ-6 Combined Charges'!K134</f>
        <v>2.95</v>
      </c>
      <c r="H15" s="330">
        <f>'Sch 141A Lighting Tariff'!J132+'Sch 141C Lighting Tariff'!J132+'Sch 141N Lighting Tariff'!J134+'Sch 141R Lighting Tariff'!J134+G15</f>
        <v>4.8900000000000006</v>
      </c>
      <c r="I15" s="209">
        <f t="shared" si="21"/>
        <v>58338.719999999994</v>
      </c>
      <c r="J15" s="209">
        <f t="shared" si="22"/>
        <v>53949.600000000006</v>
      </c>
      <c r="K15" s="209">
        <f t="shared" si="23"/>
        <v>89428.32</v>
      </c>
      <c r="L15" s="209">
        <f t="shared" si="24"/>
        <v>-4389.1199999999881</v>
      </c>
      <c r="M15" s="209">
        <f t="shared" si="25"/>
        <v>31089.600000000013</v>
      </c>
      <c r="N15" s="36">
        <f t="shared" si="26"/>
        <v>-7.5235109717868148E-2</v>
      </c>
      <c r="O15" s="36">
        <f t="shared" si="27"/>
        <v>0.53291536050156763</v>
      </c>
      <c r="P15" s="627"/>
      <c r="Q15" s="630">
        <f t="shared" si="28"/>
        <v>3</v>
      </c>
      <c r="R15" s="629" t="str">
        <f t="shared" si="29"/>
        <v>54E</v>
      </c>
      <c r="S15" s="426">
        <v>100</v>
      </c>
      <c r="T15" s="426" t="s">
        <v>69</v>
      </c>
      <c r="U15" s="35">
        <f t="shared" si="7"/>
        <v>1524</v>
      </c>
      <c r="V15" s="330">
        <f t="shared" si="8"/>
        <v>2.95</v>
      </c>
      <c r="W15" s="330">
        <f t="shared" si="9"/>
        <v>4.8900000000000006</v>
      </c>
      <c r="X15" s="330">
        <f t="shared" si="10"/>
        <v>2.95</v>
      </c>
      <c r="Y15" s="330">
        <f>'Sch 141A Lighting Tariff'!N132+'Sch 141C Lighting Tariff'!N132+'Sch 141N Lighting Tariff'!N134+'Sch 141R Lighting Tariff'!N134+X15</f>
        <v>5.15</v>
      </c>
      <c r="Z15" s="209">
        <f t="shared" si="30"/>
        <v>53949.600000000006</v>
      </c>
      <c r="AA15" s="209">
        <f t="shared" si="31"/>
        <v>89428.32</v>
      </c>
      <c r="AB15" s="209">
        <f t="shared" si="32"/>
        <v>53949.600000000006</v>
      </c>
      <c r="AC15" s="209">
        <f t="shared" si="33"/>
        <v>94183.200000000012</v>
      </c>
      <c r="AD15" s="209">
        <f t="shared" si="34"/>
        <v>0</v>
      </c>
      <c r="AE15" s="209">
        <f t="shared" si="35"/>
        <v>4754.8800000000047</v>
      </c>
      <c r="AF15" s="36" t="str">
        <f t="shared" si="36"/>
        <v>0%</v>
      </c>
      <c r="AG15" s="36">
        <f t="shared" si="37"/>
        <v>5.3169734151329293E-2</v>
      </c>
      <c r="AH15" s="627"/>
      <c r="AI15" s="630">
        <f t="shared" si="38"/>
        <v>3</v>
      </c>
      <c r="AJ15" s="629" t="str">
        <f t="shared" si="39"/>
        <v>54E</v>
      </c>
      <c r="AK15" s="426">
        <v>100</v>
      </c>
      <c r="AL15" s="426" t="s">
        <v>69</v>
      </c>
      <c r="AM15" s="35"/>
      <c r="AN15" s="330"/>
      <c r="AO15" s="330"/>
      <c r="AP15" s="330"/>
      <c r="AQ15" s="330"/>
      <c r="AR15" s="209"/>
      <c r="AS15" s="209"/>
      <c r="AT15" s="209"/>
      <c r="AU15" s="209"/>
      <c r="AV15" s="209"/>
      <c r="AW15" s="209"/>
      <c r="AX15" s="36"/>
      <c r="AY15" s="36"/>
    </row>
    <row r="16" spans="1:51" x14ac:dyDescent="0.2">
      <c r="A16" s="630">
        <f t="shared" si="19"/>
        <v>4</v>
      </c>
      <c r="B16" s="629" t="str">
        <f t="shared" si="20"/>
        <v>54E</v>
      </c>
      <c r="C16" s="426">
        <v>150</v>
      </c>
      <c r="D16" s="426" t="s">
        <v>69</v>
      </c>
      <c r="E16" s="426">
        <f>'WP1 Light Inventory'!J128</f>
        <v>456</v>
      </c>
      <c r="F16" s="330">
        <f>'WP2 Current Light Rates'!E113</f>
        <v>4.78</v>
      </c>
      <c r="G16" s="330">
        <f>'BDJ-6 Combined Charges'!K135</f>
        <v>4.41</v>
      </c>
      <c r="H16" s="330">
        <f>'Sch 141A Lighting Tariff'!J133+'Sch 141C Lighting Tariff'!J133+'Sch 141N Lighting Tariff'!J135+'Sch 141R Lighting Tariff'!J135+G16</f>
        <v>7.32</v>
      </c>
      <c r="I16" s="209">
        <f t="shared" si="21"/>
        <v>26156.160000000003</v>
      </c>
      <c r="J16" s="209">
        <f t="shared" si="22"/>
        <v>24131.52</v>
      </c>
      <c r="K16" s="209">
        <f t="shared" si="23"/>
        <v>40055.040000000001</v>
      </c>
      <c r="L16" s="209">
        <f t="shared" si="24"/>
        <v>-2024.6400000000031</v>
      </c>
      <c r="M16" s="209">
        <f t="shared" si="25"/>
        <v>13898.879999999997</v>
      </c>
      <c r="N16" s="36">
        <f t="shared" si="26"/>
        <v>-7.7405857740585879E-2</v>
      </c>
      <c r="O16" s="36">
        <f t="shared" si="27"/>
        <v>0.53138075313807509</v>
      </c>
      <c r="P16" s="627"/>
      <c r="Q16" s="630">
        <f t="shared" si="28"/>
        <v>4</v>
      </c>
      <c r="R16" s="629" t="str">
        <f t="shared" si="29"/>
        <v>54E</v>
      </c>
      <c r="S16" s="426">
        <v>150</v>
      </c>
      <c r="T16" s="426" t="s">
        <v>69</v>
      </c>
      <c r="U16" s="35">
        <f t="shared" si="7"/>
        <v>456</v>
      </c>
      <c r="V16" s="330">
        <f t="shared" si="8"/>
        <v>4.41</v>
      </c>
      <c r="W16" s="330">
        <f t="shared" si="9"/>
        <v>7.32</v>
      </c>
      <c r="X16" s="330">
        <f t="shared" si="10"/>
        <v>4.41</v>
      </c>
      <c r="Y16" s="330">
        <f>'Sch 141A Lighting Tariff'!N133+'Sch 141C Lighting Tariff'!N133+'Sch 141N Lighting Tariff'!N135+'Sch 141R Lighting Tariff'!N135+X16</f>
        <v>7.7100000000000009</v>
      </c>
      <c r="Z16" s="209">
        <f t="shared" si="30"/>
        <v>24131.52</v>
      </c>
      <c r="AA16" s="209">
        <f t="shared" si="31"/>
        <v>40055.040000000001</v>
      </c>
      <c r="AB16" s="209">
        <f t="shared" si="32"/>
        <v>24131.52</v>
      </c>
      <c r="AC16" s="209">
        <f t="shared" si="33"/>
        <v>42189.120000000003</v>
      </c>
      <c r="AD16" s="209">
        <f t="shared" si="34"/>
        <v>0</v>
      </c>
      <c r="AE16" s="209">
        <f t="shared" si="35"/>
        <v>2134.0800000000017</v>
      </c>
      <c r="AF16" s="36" t="str">
        <f t="shared" si="36"/>
        <v>0%</v>
      </c>
      <c r="AG16" s="36">
        <f t="shared" si="37"/>
        <v>5.3278688524590209E-2</v>
      </c>
      <c r="AH16" s="627"/>
      <c r="AI16" s="630">
        <f t="shared" si="38"/>
        <v>4</v>
      </c>
      <c r="AJ16" s="629" t="str">
        <f t="shared" si="39"/>
        <v>54E</v>
      </c>
      <c r="AK16" s="426">
        <v>150</v>
      </c>
      <c r="AL16" s="426" t="s">
        <v>69</v>
      </c>
      <c r="AM16" s="35"/>
      <c r="AN16" s="330"/>
      <c r="AO16" s="330"/>
      <c r="AP16" s="330"/>
      <c r="AQ16" s="330"/>
      <c r="AR16" s="209"/>
      <c r="AS16" s="209"/>
      <c r="AT16" s="209"/>
      <c r="AU16" s="209"/>
      <c r="AV16" s="209"/>
      <c r="AW16" s="209"/>
      <c r="AX16" s="36"/>
      <c r="AY16" s="36"/>
    </row>
    <row r="17" spans="1:51" x14ac:dyDescent="0.2">
      <c r="A17" s="630">
        <f t="shared" si="19"/>
        <v>5</v>
      </c>
      <c r="B17" s="629" t="str">
        <f t="shared" si="20"/>
        <v>54E</v>
      </c>
      <c r="C17" s="426">
        <v>200</v>
      </c>
      <c r="D17" s="426" t="s">
        <v>69</v>
      </c>
      <c r="E17" s="426">
        <f>'WP1 Light Inventory'!J129</f>
        <v>548</v>
      </c>
      <c r="F17" s="330">
        <f>'WP2 Current Light Rates'!E114</f>
        <v>6.37</v>
      </c>
      <c r="G17" s="330">
        <f>'BDJ-6 Combined Charges'!K136</f>
        <v>5.8900000000000006</v>
      </c>
      <c r="H17" s="330">
        <f>'Sch 141A Lighting Tariff'!J134+'Sch 141C Lighting Tariff'!J134+'Sch 141N Lighting Tariff'!J136+'Sch 141R Lighting Tariff'!J136+G17</f>
        <v>9.7700000000000014</v>
      </c>
      <c r="I17" s="209">
        <f t="shared" si="21"/>
        <v>41889.120000000003</v>
      </c>
      <c r="J17" s="209">
        <f t="shared" si="22"/>
        <v>38732.639999999999</v>
      </c>
      <c r="K17" s="209">
        <f t="shared" si="23"/>
        <v>64247.520000000011</v>
      </c>
      <c r="L17" s="209">
        <f t="shared" si="24"/>
        <v>-3156.4800000000032</v>
      </c>
      <c r="M17" s="209">
        <f t="shared" si="25"/>
        <v>22358.400000000009</v>
      </c>
      <c r="N17" s="36">
        <f t="shared" si="26"/>
        <v>-7.5353218210361145E-2</v>
      </c>
      <c r="O17" s="36">
        <f t="shared" si="27"/>
        <v>0.53375196232339106</v>
      </c>
      <c r="P17" s="627"/>
      <c r="Q17" s="630">
        <f t="shared" si="28"/>
        <v>5</v>
      </c>
      <c r="R17" s="629" t="str">
        <f t="shared" si="29"/>
        <v>54E</v>
      </c>
      <c r="S17" s="426">
        <v>200</v>
      </c>
      <c r="T17" s="426" t="s">
        <v>69</v>
      </c>
      <c r="U17" s="35">
        <f t="shared" si="7"/>
        <v>548</v>
      </c>
      <c r="V17" s="330">
        <f t="shared" si="8"/>
        <v>5.8900000000000006</v>
      </c>
      <c r="W17" s="330">
        <f t="shared" si="9"/>
        <v>9.7700000000000014</v>
      </c>
      <c r="X17" s="330">
        <f t="shared" si="10"/>
        <v>5.8900000000000006</v>
      </c>
      <c r="Y17" s="330">
        <f>'Sch 141A Lighting Tariff'!N134+'Sch 141C Lighting Tariff'!N134+'Sch 141N Lighting Tariff'!N136+'Sch 141R Lighting Tariff'!N136+X17</f>
        <v>10.290000000000001</v>
      </c>
      <c r="Z17" s="209">
        <f t="shared" si="30"/>
        <v>38732.639999999999</v>
      </c>
      <c r="AA17" s="209">
        <f t="shared" si="31"/>
        <v>64247.520000000011</v>
      </c>
      <c r="AB17" s="209">
        <f t="shared" si="32"/>
        <v>38732.639999999999</v>
      </c>
      <c r="AC17" s="209">
        <f t="shared" si="33"/>
        <v>67667.040000000008</v>
      </c>
      <c r="AD17" s="209">
        <f t="shared" si="34"/>
        <v>0</v>
      </c>
      <c r="AE17" s="209">
        <f t="shared" si="35"/>
        <v>3419.5199999999968</v>
      </c>
      <c r="AF17" s="36" t="str">
        <f t="shared" si="36"/>
        <v>0%</v>
      </c>
      <c r="AG17" s="36">
        <f t="shared" si="37"/>
        <v>5.3224155578300861E-2</v>
      </c>
      <c r="AH17" s="627"/>
      <c r="AI17" s="630">
        <f t="shared" si="38"/>
        <v>5</v>
      </c>
      <c r="AJ17" s="629" t="str">
        <f t="shared" si="39"/>
        <v>54E</v>
      </c>
      <c r="AK17" s="426">
        <v>200</v>
      </c>
      <c r="AL17" s="426" t="s">
        <v>69</v>
      </c>
      <c r="AM17" s="35"/>
      <c r="AN17" s="330"/>
      <c r="AO17" s="330"/>
      <c r="AP17" s="330"/>
      <c r="AQ17" s="330"/>
      <c r="AR17" s="209"/>
      <c r="AS17" s="209"/>
      <c r="AT17" s="209"/>
      <c r="AU17" s="209"/>
      <c r="AV17" s="209"/>
      <c r="AW17" s="209"/>
      <c r="AX17" s="36"/>
      <c r="AY17" s="36"/>
    </row>
    <row r="18" spans="1:51" x14ac:dyDescent="0.2">
      <c r="A18" s="630">
        <f t="shared" si="19"/>
        <v>6</v>
      </c>
      <c r="B18" s="629" t="str">
        <f t="shared" si="20"/>
        <v>54E</v>
      </c>
      <c r="C18" s="426">
        <v>250</v>
      </c>
      <c r="D18" s="426" t="s">
        <v>69</v>
      </c>
      <c r="E18" s="426">
        <f>'WP1 Light Inventory'!J130</f>
        <v>1362</v>
      </c>
      <c r="F18" s="330">
        <f>'WP2 Current Light Rates'!E115</f>
        <v>7.96</v>
      </c>
      <c r="G18" s="330">
        <f>'BDJ-6 Combined Charges'!K137</f>
        <v>7.35</v>
      </c>
      <c r="H18" s="330">
        <f>'Sch 141A Lighting Tariff'!J135+'Sch 141C Lighting Tariff'!J135+'Sch 141N Lighting Tariff'!J137+'Sch 141R Lighting Tariff'!J137+G18</f>
        <v>12.2</v>
      </c>
      <c r="I18" s="209">
        <f t="shared" si="21"/>
        <v>130098.24000000001</v>
      </c>
      <c r="J18" s="209">
        <f t="shared" si="22"/>
        <v>120128.4</v>
      </c>
      <c r="K18" s="209">
        <f t="shared" si="23"/>
        <v>199396.8</v>
      </c>
      <c r="L18" s="209">
        <f t="shared" si="24"/>
        <v>-9969.8400000000111</v>
      </c>
      <c r="M18" s="209">
        <f t="shared" si="25"/>
        <v>69298.559999999983</v>
      </c>
      <c r="N18" s="36">
        <f t="shared" si="26"/>
        <v>-7.6633165829145811E-2</v>
      </c>
      <c r="O18" s="36">
        <f t="shared" si="27"/>
        <v>0.53266331658291444</v>
      </c>
      <c r="P18" s="627"/>
      <c r="Q18" s="630">
        <f t="shared" si="28"/>
        <v>6</v>
      </c>
      <c r="R18" s="629" t="str">
        <f t="shared" si="29"/>
        <v>54E</v>
      </c>
      <c r="S18" s="426">
        <v>250</v>
      </c>
      <c r="T18" s="426" t="s">
        <v>69</v>
      </c>
      <c r="U18" s="35">
        <f t="shared" si="7"/>
        <v>1362</v>
      </c>
      <c r="V18" s="330">
        <f t="shared" si="8"/>
        <v>7.35</v>
      </c>
      <c r="W18" s="330">
        <f t="shared" si="9"/>
        <v>12.2</v>
      </c>
      <c r="X18" s="330">
        <f t="shared" si="10"/>
        <v>7.35</v>
      </c>
      <c r="Y18" s="330">
        <f>'Sch 141A Lighting Tariff'!N135+'Sch 141C Lighting Tariff'!N135+'Sch 141N Lighting Tariff'!N137+'Sch 141R Lighting Tariff'!N137+X18</f>
        <v>12.86</v>
      </c>
      <c r="Z18" s="209">
        <f t="shared" si="30"/>
        <v>120128.4</v>
      </c>
      <c r="AA18" s="209">
        <f t="shared" si="31"/>
        <v>199396.8</v>
      </c>
      <c r="AB18" s="209">
        <f t="shared" si="32"/>
        <v>120128.4</v>
      </c>
      <c r="AC18" s="209">
        <f t="shared" si="33"/>
        <v>210183.84</v>
      </c>
      <c r="AD18" s="209">
        <f t="shared" si="34"/>
        <v>0</v>
      </c>
      <c r="AE18" s="209">
        <f t="shared" si="35"/>
        <v>10787.040000000008</v>
      </c>
      <c r="AF18" s="36" t="str">
        <f t="shared" si="36"/>
        <v>0%</v>
      </c>
      <c r="AG18" s="36">
        <f t="shared" si="37"/>
        <v>5.4098360655737747E-2</v>
      </c>
      <c r="AH18" s="627"/>
      <c r="AI18" s="630">
        <f t="shared" si="38"/>
        <v>6</v>
      </c>
      <c r="AJ18" s="629" t="str">
        <f t="shared" si="39"/>
        <v>54E</v>
      </c>
      <c r="AK18" s="426">
        <v>250</v>
      </c>
      <c r="AL18" s="426" t="s">
        <v>69</v>
      </c>
      <c r="AM18" s="35"/>
      <c r="AN18" s="330"/>
      <c r="AO18" s="330"/>
      <c r="AP18" s="330"/>
      <c r="AQ18" s="330"/>
      <c r="AR18" s="209"/>
      <c r="AS18" s="209"/>
      <c r="AT18" s="209"/>
      <c r="AU18" s="209"/>
      <c r="AV18" s="209"/>
      <c r="AW18" s="209"/>
      <c r="AX18" s="36"/>
      <c r="AY18" s="36"/>
    </row>
    <row r="19" spans="1:51" x14ac:dyDescent="0.2">
      <c r="A19" s="630">
        <f t="shared" si="19"/>
        <v>7</v>
      </c>
      <c r="B19" s="629" t="str">
        <f t="shared" si="20"/>
        <v>54E</v>
      </c>
      <c r="C19" s="426">
        <v>310</v>
      </c>
      <c r="D19" s="426" t="s">
        <v>69</v>
      </c>
      <c r="E19" s="426">
        <f>'WP1 Light Inventory'!J131</f>
        <v>56</v>
      </c>
      <c r="F19" s="330">
        <f>'WP2 Current Light Rates'!E116</f>
        <v>9.8699999999999992</v>
      </c>
      <c r="G19" s="330">
        <f>'BDJ-6 Combined Charges'!K138</f>
        <v>9.129999999999999</v>
      </c>
      <c r="H19" s="330">
        <f>'Sch 141A Lighting Tariff'!J136+'Sch 141C Lighting Tariff'!J136+'Sch 141N Lighting Tariff'!J138+'Sch 141R Lighting Tariff'!J138+G19</f>
        <v>15.129999999999999</v>
      </c>
      <c r="I19" s="209">
        <f t="shared" si="21"/>
        <v>6632.6399999999994</v>
      </c>
      <c r="J19" s="209">
        <f t="shared" si="22"/>
        <v>6135.36</v>
      </c>
      <c r="K19" s="209">
        <f t="shared" si="23"/>
        <v>10167.36</v>
      </c>
      <c r="L19" s="209">
        <f t="shared" si="24"/>
        <v>-497.27999999999975</v>
      </c>
      <c r="M19" s="209">
        <f t="shared" si="25"/>
        <v>3534.7200000000012</v>
      </c>
      <c r="N19" s="36">
        <f t="shared" si="26"/>
        <v>-7.4974670719351544E-2</v>
      </c>
      <c r="O19" s="36">
        <f t="shared" si="27"/>
        <v>0.53292806484295874</v>
      </c>
      <c r="P19" s="627"/>
      <c r="Q19" s="630">
        <f t="shared" si="28"/>
        <v>7</v>
      </c>
      <c r="R19" s="629" t="str">
        <f t="shared" si="29"/>
        <v>54E</v>
      </c>
      <c r="S19" s="426">
        <v>310</v>
      </c>
      <c r="T19" s="426" t="s">
        <v>69</v>
      </c>
      <c r="U19" s="35">
        <f t="shared" si="7"/>
        <v>56</v>
      </c>
      <c r="V19" s="330">
        <f t="shared" si="8"/>
        <v>9.129999999999999</v>
      </c>
      <c r="W19" s="330">
        <f t="shared" si="9"/>
        <v>15.129999999999999</v>
      </c>
      <c r="X19" s="330">
        <f t="shared" si="10"/>
        <v>9.129999999999999</v>
      </c>
      <c r="Y19" s="330">
        <f>'Sch 141A Lighting Tariff'!N136+'Sch 141C Lighting Tariff'!N136+'Sch 141N Lighting Tariff'!N138+'Sch 141R Lighting Tariff'!N138+X19</f>
        <v>15.959999999999999</v>
      </c>
      <c r="Z19" s="209">
        <f t="shared" si="30"/>
        <v>6135.36</v>
      </c>
      <c r="AA19" s="209">
        <f t="shared" si="31"/>
        <v>10167.36</v>
      </c>
      <c r="AB19" s="209">
        <f t="shared" si="32"/>
        <v>6135.36</v>
      </c>
      <c r="AC19" s="209">
        <f t="shared" si="33"/>
        <v>10725.119999999999</v>
      </c>
      <c r="AD19" s="209">
        <f t="shared" si="34"/>
        <v>0</v>
      </c>
      <c r="AE19" s="209">
        <f t="shared" si="35"/>
        <v>557.7599999999984</v>
      </c>
      <c r="AF19" s="36" t="str">
        <f t="shared" si="36"/>
        <v>0%</v>
      </c>
      <c r="AG19" s="36">
        <f t="shared" si="37"/>
        <v>5.48578982154658E-2</v>
      </c>
      <c r="AH19" s="627"/>
      <c r="AI19" s="630">
        <f t="shared" si="38"/>
        <v>7</v>
      </c>
      <c r="AJ19" s="629" t="str">
        <f t="shared" si="39"/>
        <v>54E</v>
      </c>
      <c r="AK19" s="426">
        <v>310</v>
      </c>
      <c r="AL19" s="426" t="s">
        <v>69</v>
      </c>
      <c r="AM19" s="35"/>
      <c r="AN19" s="330"/>
      <c r="AO19" s="330"/>
      <c r="AP19" s="330"/>
      <c r="AQ19" s="330"/>
      <c r="AR19" s="209"/>
      <c r="AS19" s="209"/>
      <c r="AT19" s="209"/>
      <c r="AU19" s="209"/>
      <c r="AV19" s="209"/>
      <c r="AW19" s="209"/>
      <c r="AX19" s="36"/>
      <c r="AY19" s="36"/>
    </row>
    <row r="20" spans="1:51" x14ac:dyDescent="0.2">
      <c r="A20" s="630">
        <f t="shared" si="19"/>
        <v>8</v>
      </c>
      <c r="B20" s="629" t="str">
        <f t="shared" si="20"/>
        <v>54E</v>
      </c>
      <c r="C20" s="426">
        <v>400</v>
      </c>
      <c r="D20" s="426" t="s">
        <v>69</v>
      </c>
      <c r="E20" s="426">
        <f>'WP1 Light Inventory'!J132</f>
        <v>616</v>
      </c>
      <c r="F20" s="330">
        <f>'WP2 Current Light Rates'!E117</f>
        <v>12.74</v>
      </c>
      <c r="G20" s="330">
        <f>'BDJ-6 Combined Charges'!K139</f>
        <v>11.780000000000001</v>
      </c>
      <c r="H20" s="330">
        <f>'Sch 141A Lighting Tariff'!J137+'Sch 141C Lighting Tariff'!J137+'Sch 141N Lighting Tariff'!J139+'Sch 141R Lighting Tariff'!J139+G20</f>
        <v>19.540000000000003</v>
      </c>
      <c r="I20" s="209">
        <f t="shared" si="21"/>
        <v>94174.080000000002</v>
      </c>
      <c r="J20" s="209">
        <f t="shared" si="22"/>
        <v>87077.760000000009</v>
      </c>
      <c r="K20" s="209">
        <f t="shared" si="23"/>
        <v>144439.68000000002</v>
      </c>
      <c r="L20" s="209">
        <f t="shared" si="24"/>
        <v>-7096.3199999999924</v>
      </c>
      <c r="M20" s="209">
        <f t="shared" si="25"/>
        <v>50265.60000000002</v>
      </c>
      <c r="N20" s="36">
        <f t="shared" si="26"/>
        <v>-7.5353218210360992E-2</v>
      </c>
      <c r="O20" s="36">
        <f t="shared" si="27"/>
        <v>0.53375196232339106</v>
      </c>
      <c r="P20" s="627"/>
      <c r="Q20" s="630">
        <f t="shared" si="28"/>
        <v>8</v>
      </c>
      <c r="R20" s="629" t="str">
        <f t="shared" si="29"/>
        <v>54E</v>
      </c>
      <c r="S20" s="426">
        <v>400</v>
      </c>
      <c r="T20" s="426" t="s">
        <v>69</v>
      </c>
      <c r="U20" s="35">
        <f t="shared" si="7"/>
        <v>616</v>
      </c>
      <c r="V20" s="330">
        <f t="shared" si="8"/>
        <v>11.780000000000001</v>
      </c>
      <c r="W20" s="330">
        <f t="shared" si="9"/>
        <v>19.540000000000003</v>
      </c>
      <c r="X20" s="330">
        <f t="shared" si="10"/>
        <v>11.780000000000001</v>
      </c>
      <c r="Y20" s="330">
        <f>'Sch 141A Lighting Tariff'!N137+'Sch 141C Lighting Tariff'!N137+'Sch 141N Lighting Tariff'!N139+'Sch 141R Lighting Tariff'!N139+X20</f>
        <v>20.6</v>
      </c>
      <c r="Z20" s="209">
        <f t="shared" si="30"/>
        <v>87077.760000000009</v>
      </c>
      <c r="AA20" s="209">
        <f t="shared" si="31"/>
        <v>144439.68000000002</v>
      </c>
      <c r="AB20" s="209">
        <f t="shared" si="32"/>
        <v>87077.760000000009</v>
      </c>
      <c r="AC20" s="209">
        <f t="shared" si="33"/>
        <v>152275.20000000001</v>
      </c>
      <c r="AD20" s="209">
        <f t="shared" si="34"/>
        <v>0</v>
      </c>
      <c r="AE20" s="209">
        <f t="shared" si="35"/>
        <v>7835.5199999999895</v>
      </c>
      <c r="AF20" s="36" t="str">
        <f t="shared" si="36"/>
        <v>0%</v>
      </c>
      <c r="AG20" s="36">
        <f t="shared" si="37"/>
        <v>5.4247697031729707E-2</v>
      </c>
      <c r="AH20" s="627"/>
      <c r="AI20" s="630">
        <f t="shared" si="38"/>
        <v>8</v>
      </c>
      <c r="AJ20" s="629" t="str">
        <f t="shared" si="39"/>
        <v>54E</v>
      </c>
      <c r="AK20" s="426">
        <v>400</v>
      </c>
      <c r="AL20" s="426" t="s">
        <v>69</v>
      </c>
      <c r="AM20" s="35"/>
      <c r="AN20" s="330"/>
      <c r="AO20" s="330"/>
      <c r="AP20" s="330"/>
      <c r="AQ20" s="330"/>
      <c r="AR20" s="209"/>
      <c r="AS20" s="209"/>
      <c r="AT20" s="209"/>
      <c r="AU20" s="209"/>
      <c r="AV20" s="209"/>
      <c r="AW20" s="209"/>
      <c r="AX20" s="36"/>
      <c r="AY20" s="36"/>
    </row>
    <row r="21" spans="1:51" x14ac:dyDescent="0.2">
      <c r="A21" s="630">
        <f t="shared" si="19"/>
        <v>9</v>
      </c>
      <c r="B21" s="629" t="str">
        <f t="shared" si="20"/>
        <v>54E</v>
      </c>
      <c r="C21" s="426">
        <v>1000</v>
      </c>
      <c r="D21" s="426" t="s">
        <v>69</v>
      </c>
      <c r="E21" s="426">
        <f>'WP1 Light Inventory'!J133</f>
        <v>10</v>
      </c>
      <c r="F21" s="330">
        <f>'WP2 Current Light Rates'!E118</f>
        <v>31.85</v>
      </c>
      <c r="G21" s="330">
        <f>'BDJ-6 Combined Charges'!K140</f>
        <v>29.439999999999998</v>
      </c>
      <c r="H21" s="330">
        <f>'Sch 141A Lighting Tariff'!J138+'Sch 141C Lighting Tariff'!J138+'Sch 141N Lighting Tariff'!J140+'Sch 141R Lighting Tariff'!J140+G21</f>
        <v>48.83</v>
      </c>
      <c r="I21" s="209">
        <f t="shared" si="21"/>
        <v>3822</v>
      </c>
      <c r="J21" s="209">
        <f t="shared" si="22"/>
        <v>3532.7999999999997</v>
      </c>
      <c r="K21" s="209">
        <f t="shared" si="23"/>
        <v>5859.5999999999995</v>
      </c>
      <c r="L21" s="209">
        <f t="shared" si="24"/>
        <v>-289.20000000000027</v>
      </c>
      <c r="M21" s="209">
        <f t="shared" si="25"/>
        <v>2037.5999999999995</v>
      </c>
      <c r="N21" s="36">
        <f t="shared" si="26"/>
        <v>-7.5667189952904307E-2</v>
      </c>
      <c r="O21" s="36">
        <f t="shared" si="27"/>
        <v>0.5331240188383044</v>
      </c>
      <c r="P21" s="627"/>
      <c r="Q21" s="630">
        <f t="shared" si="28"/>
        <v>9</v>
      </c>
      <c r="R21" s="629" t="str">
        <f t="shared" si="29"/>
        <v>54E</v>
      </c>
      <c r="S21" s="426">
        <v>1000</v>
      </c>
      <c r="T21" s="426" t="s">
        <v>69</v>
      </c>
      <c r="U21" s="35">
        <f t="shared" si="7"/>
        <v>10</v>
      </c>
      <c r="V21" s="330">
        <f t="shared" si="8"/>
        <v>29.439999999999998</v>
      </c>
      <c r="W21" s="330">
        <f t="shared" si="9"/>
        <v>48.83</v>
      </c>
      <c r="X21" s="330">
        <f t="shared" si="10"/>
        <v>29.439999999999998</v>
      </c>
      <c r="Y21" s="330">
        <f>'Sch 141A Lighting Tariff'!N138+'Sch 141C Lighting Tariff'!N138+'Sch 141N Lighting Tariff'!N140+'Sch 141R Lighting Tariff'!N140+X21</f>
        <v>51.48</v>
      </c>
      <c r="Z21" s="209">
        <f t="shared" si="30"/>
        <v>3532.7999999999997</v>
      </c>
      <c r="AA21" s="209">
        <f t="shared" si="31"/>
        <v>5859.5999999999995</v>
      </c>
      <c r="AB21" s="209">
        <f t="shared" si="32"/>
        <v>3532.7999999999997</v>
      </c>
      <c r="AC21" s="209">
        <f t="shared" si="33"/>
        <v>6177.5999999999995</v>
      </c>
      <c r="AD21" s="209">
        <f t="shared" si="34"/>
        <v>0</v>
      </c>
      <c r="AE21" s="209">
        <f t="shared" si="35"/>
        <v>318</v>
      </c>
      <c r="AF21" s="36" t="str">
        <f t="shared" si="36"/>
        <v>0%</v>
      </c>
      <c r="AG21" s="36">
        <f t="shared" si="37"/>
        <v>5.4269916035224255E-2</v>
      </c>
      <c r="AH21" s="627"/>
      <c r="AI21" s="630">
        <f t="shared" si="38"/>
        <v>9</v>
      </c>
      <c r="AJ21" s="629" t="str">
        <f t="shared" si="39"/>
        <v>54E</v>
      </c>
      <c r="AK21" s="426">
        <v>1000</v>
      </c>
      <c r="AL21" s="426" t="s">
        <v>69</v>
      </c>
      <c r="AM21" s="35"/>
      <c r="AN21" s="330"/>
      <c r="AO21" s="330"/>
      <c r="AP21" s="330"/>
      <c r="AQ21" s="330"/>
      <c r="AR21" s="209"/>
      <c r="AS21" s="209"/>
      <c r="AT21" s="209"/>
      <c r="AU21" s="209"/>
      <c r="AV21" s="209"/>
      <c r="AW21" s="209"/>
      <c r="AX21" s="36"/>
      <c r="AY21" s="36"/>
    </row>
    <row r="22" spans="1:51" x14ac:dyDescent="0.2">
      <c r="A22" s="630">
        <f t="shared" si="19"/>
        <v>10</v>
      </c>
      <c r="B22" s="629" t="str">
        <f>B21</f>
        <v>54E</v>
      </c>
      <c r="C22" s="364"/>
      <c r="D22" s="364" t="str">
        <f>D21</f>
        <v>Sodium Vapor</v>
      </c>
      <c r="E22" s="368">
        <f>SUM(E13:E21)</f>
        <v>5286</v>
      </c>
      <c r="F22" s="368"/>
      <c r="G22" s="368"/>
      <c r="H22" s="368"/>
      <c r="I22" s="266">
        <f>SUM(I13:I21)</f>
        <v>379925.76000000001</v>
      </c>
      <c r="J22" s="266">
        <f>SUM(J13:J21)</f>
        <v>351145.68</v>
      </c>
      <c r="K22" s="266">
        <f>SUM(K13:K21)</f>
        <v>582445.44000000006</v>
      </c>
      <c r="L22" s="266">
        <f>SUM(L13:L21)</f>
        <v>-28780.079999999994</v>
      </c>
      <c r="M22" s="266">
        <f>SUM(M13:M21)</f>
        <v>202519.68000000002</v>
      </c>
      <c r="N22" s="267">
        <f t="shared" si="5"/>
        <v>-7.5751852151325544E-2</v>
      </c>
      <c r="O22" s="267">
        <f t="shared" si="6"/>
        <v>0.5330506675830563</v>
      </c>
      <c r="P22" s="627"/>
      <c r="Q22" s="630">
        <f t="shared" si="28"/>
        <v>10</v>
      </c>
      <c r="R22" s="629" t="str">
        <f>R21</f>
        <v>54E</v>
      </c>
      <c r="S22" s="364"/>
      <c r="T22" s="364" t="str">
        <f>T21</f>
        <v>Sodium Vapor</v>
      </c>
      <c r="U22" s="368">
        <f>SUM(U13:U21)</f>
        <v>5286</v>
      </c>
      <c r="V22" s="368"/>
      <c r="W22" s="368"/>
      <c r="X22" s="368"/>
      <c r="Y22" s="368"/>
      <c r="Z22" s="266">
        <f t="shared" ref="Z22:AE22" si="40">SUM(Z13:Z21)</f>
        <v>351145.68</v>
      </c>
      <c r="AA22" s="266">
        <f t="shared" si="40"/>
        <v>582445.44000000006</v>
      </c>
      <c r="AB22" s="266">
        <f t="shared" si="40"/>
        <v>351145.68</v>
      </c>
      <c r="AC22" s="266">
        <f t="shared" si="40"/>
        <v>613933.92000000004</v>
      </c>
      <c r="AD22" s="266">
        <f t="shared" si="40"/>
        <v>0</v>
      </c>
      <c r="AE22" s="266">
        <f t="shared" si="40"/>
        <v>31488.48</v>
      </c>
      <c r="AF22" s="267" t="str">
        <f t="shared" si="17"/>
        <v>0%</v>
      </c>
      <c r="AG22" s="267">
        <f t="shared" si="18"/>
        <v>5.4062540175436852E-2</v>
      </c>
      <c r="AH22" s="627"/>
      <c r="AI22" s="630">
        <f t="shared" si="38"/>
        <v>10</v>
      </c>
      <c r="AJ22" s="629" t="str">
        <f>AJ21</f>
        <v>54E</v>
      </c>
      <c r="AK22" s="364"/>
      <c r="AL22" s="364" t="str">
        <f>AL21</f>
        <v>Sodium Vapor</v>
      </c>
      <c r="AM22" s="368"/>
      <c r="AN22" s="368"/>
      <c r="AO22" s="368"/>
      <c r="AP22" s="368"/>
      <c r="AQ22" s="368"/>
      <c r="AR22" s="266"/>
      <c r="AS22" s="266"/>
      <c r="AT22" s="266"/>
      <c r="AU22" s="266"/>
      <c r="AV22" s="266"/>
      <c r="AW22" s="266"/>
      <c r="AX22" s="267"/>
      <c r="AY22" s="267"/>
    </row>
    <row r="23" spans="1:51" x14ac:dyDescent="0.2">
      <c r="A23" s="630">
        <f t="shared" si="19"/>
        <v>11</v>
      </c>
      <c r="B23" s="629"/>
      <c r="C23" s="426"/>
      <c r="D23" s="426"/>
      <c r="E23" s="426"/>
      <c r="F23" s="330"/>
      <c r="G23" s="330"/>
      <c r="H23" s="330"/>
      <c r="I23" s="209"/>
      <c r="J23" s="209"/>
      <c r="K23" s="209"/>
      <c r="L23" s="209"/>
      <c r="M23" s="209"/>
      <c r="N23" s="518"/>
      <c r="O23" s="518"/>
      <c r="P23" s="627"/>
      <c r="Q23" s="630">
        <f t="shared" si="28"/>
        <v>11</v>
      </c>
      <c r="R23" s="629"/>
      <c r="S23" s="426"/>
      <c r="T23" s="426"/>
      <c r="W23" s="330"/>
      <c r="Y23" s="330"/>
      <c r="AA23" s="209"/>
      <c r="AC23" s="209"/>
      <c r="AE23" s="209"/>
      <c r="AF23" s="36"/>
      <c r="AG23" s="518"/>
      <c r="AH23" s="627"/>
      <c r="AI23" s="630">
        <f t="shared" si="38"/>
        <v>11</v>
      </c>
      <c r="AJ23" s="629"/>
      <c r="AK23" s="426"/>
      <c r="AL23" s="426"/>
      <c r="AO23" s="330"/>
      <c r="AQ23" s="330"/>
      <c r="AS23" s="209"/>
      <c r="AU23" s="209"/>
      <c r="AW23" s="209"/>
      <c r="AX23" s="36"/>
      <c r="AY23" s="518"/>
    </row>
    <row r="24" spans="1:51" x14ac:dyDescent="0.2">
      <c r="A24" s="630">
        <f t="shared" si="19"/>
        <v>12</v>
      </c>
      <c r="B24" s="629" t="str">
        <f>+B20</f>
        <v>54E</v>
      </c>
      <c r="C24" s="593" t="s">
        <v>932</v>
      </c>
      <c r="D24" s="426" t="s">
        <v>117</v>
      </c>
      <c r="E24" s="426">
        <f>'WP1 Light Inventory'!J135</f>
        <v>0</v>
      </c>
      <c r="F24" s="330">
        <f>'WP2 Current Light Rates'!E120</f>
        <v>1.43</v>
      </c>
      <c r="G24" s="330">
        <f>'BDJ-6 Combined Charges'!K142</f>
        <v>0.44</v>
      </c>
      <c r="H24" s="330">
        <f>'Sch 141A Lighting Tariff'!J140+'Sch 141C Lighting Tariff'!J140+'Sch 141N Lighting Tariff'!J142+'Sch 141R Lighting Tariff'!J142+G24</f>
        <v>0.72</v>
      </c>
      <c r="I24" s="209">
        <f t="shared" ref="I24:I33" si="41">(+F24*$E24*12)</f>
        <v>0</v>
      </c>
      <c r="J24" s="209">
        <f t="shared" ref="J24:J33" si="42">(+G24*$E24*12)</f>
        <v>0</v>
      </c>
      <c r="K24" s="209">
        <f t="shared" ref="K24:K33" si="43">(H24)*E24*12</f>
        <v>0</v>
      </c>
      <c r="L24" s="209">
        <f t="shared" ref="L24:L33" si="44">+J24-I24</f>
        <v>0</v>
      </c>
      <c r="M24" s="209">
        <f t="shared" ref="M24:M33" si="45">+K24-I24</f>
        <v>0</v>
      </c>
      <c r="N24" s="36" t="str">
        <f t="shared" ref="N24:N33" si="46">IF(+L24=0,"0%",L24/I24)</f>
        <v>0%</v>
      </c>
      <c r="O24" s="36" t="str">
        <f t="shared" ref="O24:O33" si="47">IF(+M24=0,"0%",M24/I24)</f>
        <v>0%</v>
      </c>
      <c r="P24" s="627"/>
      <c r="Q24" s="630">
        <f t="shared" si="28"/>
        <v>12</v>
      </c>
      <c r="R24" s="629" t="str">
        <f>+R20</f>
        <v>54E</v>
      </c>
      <c r="S24" s="593" t="s">
        <v>932</v>
      </c>
      <c r="T24" s="426" t="s">
        <v>117</v>
      </c>
      <c r="U24" s="35">
        <f t="shared" ref="U24" si="48">E24</f>
        <v>0</v>
      </c>
      <c r="V24" s="330">
        <f t="shared" ref="V24" si="49">G24</f>
        <v>0.44</v>
      </c>
      <c r="W24" s="330">
        <f t="shared" ref="W24" si="50">H24</f>
        <v>0.72</v>
      </c>
      <c r="X24" s="330">
        <f t="shared" ref="X24" si="51">V24</f>
        <v>0.44</v>
      </c>
      <c r="Y24" s="330">
        <f>'Sch 141A Lighting Tariff'!N140+'Sch 141C Lighting Tariff'!N140+'Sch 141N Lighting Tariff'!N142+'Sch 141R Lighting Tariff'!N142+X24</f>
        <v>0.76</v>
      </c>
      <c r="Z24" s="209">
        <f t="shared" ref="Z24:Z33" si="52">(+V24*$U24*12)</f>
        <v>0</v>
      </c>
      <c r="AA24" s="209">
        <f t="shared" ref="AA24:AA33" si="53">(+W24*$U24*12)</f>
        <v>0</v>
      </c>
      <c r="AB24" s="209">
        <f t="shared" ref="AB24:AB33" si="54">(+X24*$U24*12)</f>
        <v>0</v>
      </c>
      <c r="AC24" s="209">
        <f t="shared" ref="AC24:AC33" si="55">(+Y24*$U24*12)</f>
        <v>0</v>
      </c>
      <c r="AD24" s="209">
        <f t="shared" ref="AD24:AD33" si="56">+AB24-Z24</f>
        <v>0</v>
      </c>
      <c r="AE24" s="209">
        <f t="shared" ref="AE24:AE33" si="57">+AC24-AA24</f>
        <v>0</v>
      </c>
      <c r="AF24" s="36" t="str">
        <f t="shared" ref="AF24:AF33" si="58">IF(+AD24=0,"0%",AD24/Z24)</f>
        <v>0%</v>
      </c>
      <c r="AG24" s="36" t="str">
        <f t="shared" ref="AG24:AG33" si="59">IF(+AE24=0,"0%",AE24/AA24)</f>
        <v>0%</v>
      </c>
      <c r="AH24" s="627"/>
      <c r="AI24" s="630">
        <f>AI22+1</f>
        <v>11</v>
      </c>
      <c r="AJ24" s="629" t="str">
        <f>+AJ20</f>
        <v>54E</v>
      </c>
      <c r="AK24" s="593" t="s">
        <v>932</v>
      </c>
      <c r="AL24" s="426" t="s">
        <v>117</v>
      </c>
      <c r="AM24" s="35"/>
      <c r="AN24" s="330"/>
      <c r="AO24" s="330"/>
      <c r="AP24" s="330"/>
      <c r="AQ24" s="330"/>
      <c r="AR24" s="209"/>
      <c r="AS24" s="209"/>
      <c r="AT24" s="209"/>
      <c r="AU24" s="209"/>
      <c r="AV24" s="209"/>
      <c r="AW24" s="209"/>
      <c r="AX24" s="36"/>
      <c r="AY24" s="36"/>
    </row>
    <row r="25" spans="1:51" x14ac:dyDescent="0.2">
      <c r="A25" s="630">
        <f t="shared" si="19"/>
        <v>13</v>
      </c>
      <c r="B25" s="629" t="str">
        <f>+B21</f>
        <v>54E</v>
      </c>
      <c r="C25" s="593" t="s">
        <v>568</v>
      </c>
      <c r="D25" s="426" t="s">
        <v>117</v>
      </c>
      <c r="E25" s="426">
        <f>'WP1 Light Inventory'!J136</f>
        <v>1267</v>
      </c>
      <c r="F25" s="330">
        <f>'WP2 Current Light Rates'!E121</f>
        <v>1.43</v>
      </c>
      <c r="G25" s="330">
        <f>'BDJ-6 Combined Charges'!K143</f>
        <v>1.3199999999999998</v>
      </c>
      <c r="H25" s="330">
        <f>'Sch 141A Lighting Tariff'!J141+'Sch 141C Lighting Tariff'!J141+'Sch 141N Lighting Tariff'!J143+'Sch 141R Lighting Tariff'!J143+G25</f>
        <v>2.19</v>
      </c>
      <c r="I25" s="209">
        <f t="shared" si="41"/>
        <v>21741.72</v>
      </c>
      <c r="J25" s="209">
        <f t="shared" si="42"/>
        <v>20069.28</v>
      </c>
      <c r="K25" s="209">
        <f t="shared" si="43"/>
        <v>33296.76</v>
      </c>
      <c r="L25" s="209">
        <f t="shared" si="44"/>
        <v>-1672.4400000000023</v>
      </c>
      <c r="M25" s="209">
        <f t="shared" si="45"/>
        <v>11555.04</v>
      </c>
      <c r="N25" s="36">
        <f t="shared" si="46"/>
        <v>-7.6923076923077024E-2</v>
      </c>
      <c r="O25" s="36">
        <f t="shared" si="47"/>
        <v>0.53146853146853146</v>
      </c>
      <c r="P25" s="627"/>
      <c r="Q25" s="630">
        <f t="shared" si="28"/>
        <v>13</v>
      </c>
      <c r="R25" s="629" t="str">
        <f>+R21</f>
        <v>54E</v>
      </c>
      <c r="S25" s="593" t="s">
        <v>568</v>
      </c>
      <c r="T25" s="426" t="s">
        <v>117</v>
      </c>
      <c r="U25" s="35">
        <f t="shared" ref="U25:U33" si="60">E25</f>
        <v>1267</v>
      </c>
      <c r="V25" s="330">
        <f t="shared" ref="V25:V33" si="61">G25</f>
        <v>1.3199999999999998</v>
      </c>
      <c r="W25" s="330">
        <f t="shared" ref="W25:W33" si="62">H25</f>
        <v>2.19</v>
      </c>
      <c r="X25" s="330">
        <f t="shared" ref="X25:X33" si="63">V25</f>
        <v>1.3199999999999998</v>
      </c>
      <c r="Y25" s="330">
        <f>'Sch 141A Lighting Tariff'!N141+'Sch 141C Lighting Tariff'!N141+'Sch 141N Lighting Tariff'!N143+'Sch 141R Lighting Tariff'!N143+X25</f>
        <v>2.3099999999999996</v>
      </c>
      <c r="Z25" s="209">
        <f t="shared" si="52"/>
        <v>20069.28</v>
      </c>
      <c r="AA25" s="209">
        <f t="shared" si="53"/>
        <v>33296.76</v>
      </c>
      <c r="AB25" s="209">
        <f t="shared" si="54"/>
        <v>20069.28</v>
      </c>
      <c r="AC25" s="209">
        <f t="shared" si="55"/>
        <v>35121.239999999991</v>
      </c>
      <c r="AD25" s="209">
        <f t="shared" si="56"/>
        <v>0</v>
      </c>
      <c r="AE25" s="209">
        <f t="shared" si="57"/>
        <v>1824.4799999999886</v>
      </c>
      <c r="AF25" s="36" t="str">
        <f t="shared" si="58"/>
        <v>0%</v>
      </c>
      <c r="AG25" s="36">
        <f t="shared" si="59"/>
        <v>5.4794520547944862E-2</v>
      </c>
      <c r="AH25" s="627"/>
      <c r="AI25" s="630">
        <f>AI23+1</f>
        <v>12</v>
      </c>
      <c r="AJ25" s="629" t="str">
        <f>+AJ21</f>
        <v>54E</v>
      </c>
      <c r="AK25" s="593" t="s">
        <v>568</v>
      </c>
      <c r="AL25" s="426" t="s">
        <v>117</v>
      </c>
      <c r="AM25" s="35"/>
      <c r="AN25" s="330"/>
      <c r="AO25" s="330"/>
      <c r="AP25" s="330"/>
      <c r="AQ25" s="330"/>
      <c r="AR25" s="209"/>
      <c r="AS25" s="209"/>
      <c r="AT25" s="209"/>
      <c r="AU25" s="209"/>
      <c r="AV25" s="209"/>
      <c r="AW25" s="209"/>
      <c r="AX25" s="36"/>
      <c r="AY25" s="36"/>
    </row>
    <row r="26" spans="1:51" x14ac:dyDescent="0.2">
      <c r="A26" s="630">
        <f t="shared" si="19"/>
        <v>14</v>
      </c>
      <c r="B26" s="629" t="str">
        <f t="shared" ref="B26:B34" si="64">+B25</f>
        <v>54E</v>
      </c>
      <c r="C26" s="593" t="s">
        <v>569</v>
      </c>
      <c r="D26" s="426" t="s">
        <v>117</v>
      </c>
      <c r="E26" s="426">
        <f>'WP1 Light Inventory'!J137</f>
        <v>64</v>
      </c>
      <c r="F26" s="330">
        <f>'WP2 Current Light Rates'!E122</f>
        <v>2.39</v>
      </c>
      <c r="G26" s="330">
        <f>'BDJ-6 Combined Charges'!K144</f>
        <v>2.2000000000000002</v>
      </c>
      <c r="H26" s="330">
        <f>'Sch 141A Lighting Tariff'!J142+'Sch 141C Lighting Tariff'!J142+'Sch 141N Lighting Tariff'!J144+'Sch 141R Lighting Tariff'!J144+G26</f>
        <v>3.66</v>
      </c>
      <c r="I26" s="209">
        <f t="shared" si="41"/>
        <v>1835.52</v>
      </c>
      <c r="J26" s="209">
        <f t="shared" si="42"/>
        <v>1689.6000000000001</v>
      </c>
      <c r="K26" s="209">
        <f t="shared" si="43"/>
        <v>2810.88</v>
      </c>
      <c r="L26" s="209">
        <f t="shared" si="44"/>
        <v>-145.91999999999985</v>
      </c>
      <c r="M26" s="209">
        <f t="shared" si="45"/>
        <v>975.36000000000013</v>
      </c>
      <c r="N26" s="36">
        <f t="shared" si="46"/>
        <v>-7.9497907949790711E-2</v>
      </c>
      <c r="O26" s="36">
        <f t="shared" si="47"/>
        <v>0.53138075313807542</v>
      </c>
      <c r="P26" s="627"/>
      <c r="Q26" s="630">
        <f t="shared" si="28"/>
        <v>14</v>
      </c>
      <c r="R26" s="629" t="str">
        <f t="shared" ref="R26:R34" si="65">+R25</f>
        <v>54E</v>
      </c>
      <c r="S26" s="593" t="s">
        <v>569</v>
      </c>
      <c r="T26" s="426" t="s">
        <v>117</v>
      </c>
      <c r="U26" s="35">
        <f t="shared" si="60"/>
        <v>64</v>
      </c>
      <c r="V26" s="330">
        <f t="shared" si="61"/>
        <v>2.2000000000000002</v>
      </c>
      <c r="W26" s="330">
        <f t="shared" si="62"/>
        <v>3.66</v>
      </c>
      <c r="X26" s="330">
        <f t="shared" si="63"/>
        <v>2.2000000000000002</v>
      </c>
      <c r="Y26" s="330">
        <f>'Sch 141A Lighting Tariff'!N142+'Sch 141C Lighting Tariff'!N142+'Sch 141N Lighting Tariff'!N144+'Sch 141R Lighting Tariff'!N144+X26</f>
        <v>3.8500000000000005</v>
      </c>
      <c r="Z26" s="209">
        <f t="shared" si="52"/>
        <v>1689.6000000000001</v>
      </c>
      <c r="AA26" s="209">
        <f t="shared" si="53"/>
        <v>2810.88</v>
      </c>
      <c r="AB26" s="209">
        <f t="shared" si="54"/>
        <v>1689.6000000000001</v>
      </c>
      <c r="AC26" s="209">
        <f t="shared" si="55"/>
        <v>2956.8</v>
      </c>
      <c r="AD26" s="209">
        <f t="shared" si="56"/>
        <v>0</v>
      </c>
      <c r="AE26" s="209">
        <f t="shared" si="57"/>
        <v>145.92000000000007</v>
      </c>
      <c r="AF26" s="36" t="str">
        <f t="shared" si="58"/>
        <v>0%</v>
      </c>
      <c r="AG26" s="36">
        <f t="shared" si="59"/>
        <v>5.1912568306010952E-2</v>
      </c>
      <c r="AH26" s="627"/>
      <c r="AI26" s="630">
        <f t="shared" si="38"/>
        <v>13</v>
      </c>
      <c r="AJ26" s="629" t="str">
        <f t="shared" ref="AJ26:AJ34" si="66">+AJ25</f>
        <v>54E</v>
      </c>
      <c r="AK26" s="593" t="s">
        <v>569</v>
      </c>
      <c r="AL26" s="426" t="s">
        <v>117</v>
      </c>
      <c r="AM26" s="35"/>
      <c r="AN26" s="330"/>
      <c r="AO26" s="330"/>
      <c r="AP26" s="330"/>
      <c r="AQ26" s="330"/>
      <c r="AR26" s="209"/>
      <c r="AS26" s="209"/>
      <c r="AT26" s="209"/>
      <c r="AU26" s="209"/>
      <c r="AV26" s="209"/>
      <c r="AW26" s="209"/>
      <c r="AX26" s="36"/>
      <c r="AY26" s="36"/>
    </row>
    <row r="27" spans="1:51" x14ac:dyDescent="0.2">
      <c r="A27" s="630">
        <f t="shared" si="19"/>
        <v>15</v>
      </c>
      <c r="B27" s="629" t="str">
        <f t="shared" si="64"/>
        <v>54E</v>
      </c>
      <c r="C27" s="593" t="s">
        <v>570</v>
      </c>
      <c r="D27" s="426" t="s">
        <v>117</v>
      </c>
      <c r="E27" s="426">
        <f>'WP1 Light Inventory'!J138</f>
        <v>1330</v>
      </c>
      <c r="F27" s="330">
        <f>'WP2 Current Light Rates'!E123</f>
        <v>3.34</v>
      </c>
      <c r="G27" s="330">
        <f>'BDJ-6 Combined Charges'!K145</f>
        <v>3.08</v>
      </c>
      <c r="H27" s="330">
        <f>'Sch 141A Lighting Tariff'!J143+'Sch 141C Lighting Tariff'!J143+'Sch 141N Lighting Tariff'!J145+'Sch 141R Lighting Tariff'!J145+G27</f>
        <v>5.12</v>
      </c>
      <c r="I27" s="209">
        <f t="shared" si="41"/>
        <v>53306.399999999994</v>
      </c>
      <c r="J27" s="209">
        <f t="shared" si="42"/>
        <v>49156.800000000003</v>
      </c>
      <c r="K27" s="209">
        <f t="shared" si="43"/>
        <v>81715.200000000012</v>
      </c>
      <c r="L27" s="209">
        <f t="shared" si="44"/>
        <v>-4149.5999999999913</v>
      </c>
      <c r="M27" s="209">
        <f t="shared" si="45"/>
        <v>28408.800000000017</v>
      </c>
      <c r="N27" s="36">
        <f t="shared" si="46"/>
        <v>-7.7844311377245359E-2</v>
      </c>
      <c r="O27" s="36">
        <f t="shared" si="47"/>
        <v>0.53293413173652737</v>
      </c>
      <c r="P27" s="627"/>
      <c r="Q27" s="630">
        <f t="shared" si="28"/>
        <v>15</v>
      </c>
      <c r="R27" s="629" t="str">
        <f t="shared" si="65"/>
        <v>54E</v>
      </c>
      <c r="S27" s="593" t="s">
        <v>570</v>
      </c>
      <c r="T27" s="426" t="s">
        <v>117</v>
      </c>
      <c r="U27" s="35">
        <f t="shared" si="60"/>
        <v>1330</v>
      </c>
      <c r="V27" s="330">
        <f t="shared" si="61"/>
        <v>3.08</v>
      </c>
      <c r="W27" s="330">
        <f t="shared" si="62"/>
        <v>5.12</v>
      </c>
      <c r="X27" s="330">
        <f t="shared" si="63"/>
        <v>3.08</v>
      </c>
      <c r="Y27" s="330">
        <f>'Sch 141A Lighting Tariff'!N143+'Sch 141C Lighting Tariff'!N143+'Sch 141N Lighting Tariff'!N145+'Sch 141R Lighting Tariff'!N145+X27</f>
        <v>5.4</v>
      </c>
      <c r="Z27" s="209">
        <f t="shared" si="52"/>
        <v>49156.800000000003</v>
      </c>
      <c r="AA27" s="209">
        <f t="shared" si="53"/>
        <v>81715.200000000012</v>
      </c>
      <c r="AB27" s="209">
        <f t="shared" si="54"/>
        <v>49156.800000000003</v>
      </c>
      <c r="AC27" s="209">
        <f t="shared" si="55"/>
        <v>86184.000000000015</v>
      </c>
      <c r="AD27" s="209">
        <f t="shared" si="56"/>
        <v>0</v>
      </c>
      <c r="AE27" s="209">
        <f t="shared" si="57"/>
        <v>4468.8000000000029</v>
      </c>
      <c r="AF27" s="36" t="str">
        <f t="shared" si="58"/>
        <v>0%</v>
      </c>
      <c r="AG27" s="36">
        <f t="shared" si="59"/>
        <v>5.4687500000000028E-2</v>
      </c>
      <c r="AH27" s="627"/>
      <c r="AI27" s="630">
        <f t="shared" si="38"/>
        <v>14</v>
      </c>
      <c r="AJ27" s="629" t="str">
        <f t="shared" si="66"/>
        <v>54E</v>
      </c>
      <c r="AK27" s="593" t="s">
        <v>570</v>
      </c>
      <c r="AL27" s="426" t="s">
        <v>117</v>
      </c>
      <c r="AM27" s="35"/>
      <c r="AN27" s="330"/>
      <c r="AO27" s="330"/>
      <c r="AP27" s="330"/>
      <c r="AQ27" s="330"/>
      <c r="AR27" s="209"/>
      <c r="AS27" s="209"/>
      <c r="AT27" s="209"/>
      <c r="AU27" s="209"/>
      <c r="AV27" s="209"/>
      <c r="AW27" s="209"/>
      <c r="AX27" s="36"/>
      <c r="AY27" s="36"/>
    </row>
    <row r="28" spans="1:51" x14ac:dyDescent="0.2">
      <c r="A28" s="630">
        <f t="shared" si="19"/>
        <v>16</v>
      </c>
      <c r="B28" s="629" t="str">
        <f t="shared" si="64"/>
        <v>54E</v>
      </c>
      <c r="C28" s="593" t="s">
        <v>571</v>
      </c>
      <c r="D28" s="426" t="s">
        <v>117</v>
      </c>
      <c r="E28" s="426">
        <f>'WP1 Light Inventory'!J139</f>
        <v>666</v>
      </c>
      <c r="F28" s="330">
        <f>'WP2 Current Light Rates'!E124</f>
        <v>4.3</v>
      </c>
      <c r="G28" s="330">
        <f>'BDJ-6 Combined Charges'!K146</f>
        <v>3.97</v>
      </c>
      <c r="H28" s="330">
        <f>'Sch 141A Lighting Tariff'!J144+'Sch 141C Lighting Tariff'!J144+'Sch 141N Lighting Tariff'!J146+'Sch 141R Lighting Tariff'!J146+G28</f>
        <v>6.58</v>
      </c>
      <c r="I28" s="209">
        <f t="shared" si="41"/>
        <v>34365.599999999999</v>
      </c>
      <c r="J28" s="209">
        <f t="shared" si="42"/>
        <v>31728.239999999998</v>
      </c>
      <c r="K28" s="209">
        <f t="shared" si="43"/>
        <v>52587.360000000001</v>
      </c>
      <c r="L28" s="209">
        <f t="shared" si="44"/>
        <v>-2637.3600000000006</v>
      </c>
      <c r="M28" s="209">
        <f t="shared" si="45"/>
        <v>18221.760000000002</v>
      </c>
      <c r="N28" s="36">
        <f t="shared" si="46"/>
        <v>-7.6744186046511648E-2</v>
      </c>
      <c r="O28" s="36">
        <f t="shared" si="47"/>
        <v>0.53023255813953496</v>
      </c>
      <c r="P28" s="627"/>
      <c r="Q28" s="630">
        <f t="shared" si="28"/>
        <v>16</v>
      </c>
      <c r="R28" s="629" t="str">
        <f t="shared" si="65"/>
        <v>54E</v>
      </c>
      <c r="S28" s="593" t="s">
        <v>571</v>
      </c>
      <c r="T28" s="426" t="s">
        <v>117</v>
      </c>
      <c r="U28" s="35">
        <f t="shared" si="60"/>
        <v>666</v>
      </c>
      <c r="V28" s="330">
        <f t="shared" si="61"/>
        <v>3.97</v>
      </c>
      <c r="W28" s="330">
        <f t="shared" si="62"/>
        <v>6.58</v>
      </c>
      <c r="X28" s="330">
        <f t="shared" si="63"/>
        <v>3.97</v>
      </c>
      <c r="Y28" s="330">
        <f>'Sch 141A Lighting Tariff'!N144+'Sch 141C Lighting Tariff'!N144+'Sch 141N Lighting Tariff'!N146+'Sch 141R Lighting Tariff'!N146+X28</f>
        <v>6.9499999999999993</v>
      </c>
      <c r="Z28" s="209">
        <f t="shared" si="52"/>
        <v>31728.239999999998</v>
      </c>
      <c r="AA28" s="209">
        <f t="shared" si="53"/>
        <v>52587.360000000001</v>
      </c>
      <c r="AB28" s="209">
        <f t="shared" si="54"/>
        <v>31728.239999999998</v>
      </c>
      <c r="AC28" s="209">
        <f t="shared" si="55"/>
        <v>55544.399999999994</v>
      </c>
      <c r="AD28" s="209">
        <f t="shared" si="56"/>
        <v>0</v>
      </c>
      <c r="AE28" s="209">
        <f t="shared" si="57"/>
        <v>2957.0399999999936</v>
      </c>
      <c r="AF28" s="36" t="str">
        <f t="shared" si="58"/>
        <v>0%</v>
      </c>
      <c r="AG28" s="36">
        <f t="shared" si="59"/>
        <v>5.6231003039513554E-2</v>
      </c>
      <c r="AH28" s="627"/>
      <c r="AI28" s="630">
        <f t="shared" si="38"/>
        <v>15</v>
      </c>
      <c r="AJ28" s="629" t="str">
        <f t="shared" si="66"/>
        <v>54E</v>
      </c>
      <c r="AK28" s="593" t="s">
        <v>571</v>
      </c>
      <c r="AL28" s="426" t="s">
        <v>117</v>
      </c>
      <c r="AM28" s="35"/>
      <c r="AN28" s="330"/>
      <c r="AO28" s="330"/>
      <c r="AP28" s="330"/>
      <c r="AQ28" s="330"/>
      <c r="AR28" s="209"/>
      <c r="AS28" s="209"/>
      <c r="AT28" s="209"/>
      <c r="AU28" s="209"/>
      <c r="AV28" s="209"/>
      <c r="AW28" s="209"/>
      <c r="AX28" s="36"/>
      <c r="AY28" s="36"/>
    </row>
    <row r="29" spans="1:51" x14ac:dyDescent="0.2">
      <c r="A29" s="630">
        <f t="shared" si="19"/>
        <v>17</v>
      </c>
      <c r="B29" s="629" t="str">
        <f t="shared" si="64"/>
        <v>54E</v>
      </c>
      <c r="C29" s="593" t="s">
        <v>572</v>
      </c>
      <c r="D29" s="426" t="s">
        <v>117</v>
      </c>
      <c r="E29" s="426">
        <f>'WP1 Light Inventory'!J140</f>
        <v>366</v>
      </c>
      <c r="F29" s="330">
        <f>'WP2 Current Light Rates'!E125</f>
        <v>5.26</v>
      </c>
      <c r="G29" s="330">
        <f>'BDJ-6 Combined Charges'!K147</f>
        <v>4.8499999999999996</v>
      </c>
      <c r="H29" s="330">
        <f>'Sch 141A Lighting Tariff'!J145+'Sch 141C Lighting Tariff'!J145+'Sch 141N Lighting Tariff'!J147+'Sch 141R Lighting Tariff'!J147+G29</f>
        <v>8.0399999999999991</v>
      </c>
      <c r="I29" s="209">
        <f t="shared" si="41"/>
        <v>23101.919999999998</v>
      </c>
      <c r="J29" s="209">
        <f t="shared" si="42"/>
        <v>21301.199999999997</v>
      </c>
      <c r="K29" s="209">
        <f t="shared" si="43"/>
        <v>35311.68</v>
      </c>
      <c r="L29" s="209">
        <f t="shared" si="44"/>
        <v>-1800.7200000000012</v>
      </c>
      <c r="M29" s="209">
        <f t="shared" si="45"/>
        <v>12209.760000000002</v>
      </c>
      <c r="N29" s="36">
        <f t="shared" si="46"/>
        <v>-7.7946768060836558E-2</v>
      </c>
      <c r="O29" s="36">
        <f t="shared" si="47"/>
        <v>0.52851711026615977</v>
      </c>
      <c r="P29" s="627"/>
      <c r="Q29" s="630">
        <f t="shared" si="28"/>
        <v>17</v>
      </c>
      <c r="R29" s="629" t="str">
        <f t="shared" si="65"/>
        <v>54E</v>
      </c>
      <c r="S29" s="593" t="s">
        <v>572</v>
      </c>
      <c r="T29" s="426" t="s">
        <v>117</v>
      </c>
      <c r="U29" s="35">
        <f t="shared" si="60"/>
        <v>366</v>
      </c>
      <c r="V29" s="330">
        <f t="shared" si="61"/>
        <v>4.8499999999999996</v>
      </c>
      <c r="W29" s="330">
        <f t="shared" si="62"/>
        <v>8.0399999999999991</v>
      </c>
      <c r="X29" s="330">
        <f t="shared" si="63"/>
        <v>4.8499999999999996</v>
      </c>
      <c r="Y29" s="330">
        <f>'Sch 141A Lighting Tariff'!N145+'Sch 141C Lighting Tariff'!N145+'Sch 141N Lighting Tariff'!N147+'Sch 141R Lighting Tariff'!N147+X29</f>
        <v>8.4899999999999984</v>
      </c>
      <c r="Z29" s="209">
        <f t="shared" si="52"/>
        <v>21301.199999999997</v>
      </c>
      <c r="AA29" s="209">
        <f t="shared" si="53"/>
        <v>35311.68</v>
      </c>
      <c r="AB29" s="209">
        <f t="shared" si="54"/>
        <v>21301.199999999997</v>
      </c>
      <c r="AC29" s="209">
        <f t="shared" si="55"/>
        <v>37288.079999999987</v>
      </c>
      <c r="AD29" s="209">
        <f t="shared" si="56"/>
        <v>0</v>
      </c>
      <c r="AE29" s="209">
        <f t="shared" si="57"/>
        <v>1976.3999999999869</v>
      </c>
      <c r="AF29" s="36" t="str">
        <f t="shared" si="58"/>
        <v>0%</v>
      </c>
      <c r="AG29" s="36">
        <f t="shared" si="59"/>
        <v>5.5970149253730971E-2</v>
      </c>
      <c r="AH29" s="627"/>
      <c r="AI29" s="630">
        <f t="shared" si="38"/>
        <v>16</v>
      </c>
      <c r="AJ29" s="629" t="str">
        <f t="shared" si="66"/>
        <v>54E</v>
      </c>
      <c r="AK29" s="593" t="s">
        <v>572</v>
      </c>
      <c r="AL29" s="426" t="s">
        <v>117</v>
      </c>
      <c r="AM29" s="35"/>
      <c r="AN29" s="330"/>
      <c r="AO29" s="330"/>
      <c r="AP29" s="330"/>
      <c r="AQ29" s="330"/>
      <c r="AR29" s="209"/>
      <c r="AS29" s="209"/>
      <c r="AT29" s="209"/>
      <c r="AU29" s="209"/>
      <c r="AV29" s="209"/>
      <c r="AW29" s="209"/>
      <c r="AX29" s="36"/>
      <c r="AY29" s="36"/>
    </row>
    <row r="30" spans="1:51" x14ac:dyDescent="0.2">
      <c r="A30" s="630">
        <f t="shared" si="19"/>
        <v>18</v>
      </c>
      <c r="B30" s="629" t="str">
        <f t="shared" si="64"/>
        <v>54E</v>
      </c>
      <c r="C30" s="593" t="s">
        <v>587</v>
      </c>
      <c r="D30" s="426" t="s">
        <v>117</v>
      </c>
      <c r="E30" s="426">
        <f>'WP1 Light Inventory'!J141</f>
        <v>14</v>
      </c>
      <c r="F30" s="330">
        <f>'WP2 Current Light Rates'!E126</f>
        <v>6.21</v>
      </c>
      <c r="G30" s="330">
        <f>'BDJ-6 Combined Charges'!K148</f>
        <v>5.74</v>
      </c>
      <c r="H30" s="330">
        <f>'Sch 141A Lighting Tariff'!J146+'Sch 141C Lighting Tariff'!J146+'Sch 141N Lighting Tariff'!J148+'Sch 141R Lighting Tariff'!J148+G30</f>
        <v>9.5300000000000011</v>
      </c>
      <c r="I30" s="209">
        <f t="shared" si="41"/>
        <v>1043.28</v>
      </c>
      <c r="J30" s="209">
        <f t="shared" si="42"/>
        <v>964.31999999999994</v>
      </c>
      <c r="K30" s="209">
        <f t="shared" si="43"/>
        <v>1601.0400000000002</v>
      </c>
      <c r="L30" s="209">
        <f t="shared" si="44"/>
        <v>-78.960000000000036</v>
      </c>
      <c r="M30" s="209">
        <f t="shared" si="45"/>
        <v>557.76000000000022</v>
      </c>
      <c r="N30" s="36">
        <f t="shared" si="46"/>
        <v>-7.568438003220615E-2</v>
      </c>
      <c r="O30" s="36">
        <f t="shared" si="47"/>
        <v>0.53462157809983923</v>
      </c>
      <c r="P30" s="627"/>
      <c r="Q30" s="630">
        <f t="shared" si="28"/>
        <v>18</v>
      </c>
      <c r="R30" s="629" t="str">
        <f t="shared" si="65"/>
        <v>54E</v>
      </c>
      <c r="S30" s="593" t="s">
        <v>587</v>
      </c>
      <c r="T30" s="426" t="s">
        <v>117</v>
      </c>
      <c r="U30" s="35">
        <f t="shared" si="60"/>
        <v>14</v>
      </c>
      <c r="V30" s="330">
        <f t="shared" si="61"/>
        <v>5.74</v>
      </c>
      <c r="W30" s="330">
        <f t="shared" si="62"/>
        <v>9.5300000000000011</v>
      </c>
      <c r="X30" s="330">
        <f t="shared" si="63"/>
        <v>5.74</v>
      </c>
      <c r="Y30" s="330">
        <f>'Sch 141A Lighting Tariff'!N146+'Sch 141C Lighting Tariff'!N146+'Sch 141N Lighting Tariff'!N148+'Sch 141R Lighting Tariff'!N148+X30</f>
        <v>10.030000000000001</v>
      </c>
      <c r="Z30" s="209">
        <f t="shared" si="52"/>
        <v>964.31999999999994</v>
      </c>
      <c r="AA30" s="209">
        <f t="shared" si="53"/>
        <v>1601.0400000000002</v>
      </c>
      <c r="AB30" s="209">
        <f t="shared" si="54"/>
        <v>964.31999999999994</v>
      </c>
      <c r="AC30" s="209">
        <f t="shared" si="55"/>
        <v>1685.0400000000002</v>
      </c>
      <c r="AD30" s="209">
        <f t="shared" si="56"/>
        <v>0</v>
      </c>
      <c r="AE30" s="209">
        <f t="shared" si="57"/>
        <v>84</v>
      </c>
      <c r="AF30" s="36" t="str">
        <f t="shared" si="58"/>
        <v>0%</v>
      </c>
      <c r="AG30" s="36">
        <f t="shared" si="59"/>
        <v>5.2465897166841545E-2</v>
      </c>
      <c r="AH30" s="627"/>
      <c r="AI30" s="630">
        <f t="shared" si="38"/>
        <v>17</v>
      </c>
      <c r="AJ30" s="629" t="str">
        <f t="shared" si="66"/>
        <v>54E</v>
      </c>
      <c r="AK30" s="593" t="s">
        <v>587</v>
      </c>
      <c r="AL30" s="426" t="s">
        <v>117</v>
      </c>
      <c r="AM30" s="35"/>
      <c r="AN30" s="330"/>
      <c r="AO30" s="330"/>
      <c r="AP30" s="330"/>
      <c r="AQ30" s="330"/>
      <c r="AR30" s="209"/>
      <c r="AS30" s="209"/>
      <c r="AT30" s="209"/>
      <c r="AU30" s="209"/>
      <c r="AV30" s="209"/>
      <c r="AW30" s="209"/>
      <c r="AX30" s="36"/>
      <c r="AY30" s="36"/>
    </row>
    <row r="31" spans="1:51" x14ac:dyDescent="0.2">
      <c r="A31" s="630">
        <f t="shared" si="19"/>
        <v>19</v>
      </c>
      <c r="B31" s="629" t="str">
        <f t="shared" si="64"/>
        <v>54E</v>
      </c>
      <c r="C31" s="593" t="s">
        <v>586</v>
      </c>
      <c r="D31" s="426" t="s">
        <v>117</v>
      </c>
      <c r="E31" s="426">
        <f>'WP1 Light Inventory'!J142</f>
        <v>38</v>
      </c>
      <c r="F31" s="330">
        <f>'WP2 Current Light Rates'!E127</f>
        <v>7.17</v>
      </c>
      <c r="G31" s="330">
        <f>'BDJ-6 Combined Charges'!K149</f>
        <v>6.63</v>
      </c>
      <c r="H31" s="330">
        <f>'Sch 141A Lighting Tariff'!J147+'Sch 141C Lighting Tariff'!J147+'Sch 141N Lighting Tariff'!J149+'Sch 141R Lighting Tariff'!J149+G31</f>
        <v>11.01</v>
      </c>
      <c r="I31" s="209">
        <f t="shared" si="41"/>
        <v>3269.5199999999995</v>
      </c>
      <c r="J31" s="209">
        <f t="shared" si="42"/>
        <v>3023.2799999999997</v>
      </c>
      <c r="K31" s="209">
        <f t="shared" si="43"/>
        <v>5020.5599999999995</v>
      </c>
      <c r="L31" s="209">
        <f t="shared" si="44"/>
        <v>-246.23999999999978</v>
      </c>
      <c r="M31" s="209">
        <f t="shared" si="45"/>
        <v>1751.04</v>
      </c>
      <c r="N31" s="36">
        <f t="shared" si="46"/>
        <v>-7.53138075313807E-2</v>
      </c>
      <c r="O31" s="36">
        <f t="shared" si="47"/>
        <v>0.53556485355648542</v>
      </c>
      <c r="P31" s="627"/>
      <c r="Q31" s="630">
        <f t="shared" si="28"/>
        <v>19</v>
      </c>
      <c r="R31" s="629" t="str">
        <f t="shared" si="65"/>
        <v>54E</v>
      </c>
      <c r="S31" s="593" t="s">
        <v>586</v>
      </c>
      <c r="T31" s="426" t="s">
        <v>117</v>
      </c>
      <c r="U31" s="35">
        <f t="shared" si="60"/>
        <v>38</v>
      </c>
      <c r="V31" s="330">
        <f t="shared" si="61"/>
        <v>6.63</v>
      </c>
      <c r="W31" s="330">
        <f t="shared" si="62"/>
        <v>11.01</v>
      </c>
      <c r="X31" s="330">
        <f t="shared" si="63"/>
        <v>6.63</v>
      </c>
      <c r="Y31" s="330">
        <f>'Sch 141A Lighting Tariff'!N147+'Sch 141C Lighting Tariff'!N147+'Sch 141N Lighting Tariff'!N149+'Sch 141R Lighting Tariff'!N149+X31</f>
        <v>11.58</v>
      </c>
      <c r="Z31" s="209">
        <f t="shared" si="52"/>
        <v>3023.2799999999997</v>
      </c>
      <c r="AA31" s="209">
        <f t="shared" si="53"/>
        <v>5020.5599999999995</v>
      </c>
      <c r="AB31" s="209">
        <f t="shared" si="54"/>
        <v>3023.2799999999997</v>
      </c>
      <c r="AC31" s="209">
        <f t="shared" si="55"/>
        <v>5280.4800000000005</v>
      </c>
      <c r="AD31" s="209">
        <f t="shared" si="56"/>
        <v>0</v>
      </c>
      <c r="AE31" s="209">
        <f t="shared" si="57"/>
        <v>259.92000000000098</v>
      </c>
      <c r="AF31" s="36" t="str">
        <f t="shared" si="58"/>
        <v>0%</v>
      </c>
      <c r="AG31" s="36">
        <f t="shared" si="59"/>
        <v>5.1771117166212736E-2</v>
      </c>
      <c r="AH31" s="627"/>
      <c r="AI31" s="630">
        <f t="shared" si="38"/>
        <v>18</v>
      </c>
      <c r="AJ31" s="629" t="str">
        <f t="shared" si="66"/>
        <v>54E</v>
      </c>
      <c r="AK31" s="593" t="s">
        <v>586</v>
      </c>
      <c r="AL31" s="426" t="s">
        <v>117</v>
      </c>
      <c r="AM31" s="35"/>
      <c r="AN31" s="330"/>
      <c r="AO31" s="330"/>
      <c r="AP31" s="330"/>
      <c r="AQ31" s="330"/>
      <c r="AR31" s="209"/>
      <c r="AS31" s="209"/>
      <c r="AT31" s="209"/>
      <c r="AU31" s="209"/>
      <c r="AV31" s="209"/>
      <c r="AW31" s="209"/>
      <c r="AX31" s="36"/>
      <c r="AY31" s="36"/>
    </row>
    <row r="32" spans="1:51" x14ac:dyDescent="0.2">
      <c r="A32" s="630">
        <f t="shared" si="19"/>
        <v>20</v>
      </c>
      <c r="B32" s="629" t="str">
        <f t="shared" si="64"/>
        <v>54E</v>
      </c>
      <c r="C32" s="593" t="s">
        <v>573</v>
      </c>
      <c r="D32" s="426" t="s">
        <v>117</v>
      </c>
      <c r="E32" s="426">
        <f>'WP1 Light Inventory'!J143</f>
        <v>3</v>
      </c>
      <c r="F32" s="330">
        <f>'WP2 Current Light Rates'!E128</f>
        <v>8.1199999999999992</v>
      </c>
      <c r="G32" s="330">
        <f>'BDJ-6 Combined Charges'!K150</f>
        <v>7.51</v>
      </c>
      <c r="H32" s="330">
        <f>'Sch 141A Lighting Tariff'!J148+'Sch 141C Lighting Tariff'!J148+'Sch 141N Lighting Tariff'!J150+'Sch 141R Lighting Tariff'!J150+G32</f>
        <v>12.45</v>
      </c>
      <c r="I32" s="209">
        <f t="shared" si="41"/>
        <v>292.32</v>
      </c>
      <c r="J32" s="209">
        <f t="shared" si="42"/>
        <v>270.36</v>
      </c>
      <c r="K32" s="209">
        <f t="shared" si="43"/>
        <v>448.19999999999993</v>
      </c>
      <c r="L32" s="209">
        <f t="shared" si="44"/>
        <v>-21.95999999999998</v>
      </c>
      <c r="M32" s="209">
        <f t="shared" si="45"/>
        <v>155.87999999999994</v>
      </c>
      <c r="N32" s="36">
        <f t="shared" si="46"/>
        <v>-7.5123152709359542E-2</v>
      </c>
      <c r="O32" s="36">
        <f t="shared" si="47"/>
        <v>0.53325123152709342</v>
      </c>
      <c r="P32" s="627"/>
      <c r="Q32" s="630">
        <f t="shared" si="28"/>
        <v>20</v>
      </c>
      <c r="R32" s="629" t="str">
        <f t="shared" si="65"/>
        <v>54E</v>
      </c>
      <c r="S32" s="593" t="s">
        <v>573</v>
      </c>
      <c r="T32" s="426" t="s">
        <v>117</v>
      </c>
      <c r="U32" s="35">
        <f t="shared" si="60"/>
        <v>3</v>
      </c>
      <c r="V32" s="330">
        <f t="shared" si="61"/>
        <v>7.51</v>
      </c>
      <c r="W32" s="330">
        <f t="shared" si="62"/>
        <v>12.45</v>
      </c>
      <c r="X32" s="330">
        <f t="shared" si="63"/>
        <v>7.51</v>
      </c>
      <c r="Y32" s="330">
        <f>'Sch 141A Lighting Tariff'!N148+'Sch 141C Lighting Tariff'!N148+'Sch 141N Lighting Tariff'!N150+'Sch 141R Lighting Tariff'!N150+X32</f>
        <v>13.129999999999999</v>
      </c>
      <c r="Z32" s="209">
        <f t="shared" si="52"/>
        <v>270.36</v>
      </c>
      <c r="AA32" s="209">
        <f t="shared" si="53"/>
        <v>448.19999999999993</v>
      </c>
      <c r="AB32" s="209">
        <f t="shared" si="54"/>
        <v>270.36</v>
      </c>
      <c r="AC32" s="209">
        <f t="shared" si="55"/>
        <v>472.68</v>
      </c>
      <c r="AD32" s="209">
        <f t="shared" si="56"/>
        <v>0</v>
      </c>
      <c r="AE32" s="209">
        <f t="shared" si="57"/>
        <v>24.480000000000075</v>
      </c>
      <c r="AF32" s="36" t="str">
        <f t="shared" si="58"/>
        <v>0%</v>
      </c>
      <c r="AG32" s="36">
        <f t="shared" si="59"/>
        <v>5.4618473895582505E-2</v>
      </c>
      <c r="AH32" s="627"/>
      <c r="AI32" s="630">
        <f t="shared" si="38"/>
        <v>19</v>
      </c>
      <c r="AJ32" s="629" t="str">
        <f t="shared" si="66"/>
        <v>54E</v>
      </c>
      <c r="AK32" s="593" t="s">
        <v>573</v>
      </c>
      <c r="AL32" s="426" t="s">
        <v>117</v>
      </c>
      <c r="AM32" s="35"/>
      <c r="AN32" s="330"/>
      <c r="AO32" s="330"/>
      <c r="AP32" s="330"/>
      <c r="AQ32" s="330"/>
      <c r="AR32" s="209"/>
      <c r="AS32" s="209"/>
      <c r="AT32" s="209"/>
      <c r="AU32" s="209"/>
      <c r="AV32" s="209"/>
      <c r="AW32" s="209"/>
      <c r="AX32" s="36"/>
      <c r="AY32" s="36"/>
    </row>
    <row r="33" spans="1:51" x14ac:dyDescent="0.2">
      <c r="A33" s="630">
        <f t="shared" si="19"/>
        <v>21</v>
      </c>
      <c r="B33" s="629" t="str">
        <f t="shared" si="64"/>
        <v>54E</v>
      </c>
      <c r="C33" s="593" t="s">
        <v>574</v>
      </c>
      <c r="D33" s="426" t="s">
        <v>117</v>
      </c>
      <c r="E33" s="426">
        <f>'WP1 Light Inventory'!J144</f>
        <v>0</v>
      </c>
      <c r="F33" s="330">
        <f>'WP2 Current Light Rates'!E129</f>
        <v>9.08</v>
      </c>
      <c r="G33" s="330">
        <f>'BDJ-6 Combined Charges'!K151</f>
        <v>8.39</v>
      </c>
      <c r="H33" s="330">
        <f>'Sch 141A Lighting Tariff'!J149+'Sch 141C Lighting Tariff'!J149+'Sch 141N Lighting Tariff'!J151+'Sch 141R Lighting Tariff'!J151+G33</f>
        <v>13.920000000000002</v>
      </c>
      <c r="I33" s="209">
        <f t="shared" si="41"/>
        <v>0</v>
      </c>
      <c r="J33" s="209">
        <f t="shared" si="42"/>
        <v>0</v>
      </c>
      <c r="K33" s="209">
        <f t="shared" si="43"/>
        <v>0</v>
      </c>
      <c r="L33" s="209">
        <f t="shared" si="44"/>
        <v>0</v>
      </c>
      <c r="M33" s="209">
        <f t="shared" si="45"/>
        <v>0</v>
      </c>
      <c r="N33" s="36" t="str">
        <f t="shared" si="46"/>
        <v>0%</v>
      </c>
      <c r="O33" s="36" t="str">
        <f t="shared" si="47"/>
        <v>0%</v>
      </c>
      <c r="P33" s="627"/>
      <c r="Q33" s="630">
        <f t="shared" si="28"/>
        <v>21</v>
      </c>
      <c r="R33" s="629" t="str">
        <f t="shared" si="65"/>
        <v>54E</v>
      </c>
      <c r="S33" s="593" t="s">
        <v>574</v>
      </c>
      <c r="T33" s="426" t="s">
        <v>117</v>
      </c>
      <c r="U33" s="35">
        <f t="shared" si="60"/>
        <v>0</v>
      </c>
      <c r="V33" s="330">
        <f t="shared" si="61"/>
        <v>8.39</v>
      </c>
      <c r="W33" s="330">
        <f t="shared" si="62"/>
        <v>13.920000000000002</v>
      </c>
      <c r="X33" s="330">
        <f t="shared" si="63"/>
        <v>8.39</v>
      </c>
      <c r="Y33" s="330">
        <f>'Sch 141A Lighting Tariff'!N149+'Sch 141C Lighting Tariff'!N149+'Sch 141N Lighting Tariff'!N151+'Sch 141R Lighting Tariff'!N151+X33</f>
        <v>14.670000000000002</v>
      </c>
      <c r="Z33" s="209">
        <f t="shared" si="52"/>
        <v>0</v>
      </c>
      <c r="AA33" s="209">
        <f t="shared" si="53"/>
        <v>0</v>
      </c>
      <c r="AB33" s="209">
        <f t="shared" si="54"/>
        <v>0</v>
      </c>
      <c r="AC33" s="209">
        <f t="shared" si="55"/>
        <v>0</v>
      </c>
      <c r="AD33" s="209">
        <f t="shared" si="56"/>
        <v>0</v>
      </c>
      <c r="AE33" s="209">
        <f t="shared" si="57"/>
        <v>0</v>
      </c>
      <c r="AF33" s="36" t="str">
        <f t="shared" si="58"/>
        <v>0%</v>
      </c>
      <c r="AG33" s="36" t="str">
        <f t="shared" si="59"/>
        <v>0%</v>
      </c>
      <c r="AH33" s="627"/>
      <c r="AI33" s="630">
        <f t="shared" si="38"/>
        <v>20</v>
      </c>
      <c r="AJ33" s="629" t="str">
        <f t="shared" si="66"/>
        <v>54E</v>
      </c>
      <c r="AK33" s="593" t="s">
        <v>574</v>
      </c>
      <c r="AL33" s="426" t="s">
        <v>117</v>
      </c>
      <c r="AM33" s="35"/>
      <c r="AN33" s="330"/>
      <c r="AO33" s="330"/>
      <c r="AP33" s="330"/>
      <c r="AQ33" s="330"/>
      <c r="AR33" s="209"/>
      <c r="AS33" s="209"/>
      <c r="AT33" s="209"/>
      <c r="AU33" s="209"/>
      <c r="AV33" s="209"/>
      <c r="AW33" s="209"/>
      <c r="AX33" s="36"/>
      <c r="AY33" s="36"/>
    </row>
    <row r="34" spans="1:51" x14ac:dyDescent="0.2">
      <c r="A34" s="630">
        <f t="shared" si="19"/>
        <v>22</v>
      </c>
      <c r="B34" s="629" t="str">
        <f t="shared" si="64"/>
        <v>54E</v>
      </c>
      <c r="C34" s="364"/>
      <c r="D34" s="364" t="s">
        <v>117</v>
      </c>
      <c r="E34" s="272">
        <f>SUM(E24:E33)</f>
        <v>3748</v>
      </c>
      <c r="F34" s="42"/>
      <c r="G34" s="42"/>
      <c r="H34" s="42"/>
      <c r="I34" s="266">
        <f t="shared" ref="I34:M34" si="67">SUM(I24:I33)</f>
        <v>138956.27999999997</v>
      </c>
      <c r="J34" s="266">
        <f t="shared" si="67"/>
        <v>128203.07999999999</v>
      </c>
      <c r="K34" s="266">
        <f t="shared" si="67"/>
        <v>212791.68000000002</v>
      </c>
      <c r="L34" s="266">
        <f t="shared" si="67"/>
        <v>-10753.199999999995</v>
      </c>
      <c r="M34" s="266">
        <f t="shared" si="67"/>
        <v>73835.400000000023</v>
      </c>
      <c r="N34" s="267">
        <f t="shared" ref="N34" si="68">IF(+L34=0,"0%",L34/I34)</f>
        <v>-7.7385491321442956E-2</v>
      </c>
      <c r="O34" s="267">
        <f t="shared" ref="O34" si="69">IF(+M34=0,"0%",M34/I34)</f>
        <v>0.53135705705420466</v>
      </c>
      <c r="P34" s="627"/>
      <c r="Q34" s="630">
        <f t="shared" si="28"/>
        <v>22</v>
      </c>
      <c r="R34" s="629" t="str">
        <f t="shared" si="65"/>
        <v>54E</v>
      </c>
      <c r="S34" s="364"/>
      <c r="T34" s="364" t="s">
        <v>117</v>
      </c>
      <c r="U34" s="272">
        <f>SUM(U24:U33)</f>
        <v>3748</v>
      </c>
      <c r="V34" s="42"/>
      <c r="W34" s="42"/>
      <c r="X34" s="42"/>
      <c r="Y34" s="42"/>
      <c r="Z34" s="266">
        <f t="shared" ref="Z34:AE34" si="70">SUM(Z24:Z33)</f>
        <v>128203.07999999999</v>
      </c>
      <c r="AA34" s="266">
        <f t="shared" si="70"/>
        <v>212791.68000000002</v>
      </c>
      <c r="AB34" s="266">
        <f t="shared" si="70"/>
        <v>128203.07999999999</v>
      </c>
      <c r="AC34" s="266">
        <f t="shared" si="70"/>
        <v>224532.72</v>
      </c>
      <c r="AD34" s="266">
        <f t="shared" si="70"/>
        <v>0</v>
      </c>
      <c r="AE34" s="266">
        <f t="shared" si="70"/>
        <v>11741.039999999972</v>
      </c>
      <c r="AF34" s="267" t="str">
        <f t="shared" ref="AF34" si="71">IF(+AD34=0,"0%",AD34/Z34)</f>
        <v>0%</v>
      </c>
      <c r="AG34" s="267">
        <f t="shared" ref="AG34" si="72">IF(+AE34=0,"0%",AE34/AA34)</f>
        <v>5.5176217416019135E-2</v>
      </c>
      <c r="AH34" s="627"/>
      <c r="AI34" s="630">
        <f t="shared" si="38"/>
        <v>21</v>
      </c>
      <c r="AJ34" s="629" t="str">
        <f t="shared" si="66"/>
        <v>54E</v>
      </c>
      <c r="AK34" s="364"/>
      <c r="AL34" s="364" t="s">
        <v>117</v>
      </c>
      <c r="AM34" s="272"/>
      <c r="AN34" s="42"/>
      <c r="AO34" s="42"/>
      <c r="AP34" s="42"/>
      <c r="AQ34" s="42"/>
      <c r="AR34" s="266"/>
      <c r="AS34" s="266"/>
      <c r="AT34" s="266"/>
      <c r="AU34" s="266"/>
      <c r="AV34" s="266"/>
      <c r="AW34" s="266"/>
      <c r="AX34" s="267"/>
      <c r="AY34" s="267"/>
    </row>
    <row r="35" spans="1:51" x14ac:dyDescent="0.2">
      <c r="A35" s="630">
        <f t="shared" si="19"/>
        <v>23</v>
      </c>
      <c r="B35" s="629"/>
      <c r="C35" s="426"/>
      <c r="D35" s="426"/>
      <c r="E35" s="426"/>
      <c r="F35" s="330"/>
      <c r="G35" s="330"/>
      <c r="H35" s="330"/>
      <c r="I35" s="209"/>
      <c r="J35" s="209"/>
      <c r="K35" s="209"/>
      <c r="L35" s="209"/>
      <c r="M35" s="209"/>
      <c r="N35" s="518"/>
      <c r="O35" s="518"/>
      <c r="P35" s="627"/>
      <c r="Q35" s="630">
        <f t="shared" si="28"/>
        <v>23</v>
      </c>
      <c r="R35" s="629"/>
      <c r="S35" s="426"/>
      <c r="T35" s="426"/>
      <c r="U35" s="426"/>
      <c r="V35" s="330"/>
      <c r="W35" s="330"/>
      <c r="X35" s="330"/>
      <c r="Y35" s="330"/>
      <c r="Z35" s="209"/>
      <c r="AA35" s="209"/>
      <c r="AB35" s="209"/>
      <c r="AC35" s="209"/>
      <c r="AD35" s="209"/>
      <c r="AE35" s="209"/>
      <c r="AF35" s="36"/>
      <c r="AG35" s="518"/>
      <c r="AH35" s="627"/>
      <c r="AI35" s="630">
        <f t="shared" si="38"/>
        <v>22</v>
      </c>
      <c r="AJ35" s="629"/>
      <c r="AK35" s="426"/>
      <c r="AL35" s="426"/>
      <c r="AM35" s="426"/>
      <c r="AN35" s="330"/>
      <c r="AO35" s="330"/>
      <c r="AP35" s="330"/>
      <c r="AQ35" s="330"/>
      <c r="AR35" s="209"/>
      <c r="AS35" s="209"/>
      <c r="AT35" s="209"/>
      <c r="AU35" s="209"/>
      <c r="AV35" s="209"/>
      <c r="AW35" s="209"/>
      <c r="AX35" s="36"/>
      <c r="AY35" s="518"/>
    </row>
    <row r="36" spans="1:51" ht="10.8" thickBot="1" x14ac:dyDescent="0.25">
      <c r="A36" s="630">
        <f t="shared" si="19"/>
        <v>24</v>
      </c>
      <c r="B36" s="629" t="s">
        <v>20</v>
      </c>
      <c r="C36" s="82"/>
      <c r="D36" s="82"/>
      <c r="E36" s="82">
        <f>E22+E34</f>
        <v>9034</v>
      </c>
      <c r="F36" s="534"/>
      <c r="G36" s="534"/>
      <c r="H36" s="534"/>
      <c r="I36" s="147">
        <f>I22+I34</f>
        <v>518882.04</v>
      </c>
      <c r="J36" s="147">
        <f>J22+J34</f>
        <v>479348.76</v>
      </c>
      <c r="K36" s="147">
        <f>K22+K34</f>
        <v>795237.12000000011</v>
      </c>
      <c r="L36" s="147">
        <f>L22+L34</f>
        <v>-39533.279999999992</v>
      </c>
      <c r="M36" s="147">
        <f>M22+M34</f>
        <v>276355.08000000007</v>
      </c>
      <c r="N36" s="270">
        <f>IF(+L36=0,"0%",L36/I36)</f>
        <v>-7.6189339681134449E-2</v>
      </c>
      <c r="O36" s="270">
        <f>IF(+M36=0,"0%",M36/I36)</f>
        <v>0.53259711976155522</v>
      </c>
      <c r="P36" s="627"/>
      <c r="Q36" s="630">
        <f t="shared" si="28"/>
        <v>24</v>
      </c>
      <c r="R36" s="629" t="s">
        <v>20</v>
      </c>
      <c r="S36" s="82"/>
      <c r="T36" s="82"/>
      <c r="U36" s="82">
        <f>U22+U34</f>
        <v>9034</v>
      </c>
      <c r="V36" s="534"/>
      <c r="W36" s="534"/>
      <c r="X36" s="534"/>
      <c r="Y36" s="534"/>
      <c r="Z36" s="147">
        <f t="shared" ref="Z36:AE36" si="73">Z22+Z34</f>
        <v>479348.76</v>
      </c>
      <c r="AA36" s="147">
        <f t="shared" si="73"/>
        <v>795237.12000000011</v>
      </c>
      <c r="AB36" s="147">
        <f t="shared" si="73"/>
        <v>479348.76</v>
      </c>
      <c r="AC36" s="147">
        <f t="shared" si="73"/>
        <v>838466.64</v>
      </c>
      <c r="AD36" s="147">
        <f t="shared" si="73"/>
        <v>0</v>
      </c>
      <c r="AE36" s="147">
        <f t="shared" si="73"/>
        <v>43229.519999999975</v>
      </c>
      <c r="AF36" s="38" t="str">
        <f>IF(+AD36=0,"0%",AD36/Z36)</f>
        <v>0%</v>
      </c>
      <c r="AG36" s="270">
        <f>IF(+AE36=0,"0%",AE36/AA36)</f>
        <v>5.4360540916399837E-2</v>
      </c>
      <c r="AH36" s="627"/>
      <c r="AI36" s="630">
        <f t="shared" si="38"/>
        <v>23</v>
      </c>
      <c r="AJ36" s="629" t="s">
        <v>20</v>
      </c>
      <c r="AK36" s="82"/>
      <c r="AL36" s="82"/>
      <c r="AM36" s="82"/>
      <c r="AN36" s="534"/>
      <c r="AO36" s="534"/>
      <c r="AP36" s="534"/>
      <c r="AQ36" s="534"/>
      <c r="AR36" s="147"/>
      <c r="AS36" s="147"/>
      <c r="AT36" s="147"/>
      <c r="AU36" s="147"/>
      <c r="AV36" s="147"/>
      <c r="AW36" s="147"/>
      <c r="AX36" s="38"/>
      <c r="AY36" s="270"/>
    </row>
    <row r="37" spans="1:51" ht="10.8" thickTop="1" x14ac:dyDescent="0.2"/>
    <row r="38" spans="1:51" ht="13.8" x14ac:dyDescent="0.3">
      <c r="B38" s="633"/>
    </row>
  </sheetData>
  <mergeCells count="21">
    <mergeCell ref="A4:O4"/>
    <mergeCell ref="A5:O5"/>
    <mergeCell ref="A3:O3"/>
    <mergeCell ref="A6:O6"/>
    <mergeCell ref="J8:O8"/>
    <mergeCell ref="Q6:AG6"/>
    <mergeCell ref="AB8:AG8"/>
    <mergeCell ref="A1:O1"/>
    <mergeCell ref="A2:O2"/>
    <mergeCell ref="AT8:AY8"/>
    <mergeCell ref="AI1:AY1"/>
    <mergeCell ref="AI2:AY2"/>
    <mergeCell ref="AI3:AY3"/>
    <mergeCell ref="AI4:AY4"/>
    <mergeCell ref="AI5:AY5"/>
    <mergeCell ref="AI6:AY6"/>
    <mergeCell ref="Q1:AG1"/>
    <mergeCell ref="Q2:AG2"/>
    <mergeCell ref="Q3:AG3"/>
    <mergeCell ref="Q4:AG4"/>
    <mergeCell ref="Q5:AG5"/>
  </mergeCells>
  <printOptions horizontalCentered="1"/>
  <pageMargins left="0.25" right="0.25" top="1" bottom="1" header="0.5" footer="0.5"/>
  <pageSetup scale="80" fitToWidth="3" fitToHeight="0" orientation="landscape" r:id="rId1"/>
  <headerFooter alignWithMargins="0">
    <oddFooter>&amp;R&amp;"Times New Roman,Regular"&amp;F
&amp;A
&amp;P of &amp;N</oddFooter>
  </headerFooter>
  <colBreaks count="2" manualBreakCount="2">
    <brk id="16" max="1048575" man="1"/>
    <brk id="34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41"/>
  <sheetViews>
    <sheetView zoomScaleNormal="100" workbookViewId="0">
      <selection activeCell="B31" sqref="B31"/>
    </sheetView>
  </sheetViews>
  <sheetFormatPr defaultColWidth="9.109375" defaultRowHeight="10.199999999999999" x14ac:dyDescent="0.2"/>
  <cols>
    <col min="1" max="1" width="6" style="88" customWidth="1"/>
    <col min="2" max="2" width="35" style="88" customWidth="1"/>
    <col min="3" max="3" width="9.88671875" style="88" bestFit="1" customWidth="1"/>
    <col min="4" max="4" width="11.33203125" style="88" bestFit="1" customWidth="1"/>
    <col min="5" max="5" width="11.44140625" style="88" bestFit="1" customWidth="1"/>
    <col min="6" max="6" width="12.5546875" style="88" bestFit="1" customWidth="1"/>
    <col min="7" max="7" width="9.88671875" style="88" bestFit="1" customWidth="1"/>
    <col min="8" max="8" width="12.33203125" style="88" bestFit="1" customWidth="1"/>
    <col min="9" max="9" width="9" style="88" bestFit="1" customWidth="1"/>
    <col min="10" max="10" width="11.109375" style="88" bestFit="1" customWidth="1"/>
    <col min="11" max="11" width="0.88671875" style="88" customWidth="1"/>
    <col min="12" max="12" width="5.88671875" style="88" customWidth="1"/>
    <col min="13" max="13" width="18.6640625" style="88" bestFit="1" customWidth="1"/>
    <col min="14" max="14" width="9.88671875" style="88" bestFit="1" customWidth="1"/>
    <col min="15" max="17" width="11.44140625" style="88" bestFit="1" customWidth="1"/>
    <col min="18" max="18" width="12.5546875" style="88" bestFit="1" customWidth="1"/>
    <col min="19" max="19" width="8.109375" style="88" bestFit="1" customWidth="1"/>
    <col min="20" max="20" width="11.33203125" style="88" customWidth="1"/>
    <col min="21" max="21" width="8.88671875" style="88" bestFit="1" customWidth="1"/>
    <col min="22" max="22" width="10.109375" style="88" bestFit="1" customWidth="1"/>
    <col min="23" max="23" width="0.88671875" style="88" customWidth="1"/>
    <col min="24" max="24" width="5.88671875" style="88" customWidth="1"/>
    <col min="25" max="25" width="18.6640625" style="88" bestFit="1" customWidth="1"/>
    <col min="26" max="26" width="9" style="88" customWidth="1"/>
    <col min="27" max="27" width="12.6640625" style="88" bestFit="1" customWidth="1"/>
    <col min="28" max="28" width="12.109375" style="88" bestFit="1" customWidth="1"/>
    <col min="29" max="29" width="10.6640625" style="88" bestFit="1" customWidth="1"/>
    <col min="30" max="30" width="12.6640625" style="88" customWidth="1"/>
    <col min="31" max="31" width="12.5546875" style="88" bestFit="1" customWidth="1"/>
    <col min="32" max="32" width="12.5546875" style="88" customWidth="1"/>
    <col min="33" max="33" width="8.6640625" style="88" bestFit="1" customWidth="1"/>
    <col min="34" max="34" width="11.33203125" style="88" customWidth="1"/>
    <col min="35" max="16384" width="9.109375" style="88"/>
  </cols>
  <sheetData>
    <row r="1" spans="1:34" ht="14.4" x14ac:dyDescent="0.3">
      <c r="A1" s="736" t="s">
        <v>0</v>
      </c>
      <c r="B1" s="736"/>
      <c r="C1" s="736"/>
      <c r="D1" s="736"/>
      <c r="E1" s="736"/>
      <c r="F1" s="736"/>
      <c r="G1" s="736"/>
      <c r="H1" s="736"/>
      <c r="I1" s="736"/>
      <c r="J1" s="737"/>
      <c r="L1" s="736" t="str">
        <f>A1</f>
        <v>Puget Sound Energy</v>
      </c>
      <c r="M1" s="736"/>
      <c r="N1" s="736"/>
      <c r="O1" s="736"/>
      <c r="P1" s="736"/>
      <c r="Q1" s="736"/>
      <c r="R1" s="736"/>
      <c r="S1" s="736"/>
      <c r="T1" s="736"/>
      <c r="U1" s="736"/>
      <c r="V1" s="737"/>
      <c r="X1" s="736" t="str">
        <f>L1</f>
        <v>Puget Sound Energy</v>
      </c>
      <c r="Y1" s="736"/>
      <c r="Z1" s="736"/>
      <c r="AA1" s="736"/>
      <c r="AB1" s="736"/>
      <c r="AC1" s="736"/>
      <c r="AD1" s="736"/>
      <c r="AE1" s="736"/>
      <c r="AF1" s="736"/>
      <c r="AG1" s="736"/>
      <c r="AH1" s="737"/>
    </row>
    <row r="2" spans="1:34" ht="14.4" x14ac:dyDescent="0.3">
      <c r="A2" s="736" t="s">
        <v>1043</v>
      </c>
      <c r="B2" s="736"/>
      <c r="C2" s="736"/>
      <c r="D2" s="736"/>
      <c r="E2" s="736"/>
      <c r="F2" s="736"/>
      <c r="G2" s="736"/>
      <c r="H2" s="736"/>
      <c r="I2" s="736"/>
      <c r="J2" s="737"/>
      <c r="L2" s="736" t="str">
        <f>A2</f>
        <v>Lighting Revenues Summary</v>
      </c>
      <c r="M2" s="736"/>
      <c r="N2" s="736"/>
      <c r="O2" s="736"/>
      <c r="P2" s="736"/>
      <c r="Q2" s="736"/>
      <c r="R2" s="736"/>
      <c r="S2" s="736"/>
      <c r="T2" s="736"/>
      <c r="U2" s="736"/>
      <c r="V2" s="737"/>
      <c r="X2" s="736" t="str">
        <f>L2</f>
        <v>Lighting Revenues Summary</v>
      </c>
      <c r="Y2" s="736"/>
      <c r="Z2" s="736"/>
      <c r="AA2" s="736"/>
      <c r="AB2" s="736"/>
      <c r="AC2" s="736"/>
      <c r="AD2" s="736"/>
      <c r="AE2" s="736"/>
      <c r="AF2" s="736"/>
      <c r="AG2" s="736"/>
      <c r="AH2" s="737"/>
    </row>
    <row r="3" spans="1:34" ht="14.4" x14ac:dyDescent="0.3">
      <c r="A3" s="736" t="s">
        <v>901</v>
      </c>
      <c r="B3" s="736"/>
      <c r="C3" s="736"/>
      <c r="D3" s="736"/>
      <c r="E3" s="736"/>
      <c r="F3" s="736"/>
      <c r="G3" s="736"/>
      <c r="H3" s="736"/>
      <c r="I3" s="736"/>
      <c r="J3" s="737"/>
      <c r="L3" s="736" t="str">
        <f>A3</f>
        <v>Current Base Rate vs Proposed</v>
      </c>
      <c r="M3" s="736"/>
      <c r="N3" s="736"/>
      <c r="O3" s="736"/>
      <c r="P3" s="736"/>
      <c r="Q3" s="736"/>
      <c r="R3" s="736"/>
      <c r="S3" s="736"/>
      <c r="T3" s="736"/>
      <c r="U3" s="736"/>
      <c r="V3" s="737"/>
      <c r="X3" s="736" t="str">
        <f>L3</f>
        <v>Current Base Rate vs Proposed</v>
      </c>
      <c r="Y3" s="736"/>
      <c r="Z3" s="736"/>
      <c r="AA3" s="736"/>
      <c r="AB3" s="736"/>
      <c r="AC3" s="736"/>
      <c r="AD3" s="736"/>
      <c r="AE3" s="736"/>
      <c r="AF3" s="736"/>
      <c r="AG3" s="736"/>
      <c r="AH3" s="737"/>
    </row>
    <row r="4" spans="1:34" ht="14.4" x14ac:dyDescent="0.3">
      <c r="A4" s="736" t="s">
        <v>884</v>
      </c>
      <c r="B4" s="736"/>
      <c r="C4" s="736"/>
      <c r="D4" s="736"/>
      <c r="E4" s="736"/>
      <c r="F4" s="736"/>
      <c r="G4" s="736"/>
      <c r="H4" s="736"/>
      <c r="I4" s="736"/>
      <c r="J4" s="737"/>
      <c r="L4" s="736" t="str">
        <f>A4</f>
        <v>2022 General Rate Case (GRC)</v>
      </c>
      <c r="M4" s="736"/>
      <c r="N4" s="736"/>
      <c r="O4" s="736"/>
      <c r="P4" s="736"/>
      <c r="Q4" s="736"/>
      <c r="R4" s="736"/>
      <c r="S4" s="736"/>
      <c r="T4" s="736"/>
      <c r="U4" s="736"/>
      <c r="V4" s="737"/>
      <c r="X4" s="736" t="str">
        <f>L4</f>
        <v>2022 General Rate Case (GRC)</v>
      </c>
      <c r="Y4" s="736"/>
      <c r="Z4" s="736"/>
      <c r="AA4" s="736"/>
      <c r="AB4" s="736"/>
      <c r="AC4" s="736"/>
      <c r="AD4" s="736"/>
      <c r="AE4" s="736"/>
      <c r="AF4" s="736"/>
      <c r="AG4" s="736"/>
      <c r="AH4" s="737"/>
    </row>
    <row r="5" spans="1:34" ht="15" customHeight="1" x14ac:dyDescent="0.3">
      <c r="A5" s="729" t="s">
        <v>643</v>
      </c>
      <c r="B5" s="730"/>
      <c r="C5" s="730"/>
      <c r="D5" s="730"/>
      <c r="E5" s="730"/>
      <c r="F5" s="730"/>
      <c r="G5" s="730"/>
      <c r="H5" s="730"/>
      <c r="I5" s="730"/>
      <c r="J5" s="731"/>
      <c r="L5" s="736" t="str">
        <f>A5</f>
        <v>Test Year Ending June 30, 2021</v>
      </c>
      <c r="M5" s="736"/>
      <c r="N5" s="736"/>
      <c r="O5" s="736"/>
      <c r="P5" s="736"/>
      <c r="Q5" s="736"/>
      <c r="R5" s="736"/>
      <c r="S5" s="736"/>
      <c r="T5" s="736"/>
      <c r="U5" s="736"/>
      <c r="V5" s="737"/>
      <c r="X5" s="736" t="str">
        <f>L5</f>
        <v>Test Year Ending June 30, 2021</v>
      </c>
      <c r="Y5" s="736"/>
      <c r="Z5" s="736"/>
      <c r="AA5" s="736"/>
      <c r="AB5" s="736"/>
      <c r="AC5" s="736"/>
      <c r="AD5" s="736"/>
      <c r="AE5" s="736"/>
      <c r="AF5" s="736"/>
      <c r="AG5" s="736"/>
      <c r="AH5" s="737"/>
    </row>
    <row r="6" spans="1:34" ht="10.8" thickBo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15" thickBot="1" x14ac:dyDescent="0.35">
      <c r="A7" s="28"/>
      <c r="B7" s="28"/>
      <c r="C7" s="28"/>
      <c r="D7" s="28"/>
      <c r="E7" s="732" t="s">
        <v>704</v>
      </c>
      <c r="F7" s="733"/>
      <c r="G7" s="733"/>
      <c r="H7" s="734"/>
      <c r="I7" s="734"/>
      <c r="J7" s="735"/>
      <c r="L7" s="28"/>
      <c r="M7" s="28"/>
      <c r="N7" s="28"/>
      <c r="O7" s="28"/>
      <c r="P7" s="28"/>
      <c r="Q7" s="732" t="s">
        <v>705</v>
      </c>
      <c r="R7" s="733"/>
      <c r="S7" s="733"/>
      <c r="T7" s="734"/>
      <c r="U7" s="734"/>
      <c r="V7" s="735"/>
      <c r="X7" s="28"/>
      <c r="Y7" s="28"/>
      <c r="Z7" s="28"/>
      <c r="AA7" s="28"/>
      <c r="AB7" s="28"/>
      <c r="AC7" s="732" t="s">
        <v>1001</v>
      </c>
      <c r="AD7" s="733"/>
      <c r="AE7" s="733"/>
      <c r="AF7" s="734"/>
      <c r="AG7" s="734"/>
      <c r="AH7" s="735"/>
    </row>
    <row r="8" spans="1:34" s="112" customFormat="1" ht="71.400000000000006" x14ac:dyDescent="0.2">
      <c r="A8" s="285" t="s">
        <v>1</v>
      </c>
      <c r="B8" s="285" t="s">
        <v>53</v>
      </c>
      <c r="C8" s="285" t="s">
        <v>973</v>
      </c>
      <c r="D8" s="285" t="s">
        <v>636</v>
      </c>
      <c r="E8" s="631" t="s">
        <v>409</v>
      </c>
      <c r="F8" s="690" t="s">
        <v>1167</v>
      </c>
      <c r="G8" s="632" t="s">
        <v>899</v>
      </c>
      <c r="H8" s="632" t="s">
        <v>1168</v>
      </c>
      <c r="I8" s="632" t="s">
        <v>900</v>
      </c>
      <c r="J8" s="632" t="s">
        <v>1169</v>
      </c>
      <c r="K8" s="627"/>
      <c r="L8" s="632" t="s">
        <v>1</v>
      </c>
      <c r="M8" s="632" t="s">
        <v>53</v>
      </c>
      <c r="N8" s="632" t="str">
        <f>C8</f>
        <v>Test year Annual Inventory</v>
      </c>
      <c r="O8" s="632" t="str">
        <f>D8</f>
        <v>Annual Current Revenue (Base Rate)</v>
      </c>
      <c r="P8" s="690" t="s">
        <v>1170</v>
      </c>
      <c r="Q8" s="631" t="str">
        <f>E8</f>
        <v>Annual Proposed Revenue (Base)</v>
      </c>
      <c r="R8" s="631" t="str">
        <f t="shared" ref="R8:V8" si="0">F8</f>
        <v>TOTAL Annual Proposed Revenue (Base + 141COL + 141N + 141R + 141A)</v>
      </c>
      <c r="S8" s="631" t="str">
        <f t="shared" si="0"/>
        <v>Revenue Change from Current (Base)</v>
      </c>
      <c r="T8" s="631" t="str">
        <f t="shared" si="0"/>
        <v>TOTAL Revenue Change from Current (Base + 141COL + 141N + 141R + 141A)</v>
      </c>
      <c r="U8" s="631" t="str">
        <f t="shared" si="0"/>
        <v>% Change from Current (Base)</v>
      </c>
      <c r="V8" s="632" t="str">
        <f t="shared" si="0"/>
        <v>% TOTAL Change from Current  (Base + 141COL + 141N + 141R + 141A)</v>
      </c>
      <c r="X8" s="285" t="s">
        <v>1</v>
      </c>
      <c r="Y8" s="285" t="s">
        <v>53</v>
      </c>
      <c r="Z8" s="285" t="str">
        <f t="shared" ref="Z8:AF8" si="1">N8</f>
        <v>Test year Annual Inventory</v>
      </c>
      <c r="AA8" s="618" t="str">
        <f t="shared" si="1"/>
        <v>Annual Current Revenue (Base Rate)</v>
      </c>
      <c r="AB8" s="623" t="str">
        <f t="shared" si="1"/>
        <v>TOTAL Current Annual Revenue  (Base + 141COL + 141N + 141R + 141A)</v>
      </c>
      <c r="AC8" s="625" t="str">
        <f t="shared" si="1"/>
        <v>Annual Proposed Revenue (Base)</v>
      </c>
      <c r="AD8" s="623" t="str">
        <f t="shared" si="1"/>
        <v>TOTAL Annual Proposed Revenue (Base + 141COL + 141N + 141R + 141A)</v>
      </c>
      <c r="AE8" s="625" t="str">
        <f t="shared" si="1"/>
        <v>Revenue Change from Current (Base)</v>
      </c>
      <c r="AF8" s="623" t="str">
        <f t="shared" si="1"/>
        <v>TOTAL Revenue Change from Current (Base + 141COL + 141N + 141R + 141A)</v>
      </c>
      <c r="AG8" s="625" t="str">
        <f t="shared" ref="AG8:AH8" si="2">U8</f>
        <v>% Change from Current (Base)</v>
      </c>
      <c r="AH8" s="625" t="str">
        <f t="shared" si="2"/>
        <v>% TOTAL Change from Current  (Base + 141COL + 141N + 141R + 141A)</v>
      </c>
    </row>
    <row r="9" spans="1:34" s="112" customFormat="1" x14ac:dyDescent="0.2">
      <c r="A9" s="2"/>
      <c r="B9" s="2" t="s">
        <v>3</v>
      </c>
      <c r="C9" s="16" t="s">
        <v>4</v>
      </c>
      <c r="D9" s="16" t="s">
        <v>395</v>
      </c>
      <c r="E9" s="169" t="s">
        <v>6</v>
      </c>
      <c r="F9" s="169" t="s">
        <v>390</v>
      </c>
      <c r="G9" s="169" t="s">
        <v>21</v>
      </c>
      <c r="H9" s="169" t="s">
        <v>8</v>
      </c>
      <c r="I9" s="169" t="s">
        <v>9</v>
      </c>
      <c r="J9" s="169" t="s">
        <v>22</v>
      </c>
      <c r="K9" s="627"/>
      <c r="L9" s="98"/>
      <c r="M9" s="98" t="s">
        <v>3</v>
      </c>
      <c r="N9" s="169" t="s">
        <v>4</v>
      </c>
      <c r="O9" s="169" t="s">
        <v>395</v>
      </c>
      <c r="P9" s="169" t="s">
        <v>6</v>
      </c>
      <c r="Q9" s="169" t="s">
        <v>390</v>
      </c>
      <c r="R9" s="169" t="s">
        <v>21</v>
      </c>
      <c r="S9" s="169" t="s">
        <v>21</v>
      </c>
      <c r="T9" s="169" t="s">
        <v>8</v>
      </c>
      <c r="U9" s="169" t="s">
        <v>9</v>
      </c>
      <c r="V9" s="169" t="s">
        <v>22</v>
      </c>
      <c r="X9" s="2"/>
      <c r="Y9" s="2" t="s">
        <v>3</v>
      </c>
      <c r="Z9" s="16" t="s">
        <v>4</v>
      </c>
      <c r="AA9" s="16" t="s">
        <v>395</v>
      </c>
      <c r="AB9" s="169" t="s">
        <v>6</v>
      </c>
      <c r="AC9" s="169" t="s">
        <v>390</v>
      </c>
      <c r="AD9" s="169" t="s">
        <v>21</v>
      </c>
      <c r="AE9" s="169" t="s">
        <v>21</v>
      </c>
      <c r="AF9" s="169" t="s">
        <v>8</v>
      </c>
      <c r="AG9" s="169" t="s">
        <v>9</v>
      </c>
      <c r="AH9" s="169" t="s">
        <v>22</v>
      </c>
    </row>
    <row r="10" spans="1:34" s="29" customFormat="1" ht="9.75" customHeight="1" x14ac:dyDescent="0.2">
      <c r="A10" s="2" t="s">
        <v>396</v>
      </c>
      <c r="B10" s="2"/>
      <c r="C10" s="16"/>
      <c r="D10" s="16"/>
      <c r="E10" s="169"/>
      <c r="F10" s="169"/>
      <c r="G10" s="169" t="s">
        <v>401</v>
      </c>
      <c r="H10" s="169" t="s">
        <v>908</v>
      </c>
      <c r="I10" s="169" t="s">
        <v>909</v>
      </c>
      <c r="J10" s="169" t="s">
        <v>910</v>
      </c>
      <c r="K10" s="627"/>
      <c r="L10" s="98" t="s">
        <v>396</v>
      </c>
      <c r="M10" s="98"/>
      <c r="N10" s="169"/>
      <c r="O10" s="169"/>
      <c r="P10" s="169"/>
      <c r="Q10" s="169"/>
      <c r="R10" s="169"/>
      <c r="S10" s="169" t="s">
        <v>401</v>
      </c>
      <c r="T10" s="169" t="s">
        <v>908</v>
      </c>
      <c r="U10" s="169" t="s">
        <v>909</v>
      </c>
      <c r="V10" s="169" t="s">
        <v>911</v>
      </c>
      <c r="X10" s="2" t="s">
        <v>396</v>
      </c>
      <c r="Y10" s="2"/>
      <c r="Z10" s="16"/>
      <c r="AA10" s="16"/>
      <c r="AB10" s="169"/>
      <c r="AC10" s="169"/>
      <c r="AD10" s="169"/>
      <c r="AE10" s="169" t="s">
        <v>401</v>
      </c>
      <c r="AF10" s="169" t="s">
        <v>908</v>
      </c>
      <c r="AG10" s="169" t="s">
        <v>909</v>
      </c>
      <c r="AH10" s="169" t="s">
        <v>911</v>
      </c>
    </row>
    <row r="11" spans="1:34" s="112" customFormat="1" x14ac:dyDescent="0.2">
      <c r="A11" s="2"/>
      <c r="B11" s="2"/>
      <c r="C11" s="16"/>
      <c r="D11" s="16"/>
      <c r="E11" s="169"/>
      <c r="F11" s="169"/>
      <c r="G11" s="169"/>
      <c r="H11" s="169"/>
      <c r="I11" s="169"/>
      <c r="J11" s="169"/>
      <c r="K11" s="627"/>
      <c r="L11" s="98"/>
      <c r="M11" s="98"/>
      <c r="N11" s="169"/>
      <c r="O11" s="169"/>
      <c r="P11" s="169"/>
      <c r="Q11" s="169"/>
      <c r="R11" s="169"/>
      <c r="S11" s="169"/>
      <c r="T11" s="169"/>
      <c r="U11" s="169"/>
      <c r="V11" s="169"/>
      <c r="X11" s="2"/>
      <c r="Y11" s="2"/>
      <c r="Z11" s="16"/>
      <c r="AA11" s="16"/>
      <c r="AB11" s="169"/>
      <c r="AC11" s="169"/>
      <c r="AD11" s="169"/>
      <c r="AE11" s="169"/>
      <c r="AF11" s="169"/>
      <c r="AG11" s="169"/>
      <c r="AH11" s="169"/>
    </row>
    <row r="12" spans="1:34" s="112" customFormat="1" x14ac:dyDescent="0.2">
      <c r="A12" s="30">
        <v>1</v>
      </c>
      <c r="B12" s="31" t="s">
        <v>54</v>
      </c>
      <c r="C12" s="253">
        <f>SUM('WP1 Light Inventory'!$I$9)</f>
        <v>708</v>
      </c>
      <c r="D12" s="252">
        <f>'Schedule 50E'!I14</f>
        <v>495.59999999999997</v>
      </c>
      <c r="E12" s="252">
        <f>'Schedule 50E'!J14</f>
        <v>460.19999999999993</v>
      </c>
      <c r="F12" s="680">
        <f>'Schedule 50E'!K14</f>
        <v>757.55999999999983</v>
      </c>
      <c r="G12" s="242">
        <f>+E12-D12</f>
        <v>-35.400000000000034</v>
      </c>
      <c r="H12" s="242">
        <f>+F12-D12</f>
        <v>261.95999999999987</v>
      </c>
      <c r="I12" s="36">
        <f t="shared" ref="I12:I27" si="3">IFERROR(+G12/D12,0)</f>
        <v>-7.1428571428571508E-2</v>
      </c>
      <c r="J12" s="36">
        <f t="shared" ref="J12:J27" si="4">IFERROR(+H12/D12,0)</f>
        <v>0.52857142857142836</v>
      </c>
      <c r="K12" s="652"/>
      <c r="L12" s="652">
        <v>1</v>
      </c>
      <c r="M12" s="31" t="s">
        <v>54</v>
      </c>
      <c r="N12" s="253">
        <f>C12</f>
        <v>708</v>
      </c>
      <c r="O12" s="252">
        <f t="shared" ref="O12:P15" si="5">E12</f>
        <v>460.19999999999993</v>
      </c>
      <c r="P12" s="252">
        <f t="shared" si="5"/>
        <v>757.55999999999983</v>
      </c>
      <c r="Q12" s="252">
        <f>'Schedule 50E'!AB14</f>
        <v>460.19999999999993</v>
      </c>
      <c r="R12" s="680">
        <f>'Schedule 50E'!AC14</f>
        <v>807.11999999999989</v>
      </c>
      <c r="S12" s="242">
        <f t="shared" ref="S12:T15" si="6">+Q12-O12</f>
        <v>0</v>
      </c>
      <c r="T12" s="252">
        <f t="shared" si="6"/>
        <v>49.560000000000059</v>
      </c>
      <c r="U12" s="36">
        <f t="shared" ref="U12:U27" si="7">IFERROR(+S12/P12,0)</f>
        <v>0</v>
      </c>
      <c r="V12" s="36">
        <f t="shared" ref="V12:V27" si="8">IFERROR(+T12/P12,0)</f>
        <v>6.5420560747663642E-2</v>
      </c>
      <c r="X12" s="30">
        <v>1</v>
      </c>
      <c r="Y12" s="31" t="s">
        <v>54</v>
      </c>
      <c r="Z12" s="253"/>
      <c r="AA12" s="252"/>
      <c r="AB12" s="648"/>
      <c r="AC12" s="252"/>
      <c r="AD12" s="648"/>
      <c r="AE12" s="242"/>
      <c r="AF12" s="648"/>
      <c r="AG12" s="36"/>
      <c r="AH12" s="637"/>
    </row>
    <row r="13" spans="1:34" x14ac:dyDescent="0.2">
      <c r="A13" s="32">
        <f t="shared" ref="A13:A29" si="9">+A12+1</f>
        <v>2</v>
      </c>
      <c r="B13" s="33" t="s">
        <v>55</v>
      </c>
      <c r="C13" s="253">
        <f>SUM('WP1 Light Inventory'!$I$11:$I$13)</f>
        <v>493</v>
      </c>
      <c r="D13" s="242">
        <f>'Schedule 50E'!I19</f>
        <v>5208.3599999999997</v>
      </c>
      <c r="E13" s="242">
        <f>'Schedule 50E'!J19</f>
        <v>5179.2</v>
      </c>
      <c r="F13" s="681">
        <f>'Schedule 50E'!K19</f>
        <v>7863.36</v>
      </c>
      <c r="G13" s="242">
        <f>+E13-D13</f>
        <v>-29.159999999999854</v>
      </c>
      <c r="H13" s="242">
        <f>+F13-D13</f>
        <v>2655</v>
      </c>
      <c r="I13" s="36">
        <f t="shared" si="3"/>
        <v>-5.5986913347003389E-3</v>
      </c>
      <c r="J13" s="36">
        <f t="shared" si="4"/>
        <v>0.50975739004216303</v>
      </c>
      <c r="K13" s="177"/>
      <c r="L13" s="654">
        <f t="shared" ref="L13:L29" si="10">+L12+1</f>
        <v>2</v>
      </c>
      <c r="M13" s="653" t="s">
        <v>55</v>
      </c>
      <c r="N13" s="253">
        <f>C13</f>
        <v>493</v>
      </c>
      <c r="O13" s="252">
        <f t="shared" si="5"/>
        <v>5179.2</v>
      </c>
      <c r="P13" s="242">
        <f t="shared" si="5"/>
        <v>7863.36</v>
      </c>
      <c r="Q13" s="242">
        <f>'Schedule 50E'!AB19</f>
        <v>5179.2</v>
      </c>
      <c r="R13" s="681">
        <f>'Schedule 50E'!AC19</f>
        <v>8228.8799999999992</v>
      </c>
      <c r="S13" s="242">
        <f t="shared" si="6"/>
        <v>0</v>
      </c>
      <c r="T13" s="242">
        <f t="shared" si="6"/>
        <v>365.51999999999953</v>
      </c>
      <c r="U13" s="36">
        <f t="shared" si="7"/>
        <v>0</v>
      </c>
      <c r="V13" s="36">
        <f t="shared" si="8"/>
        <v>4.6483945794164268E-2</v>
      </c>
      <c r="X13" s="32">
        <f t="shared" ref="X13:X29" si="11">+X12+1</f>
        <v>2</v>
      </c>
      <c r="Y13" s="33" t="s">
        <v>55</v>
      </c>
      <c r="Z13" s="253"/>
      <c r="AA13" s="252"/>
      <c r="AB13" s="649"/>
      <c r="AC13" s="242"/>
      <c r="AD13" s="649"/>
      <c r="AE13" s="242"/>
      <c r="AF13" s="649"/>
      <c r="AG13" s="36"/>
      <c r="AH13" s="637"/>
    </row>
    <row r="14" spans="1:34" x14ac:dyDescent="0.2">
      <c r="A14" s="32">
        <f t="shared" si="9"/>
        <v>3</v>
      </c>
      <c r="B14" s="33" t="s">
        <v>56</v>
      </c>
      <c r="C14" s="253">
        <f>SUM('WP1 Light Inventory'!$I$15:$I$18)</f>
        <v>12</v>
      </c>
      <c r="D14" s="242">
        <f>'Schedule 50E'!I25</f>
        <v>66.84</v>
      </c>
      <c r="E14" s="242">
        <f>'Schedule 50E'!J25</f>
        <v>61.800000000000004</v>
      </c>
      <c r="F14" s="681">
        <f>'Schedule 50E'!K25</f>
        <v>102.60000000000001</v>
      </c>
      <c r="G14" s="242">
        <f>+E14-D14</f>
        <v>-5.0399999999999991</v>
      </c>
      <c r="H14" s="242">
        <f>+F14-D14</f>
        <v>35.760000000000005</v>
      </c>
      <c r="I14" s="36">
        <f t="shared" si="3"/>
        <v>-7.5403949730700165E-2</v>
      </c>
      <c r="J14" s="36">
        <f t="shared" si="4"/>
        <v>0.53500897666068226</v>
      </c>
      <c r="K14" s="177"/>
      <c r="L14" s="654">
        <f t="shared" si="10"/>
        <v>3</v>
      </c>
      <c r="M14" s="653" t="s">
        <v>56</v>
      </c>
      <c r="N14" s="253">
        <f>C14</f>
        <v>12</v>
      </c>
      <c r="O14" s="252">
        <f t="shared" si="5"/>
        <v>61.800000000000004</v>
      </c>
      <c r="P14" s="242">
        <f t="shared" si="5"/>
        <v>102.60000000000001</v>
      </c>
      <c r="Q14" s="242">
        <f>'Schedule 50E'!AB25</f>
        <v>61.800000000000004</v>
      </c>
      <c r="R14" s="681">
        <f>'Schedule 50E'!AC25</f>
        <v>108.12000000000002</v>
      </c>
      <c r="S14" s="242">
        <f t="shared" si="6"/>
        <v>0</v>
      </c>
      <c r="T14" s="242">
        <f t="shared" si="6"/>
        <v>5.5200000000000102</v>
      </c>
      <c r="U14" s="36">
        <f t="shared" si="7"/>
        <v>0</v>
      </c>
      <c r="V14" s="36">
        <f t="shared" si="8"/>
        <v>5.380116959064337E-2</v>
      </c>
      <c r="X14" s="32">
        <f t="shared" si="11"/>
        <v>3</v>
      </c>
      <c r="Y14" s="33" t="s">
        <v>56</v>
      </c>
      <c r="Z14" s="253"/>
      <c r="AA14" s="252"/>
      <c r="AB14" s="649"/>
      <c r="AC14" s="242"/>
      <c r="AD14" s="649"/>
      <c r="AE14" s="242"/>
      <c r="AF14" s="649"/>
      <c r="AG14" s="36"/>
      <c r="AH14" s="637"/>
    </row>
    <row r="15" spans="1:34" x14ac:dyDescent="0.2">
      <c r="A15" s="32">
        <f t="shared" si="9"/>
        <v>4</v>
      </c>
      <c r="B15" s="33" t="s">
        <v>57</v>
      </c>
      <c r="C15" s="253">
        <f>SUM('WP1 Light Inventory'!$I$20:$I$40)</f>
        <v>103952</v>
      </c>
      <c r="D15" s="242">
        <f>'Schedule 51E'!I23</f>
        <v>243027.47999999995</v>
      </c>
      <c r="E15" s="242">
        <f>'Schedule 51E'!J23</f>
        <v>224155.44</v>
      </c>
      <c r="F15" s="681">
        <f>'Schedule 51E'!K23</f>
        <v>372282.60000000003</v>
      </c>
      <c r="G15" s="242">
        <f>+E15-D15</f>
        <v>-18872.03999999995</v>
      </c>
      <c r="H15" s="242">
        <f>+F15-D15</f>
        <v>129255.12000000008</v>
      </c>
      <c r="I15" s="36">
        <f t="shared" si="3"/>
        <v>-7.7653934443956518E-2</v>
      </c>
      <c r="J15" s="36">
        <f t="shared" si="4"/>
        <v>0.53185392861745551</v>
      </c>
      <c r="K15" s="177"/>
      <c r="L15" s="654">
        <f t="shared" si="10"/>
        <v>4</v>
      </c>
      <c r="M15" s="653" t="s">
        <v>57</v>
      </c>
      <c r="N15" s="253">
        <f>C15</f>
        <v>103952</v>
      </c>
      <c r="O15" s="252">
        <f t="shared" si="5"/>
        <v>224155.44</v>
      </c>
      <c r="P15" s="242">
        <f t="shared" si="5"/>
        <v>372282.60000000003</v>
      </c>
      <c r="Q15" s="242">
        <f>'Schedule 51E'!AB23</f>
        <v>224155.44</v>
      </c>
      <c r="R15" s="681">
        <f>'Schedule 51E'!AC23</f>
        <v>392347.0799999999</v>
      </c>
      <c r="S15" s="242">
        <f t="shared" si="6"/>
        <v>0</v>
      </c>
      <c r="T15" s="242">
        <f t="shared" si="6"/>
        <v>20064.479999999865</v>
      </c>
      <c r="U15" s="36">
        <f t="shared" si="7"/>
        <v>0</v>
      </c>
      <c r="V15" s="36">
        <f t="shared" si="8"/>
        <v>5.3895830747931445E-2</v>
      </c>
      <c r="X15" s="32">
        <f t="shared" si="11"/>
        <v>4</v>
      </c>
      <c r="Y15" s="33" t="s">
        <v>57</v>
      </c>
      <c r="Z15" s="253"/>
      <c r="AA15" s="252"/>
      <c r="AB15" s="649"/>
      <c r="AC15" s="242"/>
      <c r="AD15" s="649"/>
      <c r="AE15" s="242"/>
      <c r="AF15" s="649"/>
      <c r="AG15" s="36"/>
      <c r="AH15" s="637"/>
    </row>
    <row r="16" spans="1:34" x14ac:dyDescent="0.2">
      <c r="A16" s="32">
        <f t="shared" si="9"/>
        <v>5</v>
      </c>
      <c r="B16" s="33" t="s">
        <v>950</v>
      </c>
      <c r="C16" s="293" t="s">
        <v>600</v>
      </c>
      <c r="D16" s="294" t="s">
        <v>600</v>
      </c>
      <c r="E16" s="294" t="s">
        <v>600</v>
      </c>
      <c r="F16" s="682" t="s">
        <v>600</v>
      </c>
      <c r="G16" s="294" t="s">
        <v>600</v>
      </c>
      <c r="H16" s="294" t="s">
        <v>600</v>
      </c>
      <c r="I16" s="36">
        <f t="shared" si="3"/>
        <v>0</v>
      </c>
      <c r="J16" s="36">
        <f t="shared" si="4"/>
        <v>0</v>
      </c>
      <c r="K16" s="177"/>
      <c r="L16" s="654">
        <f t="shared" si="10"/>
        <v>5</v>
      </c>
      <c r="M16" s="653" t="s">
        <v>950</v>
      </c>
      <c r="N16" s="293" t="s">
        <v>600</v>
      </c>
      <c r="O16" s="294" t="s">
        <v>600</v>
      </c>
      <c r="P16" s="294" t="s">
        <v>600</v>
      </c>
      <c r="Q16" s="294" t="s">
        <v>600</v>
      </c>
      <c r="R16" s="682" t="s">
        <v>600</v>
      </c>
      <c r="S16" s="294" t="s">
        <v>600</v>
      </c>
      <c r="T16" s="294" t="s">
        <v>600</v>
      </c>
      <c r="U16" s="36">
        <f t="shared" si="7"/>
        <v>0</v>
      </c>
      <c r="V16" s="36">
        <f t="shared" si="8"/>
        <v>0</v>
      </c>
      <c r="X16" s="32">
        <f t="shared" si="11"/>
        <v>5</v>
      </c>
      <c r="Y16" s="33" t="s">
        <v>950</v>
      </c>
      <c r="Z16" s="293"/>
      <c r="AA16" s="294"/>
      <c r="AB16" s="650"/>
      <c r="AC16" s="294"/>
      <c r="AD16" s="650"/>
      <c r="AE16" s="294"/>
      <c r="AF16" s="650"/>
      <c r="AG16" s="36"/>
      <c r="AH16" s="637"/>
    </row>
    <row r="17" spans="1:34" x14ac:dyDescent="0.2">
      <c r="A17" s="32">
        <f t="shared" si="9"/>
        <v>6</v>
      </c>
      <c r="B17" s="33" t="s">
        <v>371</v>
      </c>
      <c r="C17" s="253">
        <v>0</v>
      </c>
      <c r="D17" s="242">
        <f>'Sch 51E &amp; 52E Facilities Charge'!G15</f>
        <v>690851.66576</v>
      </c>
      <c r="E17" s="242">
        <f>'Sch 51E &amp; 52E Facilities Charge'!H15</f>
        <v>721330.41572000005</v>
      </c>
      <c r="F17" s="681">
        <f>'Sch 51E &amp; 52E Facilities Charge'!I15</f>
        <v>721330.41572000005</v>
      </c>
      <c r="G17" s="242">
        <f>+E17-D17</f>
        <v>30478.749960000045</v>
      </c>
      <c r="H17" s="242">
        <f>+F17-D17</f>
        <v>30478.749960000045</v>
      </c>
      <c r="I17" s="36">
        <f t="shared" si="3"/>
        <v>4.4117647058823595E-2</v>
      </c>
      <c r="J17" s="36">
        <f t="shared" si="4"/>
        <v>4.4117647058823595E-2</v>
      </c>
      <c r="K17" s="177"/>
      <c r="L17" s="654">
        <f t="shared" si="10"/>
        <v>6</v>
      </c>
      <c r="M17" s="653" t="s">
        <v>371</v>
      </c>
      <c r="N17" s="253">
        <f>C17</f>
        <v>0</v>
      </c>
      <c r="O17" s="252">
        <f t="shared" ref="O17:P20" si="12">E17</f>
        <v>721330.41572000005</v>
      </c>
      <c r="P17" s="242">
        <f t="shared" si="12"/>
        <v>721330.41572000005</v>
      </c>
      <c r="Q17" s="242">
        <f>'Sch 51E &amp; 52E Facilities Charge'!X15</f>
        <v>721330.41572000005</v>
      </c>
      <c r="R17" s="681">
        <f>'Sch 51E &amp; 52E Facilities Charge'!Y15</f>
        <v>721330.41572000005</v>
      </c>
      <c r="S17" s="242">
        <f t="shared" ref="S17:T20" si="13">+Q17-O17</f>
        <v>0</v>
      </c>
      <c r="T17" s="242">
        <f t="shared" si="13"/>
        <v>0</v>
      </c>
      <c r="U17" s="36">
        <f t="shared" si="7"/>
        <v>0</v>
      </c>
      <c r="V17" s="36">
        <f t="shared" si="8"/>
        <v>0</v>
      </c>
      <c r="X17" s="32">
        <f t="shared" si="11"/>
        <v>6</v>
      </c>
      <c r="Y17" s="33" t="s">
        <v>371</v>
      </c>
      <c r="Z17" s="253"/>
      <c r="AA17" s="252"/>
      <c r="AB17" s="649"/>
      <c r="AC17" s="242"/>
      <c r="AD17" s="649"/>
      <c r="AE17" s="242"/>
      <c r="AF17" s="649"/>
      <c r="AG17" s="36"/>
      <c r="AH17" s="637"/>
    </row>
    <row r="18" spans="1:34" x14ac:dyDescent="0.2">
      <c r="A18" s="32">
        <f t="shared" si="9"/>
        <v>7</v>
      </c>
      <c r="B18" s="34" t="s">
        <v>370</v>
      </c>
      <c r="C18" s="253">
        <v>0</v>
      </c>
      <c r="D18" s="242">
        <f>'Sch 51E &amp; 52E Facilities Charge'!G19</f>
        <v>833441.22616000008</v>
      </c>
      <c r="E18" s="242">
        <f>'Sch 51E &amp; 52E Facilities Charge'!H19</f>
        <v>870210.69201999996</v>
      </c>
      <c r="F18" s="681">
        <f>'Sch 51E &amp; 52E Facilities Charge'!I19</f>
        <v>870210.69201999996</v>
      </c>
      <c r="G18" s="242">
        <f>+E18-D18</f>
        <v>36769.46585999988</v>
      </c>
      <c r="H18" s="242">
        <f>+F18-D18</f>
        <v>36769.46585999988</v>
      </c>
      <c r="I18" s="36">
        <f t="shared" si="3"/>
        <v>4.411764705882338E-2</v>
      </c>
      <c r="J18" s="36">
        <f t="shared" si="4"/>
        <v>4.411764705882338E-2</v>
      </c>
      <c r="K18" s="177"/>
      <c r="L18" s="654">
        <f t="shared" si="10"/>
        <v>7</v>
      </c>
      <c r="M18" s="202" t="s">
        <v>370</v>
      </c>
      <c r="N18" s="253">
        <f>C18</f>
        <v>0</v>
      </c>
      <c r="O18" s="252">
        <f t="shared" si="12"/>
        <v>870210.69201999996</v>
      </c>
      <c r="P18" s="242">
        <f t="shared" si="12"/>
        <v>870210.69201999996</v>
      </c>
      <c r="Q18" s="242">
        <f>'Sch 51E &amp; 52E Facilities Charge'!X19</f>
        <v>870210.69201999996</v>
      </c>
      <c r="R18" s="681">
        <f>'Sch 51E &amp; 52E Facilities Charge'!Y19</f>
        <v>870210.69201999996</v>
      </c>
      <c r="S18" s="242">
        <f t="shared" si="13"/>
        <v>0</v>
      </c>
      <c r="T18" s="242">
        <f t="shared" si="13"/>
        <v>0</v>
      </c>
      <c r="U18" s="36">
        <f t="shared" si="7"/>
        <v>0</v>
      </c>
      <c r="V18" s="36">
        <f t="shared" si="8"/>
        <v>0</v>
      </c>
      <c r="X18" s="32">
        <f t="shared" si="11"/>
        <v>7</v>
      </c>
      <c r="Y18" s="34" t="s">
        <v>370</v>
      </c>
      <c r="Z18" s="253"/>
      <c r="AA18" s="252"/>
      <c r="AB18" s="649"/>
      <c r="AC18" s="242"/>
      <c r="AD18" s="649"/>
      <c r="AE18" s="242"/>
      <c r="AF18" s="649"/>
      <c r="AG18" s="36"/>
      <c r="AH18" s="637"/>
    </row>
    <row r="19" spans="1:34" x14ac:dyDescent="0.2">
      <c r="A19" s="32">
        <f t="shared" si="9"/>
        <v>8</v>
      </c>
      <c r="B19" s="33" t="s">
        <v>58</v>
      </c>
      <c r="C19" s="253">
        <f>SUM('WP1 Light Inventory'!$I$42:$I$57)</f>
        <v>221035</v>
      </c>
      <c r="D19" s="242">
        <f>'Schedule 52E'!I32</f>
        <v>1001571.72</v>
      </c>
      <c r="E19" s="242">
        <f>'Schedule 52E'!J32</f>
        <v>925492.92</v>
      </c>
      <c r="F19" s="681">
        <f>'Schedule 52E'!K32</f>
        <v>1535067.7200000004</v>
      </c>
      <c r="G19" s="242">
        <f>+E19-D19</f>
        <v>-76078.79999999993</v>
      </c>
      <c r="H19" s="242">
        <f>+F19-D19</f>
        <v>533496.00000000047</v>
      </c>
      <c r="I19" s="36">
        <f t="shared" si="3"/>
        <v>-7.5959413071287535E-2</v>
      </c>
      <c r="J19" s="36">
        <f t="shared" si="4"/>
        <v>0.53265880949593947</v>
      </c>
      <c r="K19" s="177"/>
      <c r="L19" s="654">
        <f t="shared" si="10"/>
        <v>8</v>
      </c>
      <c r="M19" s="653" t="s">
        <v>58</v>
      </c>
      <c r="N19" s="253">
        <f>C19</f>
        <v>221035</v>
      </c>
      <c r="O19" s="252">
        <f t="shared" si="12"/>
        <v>925492.92</v>
      </c>
      <c r="P19" s="242">
        <f t="shared" si="12"/>
        <v>1535067.7200000004</v>
      </c>
      <c r="Q19" s="242">
        <f>'Schedule 52E'!AB32</f>
        <v>925492.92</v>
      </c>
      <c r="R19" s="681">
        <f>'Schedule 52E'!AC32</f>
        <v>1617325.8000000003</v>
      </c>
      <c r="S19" s="242">
        <f t="shared" si="13"/>
        <v>0</v>
      </c>
      <c r="T19" s="242">
        <f t="shared" si="13"/>
        <v>82258.079999999842</v>
      </c>
      <c r="U19" s="36">
        <f t="shared" si="7"/>
        <v>0</v>
      </c>
      <c r="V19" s="36">
        <f t="shared" si="8"/>
        <v>5.3585961666889732E-2</v>
      </c>
      <c r="X19" s="32">
        <f t="shared" si="11"/>
        <v>8</v>
      </c>
      <c r="Y19" s="33" t="s">
        <v>58</v>
      </c>
      <c r="Z19" s="253"/>
      <c r="AA19" s="252"/>
      <c r="AB19" s="649"/>
      <c r="AC19" s="242"/>
      <c r="AD19" s="649"/>
      <c r="AE19" s="242"/>
      <c r="AF19" s="649"/>
      <c r="AG19" s="36"/>
      <c r="AH19" s="637"/>
    </row>
    <row r="20" spans="1:34" x14ac:dyDescent="0.2">
      <c r="A20" s="32">
        <f t="shared" si="9"/>
        <v>9</v>
      </c>
      <c r="B20" s="33" t="s">
        <v>59</v>
      </c>
      <c r="C20" s="253">
        <f>SUM('WP1 Light Inventory'!$I$59:$I$123)</f>
        <v>901395</v>
      </c>
      <c r="D20" s="242">
        <f>'Schedule 53E'!I74</f>
        <v>11772795.24</v>
      </c>
      <c r="E20" s="242">
        <f>'Schedule 53E'!J74</f>
        <v>11539920.6</v>
      </c>
      <c r="F20" s="681">
        <f>'Schedule 53E'!K74</f>
        <v>13335755.880000001</v>
      </c>
      <c r="G20" s="242">
        <f>+E20-D20</f>
        <v>-232874.6400000006</v>
      </c>
      <c r="H20" s="242">
        <f>+F20-D20</f>
        <v>1562960.6400000006</v>
      </c>
      <c r="I20" s="36">
        <f t="shared" si="3"/>
        <v>-1.9780743251931441E-2</v>
      </c>
      <c r="J20" s="36">
        <f t="shared" si="4"/>
        <v>0.13276036898098642</v>
      </c>
      <c r="K20" s="177"/>
      <c r="L20" s="654">
        <f t="shared" si="10"/>
        <v>9</v>
      </c>
      <c r="M20" s="653" t="s">
        <v>59</v>
      </c>
      <c r="N20" s="253">
        <f>C20</f>
        <v>901395</v>
      </c>
      <c r="O20" s="252">
        <f t="shared" si="12"/>
        <v>11539920.6</v>
      </c>
      <c r="P20" s="242">
        <f t="shared" si="12"/>
        <v>13335755.880000001</v>
      </c>
      <c r="Q20" s="242">
        <f>'Schedule 53E'!AB74</f>
        <v>11539920.6</v>
      </c>
      <c r="R20" s="681">
        <f>'Schedule 53E'!AC74</f>
        <v>13579796.159999998</v>
      </c>
      <c r="S20" s="242">
        <f t="shared" si="13"/>
        <v>0</v>
      </c>
      <c r="T20" s="242">
        <f t="shared" si="13"/>
        <v>244040.27999999747</v>
      </c>
      <c r="U20" s="36">
        <f t="shared" si="7"/>
        <v>0</v>
      </c>
      <c r="V20" s="36">
        <f t="shared" si="8"/>
        <v>1.8299696109913902E-2</v>
      </c>
      <c r="X20" s="32">
        <f t="shared" si="11"/>
        <v>9</v>
      </c>
      <c r="Y20" s="33" t="s">
        <v>59</v>
      </c>
      <c r="Z20" s="253"/>
      <c r="AA20" s="252"/>
      <c r="AB20" s="649"/>
      <c r="AC20" s="242"/>
      <c r="AD20" s="649"/>
      <c r="AE20" s="242"/>
      <c r="AF20" s="649"/>
      <c r="AG20" s="36"/>
      <c r="AH20" s="637"/>
    </row>
    <row r="21" spans="1:34" x14ac:dyDescent="0.2">
      <c r="A21" s="32">
        <f t="shared" si="9"/>
        <v>10</v>
      </c>
      <c r="B21" s="33" t="s">
        <v>951</v>
      </c>
      <c r="C21" s="293" t="s">
        <v>600</v>
      </c>
      <c r="D21" s="294" t="s">
        <v>600</v>
      </c>
      <c r="E21" s="294" t="s">
        <v>600</v>
      </c>
      <c r="F21" s="682" t="s">
        <v>600</v>
      </c>
      <c r="G21" s="294" t="s">
        <v>600</v>
      </c>
      <c r="H21" s="294" t="s">
        <v>600</v>
      </c>
      <c r="I21" s="36">
        <f t="shared" si="3"/>
        <v>0</v>
      </c>
      <c r="J21" s="36">
        <f t="shared" si="4"/>
        <v>0</v>
      </c>
      <c r="K21" s="177"/>
      <c r="L21" s="654">
        <f t="shared" si="10"/>
        <v>10</v>
      </c>
      <c r="M21" s="653" t="s">
        <v>951</v>
      </c>
      <c r="N21" s="293" t="s">
        <v>600</v>
      </c>
      <c r="O21" s="294" t="s">
        <v>600</v>
      </c>
      <c r="P21" s="294" t="s">
        <v>600</v>
      </c>
      <c r="Q21" s="294" t="s">
        <v>600</v>
      </c>
      <c r="R21" s="682" t="s">
        <v>600</v>
      </c>
      <c r="S21" s="294" t="s">
        <v>600</v>
      </c>
      <c r="T21" s="294" t="s">
        <v>600</v>
      </c>
      <c r="U21" s="36">
        <f t="shared" si="7"/>
        <v>0</v>
      </c>
      <c r="V21" s="36">
        <f t="shared" si="8"/>
        <v>0</v>
      </c>
      <c r="X21" s="32">
        <f t="shared" si="11"/>
        <v>10</v>
      </c>
      <c r="Y21" s="33" t="s">
        <v>951</v>
      </c>
      <c r="Z21" s="293"/>
      <c r="AA21" s="294"/>
      <c r="AB21" s="650"/>
      <c r="AC21" s="294"/>
      <c r="AD21" s="650"/>
      <c r="AE21" s="294"/>
      <c r="AF21" s="650"/>
      <c r="AG21" s="36"/>
      <c r="AH21" s="637"/>
    </row>
    <row r="22" spans="1:34" x14ac:dyDescent="0.2">
      <c r="A22" s="32">
        <f t="shared" si="9"/>
        <v>11</v>
      </c>
      <c r="B22" s="34" t="s">
        <v>60</v>
      </c>
      <c r="C22" s="253">
        <f>SUM('WP1 Light Inventory'!$I$125:$I$144)</f>
        <v>108398</v>
      </c>
      <c r="D22" s="242">
        <f>'Schedule 54E'!I36</f>
        <v>518882.04</v>
      </c>
      <c r="E22" s="242">
        <f>'Schedule 54E'!J36</f>
        <v>479348.76</v>
      </c>
      <c r="F22" s="681">
        <f>'Schedule 54E'!K36</f>
        <v>795237.12000000011</v>
      </c>
      <c r="G22" s="242">
        <f t="shared" ref="G22:G27" si="14">+E22-D22</f>
        <v>-39533.27999999997</v>
      </c>
      <c r="H22" s="242">
        <f t="shared" ref="H22:H27" si="15">+F22-D22</f>
        <v>276355.08000000013</v>
      </c>
      <c r="I22" s="36">
        <f t="shared" si="3"/>
        <v>-7.6189339681134408E-2</v>
      </c>
      <c r="J22" s="36">
        <f t="shared" si="4"/>
        <v>0.53259711976155533</v>
      </c>
      <c r="K22" s="177"/>
      <c r="L22" s="654">
        <f t="shared" si="10"/>
        <v>11</v>
      </c>
      <c r="M22" s="202" t="s">
        <v>60</v>
      </c>
      <c r="N22" s="253">
        <f t="shared" ref="N22:N27" si="16">C22</f>
        <v>108398</v>
      </c>
      <c r="O22" s="252">
        <f t="shared" ref="O22:P27" si="17">E22</f>
        <v>479348.76</v>
      </c>
      <c r="P22" s="242">
        <f t="shared" si="17"/>
        <v>795237.12000000011</v>
      </c>
      <c r="Q22" s="242">
        <f>'Schedule 54E'!AB36</f>
        <v>479348.76</v>
      </c>
      <c r="R22" s="681">
        <f>'Schedule 54E'!AC36</f>
        <v>838466.64</v>
      </c>
      <c r="S22" s="242">
        <f t="shared" ref="S22:T27" si="18">+Q22-O22</f>
        <v>0</v>
      </c>
      <c r="T22" s="242">
        <f t="shared" si="18"/>
        <v>43229.519999999902</v>
      </c>
      <c r="U22" s="36">
        <f t="shared" si="7"/>
        <v>0</v>
      </c>
      <c r="V22" s="36">
        <f t="shared" si="8"/>
        <v>5.4360540916399747E-2</v>
      </c>
      <c r="X22" s="32">
        <f t="shared" si="11"/>
        <v>11</v>
      </c>
      <c r="Y22" s="34" t="s">
        <v>60</v>
      </c>
      <c r="Z22" s="253"/>
      <c r="AA22" s="252"/>
      <c r="AB22" s="649"/>
      <c r="AC22" s="242"/>
      <c r="AD22" s="649"/>
      <c r="AE22" s="242"/>
      <c r="AF22" s="649"/>
      <c r="AG22" s="36"/>
      <c r="AH22" s="637"/>
    </row>
    <row r="23" spans="1:34" x14ac:dyDescent="0.2">
      <c r="A23" s="32">
        <f t="shared" si="9"/>
        <v>12</v>
      </c>
      <c r="B23" s="34" t="s">
        <v>61</v>
      </c>
      <c r="C23" s="253">
        <f>SUM('WP1 Light Inventory'!$I$146:$I$164)</f>
        <v>73320</v>
      </c>
      <c r="D23" s="242">
        <f>'Schedules 55E &amp; 56E'!I36</f>
        <v>1074167.3947677189</v>
      </c>
      <c r="E23" s="242">
        <f>'Schedules 55E &amp; 56E'!J36</f>
        <v>1055180.28</v>
      </c>
      <c r="F23" s="681">
        <f>'Schedules 55E &amp; 56E'!K36</f>
        <v>1226136.4799999997</v>
      </c>
      <c r="G23" s="242">
        <f t="shared" si="14"/>
        <v>-18987.114767718827</v>
      </c>
      <c r="H23" s="242">
        <f t="shared" si="15"/>
        <v>151969.08523228089</v>
      </c>
      <c r="I23" s="36">
        <f t="shared" si="3"/>
        <v>-1.7676122790735663E-2</v>
      </c>
      <c r="J23" s="36">
        <f t="shared" si="4"/>
        <v>0.14147616653840359</v>
      </c>
      <c r="K23" s="177"/>
      <c r="L23" s="654">
        <f t="shared" si="10"/>
        <v>12</v>
      </c>
      <c r="M23" s="202" t="s">
        <v>61</v>
      </c>
      <c r="N23" s="253">
        <f t="shared" si="16"/>
        <v>73320</v>
      </c>
      <c r="O23" s="252">
        <f t="shared" si="17"/>
        <v>1055180.28</v>
      </c>
      <c r="P23" s="242">
        <f t="shared" si="17"/>
        <v>1226136.4799999997</v>
      </c>
      <c r="Q23" s="242">
        <f>'Schedules 55E &amp; 56E'!AB36</f>
        <v>1055180.28</v>
      </c>
      <c r="R23" s="681">
        <f>'Schedules 55E &amp; 56E'!AC36</f>
        <v>1247228.6399999997</v>
      </c>
      <c r="S23" s="242">
        <f t="shared" si="18"/>
        <v>0</v>
      </c>
      <c r="T23" s="242">
        <f t="shared" si="18"/>
        <v>21092.159999999916</v>
      </c>
      <c r="U23" s="36">
        <f t="shared" si="7"/>
        <v>0</v>
      </c>
      <c r="V23" s="36">
        <f t="shared" si="8"/>
        <v>1.7202130712235166E-2</v>
      </c>
      <c r="X23" s="32">
        <f t="shared" si="11"/>
        <v>12</v>
      </c>
      <c r="Y23" s="34" t="s">
        <v>61</v>
      </c>
      <c r="Z23" s="253"/>
      <c r="AA23" s="252"/>
      <c r="AB23" s="649"/>
      <c r="AC23" s="242"/>
      <c r="AD23" s="649"/>
      <c r="AE23" s="242"/>
      <c r="AF23" s="649"/>
      <c r="AG23" s="36"/>
      <c r="AH23" s="637"/>
    </row>
    <row r="24" spans="1:34" x14ac:dyDescent="0.2">
      <c r="A24" s="32">
        <f t="shared" si="9"/>
        <v>13</v>
      </c>
      <c r="B24" s="34" t="s">
        <v>62</v>
      </c>
      <c r="C24" s="253"/>
      <c r="D24" s="242">
        <f>'Schedule 57E'!H15</f>
        <v>470713.26617000008</v>
      </c>
      <c r="E24" s="242">
        <f>'Schedule 57E'!I15</f>
        <v>492492.03403000004</v>
      </c>
      <c r="F24" s="681">
        <f>'Schedule 57E'!J15</f>
        <v>790210.03590999986</v>
      </c>
      <c r="G24" s="242">
        <f t="shared" si="14"/>
        <v>21778.767859999964</v>
      </c>
      <c r="H24" s="242">
        <f t="shared" si="15"/>
        <v>319496.76973999979</v>
      </c>
      <c r="I24" s="36">
        <f t="shared" si="3"/>
        <v>4.626758883854034E-2</v>
      </c>
      <c r="J24" s="36">
        <f t="shared" si="4"/>
        <v>0.67875029811590692</v>
      </c>
      <c r="K24" s="177"/>
      <c r="L24" s="654">
        <f t="shared" si="10"/>
        <v>13</v>
      </c>
      <c r="M24" s="202" t="s">
        <v>62</v>
      </c>
      <c r="N24" s="253">
        <f t="shared" si="16"/>
        <v>0</v>
      </c>
      <c r="O24" s="252">
        <f t="shared" si="17"/>
        <v>492492.03403000004</v>
      </c>
      <c r="P24" s="242">
        <f t="shared" si="17"/>
        <v>790210.03590999986</v>
      </c>
      <c r="Q24" s="242">
        <f>'Schedule 57E'!Z15</f>
        <v>492492.03403000004</v>
      </c>
      <c r="R24" s="681">
        <f>'Schedule 57E'!AA15</f>
        <v>830848.76768999989</v>
      </c>
      <c r="S24" s="242">
        <f t="shared" si="18"/>
        <v>0</v>
      </c>
      <c r="T24" s="242">
        <f t="shared" si="18"/>
        <v>40638.731780000031</v>
      </c>
      <c r="U24" s="36">
        <f t="shared" si="7"/>
        <v>0</v>
      </c>
      <c r="V24" s="36">
        <f t="shared" si="8"/>
        <v>5.1427759624946771E-2</v>
      </c>
      <c r="X24" s="32">
        <f t="shared" si="11"/>
        <v>13</v>
      </c>
      <c r="Y24" s="34" t="s">
        <v>62</v>
      </c>
      <c r="Z24" s="253"/>
      <c r="AA24" s="252"/>
      <c r="AB24" s="649"/>
      <c r="AC24" s="242"/>
      <c r="AD24" s="649"/>
      <c r="AE24" s="242"/>
      <c r="AF24" s="649"/>
      <c r="AG24" s="36"/>
      <c r="AH24" s="637"/>
    </row>
    <row r="25" spans="1:34" x14ac:dyDescent="0.2">
      <c r="A25" s="32">
        <f t="shared" si="9"/>
        <v>14</v>
      </c>
      <c r="B25" s="34" t="s">
        <v>63</v>
      </c>
      <c r="C25" s="253">
        <f>SUM('WP1 Light Inventory'!$I$166:$I$202)</f>
        <v>17596</v>
      </c>
      <c r="D25" s="242">
        <f>'Schedules 58E &amp; 59E'!J56</f>
        <v>405069.12</v>
      </c>
      <c r="E25" s="242">
        <f>'Schedules 58E &amp; 59E'!K56</f>
        <v>395903.64</v>
      </c>
      <c r="F25" s="681">
        <f>'Schedules 58E &amp; 59E'!L56</f>
        <v>506992.92000000004</v>
      </c>
      <c r="G25" s="242">
        <f t="shared" si="14"/>
        <v>-9165.4799999999814</v>
      </c>
      <c r="H25" s="242">
        <f t="shared" si="15"/>
        <v>101923.80000000005</v>
      </c>
      <c r="I25" s="36">
        <f t="shared" si="3"/>
        <v>-2.2626953148144151E-2</v>
      </c>
      <c r="J25" s="36">
        <f t="shared" si="4"/>
        <v>0.25162076042725756</v>
      </c>
      <c r="K25" s="177"/>
      <c r="L25" s="654">
        <f t="shared" si="10"/>
        <v>14</v>
      </c>
      <c r="M25" s="202" t="s">
        <v>63</v>
      </c>
      <c r="N25" s="253">
        <f t="shared" si="16"/>
        <v>17596</v>
      </c>
      <c r="O25" s="252">
        <f t="shared" si="17"/>
        <v>395903.64</v>
      </c>
      <c r="P25" s="242">
        <f t="shared" si="17"/>
        <v>506992.92000000004</v>
      </c>
      <c r="Q25" s="242">
        <f>'Schedules 58E &amp; 59E'!AD56</f>
        <v>395903.64</v>
      </c>
      <c r="R25" s="681">
        <f>'Schedules 58E &amp; 59E'!AE56</f>
        <v>522137.88</v>
      </c>
      <c r="S25" s="242">
        <f t="shared" si="18"/>
        <v>0</v>
      </c>
      <c r="T25" s="242">
        <f t="shared" si="18"/>
        <v>15144.959999999963</v>
      </c>
      <c r="U25" s="36">
        <f t="shared" si="7"/>
        <v>0</v>
      </c>
      <c r="V25" s="36">
        <f t="shared" si="8"/>
        <v>2.987213312564594E-2</v>
      </c>
      <c r="X25" s="32">
        <f t="shared" si="11"/>
        <v>14</v>
      </c>
      <c r="Y25" s="34" t="s">
        <v>63</v>
      </c>
      <c r="Z25" s="253"/>
      <c r="AA25" s="252"/>
      <c r="AB25" s="649"/>
      <c r="AC25" s="242"/>
      <c r="AD25" s="649"/>
      <c r="AE25" s="242"/>
      <c r="AF25" s="649"/>
      <c r="AG25" s="36"/>
      <c r="AH25" s="637"/>
    </row>
    <row r="26" spans="1:34" x14ac:dyDescent="0.2">
      <c r="A26" s="32">
        <f t="shared" si="9"/>
        <v>15</v>
      </c>
      <c r="B26" s="34" t="s">
        <v>64</v>
      </c>
      <c r="C26" s="35">
        <f>SUM('WP1 Light Inventory'!$I$206,'WP1 Light Inventory'!$I$209)</f>
        <v>7447</v>
      </c>
      <c r="D26" s="242">
        <f>'Schedules 55E &amp; 58E Pole'!G18</f>
        <v>46560.959999999999</v>
      </c>
      <c r="E26" s="242">
        <f>'Schedules 55E &amp; 58E Pole'!H18</f>
        <v>38849.760000000002</v>
      </c>
      <c r="F26" s="681">
        <f>'Schedules 55E &amp; 58E Pole'!I18</f>
        <v>38849.760000000002</v>
      </c>
      <c r="G26" s="242">
        <f t="shared" si="14"/>
        <v>-7711.1999999999971</v>
      </c>
      <c r="H26" s="242">
        <f t="shared" si="15"/>
        <v>-7711.1999999999971</v>
      </c>
      <c r="I26" s="36">
        <f t="shared" si="3"/>
        <v>-0.1656151419558359</v>
      </c>
      <c r="J26" s="36">
        <f t="shared" si="4"/>
        <v>-0.1656151419558359</v>
      </c>
      <c r="K26" s="177"/>
      <c r="L26" s="654">
        <f t="shared" si="10"/>
        <v>15</v>
      </c>
      <c r="M26" s="202" t="s">
        <v>64</v>
      </c>
      <c r="N26" s="253">
        <f t="shared" si="16"/>
        <v>7447</v>
      </c>
      <c r="O26" s="252">
        <f t="shared" si="17"/>
        <v>38849.760000000002</v>
      </c>
      <c r="P26" s="242">
        <f t="shared" si="17"/>
        <v>38849.760000000002</v>
      </c>
      <c r="Q26" s="242">
        <f>'Schedules 55E &amp; 58E Pole'!X18</f>
        <v>38849.760000000002</v>
      </c>
      <c r="R26" s="681">
        <f>'Schedules 55E &amp; 58E Pole'!Y18</f>
        <v>38849.760000000002</v>
      </c>
      <c r="S26" s="242">
        <f t="shared" si="18"/>
        <v>0</v>
      </c>
      <c r="T26" s="242">
        <f t="shared" si="18"/>
        <v>0</v>
      </c>
      <c r="U26" s="36">
        <f t="shared" si="7"/>
        <v>0</v>
      </c>
      <c r="V26" s="36">
        <f t="shared" si="8"/>
        <v>0</v>
      </c>
      <c r="X26" s="32">
        <f t="shared" si="11"/>
        <v>15</v>
      </c>
      <c r="Y26" s="34" t="s">
        <v>64</v>
      </c>
      <c r="Z26" s="253"/>
      <c r="AA26" s="252"/>
      <c r="AB26" s="649"/>
      <c r="AC26" s="242"/>
      <c r="AD26" s="649"/>
      <c r="AE26" s="242"/>
      <c r="AF26" s="649"/>
      <c r="AG26" s="36"/>
      <c r="AH26" s="637"/>
    </row>
    <row r="27" spans="1:34" x14ac:dyDescent="0.2">
      <c r="A27" s="32">
        <f t="shared" si="9"/>
        <v>16</v>
      </c>
      <c r="B27" s="33" t="s">
        <v>65</v>
      </c>
      <c r="C27" s="35">
        <f>SUM('WP1 Light Inventory'!$I$207,'WP1 Light Inventory'!$I$210)</f>
        <v>5954</v>
      </c>
      <c r="D27" s="242">
        <f>'Schedules 55E &amp; 58E Pole'!G19</f>
        <v>65769.600000000006</v>
      </c>
      <c r="E27" s="242">
        <f>'Schedules 55E &amp; 58E Pole'!H19</f>
        <v>49520.640000000007</v>
      </c>
      <c r="F27" s="681">
        <f>'Schedules 55E &amp; 58E Pole'!I19</f>
        <v>49520.640000000007</v>
      </c>
      <c r="G27" s="242">
        <f t="shared" si="14"/>
        <v>-16248.96</v>
      </c>
      <c r="H27" s="242">
        <f t="shared" si="15"/>
        <v>-16248.96</v>
      </c>
      <c r="I27" s="36">
        <f t="shared" si="3"/>
        <v>-0.24705882352941172</v>
      </c>
      <c r="J27" s="36">
        <f t="shared" si="4"/>
        <v>-0.24705882352941172</v>
      </c>
      <c r="K27" s="177"/>
      <c r="L27" s="654">
        <f t="shared" si="10"/>
        <v>16</v>
      </c>
      <c r="M27" s="653" t="s">
        <v>65</v>
      </c>
      <c r="N27" s="253">
        <f t="shared" si="16"/>
        <v>5954</v>
      </c>
      <c r="O27" s="252">
        <f t="shared" si="17"/>
        <v>49520.640000000007</v>
      </c>
      <c r="P27" s="242">
        <f t="shared" si="17"/>
        <v>49520.640000000007</v>
      </c>
      <c r="Q27" s="242">
        <f>'Schedules 55E &amp; 58E Pole'!X19</f>
        <v>49520.640000000007</v>
      </c>
      <c r="R27" s="681">
        <f>'Schedules 55E &amp; 58E Pole'!Y19</f>
        <v>49520.640000000007</v>
      </c>
      <c r="S27" s="242">
        <f t="shared" si="18"/>
        <v>0</v>
      </c>
      <c r="T27" s="242">
        <f t="shared" si="18"/>
        <v>0</v>
      </c>
      <c r="U27" s="36">
        <f t="shared" si="7"/>
        <v>0</v>
      </c>
      <c r="V27" s="36">
        <f t="shared" si="8"/>
        <v>0</v>
      </c>
      <c r="X27" s="32">
        <f t="shared" si="11"/>
        <v>16</v>
      </c>
      <c r="Y27" s="33" t="s">
        <v>65</v>
      </c>
      <c r="Z27" s="253"/>
      <c r="AA27" s="252"/>
      <c r="AB27" s="649"/>
      <c r="AC27" s="242"/>
      <c r="AD27" s="649"/>
      <c r="AE27" s="242"/>
      <c r="AF27" s="649"/>
      <c r="AG27" s="36"/>
      <c r="AH27" s="637"/>
    </row>
    <row r="28" spans="1:34" x14ac:dyDescent="0.2">
      <c r="A28" s="32">
        <f t="shared" si="9"/>
        <v>17</v>
      </c>
      <c r="B28" s="33"/>
      <c r="C28" s="35"/>
      <c r="D28" s="242"/>
      <c r="E28" s="242"/>
      <c r="F28" s="681"/>
      <c r="G28" s="242"/>
      <c r="H28" s="242"/>
      <c r="I28" s="36"/>
      <c r="J28" s="36"/>
      <c r="K28" s="177"/>
      <c r="L28" s="630">
        <f t="shared" si="10"/>
        <v>17</v>
      </c>
      <c r="M28" s="629"/>
      <c r="N28" s="35"/>
      <c r="O28" s="242"/>
      <c r="P28" s="242"/>
      <c r="Q28" s="242"/>
      <c r="R28" s="681"/>
      <c r="S28" s="242"/>
      <c r="T28" s="242"/>
      <c r="U28" s="36"/>
      <c r="V28" s="36"/>
      <c r="X28" s="32">
        <f t="shared" si="11"/>
        <v>17</v>
      </c>
      <c r="Y28" s="33"/>
      <c r="Z28" s="35"/>
      <c r="AA28" s="242"/>
      <c r="AB28" s="649"/>
      <c r="AC28" s="242"/>
      <c r="AD28" s="649"/>
      <c r="AE28" s="242"/>
      <c r="AF28" s="649"/>
      <c r="AG28" s="36"/>
      <c r="AH28" s="637"/>
    </row>
    <row r="29" spans="1:34" ht="10.8" thickBot="1" x14ac:dyDescent="0.25">
      <c r="A29" s="32">
        <f t="shared" si="9"/>
        <v>18</v>
      </c>
      <c r="B29" s="28"/>
      <c r="C29" s="37">
        <f>SUM(C12:C27)</f>
        <v>1440310</v>
      </c>
      <c r="D29" s="243">
        <f>SUM(D12:D28)</f>
        <v>17128620.51285772</v>
      </c>
      <c r="E29" s="243">
        <f>SUM(E12:E28)</f>
        <v>16798106.38177</v>
      </c>
      <c r="F29" s="683">
        <f>SUM(F12:F28)</f>
        <v>20250317.783650007</v>
      </c>
      <c r="G29" s="243">
        <f>SUM(G12:G28)</f>
        <v>-330514.1310877194</v>
      </c>
      <c r="H29" s="243">
        <f>SUM(H12:H28)</f>
        <v>3121697.2707922822</v>
      </c>
      <c r="I29" s="38">
        <f>+G29/D29</f>
        <v>-1.9296015743919169E-2</v>
      </c>
      <c r="J29" s="38">
        <f>+H29/D29</f>
        <v>0.18225036093531047</v>
      </c>
      <c r="K29" s="177"/>
      <c r="L29" s="630">
        <f t="shared" si="10"/>
        <v>18</v>
      </c>
      <c r="M29" s="177"/>
      <c r="N29" s="37">
        <f t="shared" ref="N29:T29" si="19">SUM(N12:N27)</f>
        <v>1440310</v>
      </c>
      <c r="O29" s="243">
        <f t="shared" si="19"/>
        <v>16798106.38177</v>
      </c>
      <c r="P29" s="243">
        <f t="shared" si="19"/>
        <v>20250317.783650007</v>
      </c>
      <c r="Q29" s="243">
        <f t="shared" si="19"/>
        <v>16798106.38177</v>
      </c>
      <c r="R29" s="683">
        <f t="shared" si="19"/>
        <v>20717206.595429998</v>
      </c>
      <c r="S29" s="243">
        <f t="shared" si="19"/>
        <v>0</v>
      </c>
      <c r="T29" s="243">
        <f t="shared" si="19"/>
        <v>466888.81177999696</v>
      </c>
      <c r="U29" s="38">
        <f>+S29/O29</f>
        <v>0</v>
      </c>
      <c r="V29" s="38">
        <f>+T29/P29</f>
        <v>2.305587580245088E-2</v>
      </c>
      <c r="X29" s="32">
        <f t="shared" si="11"/>
        <v>18</v>
      </c>
      <c r="Y29" s="28"/>
      <c r="Z29" s="37"/>
      <c r="AA29" s="243"/>
      <c r="AB29" s="651"/>
      <c r="AC29" s="243"/>
      <c r="AD29" s="651"/>
      <c r="AE29" s="243"/>
      <c r="AF29" s="651"/>
      <c r="AG29" s="38"/>
      <c r="AH29" s="638"/>
    </row>
    <row r="30" spans="1:34" ht="11.4" thickTop="1" thickBot="1" x14ac:dyDescent="0.25">
      <c r="B30" s="90"/>
      <c r="C30" s="90"/>
      <c r="D30" s="90"/>
    </row>
    <row r="31" spans="1:34" x14ac:dyDescent="0.2">
      <c r="B31" s="703" t="s">
        <v>1202</v>
      </c>
      <c r="C31" s="710">
        <v>1440310</v>
      </c>
      <c r="D31" s="709">
        <v>17128621</v>
      </c>
      <c r="E31" s="709">
        <v>16798106</v>
      </c>
      <c r="F31" s="710">
        <v>21963656</v>
      </c>
      <c r="G31" s="709">
        <v>-330514</v>
      </c>
      <c r="H31" s="710">
        <v>4835035</v>
      </c>
      <c r="I31" s="711">
        <v>-1.9300000000000001E-2</v>
      </c>
      <c r="J31" s="711">
        <v>0.2823</v>
      </c>
      <c r="K31" s="712"/>
      <c r="L31" s="712"/>
      <c r="M31" s="712"/>
      <c r="N31" s="710">
        <v>1440310</v>
      </c>
      <c r="O31" s="709">
        <v>16798106</v>
      </c>
      <c r="P31" s="709">
        <v>21963656</v>
      </c>
      <c r="Q31" s="709">
        <v>16798106</v>
      </c>
      <c r="R31" s="710">
        <v>22480705</v>
      </c>
      <c r="S31" s="708" t="s">
        <v>1201</v>
      </c>
      <c r="T31" s="710">
        <v>517049</v>
      </c>
      <c r="U31" s="711">
        <v>0</v>
      </c>
      <c r="V31" s="713">
        <v>2.35E-2</v>
      </c>
    </row>
    <row r="32" spans="1:34" ht="10.8" thickBot="1" x14ac:dyDescent="0.25">
      <c r="B32" s="704" t="s">
        <v>1200</v>
      </c>
      <c r="C32" s="705">
        <f>C29-C31</f>
        <v>0</v>
      </c>
      <c r="D32" s="714">
        <f t="shared" ref="D32:J32" si="20">D29-D31</f>
        <v>-0.48714227974414825</v>
      </c>
      <c r="E32" s="714">
        <f t="shared" si="20"/>
        <v>0.38176999986171722</v>
      </c>
      <c r="F32" s="714">
        <f t="shared" si="20"/>
        <v>-1713338.2163499929</v>
      </c>
      <c r="G32" s="714">
        <f t="shared" si="20"/>
        <v>-0.13108771940460429</v>
      </c>
      <c r="H32" s="714">
        <f t="shared" si="20"/>
        <v>-1713337.7292077178</v>
      </c>
      <c r="I32" s="724">
        <f t="shared" si="20"/>
        <v>3.9842560808321659E-6</v>
      </c>
      <c r="J32" s="724">
        <f t="shared" si="20"/>
        <v>-0.10004963906468953</v>
      </c>
      <c r="K32" s="706"/>
      <c r="L32" s="706"/>
      <c r="M32" s="706"/>
      <c r="N32" s="714">
        <f>N29-N31</f>
        <v>0</v>
      </c>
      <c r="O32" s="714">
        <f t="shared" ref="O32:Q32" si="21">O29-O31</f>
        <v>0.38176999986171722</v>
      </c>
      <c r="P32" s="714">
        <f t="shared" si="21"/>
        <v>-1713338.2163499929</v>
      </c>
      <c r="Q32" s="714">
        <f t="shared" si="21"/>
        <v>0.38176999986171722</v>
      </c>
      <c r="R32" s="714">
        <f t="shared" ref="R32" si="22">R29-R31</f>
        <v>-1763498.4045700021</v>
      </c>
      <c r="S32" s="714">
        <v>0</v>
      </c>
      <c r="T32" s="714">
        <f t="shared" ref="T32" si="23">T29-T31</f>
        <v>-50160.188220003038</v>
      </c>
      <c r="U32" s="724">
        <f t="shared" ref="U32:V32" si="24">U29-U31</f>
        <v>0</v>
      </c>
      <c r="V32" s="723">
        <f t="shared" si="24"/>
        <v>-4.4412419754912003E-4</v>
      </c>
    </row>
    <row r="33" spans="2:4" ht="13.8" x14ac:dyDescent="0.3">
      <c r="B33" s="641"/>
      <c r="C33" s="90"/>
      <c r="D33" s="90"/>
    </row>
    <row r="34" spans="2:4" ht="13.8" x14ac:dyDescent="0.3">
      <c r="B34" s="641" t="s">
        <v>1165</v>
      </c>
      <c r="C34" s="90"/>
      <c r="D34" s="90"/>
    </row>
    <row r="35" spans="2:4" x14ac:dyDescent="0.2">
      <c r="B35" s="90"/>
      <c r="C35" s="90"/>
      <c r="D35" s="90"/>
    </row>
    <row r="36" spans="2:4" x14ac:dyDescent="0.2">
      <c r="B36" s="90"/>
      <c r="C36" s="90"/>
      <c r="D36" s="90"/>
    </row>
    <row r="37" spans="2:4" x14ac:dyDescent="0.2">
      <c r="B37" s="90"/>
      <c r="C37" s="90"/>
      <c r="D37" s="90"/>
    </row>
    <row r="38" spans="2:4" x14ac:dyDescent="0.2">
      <c r="B38" s="90"/>
      <c r="C38" s="90"/>
      <c r="D38" s="90"/>
    </row>
    <row r="39" spans="2:4" x14ac:dyDescent="0.2">
      <c r="B39" s="90"/>
      <c r="C39" s="90"/>
      <c r="D39" s="90"/>
    </row>
    <row r="40" spans="2:4" x14ac:dyDescent="0.2">
      <c r="B40" s="90"/>
      <c r="C40" s="90"/>
      <c r="D40" s="90"/>
    </row>
    <row r="41" spans="2:4" x14ac:dyDescent="0.2">
      <c r="B41" s="90"/>
      <c r="C41" s="90"/>
      <c r="D41" s="90"/>
    </row>
  </sheetData>
  <mergeCells count="18">
    <mergeCell ref="X1:AH1"/>
    <mergeCell ref="X2:AH2"/>
    <mergeCell ref="X3:AH3"/>
    <mergeCell ref="X4:AH4"/>
    <mergeCell ref="X5:AH5"/>
    <mergeCell ref="A1:J1"/>
    <mergeCell ref="L1:V1"/>
    <mergeCell ref="L2:V2"/>
    <mergeCell ref="L3:V3"/>
    <mergeCell ref="L4:V4"/>
    <mergeCell ref="A2:J2"/>
    <mergeCell ref="A3:J3"/>
    <mergeCell ref="A4:J4"/>
    <mergeCell ref="A5:J5"/>
    <mergeCell ref="E7:J7"/>
    <mergeCell ref="Q7:V7"/>
    <mergeCell ref="L5:V5"/>
    <mergeCell ref="AC7:AH7"/>
  </mergeCells>
  <printOptions horizontalCentered="1"/>
  <pageMargins left="0.25" right="0.25" top="1" bottom="1" header="0.5" footer="0.5"/>
  <pageSetup scale="91" fitToWidth="3" orientation="landscape" r:id="rId1"/>
  <headerFooter alignWithMargins="0">
    <oddFooter>&amp;R&amp;"Times New Roman,Regular"&amp;F
&amp;A
&amp;P of &amp;N</oddFooter>
  </headerFooter>
  <colBreaks count="2" manualBreakCount="2">
    <brk id="11" max="1048575" man="1"/>
    <brk id="23" max="1048575" man="1"/>
  </colBreaks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Y38"/>
  <sheetViews>
    <sheetView zoomScaleNormal="100" workbookViewId="0">
      <pane ySplit="9" topLeftCell="A10" activePane="bottomLeft" state="frozen"/>
      <selection activeCell="D32" sqref="D32"/>
      <selection pane="bottomLeft" activeCell="A13" sqref="A13:XFD36"/>
    </sheetView>
  </sheetViews>
  <sheetFormatPr defaultColWidth="9.109375" defaultRowHeight="10.199999999999999" x14ac:dyDescent="0.2"/>
  <cols>
    <col min="1" max="1" width="6" style="177" bestFit="1" customWidth="1"/>
    <col min="2" max="2" width="9.33203125" style="177" bestFit="1" customWidth="1"/>
    <col min="3" max="3" width="10" style="177" bestFit="1" customWidth="1"/>
    <col min="4" max="4" width="18.109375" style="177" bestFit="1" customWidth="1"/>
    <col min="5" max="5" width="9.88671875" style="177" bestFit="1" customWidth="1"/>
    <col min="6" max="6" width="9.33203125" style="177" customWidth="1"/>
    <col min="7" max="7" width="10.88671875" style="177" bestFit="1" customWidth="1"/>
    <col min="8" max="8" width="10.109375" style="177" bestFit="1" customWidth="1"/>
    <col min="9" max="9" width="11.88671875" style="177" customWidth="1"/>
    <col min="10" max="10" width="12.33203125" style="177" customWidth="1"/>
    <col min="11" max="11" width="10.88671875" style="177" customWidth="1"/>
    <col min="12" max="12" width="9.33203125" style="177" customWidth="1"/>
    <col min="13" max="13" width="12.33203125" style="177" customWidth="1"/>
    <col min="14" max="14" width="8.6640625" style="177" bestFit="1" customWidth="1"/>
    <col min="15" max="15" width="10.6640625" style="177" customWidth="1"/>
    <col min="16" max="16" width="0.88671875" style="177" customWidth="1"/>
    <col min="17" max="17" width="6.109375" style="177" customWidth="1"/>
    <col min="18" max="19" width="9.109375" style="177"/>
    <col min="20" max="20" width="18.109375" style="177" bestFit="1" customWidth="1"/>
    <col min="21" max="22" width="9.88671875" style="177" bestFit="1" customWidth="1"/>
    <col min="23" max="23" width="10.5546875" style="177" customWidth="1"/>
    <col min="24" max="24" width="9.88671875" style="177" bestFit="1" customWidth="1"/>
    <col min="25" max="25" width="10.33203125" style="177" customWidth="1"/>
    <col min="26" max="26" width="10.88671875" style="177" bestFit="1" customWidth="1"/>
    <col min="27" max="27" width="11.44140625" style="177" customWidth="1"/>
    <col min="28" max="28" width="10.88671875" style="177" bestFit="1" customWidth="1"/>
    <col min="29" max="29" width="11.6640625" style="177" customWidth="1"/>
    <col min="30" max="30" width="7.88671875" style="177" bestFit="1" customWidth="1"/>
    <col min="31" max="31" width="12.44140625" style="177" customWidth="1"/>
    <col min="32" max="33" width="8.6640625" style="177" bestFit="1" customWidth="1"/>
    <col min="34" max="34" width="0.88671875" style="177" customWidth="1"/>
    <col min="35" max="35" width="6.6640625" style="177" customWidth="1"/>
    <col min="36" max="37" width="9.109375" style="177"/>
    <col min="38" max="38" width="18.109375" style="177" bestFit="1" customWidth="1"/>
    <col min="39" max="40" width="9.88671875" style="177" bestFit="1" customWidth="1"/>
    <col min="41" max="41" width="10.33203125" style="177" customWidth="1"/>
    <col min="42" max="42" width="9.88671875" style="177" bestFit="1" customWidth="1"/>
    <col min="43" max="43" width="11.5546875" style="177" customWidth="1"/>
    <col min="44" max="44" width="10.88671875" style="177" bestFit="1" customWidth="1"/>
    <col min="45" max="45" width="10.6640625" style="177" customWidth="1"/>
    <col min="46" max="46" width="10.88671875" style="177" bestFit="1" customWidth="1"/>
    <col min="47" max="47" width="11.44140625" style="177" customWidth="1"/>
    <col min="48" max="48" width="7.88671875" style="177" bestFit="1" customWidth="1"/>
    <col min="49" max="49" width="9.6640625" style="177" customWidth="1"/>
    <col min="50" max="51" width="8.6640625" style="177" bestFit="1" customWidth="1"/>
    <col min="52" max="16384" width="9.109375" style="177"/>
  </cols>
  <sheetData>
    <row r="1" spans="1:51" x14ac:dyDescent="0.2">
      <c r="A1" s="736" t="str">
        <f>'Schedule 54E'!A1:O1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Q1" s="736" t="str">
        <f>A1</f>
        <v>Puget Sound Energy</v>
      </c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I1" s="736" t="str">
        <f>Q1</f>
        <v>Puget Sound Energy</v>
      </c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</row>
    <row r="2" spans="1:51" x14ac:dyDescent="0.2">
      <c r="A2" s="736" t="str">
        <f>'Schedule 54E'!A2:O2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Q2" s="736" t="str">
        <f>A2</f>
        <v>ProForma Proposed Revenue</v>
      </c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I2" s="736" t="str">
        <f>Q2</f>
        <v>ProForma Proposed Revenue</v>
      </c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</row>
    <row r="3" spans="1:51" x14ac:dyDescent="0.2">
      <c r="A3" s="736" t="str">
        <f>'Schedule 54E'!A3:O3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Q3" s="736" t="str">
        <f>A3</f>
        <v>2022 General Rate Case (GRC)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I3" s="736" t="str">
        <f>Q3</f>
        <v>2022 General Rate Case (GRC)</v>
      </c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</row>
    <row r="4" spans="1:51" x14ac:dyDescent="0.2">
      <c r="A4" s="736" t="str">
        <f>'Schedule 54E'!A4:O4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Q4" s="736" t="str">
        <f>A4</f>
        <v>Test Year Ending June 30, 2021</v>
      </c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I4" s="736" t="str">
        <f>Q4</f>
        <v>Test Year Ending June 30, 2021</v>
      </c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</row>
    <row r="5" spans="1:51" x14ac:dyDescent="0.2">
      <c r="A5" s="736" t="s">
        <v>479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Q5" s="736" t="str">
        <f>A5</f>
        <v>Schedules 55 and 56 - Area Lighting Service</v>
      </c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I5" s="736" t="str">
        <f>Q5</f>
        <v>Schedules 55 and 56 - Area Lighting Service</v>
      </c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</row>
    <row r="6" spans="1:51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Q6" s="736" t="s">
        <v>882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I6" s="736" t="s">
        <v>881</v>
      </c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</row>
    <row r="7" spans="1:51" x14ac:dyDescent="0.2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</row>
    <row r="8" spans="1:51" ht="14.4" x14ac:dyDescent="0.3">
      <c r="J8" s="765" t="s">
        <v>653</v>
      </c>
      <c r="K8" s="782"/>
      <c r="L8" s="782"/>
      <c r="M8" s="782"/>
      <c r="N8" s="782"/>
      <c r="O8" s="783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765" t="s">
        <v>653</v>
      </c>
      <c r="AC8" s="782"/>
      <c r="AD8" s="782"/>
      <c r="AE8" s="782"/>
      <c r="AF8" s="782"/>
      <c r="AG8" s="783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765" t="s">
        <v>653</v>
      </c>
      <c r="AU8" s="782"/>
      <c r="AV8" s="782"/>
      <c r="AW8" s="782"/>
      <c r="AX8" s="782"/>
      <c r="AY8" s="783"/>
    </row>
    <row r="9" spans="1:51" s="627" customFormat="1" ht="81.599999999999994" x14ac:dyDescent="0.2">
      <c r="A9" s="632" t="str">
        <f>'Schedule 50E'!A9</f>
        <v>Line No.</v>
      </c>
      <c r="B9" s="632" t="str">
        <f>'Schedule 50E'!B9</f>
        <v>Schedule</v>
      </c>
      <c r="C9" s="632" t="str">
        <f>'Schedule 50E'!C9</f>
        <v>Lamp Size (Watts)</v>
      </c>
      <c r="D9" s="632" t="str">
        <f>'Schedule 50E'!D9</f>
        <v>Lamp Type</v>
      </c>
      <c r="E9" s="632" t="str">
        <f>'Schedule 50E'!E9</f>
        <v>Monthly Test Year Inventory</v>
      </c>
      <c r="F9" s="632" t="str">
        <f>'Schedule 50E'!F9</f>
        <v>Base Rates
Effective
10-1-2021</v>
      </c>
      <c r="G9" s="632" t="str">
        <f>'Schedule 50E'!G9</f>
        <v>Proposed Lamp Charge (Base)</v>
      </c>
      <c r="H9" s="632" t="str">
        <f>'Schedule 50E'!H9</f>
        <v>TOTAL Proposed Charge (Base + 141COL + 141N + 141R + 141A)</v>
      </c>
      <c r="I9" s="632" t="str">
        <f>'Schedule 50E'!I9</f>
        <v>Current Annual Rate Revenue (Base)</v>
      </c>
      <c r="J9" s="632" t="str">
        <f>'Schedule 50E'!J9</f>
        <v>Annual Revenue (Base)</v>
      </c>
      <c r="K9" s="632" t="str">
        <f>'Schedule 50E'!K9</f>
        <v>TOTAL Annual Revenue (Base + 141COL + 141N + 141R + 141A)</v>
      </c>
      <c r="L9" s="632" t="str">
        <f>'Schedule 50E'!L9</f>
        <v>Revenue Change (Base)</v>
      </c>
      <c r="M9" s="632" t="str">
        <f>'Schedule 50E'!M9</f>
        <v>TOTAL Revenue Change (Base + 141COL + 141N + 141R + 141A)</v>
      </c>
      <c r="N9" s="632" t="str">
        <f>'Schedule 50E'!N9</f>
        <v>Base Change %</v>
      </c>
      <c r="O9" s="632" t="str">
        <f>'Schedule 50E'!O9</f>
        <v>TOTAL Overall Change %</v>
      </c>
      <c r="P9" s="626"/>
      <c r="Q9" s="632" t="s">
        <v>1</v>
      </c>
      <c r="R9" s="632" t="s">
        <v>53</v>
      </c>
      <c r="S9" s="631" t="s">
        <v>66</v>
      </c>
      <c r="T9" s="632" t="s">
        <v>67</v>
      </c>
      <c r="U9" s="632" t="str">
        <f>'Schedule 50E'!U9</f>
        <v>Monthly Test Year Inventory</v>
      </c>
      <c r="V9" s="632" t="str">
        <f>'Schedule 50E'!V9</f>
        <v>Rates Effective 1-1-2023 (Base)</v>
      </c>
      <c r="W9" s="632" t="str">
        <f>'Schedule 50E'!W9</f>
        <v>TOTAL Rates Effective 1-1-2023 (Base + 141COL + 141N + 141R + 141A)</v>
      </c>
      <c r="X9" s="632" t="str">
        <f>'Schedule 50E'!X9</f>
        <v>Proposed Lamp Charge (Base)</v>
      </c>
      <c r="Y9" s="632" t="str">
        <f>'Schedule 50E'!Y9</f>
        <v>TOTAL Proposed Charge (Base + 141COL + 141N + 141R + 141A)</v>
      </c>
      <c r="Z9" s="632" t="str">
        <f>'Schedule 50E'!Z9</f>
        <v>Current Annual Rate Revenue (Base)</v>
      </c>
      <c r="AA9" s="632" t="str">
        <f>'Schedule 50E'!AA9</f>
        <v>TOTAL Current Annual Rate Revenue (Base + 141COL + 141N + 141R + 141A)</v>
      </c>
      <c r="AB9" s="632" t="str">
        <f>'Schedule 50E'!AB9</f>
        <v>Annual Revenue (Base)</v>
      </c>
      <c r="AC9" s="632" t="str">
        <f>'Schedule 50E'!AC9</f>
        <v>TOTAL Annual Revenue (Base + 141COL + 141N + 141R + 141A)</v>
      </c>
      <c r="AD9" s="632" t="str">
        <f>'Schedule 50E'!AD9</f>
        <v>Revenue Change (Base)</v>
      </c>
      <c r="AE9" s="632" t="str">
        <f>'Schedule 50E'!AE9</f>
        <v>TOTAL Revenue Change  (Base + 141COL + 141N + 141R + 141A)</v>
      </c>
      <c r="AF9" s="632" t="str">
        <f>'Schedule 50E'!AF9</f>
        <v>Base Change %</v>
      </c>
      <c r="AG9" s="632" t="str">
        <f>'Schedule 50E'!AG9</f>
        <v>TOTAL Overall Change %</v>
      </c>
      <c r="AH9" s="626"/>
      <c r="AI9" s="632" t="s">
        <v>1</v>
      </c>
      <c r="AJ9" s="632" t="s">
        <v>53</v>
      </c>
      <c r="AK9" s="631" t="s">
        <v>66</v>
      </c>
      <c r="AL9" s="632" t="s">
        <v>67</v>
      </c>
      <c r="AM9" s="632" t="str">
        <f>'Schedule 50E'!AM9</f>
        <v>Monthly Test Year Inventory</v>
      </c>
      <c r="AN9" s="632" t="str">
        <f>'Schedule 50E'!AN9</f>
        <v>Rates Effective 1-1-2024 (Base)</v>
      </c>
      <c r="AO9" s="632" t="str">
        <f>'Schedule 50E'!AO9</f>
        <v>TOTAL Rates Effective 1-1-2024 (Base + 141COL + 141N + 141R + 141A)</v>
      </c>
      <c r="AP9" s="632" t="str">
        <f>'Schedule 50E'!AP9</f>
        <v>Proposed Lamp Charge (Base)</v>
      </c>
      <c r="AQ9" s="632" t="str">
        <f>'Schedule 50E'!AQ9</f>
        <v>TOTAL Proposed Charge (Base + 141COL + 141N + 141R + 141A)</v>
      </c>
      <c r="AR9" s="632" t="str">
        <f>'Schedule 50E'!AR9</f>
        <v>Current Annual Rate Revenue (Base)</v>
      </c>
      <c r="AS9" s="632" t="str">
        <f>'Schedule 50E'!AS9</f>
        <v>TOTAL Current Annual Rate Revenue (Base + 141COL + 141N + 141R + 141A)</v>
      </c>
      <c r="AT9" s="632" t="str">
        <f>'Schedule 50E'!AT9</f>
        <v>Annual Revenue (Base)</v>
      </c>
      <c r="AU9" s="632" t="str">
        <f>'Schedule 50E'!AU9</f>
        <v>TOTAL Annual Revenue (Base + 141COL + 141N + 141R + 141A)</v>
      </c>
      <c r="AV9" s="632" t="str">
        <f>'Schedule 50E'!AV9</f>
        <v>Revenue Change (Base)</v>
      </c>
      <c r="AW9" s="632" t="str">
        <f>'Schedule 50E'!AW9</f>
        <v>TOTAL Revenue Change (Base + 141COL + 141N + 141R + 141A)</v>
      </c>
      <c r="AX9" s="632" t="str">
        <f>'Schedule 50E'!AX9</f>
        <v>Base Change %</v>
      </c>
      <c r="AY9" s="632" t="str">
        <f>'Schedule 50E'!AY9</f>
        <v>TOTAL Overall Change %</v>
      </c>
    </row>
    <row r="10" spans="1:51" s="62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169" t="s">
        <v>13</v>
      </c>
      <c r="P10" s="626"/>
      <c r="Q10" s="98"/>
      <c r="R10" s="98" t="s">
        <v>3</v>
      </c>
      <c r="S10" s="169" t="s">
        <v>4</v>
      </c>
      <c r="T10" s="169" t="s">
        <v>5</v>
      </c>
      <c r="U10" s="169" t="s">
        <v>6</v>
      </c>
      <c r="V10" s="169" t="s">
        <v>390</v>
      </c>
      <c r="W10" s="169" t="s">
        <v>21</v>
      </c>
      <c r="X10" s="169" t="s">
        <v>8</v>
      </c>
      <c r="Y10" s="169" t="s">
        <v>9</v>
      </c>
      <c r="Z10" s="169" t="s">
        <v>22</v>
      </c>
      <c r="AA10" s="169" t="s">
        <v>23</v>
      </c>
      <c r="AB10" s="169" t="s">
        <v>10</v>
      </c>
      <c r="AC10" s="169" t="s">
        <v>11</v>
      </c>
      <c r="AD10" s="169" t="s">
        <v>12</v>
      </c>
      <c r="AE10" s="169" t="s">
        <v>13</v>
      </c>
      <c r="AF10" s="169" t="s">
        <v>14</v>
      </c>
      <c r="AG10" s="169" t="s">
        <v>877</v>
      </c>
      <c r="AH10" s="626"/>
      <c r="AI10" s="98"/>
      <c r="AJ10" s="98" t="s">
        <v>3</v>
      </c>
      <c r="AK10" s="169" t="s">
        <v>4</v>
      </c>
      <c r="AL10" s="169" t="s">
        <v>5</v>
      </c>
      <c r="AM10" s="169" t="s">
        <v>6</v>
      </c>
      <c r="AN10" s="169" t="s">
        <v>390</v>
      </c>
      <c r="AO10" s="169" t="s">
        <v>21</v>
      </c>
      <c r="AP10" s="169" t="s">
        <v>8</v>
      </c>
      <c r="AQ10" s="169" t="s">
        <v>9</v>
      </c>
      <c r="AR10" s="169" t="s">
        <v>22</v>
      </c>
      <c r="AS10" s="169" t="s">
        <v>23</v>
      </c>
      <c r="AT10" s="169" t="s">
        <v>10</v>
      </c>
      <c r="AU10" s="169" t="s">
        <v>11</v>
      </c>
      <c r="AV10" s="169" t="s">
        <v>12</v>
      </c>
      <c r="AW10" s="169" t="s">
        <v>13</v>
      </c>
      <c r="AX10" s="169" t="s">
        <v>14</v>
      </c>
      <c r="AY10" s="169" t="s">
        <v>877</v>
      </c>
    </row>
    <row r="11" spans="1:51" s="627" customFormat="1" ht="18" customHeight="1" x14ac:dyDescent="0.2">
      <c r="A11" s="98" t="s">
        <v>396</v>
      </c>
      <c r="B11" s="98"/>
      <c r="C11" s="169"/>
      <c r="D11" s="169"/>
      <c r="E11" s="169" t="s">
        <v>397</v>
      </c>
      <c r="F11" s="169" t="s">
        <v>397</v>
      </c>
      <c r="G11" s="169" t="s">
        <v>397</v>
      </c>
      <c r="H11" s="169" t="s">
        <v>397</v>
      </c>
      <c r="I11" s="169" t="s">
        <v>416</v>
      </c>
      <c r="J11" s="169" t="s">
        <v>483</v>
      </c>
      <c r="K11" s="169" t="s">
        <v>484</v>
      </c>
      <c r="L11" s="169" t="s">
        <v>492</v>
      </c>
      <c r="M11" s="169" t="s">
        <v>398</v>
      </c>
      <c r="N11" s="169" t="s">
        <v>399</v>
      </c>
      <c r="O11" s="169" t="s">
        <v>876</v>
      </c>
      <c r="P11" s="626"/>
      <c r="Q11" s="98" t="s">
        <v>396</v>
      </c>
      <c r="R11" s="98"/>
      <c r="S11" s="169"/>
      <c r="T11" s="169"/>
      <c r="U11" s="169" t="s">
        <v>397</v>
      </c>
      <c r="V11" s="169" t="s">
        <v>397</v>
      </c>
      <c r="W11" s="169" t="s">
        <v>397</v>
      </c>
      <c r="X11" s="169" t="s">
        <v>397</v>
      </c>
      <c r="Y11" s="169" t="s">
        <v>397</v>
      </c>
      <c r="Z11" s="169" t="s">
        <v>416</v>
      </c>
      <c r="AA11" s="169" t="s">
        <v>483</v>
      </c>
      <c r="AB11" s="169" t="s">
        <v>484</v>
      </c>
      <c r="AC11" s="169" t="s">
        <v>875</v>
      </c>
      <c r="AD11" s="169" t="s">
        <v>493</v>
      </c>
      <c r="AE11" s="169" t="s">
        <v>874</v>
      </c>
      <c r="AF11" s="169" t="s">
        <v>873</v>
      </c>
      <c r="AG11" s="169" t="s">
        <v>872</v>
      </c>
      <c r="AH11" s="626"/>
      <c r="AI11" s="98" t="s">
        <v>396</v>
      </c>
      <c r="AJ11" s="98"/>
      <c r="AK11" s="169"/>
      <c r="AL11" s="169"/>
      <c r="AM11" s="169" t="s">
        <v>397</v>
      </c>
      <c r="AN11" s="169" t="s">
        <v>397</v>
      </c>
      <c r="AO11" s="169" t="s">
        <v>397</v>
      </c>
      <c r="AP11" s="169" t="s">
        <v>397</v>
      </c>
      <c r="AQ11" s="169" t="s">
        <v>397</v>
      </c>
      <c r="AR11" s="169" t="s">
        <v>416</v>
      </c>
      <c r="AS11" s="169" t="s">
        <v>483</v>
      </c>
      <c r="AT11" s="169" t="s">
        <v>484</v>
      </c>
      <c r="AU11" s="169" t="s">
        <v>875</v>
      </c>
      <c r="AV11" s="169" t="s">
        <v>493</v>
      </c>
      <c r="AW11" s="169" t="s">
        <v>874</v>
      </c>
      <c r="AX11" s="169" t="s">
        <v>873</v>
      </c>
      <c r="AY11" s="169" t="s">
        <v>872</v>
      </c>
    </row>
    <row r="12" spans="1:51" s="627" customFormat="1" x14ac:dyDescent="0.2">
      <c r="A12" s="98"/>
      <c r="B12" s="9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626"/>
      <c r="Q12" s="98"/>
      <c r="R12" s="98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626"/>
      <c r="AI12" s="98"/>
      <c r="AJ12" s="98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</row>
    <row r="13" spans="1:51" x14ac:dyDescent="0.2">
      <c r="A13" s="630">
        <v>1</v>
      </c>
      <c r="B13" s="192" t="s">
        <v>81</v>
      </c>
      <c r="C13" s="426">
        <v>70</v>
      </c>
      <c r="D13" s="426" t="s">
        <v>69</v>
      </c>
      <c r="E13" s="426">
        <f>'WP1 Light Inventory'!J146</f>
        <v>16</v>
      </c>
      <c r="F13" s="330">
        <f>'WP2 Current Light Rates'!E131</f>
        <v>13.618687765672663</v>
      </c>
      <c r="G13" s="330">
        <f>'BDJ-6 Combined Charges'!K154</f>
        <v>13.530000000000001</v>
      </c>
      <c r="H13" s="330">
        <f>'Sch 141A Lighting Tariff'!J152+'Sch 141C Lighting Tariff'!J152+'Sch 141N Lighting Tariff'!J154+'Sch 141R Lighting Tariff'!J154+G13</f>
        <v>14.88</v>
      </c>
      <c r="I13" s="209">
        <f t="shared" ref="I13:J13" si="0">(+F13*$E13*12)</f>
        <v>2614.7880510091513</v>
      </c>
      <c r="J13" s="209">
        <f t="shared" si="0"/>
        <v>2597.7600000000002</v>
      </c>
      <c r="K13" s="209">
        <f t="shared" ref="K13" si="1">(H13)*E13*12</f>
        <v>2856.96</v>
      </c>
      <c r="L13" s="209">
        <f t="shared" ref="L13" si="2">+J13-I13</f>
        <v>-17.028051009151113</v>
      </c>
      <c r="M13" s="209">
        <f t="shared" ref="M13" si="3">+K13-I13</f>
        <v>242.1719489908487</v>
      </c>
      <c r="N13" s="36">
        <f t="shared" ref="N13:N19" si="4">IF(+L13=0,"0%",L13/I13)</f>
        <v>-6.5122108090479103E-3</v>
      </c>
      <c r="O13" s="36">
        <f t="shared" ref="O13:O19" si="5">IF(+M13=0,"0%",M13/I13)</f>
        <v>9.2616282569206648E-2</v>
      </c>
      <c r="P13" s="627"/>
      <c r="Q13" s="630">
        <v>1</v>
      </c>
      <c r="R13" s="192" t="s">
        <v>81</v>
      </c>
      <c r="S13" s="426">
        <v>70</v>
      </c>
      <c r="T13" s="426" t="s">
        <v>69</v>
      </c>
      <c r="U13" s="35">
        <f t="shared" ref="U13:U18" si="6">E13</f>
        <v>16</v>
      </c>
      <c r="V13" s="330">
        <f t="shared" ref="V13:W18" si="7">G13</f>
        <v>13.530000000000001</v>
      </c>
      <c r="W13" s="330">
        <f t="shared" si="7"/>
        <v>14.88</v>
      </c>
      <c r="X13" s="330">
        <f t="shared" ref="X13:X18" si="8">V13</f>
        <v>13.530000000000001</v>
      </c>
      <c r="Y13" s="330">
        <f>'Sch 141A Lighting Tariff'!N152+'Sch 141C Lighting Tariff'!N152+'Sch 141N Lighting Tariff'!N154+'Sch 141R Lighting Tariff'!N154+X13</f>
        <v>15.080000000000002</v>
      </c>
      <c r="Z13" s="209">
        <f t="shared" ref="Z13:AC13" si="9">(+V13*$U13*12)</f>
        <v>2597.7600000000002</v>
      </c>
      <c r="AA13" s="209">
        <f t="shared" si="9"/>
        <v>2856.96</v>
      </c>
      <c r="AB13" s="209">
        <f t="shared" si="9"/>
        <v>2597.7600000000002</v>
      </c>
      <c r="AC13" s="209">
        <f t="shared" si="9"/>
        <v>2895.3600000000006</v>
      </c>
      <c r="AD13" s="209">
        <f t="shared" ref="AD13:AE13" si="10">+AB13-Z13</f>
        <v>0</v>
      </c>
      <c r="AE13" s="209">
        <f t="shared" si="10"/>
        <v>38.400000000000546</v>
      </c>
      <c r="AF13" s="36" t="str">
        <f t="shared" ref="AF13:AG19" si="11">IF(+AD13=0,"0%",AD13/Z13)</f>
        <v>0%</v>
      </c>
      <c r="AG13" s="36">
        <f t="shared" si="11"/>
        <v>1.3440860215053954E-2</v>
      </c>
      <c r="AH13" s="627"/>
      <c r="AI13" s="630">
        <v>1</v>
      </c>
      <c r="AJ13" s="192" t="s">
        <v>81</v>
      </c>
      <c r="AK13" s="426">
        <v>70</v>
      </c>
      <c r="AL13" s="426" t="s">
        <v>69</v>
      </c>
      <c r="AM13" s="35"/>
      <c r="AN13" s="330"/>
      <c r="AO13" s="330"/>
      <c r="AP13" s="330"/>
      <c r="AQ13" s="330"/>
      <c r="AR13" s="209"/>
      <c r="AS13" s="209"/>
      <c r="AT13" s="209"/>
      <c r="AU13" s="209"/>
      <c r="AV13" s="209"/>
      <c r="AW13" s="209"/>
      <c r="AX13" s="36"/>
      <c r="AY13" s="36"/>
    </row>
    <row r="14" spans="1:51" x14ac:dyDescent="0.2">
      <c r="A14" s="630">
        <f t="shared" ref="A14:A36" si="12">A13+1</f>
        <v>2</v>
      </c>
      <c r="B14" s="185" t="str">
        <f>+B13</f>
        <v>55E &amp; 56E</v>
      </c>
      <c r="C14" s="426">
        <v>100</v>
      </c>
      <c r="D14" s="426" t="s">
        <v>69</v>
      </c>
      <c r="E14" s="426">
        <f>'WP1 Light Inventory'!J147</f>
        <v>3646</v>
      </c>
      <c r="F14" s="330">
        <f>'WP2 Current Light Rates'!E132</f>
        <v>14.02804053242096</v>
      </c>
      <c r="G14" s="330">
        <f>'BDJ-6 Combined Charges'!K155</f>
        <v>13.879999999999999</v>
      </c>
      <c r="H14" s="330">
        <f>'Sch 141A Lighting Tariff'!J153+'Sch 141C Lighting Tariff'!J153+'Sch 141N Lighting Tariff'!J155+'Sch 141R Lighting Tariff'!J155+G14</f>
        <v>15.819999999999999</v>
      </c>
      <c r="I14" s="209">
        <f t="shared" ref="I14:I18" si="13">(+F14*$E14*12)</f>
        <v>613754.82937448192</v>
      </c>
      <c r="J14" s="209">
        <f t="shared" ref="J14:J18" si="14">(+G14*$E14*12)</f>
        <v>607277.76</v>
      </c>
      <c r="K14" s="209">
        <f t="shared" ref="K14:K18" si="15">(H14)*E14*12</f>
        <v>692156.6399999999</v>
      </c>
      <c r="L14" s="209">
        <f t="shared" ref="L14:L18" si="16">+J14-I14</f>
        <v>-6477.0693744819146</v>
      </c>
      <c r="M14" s="209">
        <f t="shared" ref="M14:M18" si="17">+K14-I14</f>
        <v>78401.810625517974</v>
      </c>
      <c r="N14" s="36">
        <f t="shared" ref="N14:N18" si="18">IF(+L14=0,"0%",L14/I14)</f>
        <v>-1.0553186817418812E-2</v>
      </c>
      <c r="O14" s="36">
        <f t="shared" ref="O14:O18" si="19">IF(+M14=0,"0%",M14/I14)</f>
        <v>0.12774125248908011</v>
      </c>
      <c r="P14" s="627"/>
      <c r="Q14" s="630">
        <f t="shared" ref="Q14:Q36" si="20">Q13+1</f>
        <v>2</v>
      </c>
      <c r="R14" s="185" t="str">
        <f>+R13</f>
        <v>55E &amp; 56E</v>
      </c>
      <c r="S14" s="426">
        <v>100</v>
      </c>
      <c r="T14" s="426" t="s">
        <v>69</v>
      </c>
      <c r="U14" s="35">
        <f t="shared" si="6"/>
        <v>3646</v>
      </c>
      <c r="V14" s="330">
        <f t="shared" si="7"/>
        <v>13.879999999999999</v>
      </c>
      <c r="W14" s="330">
        <f t="shared" si="7"/>
        <v>15.819999999999999</v>
      </c>
      <c r="X14" s="330">
        <f t="shared" si="8"/>
        <v>13.879999999999999</v>
      </c>
      <c r="Y14" s="330">
        <f>'Sch 141A Lighting Tariff'!N153+'Sch 141C Lighting Tariff'!N153+'Sch 141N Lighting Tariff'!N155+'Sch 141R Lighting Tariff'!N155+X14</f>
        <v>16.079999999999998</v>
      </c>
      <c r="Z14" s="209">
        <f t="shared" ref="Z14:Z18" si="21">(+V14*$U14*12)</f>
        <v>607277.76</v>
      </c>
      <c r="AA14" s="209">
        <f t="shared" ref="AA14:AA18" si="22">(+W14*$U14*12)</f>
        <v>692156.6399999999</v>
      </c>
      <c r="AB14" s="209">
        <f t="shared" ref="AB14:AB18" si="23">(+X14*$U14*12)</f>
        <v>607277.76</v>
      </c>
      <c r="AC14" s="209">
        <f t="shared" ref="AC14:AC18" si="24">(+Y14*$U14*12)</f>
        <v>703532.15999999992</v>
      </c>
      <c r="AD14" s="209">
        <f t="shared" ref="AD14:AD18" si="25">+AB14-Z14</f>
        <v>0</v>
      </c>
      <c r="AE14" s="209">
        <f t="shared" ref="AE14:AE18" si="26">+AC14-AA14</f>
        <v>11375.520000000019</v>
      </c>
      <c r="AF14" s="36" t="str">
        <f t="shared" ref="AF14:AF18" si="27">IF(+AD14=0,"0%",AD14/Z14)</f>
        <v>0%</v>
      </c>
      <c r="AG14" s="36">
        <f t="shared" ref="AG14:AG18" si="28">IF(+AE14=0,"0%",AE14/AA14)</f>
        <v>1.6434892541087261E-2</v>
      </c>
      <c r="AH14" s="627"/>
      <c r="AI14" s="630">
        <f t="shared" ref="AI14:AI36" si="29">AI13+1</f>
        <v>2</v>
      </c>
      <c r="AJ14" s="185" t="str">
        <f>+AJ13</f>
        <v>55E &amp; 56E</v>
      </c>
      <c r="AK14" s="426">
        <v>100</v>
      </c>
      <c r="AL14" s="426" t="s">
        <v>69</v>
      </c>
      <c r="AM14" s="35"/>
      <c r="AN14" s="330"/>
      <c r="AO14" s="330"/>
      <c r="AP14" s="330"/>
      <c r="AQ14" s="330"/>
      <c r="AR14" s="209"/>
      <c r="AS14" s="209"/>
      <c r="AT14" s="209"/>
      <c r="AU14" s="209"/>
      <c r="AV14" s="209"/>
      <c r="AW14" s="209"/>
      <c r="AX14" s="36"/>
      <c r="AY14" s="36"/>
    </row>
    <row r="15" spans="1:51" x14ac:dyDescent="0.2">
      <c r="A15" s="630">
        <f t="shared" si="12"/>
        <v>3</v>
      </c>
      <c r="B15" s="185" t="str">
        <f>+B14</f>
        <v>55E &amp; 56E</v>
      </c>
      <c r="C15" s="426">
        <v>150</v>
      </c>
      <c r="D15" s="426" t="s">
        <v>69</v>
      </c>
      <c r="E15" s="426">
        <f>'WP1 Light Inventory'!J148</f>
        <v>488</v>
      </c>
      <c r="F15" s="330">
        <f>'WP2 Current Light Rates'!E133</f>
        <v>15.645435774644971</v>
      </c>
      <c r="G15" s="330">
        <f>'BDJ-6 Combined Charges'!K156</f>
        <v>15.36</v>
      </c>
      <c r="H15" s="330">
        <f>'Sch 141A Lighting Tariff'!J154+'Sch 141C Lighting Tariff'!J154+'Sch 141N Lighting Tariff'!J156+'Sch 141R Lighting Tariff'!J156+G15</f>
        <v>18.27</v>
      </c>
      <c r="I15" s="209">
        <f t="shared" si="13"/>
        <v>91619.671896320957</v>
      </c>
      <c r="J15" s="209">
        <f t="shared" si="14"/>
        <v>89948.159999999989</v>
      </c>
      <c r="K15" s="209">
        <f t="shared" si="15"/>
        <v>106989.12</v>
      </c>
      <c r="L15" s="209">
        <f t="shared" si="16"/>
        <v>-1671.5118963209679</v>
      </c>
      <c r="M15" s="209">
        <f t="shared" si="17"/>
        <v>15369.448103679038</v>
      </c>
      <c r="N15" s="36">
        <f t="shared" si="18"/>
        <v>-1.82440284026829E-2</v>
      </c>
      <c r="O15" s="36">
        <f t="shared" si="19"/>
        <v>0.16775270840384016</v>
      </c>
      <c r="P15" s="627"/>
      <c r="Q15" s="630">
        <f t="shared" si="20"/>
        <v>3</v>
      </c>
      <c r="R15" s="185" t="str">
        <f>+R14</f>
        <v>55E &amp; 56E</v>
      </c>
      <c r="S15" s="426">
        <v>150</v>
      </c>
      <c r="T15" s="426" t="s">
        <v>69</v>
      </c>
      <c r="U15" s="35">
        <f t="shared" si="6"/>
        <v>488</v>
      </c>
      <c r="V15" s="330">
        <f t="shared" si="7"/>
        <v>15.36</v>
      </c>
      <c r="W15" s="330">
        <f t="shared" si="7"/>
        <v>18.27</v>
      </c>
      <c r="X15" s="330">
        <f t="shared" si="8"/>
        <v>15.36</v>
      </c>
      <c r="Y15" s="330">
        <f>'Sch 141A Lighting Tariff'!N154+'Sch 141C Lighting Tariff'!N154+'Sch 141N Lighting Tariff'!N156+'Sch 141R Lighting Tariff'!N156+X15</f>
        <v>18.66</v>
      </c>
      <c r="Z15" s="209">
        <f t="shared" si="21"/>
        <v>89948.159999999989</v>
      </c>
      <c r="AA15" s="209">
        <f t="shared" si="22"/>
        <v>106989.12</v>
      </c>
      <c r="AB15" s="209">
        <f t="shared" si="23"/>
        <v>89948.159999999989</v>
      </c>
      <c r="AC15" s="209">
        <f t="shared" si="24"/>
        <v>109272.95999999999</v>
      </c>
      <c r="AD15" s="209">
        <f t="shared" si="25"/>
        <v>0</v>
      </c>
      <c r="AE15" s="209">
        <f t="shared" si="26"/>
        <v>2283.8399999999965</v>
      </c>
      <c r="AF15" s="36" t="str">
        <f t="shared" si="27"/>
        <v>0%</v>
      </c>
      <c r="AG15" s="36">
        <f t="shared" si="28"/>
        <v>2.1346469622331658E-2</v>
      </c>
      <c r="AH15" s="627"/>
      <c r="AI15" s="630">
        <f t="shared" si="29"/>
        <v>3</v>
      </c>
      <c r="AJ15" s="185" t="str">
        <f>+AJ14</f>
        <v>55E &amp; 56E</v>
      </c>
      <c r="AK15" s="426">
        <v>150</v>
      </c>
      <c r="AL15" s="426" t="s">
        <v>69</v>
      </c>
      <c r="AM15" s="35"/>
      <c r="AN15" s="330"/>
      <c r="AO15" s="330"/>
      <c r="AP15" s="330"/>
      <c r="AQ15" s="330"/>
      <c r="AR15" s="209"/>
      <c r="AS15" s="209"/>
      <c r="AT15" s="209"/>
      <c r="AU15" s="209"/>
      <c r="AV15" s="209"/>
      <c r="AW15" s="209"/>
      <c r="AX15" s="36"/>
      <c r="AY15" s="36"/>
    </row>
    <row r="16" spans="1:51" x14ac:dyDescent="0.2">
      <c r="A16" s="630">
        <f t="shared" si="12"/>
        <v>4</v>
      </c>
      <c r="B16" s="185" t="str">
        <f>+B15</f>
        <v>55E &amp; 56E</v>
      </c>
      <c r="C16" s="426">
        <v>200</v>
      </c>
      <c r="D16" s="426" t="s">
        <v>69</v>
      </c>
      <c r="E16" s="426">
        <f>'WP1 Light Inventory'!J149</f>
        <v>1043</v>
      </c>
      <c r="F16" s="330">
        <f>'WP2 Current Light Rates'!E134</f>
        <v>17.769437053484459</v>
      </c>
      <c r="G16" s="330">
        <f>'BDJ-6 Combined Charges'!K157</f>
        <v>17.34</v>
      </c>
      <c r="H16" s="330">
        <f>'Sch 141A Lighting Tariff'!J155+'Sch 141C Lighting Tariff'!J155+'Sch 141N Lighting Tariff'!J157+'Sch 141R Lighting Tariff'!J157+G16</f>
        <v>21.22</v>
      </c>
      <c r="I16" s="209">
        <f t="shared" si="13"/>
        <v>222402.27416141148</v>
      </c>
      <c r="J16" s="209">
        <f t="shared" si="14"/>
        <v>217027.44</v>
      </c>
      <c r="K16" s="209">
        <f t="shared" si="15"/>
        <v>265589.52</v>
      </c>
      <c r="L16" s="209">
        <f t="shared" si="16"/>
        <v>-5374.8341614114761</v>
      </c>
      <c r="M16" s="209">
        <f t="shared" si="17"/>
        <v>43187.24583858854</v>
      </c>
      <c r="N16" s="36">
        <f t="shared" si="18"/>
        <v>-2.4167172667985477E-2</v>
      </c>
      <c r="O16" s="36">
        <f t="shared" si="19"/>
        <v>0.19418527081807091</v>
      </c>
      <c r="P16" s="627"/>
      <c r="Q16" s="630">
        <f t="shared" si="20"/>
        <v>4</v>
      </c>
      <c r="R16" s="185" t="str">
        <f>+R15</f>
        <v>55E &amp; 56E</v>
      </c>
      <c r="S16" s="426">
        <v>200</v>
      </c>
      <c r="T16" s="426" t="s">
        <v>69</v>
      </c>
      <c r="U16" s="35">
        <f t="shared" si="6"/>
        <v>1043</v>
      </c>
      <c r="V16" s="330">
        <f t="shared" si="7"/>
        <v>17.34</v>
      </c>
      <c r="W16" s="330">
        <f t="shared" si="7"/>
        <v>21.22</v>
      </c>
      <c r="X16" s="330">
        <f t="shared" si="8"/>
        <v>17.34</v>
      </c>
      <c r="Y16" s="330">
        <f>'Sch 141A Lighting Tariff'!N155+'Sch 141C Lighting Tariff'!N155+'Sch 141N Lighting Tariff'!N157+'Sch 141R Lighting Tariff'!N157+X16</f>
        <v>21.740000000000002</v>
      </c>
      <c r="Z16" s="209">
        <f t="shared" si="21"/>
        <v>217027.44</v>
      </c>
      <c r="AA16" s="209">
        <f t="shared" si="22"/>
        <v>265589.52</v>
      </c>
      <c r="AB16" s="209">
        <f t="shared" si="23"/>
        <v>217027.44</v>
      </c>
      <c r="AC16" s="209">
        <f t="shared" si="24"/>
        <v>272097.84000000003</v>
      </c>
      <c r="AD16" s="209">
        <f t="shared" si="25"/>
        <v>0</v>
      </c>
      <c r="AE16" s="209">
        <f t="shared" si="26"/>
        <v>6508.320000000007</v>
      </c>
      <c r="AF16" s="36" t="str">
        <f t="shared" si="27"/>
        <v>0%</v>
      </c>
      <c r="AG16" s="36">
        <f t="shared" si="28"/>
        <v>2.4505183788878442E-2</v>
      </c>
      <c r="AH16" s="627"/>
      <c r="AI16" s="630">
        <f t="shared" si="29"/>
        <v>4</v>
      </c>
      <c r="AJ16" s="185" t="str">
        <f>+AJ15</f>
        <v>55E &amp; 56E</v>
      </c>
      <c r="AK16" s="426">
        <v>200</v>
      </c>
      <c r="AL16" s="426" t="s">
        <v>69</v>
      </c>
      <c r="AM16" s="35"/>
      <c r="AN16" s="330"/>
      <c r="AO16" s="330"/>
      <c r="AP16" s="330"/>
      <c r="AQ16" s="330"/>
      <c r="AR16" s="209"/>
      <c r="AS16" s="209"/>
      <c r="AT16" s="209"/>
      <c r="AU16" s="209"/>
      <c r="AV16" s="209"/>
      <c r="AW16" s="209"/>
      <c r="AX16" s="36"/>
      <c r="AY16" s="36"/>
    </row>
    <row r="17" spans="1:51" x14ac:dyDescent="0.2">
      <c r="A17" s="630">
        <f t="shared" si="12"/>
        <v>5</v>
      </c>
      <c r="B17" s="185" t="str">
        <f>+B16</f>
        <v>55E &amp; 56E</v>
      </c>
      <c r="C17" s="426">
        <v>250</v>
      </c>
      <c r="D17" s="426" t="s">
        <v>69</v>
      </c>
      <c r="E17" s="426">
        <f>'WP1 Light Inventory'!J150</f>
        <v>111</v>
      </c>
      <c r="F17" s="330">
        <f>'WP2 Current Light Rates'!E135</f>
        <v>19.541445099369465</v>
      </c>
      <c r="G17" s="330">
        <f>'BDJ-6 Combined Charges'!K158</f>
        <v>18.979999999999997</v>
      </c>
      <c r="H17" s="330">
        <f>'Sch 141A Lighting Tariff'!J156+'Sch 141C Lighting Tariff'!J156+'Sch 141N Lighting Tariff'!J158+'Sch 141R Lighting Tariff'!J158+G17</f>
        <v>23.83</v>
      </c>
      <c r="I17" s="209">
        <f t="shared" si="13"/>
        <v>26029.204872360126</v>
      </c>
      <c r="J17" s="209">
        <f t="shared" si="14"/>
        <v>25281.359999999997</v>
      </c>
      <c r="K17" s="209">
        <f t="shared" si="15"/>
        <v>31741.559999999998</v>
      </c>
      <c r="L17" s="209">
        <f t="shared" si="16"/>
        <v>-747.84487236012865</v>
      </c>
      <c r="M17" s="209">
        <f t="shared" si="17"/>
        <v>5712.3551276398721</v>
      </c>
      <c r="N17" s="36">
        <f t="shared" si="18"/>
        <v>-2.8730991823505515E-2</v>
      </c>
      <c r="O17" s="36">
        <f t="shared" si="19"/>
        <v>0.21945945547133111</v>
      </c>
      <c r="P17" s="627"/>
      <c r="Q17" s="630">
        <f t="shared" si="20"/>
        <v>5</v>
      </c>
      <c r="R17" s="185" t="str">
        <f>+R16</f>
        <v>55E &amp; 56E</v>
      </c>
      <c r="S17" s="426">
        <v>250</v>
      </c>
      <c r="T17" s="426" t="s">
        <v>69</v>
      </c>
      <c r="U17" s="35">
        <f t="shared" si="6"/>
        <v>111</v>
      </c>
      <c r="V17" s="330">
        <f t="shared" si="7"/>
        <v>18.979999999999997</v>
      </c>
      <c r="W17" s="330">
        <f t="shared" si="7"/>
        <v>23.83</v>
      </c>
      <c r="X17" s="330">
        <f t="shared" si="8"/>
        <v>18.979999999999997</v>
      </c>
      <c r="Y17" s="330">
        <f>'Sch 141A Lighting Tariff'!N156+'Sch 141C Lighting Tariff'!N156+'Sch 141N Lighting Tariff'!N158+'Sch 141R Lighting Tariff'!N158+X17</f>
        <v>24.489999999999995</v>
      </c>
      <c r="Z17" s="209">
        <f t="shared" si="21"/>
        <v>25281.359999999997</v>
      </c>
      <c r="AA17" s="209">
        <f t="shared" si="22"/>
        <v>31741.559999999998</v>
      </c>
      <c r="AB17" s="209">
        <f t="shared" si="23"/>
        <v>25281.359999999997</v>
      </c>
      <c r="AC17" s="209">
        <f t="shared" si="24"/>
        <v>32620.679999999993</v>
      </c>
      <c r="AD17" s="209">
        <f t="shared" si="25"/>
        <v>0</v>
      </c>
      <c r="AE17" s="209">
        <f t="shared" si="26"/>
        <v>879.11999999999534</v>
      </c>
      <c r="AF17" s="36" t="str">
        <f t="shared" si="27"/>
        <v>0%</v>
      </c>
      <c r="AG17" s="36">
        <f t="shared" si="28"/>
        <v>2.7696181284095532E-2</v>
      </c>
      <c r="AH17" s="627"/>
      <c r="AI17" s="630">
        <f t="shared" si="29"/>
        <v>5</v>
      </c>
      <c r="AJ17" s="185" t="str">
        <f>+AJ16</f>
        <v>55E &amp; 56E</v>
      </c>
      <c r="AK17" s="426">
        <v>250</v>
      </c>
      <c r="AL17" s="426" t="s">
        <v>69</v>
      </c>
      <c r="AM17" s="35"/>
      <c r="AN17" s="330"/>
      <c r="AO17" s="330"/>
      <c r="AP17" s="330"/>
      <c r="AQ17" s="330"/>
      <c r="AR17" s="209"/>
      <c r="AS17" s="209"/>
      <c r="AT17" s="209"/>
      <c r="AU17" s="209"/>
      <c r="AV17" s="209"/>
      <c r="AW17" s="209"/>
      <c r="AX17" s="36"/>
      <c r="AY17" s="36"/>
    </row>
    <row r="18" spans="1:51" x14ac:dyDescent="0.2">
      <c r="A18" s="630">
        <f t="shared" si="12"/>
        <v>6</v>
      </c>
      <c r="B18" s="185" t="str">
        <f>+B17</f>
        <v>55E &amp; 56E</v>
      </c>
      <c r="C18" s="426">
        <v>400</v>
      </c>
      <c r="D18" s="426" t="s">
        <v>69</v>
      </c>
      <c r="E18" s="426">
        <f>'WP1 Light Inventory'!J151</f>
        <v>45</v>
      </c>
      <c r="F18" s="330">
        <f>'WP2 Current Light Rates'!E136</f>
        <v>25.472897609019007</v>
      </c>
      <c r="G18" s="330">
        <f>'BDJ-6 Combined Charges'!K159</f>
        <v>24.49</v>
      </c>
      <c r="H18" s="330">
        <f>'Sch 141A Lighting Tariff'!J157+'Sch 141C Lighting Tariff'!J157+'Sch 141N Lighting Tariff'!J159+'Sch 141R Lighting Tariff'!J159+G18</f>
        <v>32.25</v>
      </c>
      <c r="I18" s="209">
        <f t="shared" si="13"/>
        <v>13755.364708870264</v>
      </c>
      <c r="J18" s="209">
        <f t="shared" si="14"/>
        <v>13224.599999999999</v>
      </c>
      <c r="K18" s="209">
        <f t="shared" si="15"/>
        <v>17415</v>
      </c>
      <c r="L18" s="209">
        <f t="shared" si="16"/>
        <v>-530.76470887026517</v>
      </c>
      <c r="M18" s="209">
        <f t="shared" si="17"/>
        <v>3659.6352911297363</v>
      </c>
      <c r="N18" s="36">
        <f t="shared" si="18"/>
        <v>-3.8586014991517967E-2</v>
      </c>
      <c r="O18" s="36">
        <f t="shared" si="19"/>
        <v>0.2660514910789526</v>
      </c>
      <c r="P18" s="627"/>
      <c r="Q18" s="630">
        <f t="shared" si="20"/>
        <v>6</v>
      </c>
      <c r="R18" s="185" t="str">
        <f>+R17</f>
        <v>55E &amp; 56E</v>
      </c>
      <c r="S18" s="426">
        <v>400</v>
      </c>
      <c r="T18" s="426" t="s">
        <v>69</v>
      </c>
      <c r="U18" s="35">
        <f t="shared" si="6"/>
        <v>45</v>
      </c>
      <c r="V18" s="330">
        <f t="shared" si="7"/>
        <v>24.49</v>
      </c>
      <c r="W18" s="330">
        <f t="shared" si="7"/>
        <v>32.25</v>
      </c>
      <c r="X18" s="330">
        <f t="shared" si="8"/>
        <v>24.49</v>
      </c>
      <c r="Y18" s="330">
        <f>'Sch 141A Lighting Tariff'!N157+'Sch 141C Lighting Tariff'!N157+'Sch 141N Lighting Tariff'!N159+'Sch 141R Lighting Tariff'!N159+X18</f>
        <v>33.31</v>
      </c>
      <c r="Z18" s="209">
        <f t="shared" si="21"/>
        <v>13224.599999999999</v>
      </c>
      <c r="AA18" s="209">
        <f t="shared" si="22"/>
        <v>17415</v>
      </c>
      <c r="AB18" s="209">
        <f t="shared" si="23"/>
        <v>13224.599999999999</v>
      </c>
      <c r="AC18" s="209">
        <f t="shared" si="24"/>
        <v>17987.400000000001</v>
      </c>
      <c r="AD18" s="209">
        <f t="shared" si="25"/>
        <v>0</v>
      </c>
      <c r="AE18" s="209">
        <f t="shared" si="26"/>
        <v>572.40000000000146</v>
      </c>
      <c r="AF18" s="36" t="str">
        <f t="shared" si="27"/>
        <v>0%</v>
      </c>
      <c r="AG18" s="36">
        <f t="shared" si="28"/>
        <v>3.2868217054263647E-2</v>
      </c>
      <c r="AH18" s="627"/>
      <c r="AI18" s="630">
        <f t="shared" si="29"/>
        <v>6</v>
      </c>
      <c r="AJ18" s="185" t="str">
        <f>+AJ17</f>
        <v>55E &amp; 56E</v>
      </c>
      <c r="AK18" s="426">
        <v>400</v>
      </c>
      <c r="AL18" s="426" t="s">
        <v>69</v>
      </c>
      <c r="AM18" s="35"/>
      <c r="AN18" s="330"/>
      <c r="AO18" s="330"/>
      <c r="AP18" s="330"/>
      <c r="AQ18" s="330"/>
      <c r="AR18" s="209"/>
      <c r="AS18" s="209"/>
      <c r="AT18" s="209"/>
      <c r="AU18" s="209"/>
      <c r="AV18" s="209"/>
      <c r="AW18" s="209"/>
      <c r="AX18" s="36"/>
      <c r="AY18" s="36"/>
    </row>
    <row r="19" spans="1:51" x14ac:dyDescent="0.2">
      <c r="A19" s="630">
        <f t="shared" si="12"/>
        <v>7</v>
      </c>
      <c r="B19" s="185"/>
      <c r="C19" s="399"/>
      <c r="D19" s="364" t="str">
        <f>D18</f>
        <v>Sodium Vapor</v>
      </c>
      <c r="E19" s="272">
        <f>SUM(E13:E18)</f>
        <v>5349</v>
      </c>
      <c r="F19" s="42"/>
      <c r="G19" s="42"/>
      <c r="H19" s="42"/>
      <c r="I19" s="266">
        <f>SUM(I13:I18)</f>
        <v>970176.13306445396</v>
      </c>
      <c r="J19" s="266">
        <f>SUM(J13:J18)</f>
        <v>955357.08000000007</v>
      </c>
      <c r="K19" s="266">
        <f>SUM(K13:K18)</f>
        <v>1116748.7999999998</v>
      </c>
      <c r="L19" s="266">
        <f>SUM(L13:L18)</f>
        <v>-14819.053064453903</v>
      </c>
      <c r="M19" s="266">
        <f>SUM(M13:M18)</f>
        <v>146572.66693554597</v>
      </c>
      <c r="N19" s="267">
        <f t="shared" si="4"/>
        <v>-1.5274600723938232E-2</v>
      </c>
      <c r="O19" s="267">
        <f t="shared" si="5"/>
        <v>0.15107840931169184</v>
      </c>
      <c r="P19" s="627"/>
      <c r="Q19" s="630">
        <f t="shared" si="20"/>
        <v>7</v>
      </c>
      <c r="R19" s="185"/>
      <c r="S19" s="399"/>
      <c r="T19" s="364" t="str">
        <f>T18</f>
        <v>Sodium Vapor</v>
      </c>
      <c r="U19" s="272">
        <f>SUM(U13:U18)</f>
        <v>5349</v>
      </c>
      <c r="V19" s="42"/>
      <c r="W19" s="42"/>
      <c r="X19" s="42"/>
      <c r="Y19" s="42"/>
      <c r="Z19" s="266">
        <f t="shared" ref="Z19:AE19" si="30">SUM(Z13:Z18)</f>
        <v>955357.08000000007</v>
      </c>
      <c r="AA19" s="266">
        <f t="shared" si="30"/>
        <v>1116748.7999999998</v>
      </c>
      <c r="AB19" s="266">
        <f t="shared" si="30"/>
        <v>955357.08000000007</v>
      </c>
      <c r="AC19" s="266">
        <f t="shared" si="30"/>
        <v>1138406.3999999997</v>
      </c>
      <c r="AD19" s="266">
        <f t="shared" si="30"/>
        <v>0</v>
      </c>
      <c r="AE19" s="266">
        <f t="shared" si="30"/>
        <v>21657.60000000002</v>
      </c>
      <c r="AF19" s="267" t="str">
        <f t="shared" si="11"/>
        <v>0%</v>
      </c>
      <c r="AG19" s="267">
        <f t="shared" si="11"/>
        <v>1.9393439240767505E-2</v>
      </c>
      <c r="AH19" s="627"/>
      <c r="AI19" s="630">
        <f t="shared" si="29"/>
        <v>7</v>
      </c>
      <c r="AJ19" s="185"/>
      <c r="AK19" s="399"/>
      <c r="AL19" s="364" t="str">
        <f>AL18</f>
        <v>Sodium Vapor</v>
      </c>
      <c r="AM19" s="272"/>
      <c r="AN19" s="42"/>
      <c r="AO19" s="42"/>
      <c r="AP19" s="42"/>
      <c r="AQ19" s="42"/>
      <c r="AR19" s="266"/>
      <c r="AS19" s="266"/>
      <c r="AT19" s="266"/>
      <c r="AU19" s="266"/>
      <c r="AV19" s="266"/>
      <c r="AW19" s="266"/>
      <c r="AX19" s="267"/>
      <c r="AY19" s="267"/>
    </row>
    <row r="20" spans="1:51" x14ac:dyDescent="0.2">
      <c r="A20" s="630">
        <f t="shared" si="12"/>
        <v>8</v>
      </c>
      <c r="B20" s="185"/>
      <c r="C20" s="399"/>
      <c r="D20" s="364"/>
      <c r="E20" s="277"/>
      <c r="F20" s="496"/>
      <c r="G20" s="496"/>
      <c r="H20" s="496"/>
      <c r="I20" s="295"/>
      <c r="J20" s="295"/>
      <c r="K20" s="295"/>
      <c r="L20" s="295"/>
      <c r="M20" s="295"/>
      <c r="N20" s="268"/>
      <c r="O20" s="268"/>
      <c r="P20" s="627"/>
      <c r="Q20" s="630">
        <f t="shared" si="20"/>
        <v>8</v>
      </c>
      <c r="R20" s="185"/>
      <c r="S20" s="399"/>
      <c r="T20" s="364"/>
      <c r="W20" s="496"/>
      <c r="Y20" s="496"/>
      <c r="AA20" s="295"/>
      <c r="AC20" s="295"/>
      <c r="AE20" s="295"/>
      <c r="AF20" s="268"/>
      <c r="AG20" s="268"/>
      <c r="AH20" s="627"/>
      <c r="AI20" s="630">
        <f t="shared" si="29"/>
        <v>8</v>
      </c>
      <c r="AJ20" s="185"/>
      <c r="AK20" s="399"/>
      <c r="AL20" s="364"/>
      <c r="AO20" s="496"/>
      <c r="AQ20" s="496"/>
      <c r="AS20" s="295"/>
      <c r="AU20" s="295"/>
      <c r="AW20" s="295"/>
      <c r="AY20" s="268"/>
    </row>
    <row r="21" spans="1:51" x14ac:dyDescent="0.2">
      <c r="A21" s="630">
        <f t="shared" si="12"/>
        <v>9</v>
      </c>
      <c r="B21" s="185" t="str">
        <f>+B18</f>
        <v>55E &amp; 56E</v>
      </c>
      <c r="C21" s="364">
        <v>250</v>
      </c>
      <c r="D21" s="364" t="s">
        <v>80</v>
      </c>
      <c r="E21" s="426">
        <f>'WP1 Light Inventory'!J153</f>
        <v>6</v>
      </c>
      <c r="F21" s="330">
        <f>'WP2 Current Light Rates'!E138</f>
        <v>21.078079212012458</v>
      </c>
      <c r="G21" s="330">
        <f>'BDJ-6 Combined Charges'!K161</f>
        <v>21.16</v>
      </c>
      <c r="H21" s="330">
        <f>'Sch 141A Lighting Tariff'!J159+'Sch 141C Lighting Tariff'!J159+'Sch 141N Lighting Tariff'!J161+'Sch 141R Lighting Tariff'!J161+G21</f>
        <v>26.009999999999998</v>
      </c>
      <c r="I21" s="209">
        <f t="shared" ref="I21" si="31">(+F21*$E21*12)</f>
        <v>1517.621703264897</v>
      </c>
      <c r="J21" s="209">
        <f t="shared" ref="J21" si="32">(+G21*$E21*12)</f>
        <v>1523.52</v>
      </c>
      <c r="K21" s="209">
        <f t="shared" ref="K21" si="33">(H21)*E21*12</f>
        <v>1872.72</v>
      </c>
      <c r="L21" s="209">
        <f t="shared" ref="L21" si="34">+J21-I21</f>
        <v>5.8982967351030311</v>
      </c>
      <c r="M21" s="209">
        <f t="shared" ref="M21" si="35">+K21-I21</f>
        <v>355.09829673510308</v>
      </c>
      <c r="N21" s="36">
        <f t="shared" ref="N21" si="36">IF(+L21=0,"0%",L21/I21)</f>
        <v>3.8865395259002162E-3</v>
      </c>
      <c r="O21" s="36">
        <f t="shared" ref="O21" si="37">IF(+M21=0,"0%",M21/I21)</f>
        <v>0.23398340704483295</v>
      </c>
      <c r="P21" s="627"/>
      <c r="Q21" s="630">
        <f t="shared" si="20"/>
        <v>9</v>
      </c>
      <c r="R21" s="185" t="str">
        <f>+R18</f>
        <v>55E &amp; 56E</v>
      </c>
      <c r="S21" s="364">
        <v>250</v>
      </c>
      <c r="T21" s="364" t="s">
        <v>80</v>
      </c>
      <c r="U21" s="35">
        <f>E21</f>
        <v>6</v>
      </c>
      <c r="V21" s="330">
        <f>G21</f>
        <v>21.16</v>
      </c>
      <c r="W21" s="330">
        <f>H21</f>
        <v>26.009999999999998</v>
      </c>
      <c r="X21" s="330">
        <f>V21</f>
        <v>21.16</v>
      </c>
      <c r="Y21" s="330">
        <f>'Sch 141A Lighting Tariff'!N159+'Sch 141C Lighting Tariff'!N159+'Sch 141N Lighting Tariff'!N161+'Sch 141R Lighting Tariff'!N161+X21</f>
        <v>26.67</v>
      </c>
      <c r="Z21" s="209">
        <f t="shared" ref="Z21" si="38">(+V21*$U21*12)</f>
        <v>1523.52</v>
      </c>
      <c r="AA21" s="209">
        <f t="shared" ref="AA21" si="39">(+W21*$U21*12)</f>
        <v>1872.72</v>
      </c>
      <c r="AB21" s="209">
        <f t="shared" ref="AB21" si="40">(+X21*$U21*12)</f>
        <v>1523.52</v>
      </c>
      <c r="AC21" s="209">
        <f t="shared" ref="AC21" si="41">(+Y21*$U21*12)</f>
        <v>1920.2400000000002</v>
      </c>
      <c r="AD21" s="209">
        <f t="shared" ref="AD21" si="42">+AB21-Z21</f>
        <v>0</v>
      </c>
      <c r="AE21" s="209">
        <f t="shared" ref="AE21" si="43">+AC21-AA21</f>
        <v>47.520000000000209</v>
      </c>
      <c r="AF21" s="36" t="str">
        <f t="shared" ref="AF21" si="44">IF(+AD21=0,"0%",AD21/Z21)</f>
        <v>0%</v>
      </c>
      <c r="AG21" s="36">
        <f t="shared" ref="AG21" si="45">IF(+AE21=0,"0%",AE21/AA21)</f>
        <v>2.5374855824682924E-2</v>
      </c>
      <c r="AH21" s="627"/>
      <c r="AI21" s="630">
        <f t="shared" si="29"/>
        <v>9</v>
      </c>
      <c r="AJ21" s="185" t="str">
        <f>+AJ18</f>
        <v>55E &amp; 56E</v>
      </c>
      <c r="AK21" s="364">
        <v>250</v>
      </c>
      <c r="AL21" s="364" t="s">
        <v>80</v>
      </c>
      <c r="AM21" s="35"/>
      <c r="AN21" s="330"/>
      <c r="AO21" s="330"/>
      <c r="AP21" s="330"/>
      <c r="AQ21" s="330"/>
      <c r="AR21" s="209"/>
      <c r="AS21" s="209"/>
      <c r="AT21" s="209"/>
      <c r="AU21" s="209"/>
      <c r="AV21" s="209"/>
      <c r="AW21" s="209"/>
      <c r="AX21" s="36"/>
      <c r="AY21" s="36"/>
    </row>
    <row r="22" spans="1:51" x14ac:dyDescent="0.2">
      <c r="A22" s="630">
        <f t="shared" si="12"/>
        <v>10</v>
      </c>
      <c r="B22" s="185"/>
      <c r="C22" s="399"/>
      <c r="D22" s="364" t="str">
        <f>D21</f>
        <v>Metal Halide</v>
      </c>
      <c r="E22" s="272">
        <f>SUM(E21)</f>
        <v>6</v>
      </c>
      <c r="F22" s="42"/>
      <c r="G22" s="42"/>
      <c r="H22" s="42"/>
      <c r="I22" s="266">
        <f>SUM(I21)</f>
        <v>1517.621703264897</v>
      </c>
      <c r="J22" s="266">
        <f>SUM(J21)</f>
        <v>1523.52</v>
      </c>
      <c r="K22" s="266">
        <f>SUM(K21)</f>
        <v>1872.72</v>
      </c>
      <c r="L22" s="266">
        <f>SUM(L21)</f>
        <v>5.8982967351030311</v>
      </c>
      <c r="M22" s="266">
        <f>SUM(M21)</f>
        <v>355.09829673510308</v>
      </c>
      <c r="N22" s="267">
        <f>IF(+L22=0,"0%",L22/I22)</f>
        <v>3.8865395259002162E-3</v>
      </c>
      <c r="O22" s="267">
        <f>IF(+M22=0,"0%",M22/I22)</f>
        <v>0.23398340704483295</v>
      </c>
      <c r="P22" s="627"/>
      <c r="Q22" s="630">
        <f t="shared" si="20"/>
        <v>10</v>
      </c>
      <c r="R22" s="185"/>
      <c r="S22" s="399"/>
      <c r="T22" s="364" t="str">
        <f>T21</f>
        <v>Metal Halide</v>
      </c>
      <c r="U22" s="272">
        <f>SUM(U21)</f>
        <v>6</v>
      </c>
      <c r="V22" s="42"/>
      <c r="W22" s="42"/>
      <c r="X22" s="42"/>
      <c r="Y22" s="42"/>
      <c r="Z22" s="266">
        <f t="shared" ref="Z22:AE22" si="46">SUM(Z21)</f>
        <v>1523.52</v>
      </c>
      <c r="AA22" s="266">
        <f t="shared" si="46"/>
        <v>1872.72</v>
      </c>
      <c r="AB22" s="266">
        <f t="shared" si="46"/>
        <v>1523.52</v>
      </c>
      <c r="AC22" s="266">
        <f t="shared" si="46"/>
        <v>1920.2400000000002</v>
      </c>
      <c r="AD22" s="266">
        <f t="shared" si="46"/>
        <v>0</v>
      </c>
      <c r="AE22" s="266">
        <f t="shared" si="46"/>
        <v>47.520000000000209</v>
      </c>
      <c r="AF22" s="267" t="str">
        <f>IF(+AD22=0,"0%",AD22/Z22)</f>
        <v>0%</v>
      </c>
      <c r="AG22" s="267">
        <f>IF(+AE22=0,"0%",AE22/AA22)</f>
        <v>2.5374855824682924E-2</v>
      </c>
      <c r="AH22" s="627"/>
      <c r="AI22" s="630">
        <f t="shared" si="29"/>
        <v>10</v>
      </c>
      <c r="AJ22" s="185"/>
      <c r="AK22" s="399"/>
      <c r="AL22" s="364" t="str">
        <f>AL21</f>
        <v>Metal Halide</v>
      </c>
      <c r="AM22" s="272"/>
      <c r="AN22" s="42"/>
      <c r="AO22" s="42"/>
      <c r="AP22" s="42"/>
      <c r="AQ22" s="42"/>
      <c r="AR22" s="266"/>
      <c r="AS22" s="266"/>
      <c r="AT22" s="266"/>
      <c r="AU22" s="266"/>
      <c r="AV22" s="266"/>
      <c r="AW22" s="266"/>
      <c r="AX22" s="267"/>
      <c r="AY22" s="267"/>
    </row>
    <row r="23" spans="1:51" x14ac:dyDescent="0.2">
      <c r="A23" s="630">
        <f t="shared" si="12"/>
        <v>11</v>
      </c>
      <c r="B23" s="185"/>
      <c r="C23" s="399"/>
      <c r="D23" s="364"/>
      <c r="E23" s="277"/>
      <c r="F23" s="496"/>
      <c r="G23" s="496"/>
      <c r="H23" s="496"/>
      <c r="I23" s="295"/>
      <c r="J23" s="295"/>
      <c r="K23" s="295"/>
      <c r="L23" s="295"/>
      <c r="M23" s="295"/>
      <c r="N23" s="268"/>
      <c r="O23" s="268"/>
      <c r="P23" s="627"/>
      <c r="Q23" s="630">
        <f t="shared" si="20"/>
        <v>11</v>
      </c>
      <c r="R23" s="185"/>
      <c r="S23" s="399"/>
      <c r="T23" s="364"/>
      <c r="W23" s="496"/>
      <c r="Y23" s="496"/>
      <c r="AA23" s="295"/>
      <c r="AC23" s="295"/>
      <c r="AE23" s="295"/>
      <c r="AF23" s="268"/>
      <c r="AG23" s="268"/>
      <c r="AH23" s="627"/>
      <c r="AI23" s="630">
        <f t="shared" si="29"/>
        <v>11</v>
      </c>
      <c r="AJ23" s="185"/>
      <c r="AK23" s="399"/>
      <c r="AL23" s="364"/>
      <c r="AO23" s="496"/>
      <c r="AQ23" s="496"/>
      <c r="AS23" s="295"/>
      <c r="AU23" s="295"/>
      <c r="AW23" s="295"/>
      <c r="AY23" s="268"/>
    </row>
    <row r="24" spans="1:51" x14ac:dyDescent="0.2">
      <c r="A24" s="630">
        <f t="shared" si="12"/>
        <v>12</v>
      </c>
      <c r="B24" s="629" t="s">
        <v>81</v>
      </c>
      <c r="C24" s="593" t="s">
        <v>932</v>
      </c>
      <c r="D24" s="426" t="s">
        <v>117</v>
      </c>
      <c r="E24" s="426">
        <f>'WP1 Light Inventory'!J155</f>
        <v>0</v>
      </c>
      <c r="F24" s="330">
        <f>'WP2 Current Light Rates'!E140</f>
        <v>10.35</v>
      </c>
      <c r="G24" s="330">
        <f>'BDJ-6 Combined Charges'!K163</f>
        <v>7.8999999999999995</v>
      </c>
      <c r="H24" s="330">
        <f>'Sch 141A Lighting Tariff'!J161+'Sch 141C Lighting Tariff'!J161+'Sch 141N Lighting Tariff'!J163+'Sch 141R Lighting Tariff'!J162+G24</f>
        <v>8.1399999999999988</v>
      </c>
      <c r="I24" s="209">
        <f t="shared" ref="I24:I33" si="47">(+F24*$E24*12)</f>
        <v>0</v>
      </c>
      <c r="J24" s="209">
        <f t="shared" ref="J24:J33" si="48">(+G24*$E24*12)</f>
        <v>0</v>
      </c>
      <c r="K24" s="209">
        <f t="shared" ref="K24:K33" si="49">(H24)*E24*12</f>
        <v>0</v>
      </c>
      <c r="L24" s="209">
        <f t="shared" ref="L24:L33" si="50">+J24-I24</f>
        <v>0</v>
      </c>
      <c r="M24" s="209">
        <f t="shared" ref="M24:M33" si="51">+K24-I24</f>
        <v>0</v>
      </c>
      <c r="N24" s="36" t="str">
        <f t="shared" ref="N24:N33" si="52">IF(+L24=0,"0%",L24/I24)</f>
        <v>0%</v>
      </c>
      <c r="O24" s="36" t="str">
        <f t="shared" ref="O24:O33" si="53">IF(+M24=0,"0%",M24/I24)</f>
        <v>0%</v>
      </c>
      <c r="P24" s="627"/>
      <c r="Q24" s="630">
        <f t="shared" si="20"/>
        <v>12</v>
      </c>
      <c r="R24" s="629" t="s">
        <v>81</v>
      </c>
      <c r="S24" s="593" t="s">
        <v>932</v>
      </c>
      <c r="T24" s="426" t="s">
        <v>117</v>
      </c>
      <c r="U24" s="35">
        <f t="shared" ref="U24" si="54">E24</f>
        <v>0</v>
      </c>
      <c r="V24" s="330">
        <f t="shared" ref="V24" si="55">G24</f>
        <v>7.8999999999999995</v>
      </c>
      <c r="W24" s="330">
        <f t="shared" ref="W24" si="56">H24</f>
        <v>8.1399999999999988</v>
      </c>
      <c r="X24" s="330">
        <f t="shared" ref="X24" si="57">V24</f>
        <v>7.8999999999999995</v>
      </c>
      <c r="Y24" s="330">
        <f>'Sch 141A Lighting Tariff'!N161+'Sch 141C Lighting Tariff'!N161+'Sch 141N Lighting Tariff'!N163+'Sch 141R Lighting Tariff'!N162+X24</f>
        <v>8.07</v>
      </c>
      <c r="Z24" s="209">
        <f t="shared" ref="Z24:Z33" si="58">(+V24*$U24*12)</f>
        <v>0</v>
      </c>
      <c r="AA24" s="209">
        <f t="shared" ref="AA24:AA33" si="59">(+W24*$U24*12)</f>
        <v>0</v>
      </c>
      <c r="AB24" s="209">
        <f t="shared" ref="AB24:AB33" si="60">(+X24*$U24*12)</f>
        <v>0</v>
      </c>
      <c r="AC24" s="209">
        <f t="shared" ref="AC24:AC33" si="61">(+Y24*$U24*12)</f>
        <v>0</v>
      </c>
      <c r="AD24" s="209">
        <f t="shared" ref="AD24:AD33" si="62">+AB24-Z24</f>
        <v>0</v>
      </c>
      <c r="AE24" s="209">
        <f t="shared" ref="AE24:AE33" si="63">+AC24-AA24</f>
        <v>0</v>
      </c>
      <c r="AF24" s="36" t="str">
        <f t="shared" ref="AF24:AF33" si="64">IF(+AD24=0,"0%",AD24/Z24)</f>
        <v>0%</v>
      </c>
      <c r="AG24" s="36" t="str">
        <f t="shared" ref="AG24:AG33" si="65">IF(+AE24=0,"0%",AE24/AA24)</f>
        <v>0%</v>
      </c>
      <c r="AH24" s="627"/>
      <c r="AI24" s="630">
        <f t="shared" si="29"/>
        <v>12</v>
      </c>
      <c r="AJ24" s="629" t="s">
        <v>81</v>
      </c>
      <c r="AK24" s="593" t="s">
        <v>932</v>
      </c>
      <c r="AL24" s="426" t="s">
        <v>117</v>
      </c>
      <c r="AM24" s="35"/>
      <c r="AN24" s="330"/>
      <c r="AO24" s="330"/>
      <c r="AP24" s="330"/>
      <c r="AQ24" s="330"/>
      <c r="AR24" s="209"/>
      <c r="AS24" s="209"/>
      <c r="AT24" s="209"/>
      <c r="AU24" s="209"/>
      <c r="AV24" s="209"/>
      <c r="AW24" s="209"/>
      <c r="AX24" s="36"/>
      <c r="AY24" s="36"/>
    </row>
    <row r="25" spans="1:51" x14ac:dyDescent="0.2">
      <c r="A25" s="630">
        <f t="shared" si="12"/>
        <v>13</v>
      </c>
      <c r="B25" s="185" t="s">
        <v>81</v>
      </c>
      <c r="C25" s="593" t="s">
        <v>568</v>
      </c>
      <c r="D25" s="364" t="s">
        <v>117</v>
      </c>
      <c r="E25" s="426">
        <f>'WP1 Light Inventory'!J156</f>
        <v>599</v>
      </c>
      <c r="F25" s="330">
        <f>'WP2 Current Light Rates'!E141</f>
        <v>10.35</v>
      </c>
      <c r="G25" s="330">
        <f>'BDJ-6 Combined Charges'!K164</f>
        <v>9.879999999999999</v>
      </c>
      <c r="H25" s="330">
        <f>'Sch 141A Lighting Tariff'!J162+'Sch 141C Lighting Tariff'!J162+'Sch 141N Lighting Tariff'!J164+'Sch 141R Lighting Tariff'!J163+G25</f>
        <v>10.659999999999998</v>
      </c>
      <c r="I25" s="209">
        <f t="shared" si="47"/>
        <v>74395.799999999988</v>
      </c>
      <c r="J25" s="209">
        <f t="shared" si="48"/>
        <v>71017.439999999988</v>
      </c>
      <c r="K25" s="209">
        <f t="shared" si="49"/>
        <v>76624.079999999987</v>
      </c>
      <c r="L25" s="209">
        <f t="shared" si="50"/>
        <v>-3378.3600000000006</v>
      </c>
      <c r="M25" s="209">
        <f t="shared" si="51"/>
        <v>2228.2799999999988</v>
      </c>
      <c r="N25" s="36">
        <f t="shared" si="52"/>
        <v>-4.5410628019323683E-2</v>
      </c>
      <c r="O25" s="36">
        <f t="shared" si="53"/>
        <v>2.9951690821256028E-2</v>
      </c>
      <c r="P25" s="627"/>
      <c r="Q25" s="630">
        <f t="shared" si="20"/>
        <v>13</v>
      </c>
      <c r="R25" s="185" t="s">
        <v>81</v>
      </c>
      <c r="S25" s="593" t="s">
        <v>568</v>
      </c>
      <c r="T25" s="364" t="s">
        <v>117</v>
      </c>
      <c r="U25" s="35">
        <f t="shared" ref="U25:U33" si="66">E25</f>
        <v>599</v>
      </c>
      <c r="V25" s="330">
        <f t="shared" ref="V25:V33" si="67">G25</f>
        <v>9.879999999999999</v>
      </c>
      <c r="W25" s="330">
        <f t="shared" ref="W25:W33" si="68">H25</f>
        <v>10.659999999999998</v>
      </c>
      <c r="X25" s="330">
        <f t="shared" ref="X25:X33" si="69">V25</f>
        <v>9.879999999999999</v>
      </c>
      <c r="Y25" s="330">
        <f>'Sch 141A Lighting Tariff'!N162+'Sch 141C Lighting Tariff'!N162+'Sch 141N Lighting Tariff'!N164+'Sch 141R Lighting Tariff'!N163+X25</f>
        <v>10.559999999999999</v>
      </c>
      <c r="Z25" s="209">
        <f t="shared" si="58"/>
        <v>71017.439999999988</v>
      </c>
      <c r="AA25" s="209">
        <f t="shared" si="59"/>
        <v>76624.079999999987</v>
      </c>
      <c r="AB25" s="209">
        <f t="shared" si="60"/>
        <v>71017.439999999988</v>
      </c>
      <c r="AC25" s="209">
        <f t="shared" si="61"/>
        <v>75905.279999999999</v>
      </c>
      <c r="AD25" s="209">
        <f t="shared" si="62"/>
        <v>0</v>
      </c>
      <c r="AE25" s="209">
        <f t="shared" si="63"/>
        <v>-718.79999999998836</v>
      </c>
      <c r="AF25" s="36" t="str">
        <f t="shared" si="64"/>
        <v>0%</v>
      </c>
      <c r="AG25" s="36">
        <f t="shared" si="65"/>
        <v>-9.3808630393994747E-3</v>
      </c>
      <c r="AH25" s="627"/>
      <c r="AI25" s="630">
        <f t="shared" si="29"/>
        <v>13</v>
      </c>
      <c r="AJ25" s="185" t="s">
        <v>81</v>
      </c>
      <c r="AK25" s="593" t="s">
        <v>568</v>
      </c>
      <c r="AL25" s="364" t="s">
        <v>117</v>
      </c>
      <c r="AM25" s="35"/>
      <c r="AN25" s="330"/>
      <c r="AO25" s="330"/>
      <c r="AP25" s="330"/>
      <c r="AQ25" s="330"/>
      <c r="AR25" s="209"/>
      <c r="AS25" s="209"/>
      <c r="AT25" s="209"/>
      <c r="AU25" s="209"/>
      <c r="AV25" s="209"/>
      <c r="AW25" s="209"/>
      <c r="AX25" s="36"/>
      <c r="AY25" s="36"/>
    </row>
    <row r="26" spans="1:51" x14ac:dyDescent="0.2">
      <c r="A26" s="630">
        <f t="shared" si="12"/>
        <v>14</v>
      </c>
      <c r="B26" s="185" t="s">
        <v>81</v>
      </c>
      <c r="C26" s="593" t="s">
        <v>569</v>
      </c>
      <c r="D26" s="364" t="s">
        <v>117</v>
      </c>
      <c r="E26" s="426">
        <f>'WP1 Light Inventory'!J157</f>
        <v>6</v>
      </c>
      <c r="F26" s="330">
        <f>'WP2 Current Light Rates'!E142</f>
        <v>12.72</v>
      </c>
      <c r="G26" s="330">
        <f>'BDJ-6 Combined Charges'!K165</f>
        <v>13.419999999999998</v>
      </c>
      <c r="H26" s="330">
        <f>'Sch 141A Lighting Tariff'!J163+'Sch 141C Lighting Tariff'!J163+'Sch 141N Lighting Tariff'!J165+'Sch 141R Lighting Tariff'!J164+G26</f>
        <v>14.79</v>
      </c>
      <c r="I26" s="209">
        <f t="shared" si="47"/>
        <v>915.84000000000015</v>
      </c>
      <c r="J26" s="209">
        <f t="shared" si="48"/>
        <v>966.23999999999978</v>
      </c>
      <c r="K26" s="209">
        <f t="shared" si="49"/>
        <v>1064.8799999999999</v>
      </c>
      <c r="L26" s="209">
        <f t="shared" si="50"/>
        <v>50.399999999999636</v>
      </c>
      <c r="M26" s="209">
        <f t="shared" si="51"/>
        <v>149.03999999999974</v>
      </c>
      <c r="N26" s="36">
        <f t="shared" si="52"/>
        <v>5.5031446540880095E-2</v>
      </c>
      <c r="O26" s="36">
        <f t="shared" si="53"/>
        <v>0.16273584905660346</v>
      </c>
      <c r="P26" s="627"/>
      <c r="Q26" s="630">
        <f t="shared" si="20"/>
        <v>14</v>
      </c>
      <c r="R26" s="185" t="s">
        <v>81</v>
      </c>
      <c r="S26" s="593" t="s">
        <v>569</v>
      </c>
      <c r="T26" s="364" t="s">
        <v>117</v>
      </c>
      <c r="U26" s="35">
        <f t="shared" si="66"/>
        <v>6</v>
      </c>
      <c r="V26" s="330">
        <f t="shared" si="67"/>
        <v>13.419999999999998</v>
      </c>
      <c r="W26" s="330">
        <f t="shared" si="68"/>
        <v>14.79</v>
      </c>
      <c r="X26" s="330">
        <f t="shared" si="69"/>
        <v>13.419999999999998</v>
      </c>
      <c r="Y26" s="330">
        <f>'Sch 141A Lighting Tariff'!N163+'Sch 141C Lighting Tariff'!N163+'Sch 141N Lighting Tariff'!N165+'Sch 141R Lighting Tariff'!N164+X26</f>
        <v>14.759999999999998</v>
      </c>
      <c r="Z26" s="209">
        <f t="shared" si="58"/>
        <v>966.23999999999978</v>
      </c>
      <c r="AA26" s="209">
        <f t="shared" si="59"/>
        <v>1064.8799999999999</v>
      </c>
      <c r="AB26" s="209">
        <f t="shared" si="60"/>
        <v>966.23999999999978</v>
      </c>
      <c r="AC26" s="209">
        <f t="shared" si="61"/>
        <v>1062.7199999999998</v>
      </c>
      <c r="AD26" s="209">
        <f t="shared" si="62"/>
        <v>0</v>
      </c>
      <c r="AE26" s="209">
        <f t="shared" si="63"/>
        <v>-2.1600000000000819</v>
      </c>
      <c r="AF26" s="36" t="str">
        <f t="shared" si="64"/>
        <v>0%</v>
      </c>
      <c r="AG26" s="36">
        <f t="shared" si="65"/>
        <v>-2.0283975659229981E-3</v>
      </c>
      <c r="AH26" s="627"/>
      <c r="AI26" s="630">
        <f t="shared" si="29"/>
        <v>14</v>
      </c>
      <c r="AJ26" s="185" t="s">
        <v>81</v>
      </c>
      <c r="AK26" s="593" t="s">
        <v>569</v>
      </c>
      <c r="AL26" s="364" t="s">
        <v>117</v>
      </c>
      <c r="AM26" s="35"/>
      <c r="AN26" s="330"/>
      <c r="AO26" s="330"/>
      <c r="AP26" s="330"/>
      <c r="AQ26" s="330"/>
      <c r="AR26" s="209"/>
      <c r="AS26" s="209"/>
      <c r="AT26" s="209"/>
      <c r="AU26" s="209"/>
      <c r="AV26" s="209"/>
      <c r="AW26" s="209"/>
      <c r="AX26" s="36"/>
      <c r="AY26" s="36"/>
    </row>
    <row r="27" spans="1:51" x14ac:dyDescent="0.2">
      <c r="A27" s="630">
        <f t="shared" si="12"/>
        <v>15</v>
      </c>
      <c r="B27" s="185" t="s">
        <v>81</v>
      </c>
      <c r="C27" s="593" t="s">
        <v>570</v>
      </c>
      <c r="D27" s="364" t="s">
        <v>117</v>
      </c>
      <c r="E27" s="426">
        <f>'WP1 Light Inventory'!J158</f>
        <v>150</v>
      </c>
      <c r="F27" s="330">
        <f>'WP2 Current Light Rates'!E143</f>
        <v>15.09</v>
      </c>
      <c r="G27" s="330">
        <f>'BDJ-6 Combined Charges'!K166</f>
        <v>14.62</v>
      </c>
      <c r="H27" s="330">
        <f>'Sch 141A Lighting Tariff'!J164+'Sch 141C Lighting Tariff'!J164+'Sch 141N Lighting Tariff'!J166+'Sch 141R Lighting Tariff'!J165+G27</f>
        <v>16.57</v>
      </c>
      <c r="I27" s="209">
        <f t="shared" si="47"/>
        <v>27162</v>
      </c>
      <c r="J27" s="209">
        <f t="shared" si="48"/>
        <v>26316</v>
      </c>
      <c r="K27" s="209">
        <f t="shared" si="49"/>
        <v>29826</v>
      </c>
      <c r="L27" s="209">
        <f t="shared" si="50"/>
        <v>-846</v>
      </c>
      <c r="M27" s="209">
        <f t="shared" si="51"/>
        <v>2664</v>
      </c>
      <c r="N27" s="36">
        <f t="shared" si="52"/>
        <v>-3.1146454605699137E-2</v>
      </c>
      <c r="O27" s="36">
        <f t="shared" si="53"/>
        <v>9.8078197481776014E-2</v>
      </c>
      <c r="P27" s="627"/>
      <c r="Q27" s="630">
        <f t="shared" si="20"/>
        <v>15</v>
      </c>
      <c r="R27" s="185" t="s">
        <v>81</v>
      </c>
      <c r="S27" s="593" t="s">
        <v>570</v>
      </c>
      <c r="T27" s="364" t="s">
        <v>117</v>
      </c>
      <c r="U27" s="35">
        <f t="shared" si="66"/>
        <v>150</v>
      </c>
      <c r="V27" s="330">
        <f t="shared" si="67"/>
        <v>14.62</v>
      </c>
      <c r="W27" s="330">
        <f t="shared" si="68"/>
        <v>16.57</v>
      </c>
      <c r="X27" s="330">
        <f t="shared" si="69"/>
        <v>14.62</v>
      </c>
      <c r="Y27" s="330">
        <f>'Sch 141A Lighting Tariff'!N164+'Sch 141C Lighting Tariff'!N164+'Sch 141N Lighting Tariff'!N166+'Sch 141R Lighting Tariff'!N165+X27</f>
        <v>16.63</v>
      </c>
      <c r="Z27" s="209">
        <f t="shared" si="58"/>
        <v>26316</v>
      </c>
      <c r="AA27" s="209">
        <f t="shared" si="59"/>
        <v>29826</v>
      </c>
      <c r="AB27" s="209">
        <f t="shared" si="60"/>
        <v>26316</v>
      </c>
      <c r="AC27" s="209">
        <f t="shared" si="61"/>
        <v>29934</v>
      </c>
      <c r="AD27" s="209">
        <f t="shared" si="62"/>
        <v>0</v>
      </c>
      <c r="AE27" s="209">
        <f t="shared" si="63"/>
        <v>108</v>
      </c>
      <c r="AF27" s="36" t="str">
        <f t="shared" si="64"/>
        <v>0%</v>
      </c>
      <c r="AG27" s="36">
        <f t="shared" si="65"/>
        <v>3.6210018105009051E-3</v>
      </c>
      <c r="AH27" s="627"/>
      <c r="AI27" s="630">
        <f t="shared" si="29"/>
        <v>15</v>
      </c>
      <c r="AJ27" s="185" t="s">
        <v>81</v>
      </c>
      <c r="AK27" s="593" t="s">
        <v>570</v>
      </c>
      <c r="AL27" s="364" t="s">
        <v>117</v>
      </c>
      <c r="AM27" s="35"/>
      <c r="AN27" s="330"/>
      <c r="AO27" s="330"/>
      <c r="AP27" s="330"/>
      <c r="AQ27" s="330"/>
      <c r="AR27" s="209"/>
      <c r="AS27" s="209"/>
      <c r="AT27" s="209"/>
      <c r="AU27" s="209"/>
      <c r="AV27" s="209"/>
      <c r="AW27" s="209"/>
      <c r="AX27" s="36"/>
      <c r="AY27" s="36"/>
    </row>
    <row r="28" spans="1:51" x14ac:dyDescent="0.2">
      <c r="A28" s="630">
        <f t="shared" si="12"/>
        <v>16</v>
      </c>
      <c r="B28" s="185" t="s">
        <v>81</v>
      </c>
      <c r="C28" s="593" t="s">
        <v>571</v>
      </c>
      <c r="D28" s="364" t="s">
        <v>117</v>
      </c>
      <c r="E28" s="426">
        <f>'WP1 Light Inventory'!J159</f>
        <v>0</v>
      </c>
      <c r="F28" s="330">
        <f>'WP2 Current Light Rates'!E144</f>
        <v>16.38</v>
      </c>
      <c r="G28" s="330">
        <f>'BDJ-6 Combined Charges'!K167</f>
        <v>17.39</v>
      </c>
      <c r="H28" s="330">
        <f>'Sch 141A Lighting Tariff'!J165+'Sch 141C Lighting Tariff'!J165+'Sch 141N Lighting Tariff'!J167+'Sch 141R Lighting Tariff'!J166+G28</f>
        <v>19.920000000000002</v>
      </c>
      <c r="I28" s="209">
        <f t="shared" si="47"/>
        <v>0</v>
      </c>
      <c r="J28" s="209">
        <f t="shared" si="48"/>
        <v>0</v>
      </c>
      <c r="K28" s="209">
        <f t="shared" si="49"/>
        <v>0</v>
      </c>
      <c r="L28" s="209">
        <f t="shared" si="50"/>
        <v>0</v>
      </c>
      <c r="M28" s="209">
        <f t="shared" si="51"/>
        <v>0</v>
      </c>
      <c r="N28" s="36" t="str">
        <f t="shared" si="52"/>
        <v>0%</v>
      </c>
      <c r="O28" s="36" t="str">
        <f t="shared" si="53"/>
        <v>0%</v>
      </c>
      <c r="P28" s="627"/>
      <c r="Q28" s="630">
        <f t="shared" si="20"/>
        <v>16</v>
      </c>
      <c r="R28" s="185" t="s">
        <v>81</v>
      </c>
      <c r="S28" s="593" t="s">
        <v>571</v>
      </c>
      <c r="T28" s="364" t="s">
        <v>117</v>
      </c>
      <c r="U28" s="35">
        <f t="shared" si="66"/>
        <v>0</v>
      </c>
      <c r="V28" s="330">
        <f t="shared" si="67"/>
        <v>17.39</v>
      </c>
      <c r="W28" s="330">
        <f t="shared" si="68"/>
        <v>19.920000000000002</v>
      </c>
      <c r="X28" s="330">
        <f t="shared" si="69"/>
        <v>17.39</v>
      </c>
      <c r="Y28" s="330">
        <f>'Sch 141A Lighting Tariff'!N165+'Sch 141C Lighting Tariff'!N165+'Sch 141N Lighting Tariff'!N167+'Sch 141R Lighting Tariff'!N166+X28</f>
        <v>20.060000000000002</v>
      </c>
      <c r="Z28" s="209">
        <f t="shared" si="58"/>
        <v>0</v>
      </c>
      <c r="AA28" s="209">
        <f t="shared" si="59"/>
        <v>0</v>
      </c>
      <c r="AB28" s="209">
        <f t="shared" si="60"/>
        <v>0</v>
      </c>
      <c r="AC28" s="209">
        <f t="shared" si="61"/>
        <v>0</v>
      </c>
      <c r="AD28" s="209">
        <f t="shared" si="62"/>
        <v>0</v>
      </c>
      <c r="AE28" s="209">
        <f t="shared" si="63"/>
        <v>0</v>
      </c>
      <c r="AF28" s="36" t="str">
        <f t="shared" si="64"/>
        <v>0%</v>
      </c>
      <c r="AG28" s="36" t="str">
        <f t="shared" si="65"/>
        <v>0%</v>
      </c>
      <c r="AH28" s="627"/>
      <c r="AI28" s="630">
        <f t="shared" si="29"/>
        <v>16</v>
      </c>
      <c r="AJ28" s="185" t="s">
        <v>81</v>
      </c>
      <c r="AK28" s="593" t="s">
        <v>571</v>
      </c>
      <c r="AL28" s="364" t="s">
        <v>117</v>
      </c>
      <c r="AM28" s="35"/>
      <c r="AN28" s="330"/>
      <c r="AO28" s="330"/>
      <c r="AP28" s="330"/>
      <c r="AQ28" s="330"/>
      <c r="AR28" s="209"/>
      <c r="AS28" s="209"/>
      <c r="AT28" s="209"/>
      <c r="AU28" s="209"/>
      <c r="AV28" s="209"/>
      <c r="AW28" s="209"/>
      <c r="AX28" s="36"/>
      <c r="AY28" s="36"/>
    </row>
    <row r="29" spans="1:51" x14ac:dyDescent="0.2">
      <c r="A29" s="630">
        <f t="shared" si="12"/>
        <v>17</v>
      </c>
      <c r="B29" s="185" t="s">
        <v>81</v>
      </c>
      <c r="C29" s="593" t="s">
        <v>572</v>
      </c>
      <c r="D29" s="364" t="s">
        <v>117</v>
      </c>
      <c r="E29" s="426">
        <f>'WP1 Light Inventory'!J160</f>
        <v>0</v>
      </c>
      <c r="F29" s="330">
        <f>'WP2 Current Light Rates'!E145</f>
        <v>18.75</v>
      </c>
      <c r="G29" s="330">
        <f>'BDJ-6 Combined Charges'!K168</f>
        <v>19.77</v>
      </c>
      <c r="H29" s="330">
        <f>'Sch 141A Lighting Tariff'!J166+'Sch 141C Lighting Tariff'!J166+'Sch 141N Lighting Tariff'!J168+'Sch 141R Lighting Tariff'!J167+G29</f>
        <v>22.87</v>
      </c>
      <c r="I29" s="209">
        <f t="shared" si="47"/>
        <v>0</v>
      </c>
      <c r="J29" s="209">
        <f t="shared" si="48"/>
        <v>0</v>
      </c>
      <c r="K29" s="209">
        <f t="shared" si="49"/>
        <v>0</v>
      </c>
      <c r="L29" s="209">
        <f t="shared" si="50"/>
        <v>0</v>
      </c>
      <c r="M29" s="209">
        <f t="shared" si="51"/>
        <v>0</v>
      </c>
      <c r="N29" s="36" t="str">
        <f t="shared" si="52"/>
        <v>0%</v>
      </c>
      <c r="O29" s="36" t="str">
        <f t="shared" si="53"/>
        <v>0%</v>
      </c>
      <c r="P29" s="627"/>
      <c r="Q29" s="630">
        <f t="shared" si="20"/>
        <v>17</v>
      </c>
      <c r="R29" s="185" t="s">
        <v>81</v>
      </c>
      <c r="S29" s="593" t="s">
        <v>572</v>
      </c>
      <c r="T29" s="364" t="s">
        <v>117</v>
      </c>
      <c r="U29" s="35">
        <f t="shared" si="66"/>
        <v>0</v>
      </c>
      <c r="V29" s="330">
        <f t="shared" si="67"/>
        <v>19.77</v>
      </c>
      <c r="W29" s="330">
        <f t="shared" si="68"/>
        <v>22.87</v>
      </c>
      <c r="X29" s="330">
        <f t="shared" si="69"/>
        <v>19.77</v>
      </c>
      <c r="Y29" s="330">
        <f>'Sch 141A Lighting Tariff'!N166+'Sch 141C Lighting Tariff'!N166+'Sch 141N Lighting Tariff'!N168+'Sch 141R Lighting Tariff'!N167+X29</f>
        <v>23.1</v>
      </c>
      <c r="Z29" s="209">
        <f t="shared" si="58"/>
        <v>0</v>
      </c>
      <c r="AA29" s="209">
        <f t="shared" si="59"/>
        <v>0</v>
      </c>
      <c r="AB29" s="209">
        <f t="shared" si="60"/>
        <v>0</v>
      </c>
      <c r="AC29" s="209">
        <f t="shared" si="61"/>
        <v>0</v>
      </c>
      <c r="AD29" s="209">
        <f t="shared" si="62"/>
        <v>0</v>
      </c>
      <c r="AE29" s="209">
        <f t="shared" si="63"/>
        <v>0</v>
      </c>
      <c r="AF29" s="36" t="str">
        <f t="shared" si="64"/>
        <v>0%</v>
      </c>
      <c r="AG29" s="36" t="str">
        <f t="shared" si="65"/>
        <v>0%</v>
      </c>
      <c r="AH29" s="627"/>
      <c r="AI29" s="630">
        <f t="shared" si="29"/>
        <v>17</v>
      </c>
      <c r="AJ29" s="185" t="s">
        <v>81</v>
      </c>
      <c r="AK29" s="593" t="s">
        <v>572</v>
      </c>
      <c r="AL29" s="364" t="s">
        <v>117</v>
      </c>
      <c r="AM29" s="35"/>
      <c r="AN29" s="330"/>
      <c r="AO29" s="330"/>
      <c r="AP29" s="330"/>
      <c r="AQ29" s="330"/>
      <c r="AR29" s="209"/>
      <c r="AS29" s="209"/>
      <c r="AT29" s="209"/>
      <c r="AU29" s="209"/>
      <c r="AV29" s="209"/>
      <c r="AW29" s="209"/>
      <c r="AX29" s="36"/>
      <c r="AY29" s="36"/>
    </row>
    <row r="30" spans="1:51" x14ac:dyDescent="0.2">
      <c r="A30" s="630">
        <f t="shared" si="12"/>
        <v>18</v>
      </c>
      <c r="B30" s="185" t="s">
        <v>81</v>
      </c>
      <c r="C30" s="593" t="s">
        <v>587</v>
      </c>
      <c r="D30" s="364" t="s">
        <v>117</v>
      </c>
      <c r="E30" s="426">
        <f>'WP1 Light Inventory'!J161</f>
        <v>0</v>
      </c>
      <c r="F30" s="330">
        <f>'WP2 Current Light Rates'!E146</f>
        <v>20.8</v>
      </c>
      <c r="G30" s="330">
        <f>'BDJ-6 Combined Charges'!K169</f>
        <v>22.149999999999995</v>
      </c>
      <c r="H30" s="330">
        <f>'Sch 141A Lighting Tariff'!J167+'Sch 141C Lighting Tariff'!J167+'Sch 141N Lighting Tariff'!J169+'Sch 141R Lighting Tariff'!J168+G30</f>
        <v>25.849999999999994</v>
      </c>
      <c r="I30" s="209">
        <f t="shared" si="47"/>
        <v>0</v>
      </c>
      <c r="J30" s="209">
        <f t="shared" si="48"/>
        <v>0</v>
      </c>
      <c r="K30" s="209">
        <f t="shared" si="49"/>
        <v>0</v>
      </c>
      <c r="L30" s="209">
        <f t="shared" si="50"/>
        <v>0</v>
      </c>
      <c r="M30" s="209">
        <f t="shared" si="51"/>
        <v>0</v>
      </c>
      <c r="N30" s="36" t="str">
        <f t="shared" si="52"/>
        <v>0%</v>
      </c>
      <c r="O30" s="36" t="str">
        <f t="shared" si="53"/>
        <v>0%</v>
      </c>
      <c r="P30" s="627"/>
      <c r="Q30" s="630">
        <f t="shared" si="20"/>
        <v>18</v>
      </c>
      <c r="R30" s="185" t="s">
        <v>81</v>
      </c>
      <c r="S30" s="593" t="s">
        <v>587</v>
      </c>
      <c r="T30" s="364" t="s">
        <v>117</v>
      </c>
      <c r="U30" s="35">
        <f t="shared" si="66"/>
        <v>0</v>
      </c>
      <c r="V30" s="330">
        <f t="shared" si="67"/>
        <v>22.149999999999995</v>
      </c>
      <c r="W30" s="330">
        <f t="shared" si="68"/>
        <v>25.849999999999994</v>
      </c>
      <c r="X30" s="330">
        <f t="shared" si="69"/>
        <v>22.149999999999995</v>
      </c>
      <c r="Y30" s="330">
        <f>'Sch 141A Lighting Tariff'!N167+'Sch 141C Lighting Tariff'!N167+'Sch 141N Lighting Tariff'!N169+'Sch 141R Lighting Tariff'!N168+X30</f>
        <v>26.139999999999993</v>
      </c>
      <c r="Z30" s="209">
        <f t="shared" si="58"/>
        <v>0</v>
      </c>
      <c r="AA30" s="209">
        <f t="shared" si="59"/>
        <v>0</v>
      </c>
      <c r="AB30" s="209">
        <f t="shared" si="60"/>
        <v>0</v>
      </c>
      <c r="AC30" s="209">
        <f t="shared" si="61"/>
        <v>0</v>
      </c>
      <c r="AD30" s="209">
        <f t="shared" si="62"/>
        <v>0</v>
      </c>
      <c r="AE30" s="209">
        <f t="shared" si="63"/>
        <v>0</v>
      </c>
      <c r="AF30" s="36" t="str">
        <f t="shared" si="64"/>
        <v>0%</v>
      </c>
      <c r="AG30" s="36" t="str">
        <f t="shared" si="65"/>
        <v>0%</v>
      </c>
      <c r="AH30" s="627"/>
      <c r="AI30" s="630">
        <f t="shared" si="29"/>
        <v>18</v>
      </c>
      <c r="AJ30" s="185" t="s">
        <v>81</v>
      </c>
      <c r="AK30" s="593" t="s">
        <v>587</v>
      </c>
      <c r="AL30" s="364" t="s">
        <v>117</v>
      </c>
      <c r="AM30" s="35"/>
      <c r="AN30" s="330"/>
      <c r="AO30" s="330"/>
      <c r="AP30" s="330"/>
      <c r="AQ30" s="330"/>
      <c r="AR30" s="209"/>
      <c r="AS30" s="209"/>
      <c r="AT30" s="209"/>
      <c r="AU30" s="209"/>
      <c r="AV30" s="209"/>
      <c r="AW30" s="209"/>
      <c r="AX30" s="36"/>
      <c r="AY30" s="36"/>
    </row>
    <row r="31" spans="1:51" x14ac:dyDescent="0.2">
      <c r="A31" s="630">
        <f t="shared" si="12"/>
        <v>19</v>
      </c>
      <c r="B31" s="185" t="s">
        <v>81</v>
      </c>
      <c r="C31" s="593" t="s">
        <v>586</v>
      </c>
      <c r="D31" s="364" t="s">
        <v>117</v>
      </c>
      <c r="E31" s="426">
        <f>'WP1 Light Inventory'!J162</f>
        <v>0</v>
      </c>
      <c r="F31" s="330">
        <f>'WP2 Current Light Rates'!E147</f>
        <v>22.84</v>
      </c>
      <c r="G31" s="330">
        <f>'BDJ-6 Combined Charges'!K170</f>
        <v>24.53</v>
      </c>
      <c r="H31" s="330">
        <f>'Sch 141A Lighting Tariff'!J168+'Sch 141C Lighting Tariff'!J168+'Sch 141N Lighting Tariff'!J170+'Sch 141R Lighting Tariff'!J169+G31</f>
        <v>28.82</v>
      </c>
      <c r="I31" s="209">
        <f t="shared" si="47"/>
        <v>0</v>
      </c>
      <c r="J31" s="209">
        <f t="shared" si="48"/>
        <v>0</v>
      </c>
      <c r="K31" s="209">
        <f t="shared" si="49"/>
        <v>0</v>
      </c>
      <c r="L31" s="209">
        <f t="shared" si="50"/>
        <v>0</v>
      </c>
      <c r="M31" s="209">
        <f t="shared" si="51"/>
        <v>0</v>
      </c>
      <c r="N31" s="36" t="str">
        <f t="shared" si="52"/>
        <v>0%</v>
      </c>
      <c r="O31" s="36" t="str">
        <f t="shared" si="53"/>
        <v>0%</v>
      </c>
      <c r="P31" s="627"/>
      <c r="Q31" s="630">
        <f t="shared" si="20"/>
        <v>19</v>
      </c>
      <c r="R31" s="185" t="s">
        <v>81</v>
      </c>
      <c r="S31" s="593" t="s">
        <v>586</v>
      </c>
      <c r="T31" s="364" t="s">
        <v>117</v>
      </c>
      <c r="U31" s="35">
        <f t="shared" si="66"/>
        <v>0</v>
      </c>
      <c r="V31" s="330">
        <f t="shared" si="67"/>
        <v>24.53</v>
      </c>
      <c r="W31" s="330">
        <f t="shared" si="68"/>
        <v>28.82</v>
      </c>
      <c r="X31" s="330">
        <f t="shared" si="69"/>
        <v>24.53</v>
      </c>
      <c r="Y31" s="330">
        <f>'Sch 141A Lighting Tariff'!N168+'Sch 141C Lighting Tariff'!N168+'Sch 141N Lighting Tariff'!N170+'Sch 141R Lighting Tariff'!N169+X31</f>
        <v>29.17</v>
      </c>
      <c r="Z31" s="209">
        <f t="shared" si="58"/>
        <v>0</v>
      </c>
      <c r="AA31" s="209">
        <f t="shared" si="59"/>
        <v>0</v>
      </c>
      <c r="AB31" s="209">
        <f t="shared" si="60"/>
        <v>0</v>
      </c>
      <c r="AC31" s="209">
        <f t="shared" si="61"/>
        <v>0</v>
      </c>
      <c r="AD31" s="209">
        <f t="shared" si="62"/>
        <v>0</v>
      </c>
      <c r="AE31" s="209">
        <f t="shared" si="63"/>
        <v>0</v>
      </c>
      <c r="AF31" s="36" t="str">
        <f t="shared" si="64"/>
        <v>0%</v>
      </c>
      <c r="AG31" s="36" t="str">
        <f t="shared" si="65"/>
        <v>0%</v>
      </c>
      <c r="AH31" s="627"/>
      <c r="AI31" s="630">
        <f t="shared" si="29"/>
        <v>19</v>
      </c>
      <c r="AJ31" s="185" t="s">
        <v>81</v>
      </c>
      <c r="AK31" s="593" t="s">
        <v>586</v>
      </c>
      <c r="AL31" s="364" t="s">
        <v>117</v>
      </c>
      <c r="AM31" s="35"/>
      <c r="AN31" s="330"/>
      <c r="AO31" s="330"/>
      <c r="AP31" s="330"/>
      <c r="AQ31" s="330"/>
      <c r="AR31" s="209"/>
      <c r="AS31" s="209"/>
      <c r="AT31" s="209"/>
      <c r="AU31" s="209"/>
      <c r="AV31" s="209"/>
      <c r="AW31" s="209"/>
      <c r="AX31" s="36"/>
      <c r="AY31" s="36"/>
    </row>
    <row r="32" spans="1:51" x14ac:dyDescent="0.2">
      <c r="A32" s="630">
        <f t="shared" si="12"/>
        <v>20</v>
      </c>
      <c r="B32" s="185" t="s">
        <v>81</v>
      </c>
      <c r="C32" s="593" t="s">
        <v>573</v>
      </c>
      <c r="D32" s="364" t="s">
        <v>117</v>
      </c>
      <c r="E32" s="426">
        <f>'WP1 Light Inventory'!J163</f>
        <v>0</v>
      </c>
      <c r="F32" s="330">
        <f>'WP2 Current Light Rates'!E148</f>
        <v>24.89</v>
      </c>
      <c r="G32" s="330">
        <f>'BDJ-6 Combined Charges'!K171</f>
        <v>26.900000000000002</v>
      </c>
      <c r="H32" s="330">
        <f>'Sch 141A Lighting Tariff'!J169+'Sch 141C Lighting Tariff'!J169+'Sch 141N Lighting Tariff'!J171+'Sch 141R Lighting Tariff'!J170+G32</f>
        <v>31.76</v>
      </c>
      <c r="I32" s="209">
        <f t="shared" si="47"/>
        <v>0</v>
      </c>
      <c r="J32" s="209">
        <f t="shared" si="48"/>
        <v>0</v>
      </c>
      <c r="K32" s="209">
        <f t="shared" si="49"/>
        <v>0</v>
      </c>
      <c r="L32" s="209">
        <f t="shared" si="50"/>
        <v>0</v>
      </c>
      <c r="M32" s="209">
        <f t="shared" si="51"/>
        <v>0</v>
      </c>
      <c r="N32" s="36" t="str">
        <f t="shared" si="52"/>
        <v>0%</v>
      </c>
      <c r="O32" s="36" t="str">
        <f t="shared" si="53"/>
        <v>0%</v>
      </c>
      <c r="P32" s="627"/>
      <c r="Q32" s="630">
        <f t="shared" si="20"/>
        <v>20</v>
      </c>
      <c r="R32" s="185" t="s">
        <v>81</v>
      </c>
      <c r="S32" s="593" t="s">
        <v>573</v>
      </c>
      <c r="T32" s="364" t="s">
        <v>117</v>
      </c>
      <c r="U32" s="35">
        <f t="shared" si="66"/>
        <v>0</v>
      </c>
      <c r="V32" s="330">
        <f t="shared" si="67"/>
        <v>26.900000000000002</v>
      </c>
      <c r="W32" s="330">
        <f t="shared" si="68"/>
        <v>31.76</v>
      </c>
      <c r="X32" s="330">
        <f t="shared" si="69"/>
        <v>26.900000000000002</v>
      </c>
      <c r="Y32" s="330">
        <f>'Sch 141A Lighting Tariff'!N169+'Sch 141C Lighting Tariff'!N169+'Sch 141N Lighting Tariff'!N171+'Sch 141R Lighting Tariff'!N170+X32</f>
        <v>32.21</v>
      </c>
      <c r="Z32" s="209">
        <f t="shared" si="58"/>
        <v>0</v>
      </c>
      <c r="AA32" s="209">
        <f t="shared" si="59"/>
        <v>0</v>
      </c>
      <c r="AB32" s="209">
        <f t="shared" si="60"/>
        <v>0</v>
      </c>
      <c r="AC32" s="209">
        <f t="shared" si="61"/>
        <v>0</v>
      </c>
      <c r="AD32" s="209">
        <f t="shared" si="62"/>
        <v>0</v>
      </c>
      <c r="AE32" s="209">
        <f t="shared" si="63"/>
        <v>0</v>
      </c>
      <c r="AF32" s="36" t="str">
        <f t="shared" si="64"/>
        <v>0%</v>
      </c>
      <c r="AG32" s="36" t="str">
        <f t="shared" si="65"/>
        <v>0%</v>
      </c>
      <c r="AH32" s="627"/>
      <c r="AI32" s="630">
        <f t="shared" si="29"/>
        <v>20</v>
      </c>
      <c r="AJ32" s="185" t="s">
        <v>81</v>
      </c>
      <c r="AK32" s="593" t="s">
        <v>573</v>
      </c>
      <c r="AL32" s="364" t="s">
        <v>117</v>
      </c>
      <c r="AM32" s="35"/>
      <c r="AN32" s="330"/>
      <c r="AO32" s="330"/>
      <c r="AP32" s="330"/>
      <c r="AQ32" s="330"/>
      <c r="AR32" s="209"/>
      <c r="AS32" s="209"/>
      <c r="AT32" s="209"/>
      <c r="AU32" s="209"/>
      <c r="AV32" s="209"/>
      <c r="AW32" s="209"/>
      <c r="AX32" s="36"/>
      <c r="AY32" s="36"/>
    </row>
    <row r="33" spans="1:51" x14ac:dyDescent="0.2">
      <c r="A33" s="630">
        <f t="shared" si="12"/>
        <v>21</v>
      </c>
      <c r="B33" s="185" t="s">
        <v>81</v>
      </c>
      <c r="C33" s="593" t="s">
        <v>574</v>
      </c>
      <c r="D33" s="364" t="s">
        <v>117</v>
      </c>
      <c r="E33" s="426">
        <f>'WP1 Light Inventory'!J164</f>
        <v>0</v>
      </c>
      <c r="F33" s="330">
        <f>'WP2 Current Light Rates'!E149</f>
        <v>26.94</v>
      </c>
      <c r="G33" s="330">
        <f>'BDJ-6 Combined Charges'!K172</f>
        <v>29.28</v>
      </c>
      <c r="H33" s="330">
        <f>'Sch 141A Lighting Tariff'!J170+'Sch 141C Lighting Tariff'!J170+'Sch 141N Lighting Tariff'!J172+'Sch 141R Lighting Tariff'!J171+G33</f>
        <v>34.72</v>
      </c>
      <c r="I33" s="209">
        <f t="shared" si="47"/>
        <v>0</v>
      </c>
      <c r="J33" s="209">
        <f t="shared" si="48"/>
        <v>0</v>
      </c>
      <c r="K33" s="209">
        <f t="shared" si="49"/>
        <v>0</v>
      </c>
      <c r="L33" s="209">
        <f t="shared" si="50"/>
        <v>0</v>
      </c>
      <c r="M33" s="209">
        <f t="shared" si="51"/>
        <v>0</v>
      </c>
      <c r="N33" s="36" t="str">
        <f t="shared" si="52"/>
        <v>0%</v>
      </c>
      <c r="O33" s="36" t="str">
        <f t="shared" si="53"/>
        <v>0%</v>
      </c>
      <c r="P33" s="627"/>
      <c r="Q33" s="630">
        <f t="shared" si="20"/>
        <v>21</v>
      </c>
      <c r="R33" s="185" t="s">
        <v>81</v>
      </c>
      <c r="S33" s="593" t="s">
        <v>574</v>
      </c>
      <c r="T33" s="364" t="s">
        <v>117</v>
      </c>
      <c r="U33" s="35">
        <f t="shared" si="66"/>
        <v>0</v>
      </c>
      <c r="V33" s="330">
        <f t="shared" si="67"/>
        <v>29.28</v>
      </c>
      <c r="W33" s="330">
        <f t="shared" si="68"/>
        <v>34.72</v>
      </c>
      <c r="X33" s="330">
        <f t="shared" si="69"/>
        <v>29.28</v>
      </c>
      <c r="Y33" s="330">
        <f>'Sch 141A Lighting Tariff'!N170+'Sch 141C Lighting Tariff'!N170+'Sch 141N Lighting Tariff'!N172+'Sch 141R Lighting Tariff'!N171+X33</f>
        <v>35.25</v>
      </c>
      <c r="Z33" s="209">
        <f t="shared" si="58"/>
        <v>0</v>
      </c>
      <c r="AA33" s="209">
        <f t="shared" si="59"/>
        <v>0</v>
      </c>
      <c r="AB33" s="209">
        <f t="shared" si="60"/>
        <v>0</v>
      </c>
      <c r="AC33" s="209">
        <f t="shared" si="61"/>
        <v>0</v>
      </c>
      <c r="AD33" s="209">
        <f t="shared" si="62"/>
        <v>0</v>
      </c>
      <c r="AE33" s="209">
        <f t="shared" si="63"/>
        <v>0</v>
      </c>
      <c r="AF33" s="36" t="str">
        <f t="shared" si="64"/>
        <v>0%</v>
      </c>
      <c r="AG33" s="36" t="str">
        <f t="shared" si="65"/>
        <v>0%</v>
      </c>
      <c r="AH33" s="627"/>
      <c r="AI33" s="630">
        <f t="shared" si="29"/>
        <v>21</v>
      </c>
      <c r="AJ33" s="185" t="s">
        <v>81</v>
      </c>
      <c r="AK33" s="593" t="s">
        <v>574</v>
      </c>
      <c r="AL33" s="364" t="s">
        <v>117</v>
      </c>
      <c r="AM33" s="35"/>
      <c r="AN33" s="330"/>
      <c r="AO33" s="330"/>
      <c r="AP33" s="330"/>
      <c r="AQ33" s="330"/>
      <c r="AR33" s="209"/>
      <c r="AS33" s="209"/>
      <c r="AT33" s="209"/>
      <c r="AU33" s="209"/>
      <c r="AV33" s="209"/>
      <c r="AW33" s="209"/>
      <c r="AX33" s="36"/>
      <c r="AY33" s="36"/>
    </row>
    <row r="34" spans="1:51" x14ac:dyDescent="0.2">
      <c r="A34" s="630">
        <f t="shared" si="12"/>
        <v>22</v>
      </c>
      <c r="B34" s="185"/>
      <c r="C34" s="399"/>
      <c r="D34" s="364" t="s">
        <v>117</v>
      </c>
      <c r="E34" s="272">
        <f>SUM(E24:E33)</f>
        <v>755</v>
      </c>
      <c r="F34" s="42"/>
      <c r="G34" s="42"/>
      <c r="H34" s="42"/>
      <c r="I34" s="266">
        <f t="shared" ref="I34:M34" si="70">SUM(I24:I33)</f>
        <v>102473.63999999998</v>
      </c>
      <c r="J34" s="266">
        <f t="shared" si="70"/>
        <v>98299.68</v>
      </c>
      <c r="K34" s="266">
        <f t="shared" si="70"/>
        <v>107514.95999999999</v>
      </c>
      <c r="L34" s="266">
        <f t="shared" si="70"/>
        <v>-4173.9600000000009</v>
      </c>
      <c r="M34" s="266">
        <f t="shared" si="70"/>
        <v>5041.3199999999988</v>
      </c>
      <c r="N34" s="267">
        <f t="shared" ref="N34" si="71">IF(+L34=0,"0%",L34/I34)</f>
        <v>-4.0732036063128058E-2</v>
      </c>
      <c r="O34" s="267">
        <f t="shared" ref="O34" si="72">IF(+M34=0,"0%",M34/I34)</f>
        <v>4.9196261594689129E-2</v>
      </c>
      <c r="P34" s="627"/>
      <c r="Q34" s="630">
        <f t="shared" si="20"/>
        <v>22</v>
      </c>
      <c r="R34" s="185"/>
      <c r="S34" s="399"/>
      <c r="T34" s="364" t="s">
        <v>117</v>
      </c>
      <c r="U34" s="272">
        <f>SUM(U24:U33)</f>
        <v>755</v>
      </c>
      <c r="V34" s="42"/>
      <c r="W34" s="42"/>
      <c r="X34" s="42"/>
      <c r="Y34" s="42"/>
      <c r="Z34" s="266">
        <f t="shared" ref="Z34:AE34" si="73">SUM(Z24:Z33)</f>
        <v>98299.68</v>
      </c>
      <c r="AA34" s="266">
        <f t="shared" si="73"/>
        <v>107514.95999999999</v>
      </c>
      <c r="AB34" s="266">
        <f t="shared" si="73"/>
        <v>98299.68</v>
      </c>
      <c r="AC34" s="266">
        <f t="shared" si="73"/>
        <v>106902</v>
      </c>
      <c r="AD34" s="266">
        <f t="shared" si="73"/>
        <v>0</v>
      </c>
      <c r="AE34" s="266">
        <f t="shared" si="73"/>
        <v>-612.95999999998844</v>
      </c>
      <c r="AF34" s="267" t="str">
        <f t="shared" ref="AF34" si="74">IF(+AD34=0,"0%",AD34/Z34)</f>
        <v>0%</v>
      </c>
      <c r="AG34" s="267">
        <f t="shared" ref="AG34" si="75">IF(+AE34=0,"0%",AE34/AA34)</f>
        <v>-5.7011600990223921E-3</v>
      </c>
      <c r="AH34" s="627"/>
      <c r="AI34" s="630">
        <f t="shared" si="29"/>
        <v>22</v>
      </c>
      <c r="AJ34" s="185"/>
      <c r="AK34" s="399"/>
      <c r="AL34" s="364" t="s">
        <v>117</v>
      </c>
      <c r="AM34" s="272"/>
      <c r="AN34" s="42"/>
      <c r="AO34" s="42"/>
      <c r="AP34" s="42"/>
      <c r="AQ34" s="42"/>
      <c r="AR34" s="266"/>
      <c r="AS34" s="266"/>
      <c r="AT34" s="266"/>
      <c r="AU34" s="266"/>
      <c r="AV34" s="266"/>
      <c r="AW34" s="266"/>
      <c r="AX34" s="267"/>
      <c r="AY34" s="267"/>
    </row>
    <row r="35" spans="1:51" x14ac:dyDescent="0.2">
      <c r="A35" s="630">
        <f t="shared" si="12"/>
        <v>23</v>
      </c>
      <c r="B35" s="185"/>
      <c r="C35" s="426"/>
      <c r="D35" s="426"/>
      <c r="E35" s="426"/>
      <c r="F35" s="330"/>
      <c r="G35" s="330"/>
      <c r="H35" s="330"/>
      <c r="I35" s="209"/>
      <c r="J35" s="209"/>
      <c r="K35" s="209"/>
      <c r="L35" s="209"/>
      <c r="M35" s="209"/>
      <c r="N35" s="36"/>
      <c r="O35" s="36"/>
      <c r="P35" s="627"/>
      <c r="Q35" s="630">
        <f t="shared" si="20"/>
        <v>23</v>
      </c>
      <c r="R35" s="185"/>
      <c r="S35" s="426"/>
      <c r="T35" s="426"/>
      <c r="U35" s="426"/>
      <c r="V35" s="330"/>
      <c r="W35" s="330"/>
      <c r="X35" s="330"/>
      <c r="Y35" s="330"/>
      <c r="Z35" s="209"/>
      <c r="AA35" s="209"/>
      <c r="AB35" s="209"/>
      <c r="AC35" s="209"/>
      <c r="AD35" s="209"/>
      <c r="AE35" s="209"/>
      <c r="AF35" s="36"/>
      <c r="AG35" s="36"/>
      <c r="AH35" s="627"/>
      <c r="AI35" s="630">
        <f t="shared" si="29"/>
        <v>23</v>
      </c>
      <c r="AJ35" s="185"/>
      <c r="AK35" s="426"/>
      <c r="AL35" s="426"/>
      <c r="AM35" s="426"/>
      <c r="AN35" s="330"/>
      <c r="AO35" s="330"/>
      <c r="AP35" s="330"/>
      <c r="AQ35" s="330"/>
      <c r="AR35" s="209"/>
      <c r="AS35" s="209"/>
      <c r="AT35" s="209"/>
      <c r="AU35" s="209"/>
      <c r="AV35" s="209"/>
      <c r="AW35" s="209"/>
      <c r="AX35" s="36"/>
      <c r="AY35" s="36"/>
    </row>
    <row r="36" spans="1:51" ht="10.8" thickBot="1" x14ac:dyDescent="0.25">
      <c r="A36" s="630">
        <f t="shared" si="12"/>
        <v>24</v>
      </c>
      <c r="B36" s="202" t="s">
        <v>20</v>
      </c>
      <c r="C36" s="109"/>
      <c r="D36" s="109"/>
      <c r="E36" s="109">
        <f>SUM(E19,E22,E34)</f>
        <v>6110</v>
      </c>
      <c r="F36" s="534"/>
      <c r="G36" s="534"/>
      <c r="H36" s="534"/>
      <c r="I36" s="147">
        <f>SUM(I19,I22,I34)</f>
        <v>1074167.3947677189</v>
      </c>
      <c r="J36" s="147">
        <f>SUM(J19,J22,J34)</f>
        <v>1055180.28</v>
      </c>
      <c r="K36" s="147">
        <f>SUM(K19,K22,K34)</f>
        <v>1226136.4799999997</v>
      </c>
      <c r="L36" s="147">
        <f>SUM(L19,L22,L34)</f>
        <v>-18987.114767718798</v>
      </c>
      <c r="M36" s="147">
        <f>SUM(M19,M22,M34)</f>
        <v>151969.0852322811</v>
      </c>
      <c r="N36" s="270">
        <f>IF(+L36=0,"0%",L36/I36)</f>
        <v>-1.7676122790735636E-2</v>
      </c>
      <c r="O36" s="270">
        <f>IF(+M36=0,"0%",M36/I36)</f>
        <v>0.14147616653840378</v>
      </c>
      <c r="P36" s="627"/>
      <c r="Q36" s="630">
        <f t="shared" si="20"/>
        <v>24</v>
      </c>
      <c r="R36" s="202" t="s">
        <v>20</v>
      </c>
      <c r="S36" s="109"/>
      <c r="T36" s="109"/>
      <c r="U36" s="109">
        <f>SUM(U19,U22,U34)</f>
        <v>6110</v>
      </c>
      <c r="V36" s="534"/>
      <c r="W36" s="534"/>
      <c r="X36" s="534"/>
      <c r="Y36" s="534"/>
      <c r="Z36" s="147">
        <f t="shared" ref="Z36:AE36" si="76">SUM(Z19,Z22,Z34)</f>
        <v>1055180.28</v>
      </c>
      <c r="AA36" s="147">
        <f t="shared" si="76"/>
        <v>1226136.4799999997</v>
      </c>
      <c r="AB36" s="147">
        <f t="shared" si="76"/>
        <v>1055180.28</v>
      </c>
      <c r="AC36" s="147">
        <f t="shared" si="76"/>
        <v>1247228.6399999997</v>
      </c>
      <c r="AD36" s="147">
        <f t="shared" si="76"/>
        <v>0</v>
      </c>
      <c r="AE36" s="147">
        <f t="shared" si="76"/>
        <v>21092.160000000033</v>
      </c>
      <c r="AF36" s="270" t="str">
        <f>IF(+AD36=0,"0%",AD36/Z36)</f>
        <v>0%</v>
      </c>
      <c r="AG36" s="270">
        <f>IF(+AE36=0,"0%",AE36/AA36)</f>
        <v>1.7202130712235263E-2</v>
      </c>
      <c r="AH36" s="627"/>
      <c r="AI36" s="630">
        <f t="shared" si="29"/>
        <v>24</v>
      </c>
      <c r="AJ36" s="202" t="s">
        <v>20</v>
      </c>
      <c r="AK36" s="109"/>
      <c r="AL36" s="109"/>
      <c r="AM36" s="109"/>
      <c r="AN36" s="534"/>
      <c r="AO36" s="534"/>
      <c r="AP36" s="534"/>
      <c r="AQ36" s="534"/>
      <c r="AR36" s="147"/>
      <c r="AS36" s="147"/>
      <c r="AT36" s="147"/>
      <c r="AU36" s="147"/>
      <c r="AV36" s="147"/>
      <c r="AW36" s="147"/>
      <c r="AX36" s="270"/>
      <c r="AY36" s="270"/>
    </row>
    <row r="37" spans="1:51" ht="10.8" thickTop="1" x14ac:dyDescent="0.2"/>
    <row r="38" spans="1:51" ht="13.8" x14ac:dyDescent="0.3">
      <c r="B38" s="633"/>
    </row>
  </sheetData>
  <mergeCells count="21">
    <mergeCell ref="J8:O8"/>
    <mergeCell ref="A1:O1"/>
    <mergeCell ref="A2:O2"/>
    <mergeCell ref="A4:O4"/>
    <mergeCell ref="A5:O5"/>
    <mergeCell ref="A3:O3"/>
    <mergeCell ref="A6:O6"/>
    <mergeCell ref="AB8:AG8"/>
    <mergeCell ref="AI1:AY1"/>
    <mergeCell ref="AI2:AY2"/>
    <mergeCell ref="AI3:AY3"/>
    <mergeCell ref="AI4:AY4"/>
    <mergeCell ref="AI5:AY5"/>
    <mergeCell ref="AI6:AY6"/>
    <mergeCell ref="AT8:AY8"/>
    <mergeCell ref="Q1:AG1"/>
    <mergeCell ref="Q2:AG2"/>
    <mergeCell ref="Q3:AG3"/>
    <mergeCell ref="Q4:AG4"/>
    <mergeCell ref="Q5:AG5"/>
    <mergeCell ref="Q6:AG6"/>
  </mergeCells>
  <printOptions horizontalCentered="1"/>
  <pageMargins left="0.25" right="0.25" top="1" bottom="1" header="0.5" footer="0.5"/>
  <pageSetup scale="76" fitToWidth="3" fitToHeight="0" orientation="landscape" r:id="rId1"/>
  <headerFooter alignWithMargins="0">
    <oddFooter>&amp;R&amp;"Times New Roman,Regular"&amp;F
&amp;A
&amp;P of &amp;N</oddFooter>
  </headerFooter>
  <colBreaks count="2" manualBreakCount="2">
    <brk id="16" max="1048575" man="1"/>
    <brk id="34" max="1048575" man="1"/>
  </colBreaks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S22"/>
  <sheetViews>
    <sheetView topLeftCell="O1" zoomScaleNormal="100" workbookViewId="0">
      <selection activeCell="AI9" sqref="AI9"/>
    </sheetView>
  </sheetViews>
  <sheetFormatPr defaultColWidth="9.109375" defaultRowHeight="10.199999999999999" x14ac:dyDescent="0.2"/>
  <cols>
    <col min="1" max="1" width="6" style="28" customWidth="1"/>
    <col min="2" max="2" width="19.88671875" style="28" bestFit="1" customWidth="1"/>
    <col min="3" max="3" width="10" style="28" bestFit="1" customWidth="1"/>
    <col min="4" max="4" width="8.33203125" style="28" customWidth="1"/>
    <col min="5" max="5" width="9.5546875" style="28" customWidth="1"/>
    <col min="6" max="6" width="12.44140625" style="28" customWidth="1"/>
    <col min="7" max="7" width="10.44140625" style="28" bestFit="1" customWidth="1"/>
    <col min="8" max="8" width="8.33203125" style="28" bestFit="1" customWidth="1"/>
    <col min="9" max="9" width="11.109375" style="28" customWidth="1"/>
    <col min="10" max="10" width="8.88671875" style="28" bestFit="1" customWidth="1"/>
    <col min="11" max="11" width="11.5546875" style="28" customWidth="1"/>
    <col min="12" max="12" width="7.33203125" style="28" bestFit="1" customWidth="1"/>
    <col min="13" max="13" width="8.88671875" style="28" bestFit="1" customWidth="1"/>
    <col min="14" max="14" width="0.88671875" style="39" customWidth="1"/>
    <col min="15" max="15" width="5.6640625" style="28" customWidth="1"/>
    <col min="16" max="16" width="19.88671875" style="28" bestFit="1" customWidth="1"/>
    <col min="17" max="17" width="10" style="28" bestFit="1" customWidth="1"/>
    <col min="18" max="18" width="11.109375" style="28" bestFit="1" customWidth="1"/>
    <col min="19" max="19" width="14.33203125" style="28" customWidth="1"/>
    <col min="20" max="20" width="11.6640625" style="28" bestFit="1" customWidth="1"/>
    <col min="21" max="21" width="12.109375" style="28" customWidth="1"/>
    <col min="22" max="22" width="10.44140625" style="28" bestFit="1" customWidth="1"/>
    <col min="23" max="23" width="11.109375" style="28" customWidth="1"/>
    <col min="24" max="24" width="8.33203125" style="28" bestFit="1" customWidth="1"/>
    <col min="25" max="25" width="10.33203125" style="28" customWidth="1"/>
    <col min="26" max="26" width="8" style="28" bestFit="1" customWidth="1"/>
    <col min="27" max="27" width="9.6640625" style="28" customWidth="1"/>
    <col min="28" max="28" width="8.6640625" style="39" bestFit="1" customWidth="1"/>
    <col min="29" max="29" width="8.6640625" style="28" bestFit="1" customWidth="1"/>
    <col min="30" max="30" width="0.88671875" style="39" customWidth="1"/>
    <col min="31" max="31" width="5.6640625" style="28" customWidth="1"/>
    <col min="32" max="32" width="19.88671875" style="28" bestFit="1" customWidth="1"/>
    <col min="33" max="33" width="9.88671875" style="28" bestFit="1" customWidth="1"/>
    <col min="34" max="34" width="11" style="28" bestFit="1" customWidth="1"/>
    <col min="35" max="35" width="10.5546875" style="28" customWidth="1"/>
    <col min="36" max="36" width="11.5546875" style="28" bestFit="1" customWidth="1"/>
    <col min="37" max="37" width="12" style="28" customWidth="1"/>
    <col min="38" max="38" width="10.33203125" style="28" bestFit="1" customWidth="1"/>
    <col min="39" max="39" width="10.6640625" style="28" customWidth="1"/>
    <col min="40" max="40" width="7.88671875" style="28" bestFit="1" customWidth="1"/>
    <col min="41" max="41" width="10" style="28" customWidth="1"/>
    <col min="42" max="42" width="7.88671875" style="28" bestFit="1" customWidth="1"/>
    <col min="43" max="43" width="11.5546875" style="28" customWidth="1"/>
    <col min="44" max="44" width="8.6640625" style="39" bestFit="1" customWidth="1"/>
    <col min="45" max="45" width="8.6640625" style="28" bestFit="1" customWidth="1"/>
    <col min="46" max="16384" width="9.109375" style="28"/>
  </cols>
  <sheetData>
    <row r="1" spans="1:45" ht="14.4" x14ac:dyDescent="0.3">
      <c r="A1" s="736" t="str">
        <f>'Schedules 58E &amp; 59E'!A1:P1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O1" s="729" t="str">
        <f>A1</f>
        <v>Puget Sound Energy</v>
      </c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46"/>
      <c r="AC1" s="746"/>
      <c r="AE1" s="729" t="str">
        <f>O1</f>
        <v>Puget Sound Energy</v>
      </c>
      <c r="AF1" s="729"/>
      <c r="AG1" s="729"/>
      <c r="AH1" s="729"/>
      <c r="AI1" s="729"/>
      <c r="AJ1" s="729"/>
      <c r="AK1" s="729"/>
      <c r="AL1" s="729"/>
      <c r="AM1" s="729"/>
      <c r="AN1" s="729"/>
      <c r="AO1" s="729"/>
      <c r="AP1" s="729"/>
      <c r="AQ1" s="729"/>
      <c r="AR1" s="746"/>
      <c r="AS1" s="746"/>
    </row>
    <row r="2" spans="1:45" ht="14.4" x14ac:dyDescent="0.3">
      <c r="A2" s="736" t="str">
        <f>'Schedules 58E &amp; 59E'!A2:P2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O2" s="729" t="str">
        <f>A2</f>
        <v>ProForma Proposed Revenue</v>
      </c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46"/>
      <c r="AC2" s="746"/>
      <c r="AE2" s="729" t="str">
        <f>O2</f>
        <v>ProForma Proposed Revenue</v>
      </c>
      <c r="AF2" s="729"/>
      <c r="AG2" s="729"/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46"/>
      <c r="AS2" s="746"/>
    </row>
    <row r="3" spans="1:45" ht="14.4" x14ac:dyDescent="0.3">
      <c r="A3" s="736" t="str">
        <f>'Schedules 58E &amp; 59E'!A3:P3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O3" s="729" t="str">
        <f>A3</f>
        <v>2022 General Rate Case (GRC)</v>
      </c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46"/>
      <c r="AC3" s="746"/>
      <c r="AE3" s="729" t="str">
        <f>O3</f>
        <v>2022 General Rate Case (GRC)</v>
      </c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46"/>
      <c r="AS3" s="746"/>
    </row>
    <row r="4" spans="1:45" ht="14.4" x14ac:dyDescent="0.3">
      <c r="A4" s="736" t="str">
        <f>'Schedules 58E &amp; 59E'!A4:P4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O4" s="729" t="str">
        <f>A4</f>
        <v>Test Year Ending June 30, 2021</v>
      </c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46"/>
      <c r="AC4" s="746"/>
      <c r="AE4" s="729" t="str">
        <f>O4</f>
        <v>Test Year Ending June 30, 2021</v>
      </c>
      <c r="AF4" s="729"/>
      <c r="AG4" s="729"/>
      <c r="AH4" s="729"/>
      <c r="AI4" s="729"/>
      <c r="AJ4" s="729"/>
      <c r="AK4" s="729"/>
      <c r="AL4" s="729"/>
      <c r="AM4" s="729"/>
      <c r="AN4" s="729"/>
      <c r="AO4" s="729"/>
      <c r="AP4" s="729"/>
      <c r="AQ4" s="729"/>
      <c r="AR4" s="746"/>
      <c r="AS4" s="746"/>
    </row>
    <row r="5" spans="1:45" ht="14.4" x14ac:dyDescent="0.3">
      <c r="A5" s="736" t="s">
        <v>482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O5" s="729" t="str">
        <f>A5</f>
        <v>Pole Rentals - Schedules 55 and 58</v>
      </c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46"/>
      <c r="AC5" s="746"/>
      <c r="AE5" s="729" t="str">
        <f>O5</f>
        <v>Pole Rentals - Schedules 55 and 58</v>
      </c>
      <c r="AF5" s="729"/>
      <c r="AG5" s="729"/>
      <c r="AH5" s="729"/>
      <c r="AI5" s="729"/>
      <c r="AJ5" s="729"/>
      <c r="AK5" s="729"/>
      <c r="AL5" s="729"/>
      <c r="AM5" s="729"/>
      <c r="AN5" s="729"/>
      <c r="AO5" s="729"/>
      <c r="AP5" s="729"/>
      <c r="AQ5" s="729"/>
      <c r="AR5" s="746"/>
      <c r="AS5" s="746"/>
    </row>
    <row r="6" spans="1:45" ht="14.4" x14ac:dyDescent="0.3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O6" s="736" t="s">
        <v>882</v>
      </c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84"/>
      <c r="AC6" s="784"/>
      <c r="AE6" s="736" t="s">
        <v>881</v>
      </c>
      <c r="AF6" s="736"/>
      <c r="AG6" s="736"/>
      <c r="AH6" s="736"/>
      <c r="AI6" s="736"/>
      <c r="AJ6" s="736"/>
      <c r="AK6" s="736"/>
      <c r="AL6" s="736"/>
      <c r="AM6" s="736"/>
      <c r="AN6" s="736"/>
      <c r="AO6" s="736"/>
      <c r="AP6" s="736"/>
      <c r="AQ6" s="736"/>
      <c r="AR6" s="784"/>
      <c r="AS6" s="784"/>
    </row>
    <row r="7" spans="1:45" x14ac:dyDescent="0.2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8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8"/>
    </row>
    <row r="8" spans="1:45" ht="14.4" x14ac:dyDescent="0.3">
      <c r="H8" s="765" t="s">
        <v>653</v>
      </c>
      <c r="I8" s="782"/>
      <c r="J8" s="782"/>
      <c r="K8" s="782"/>
      <c r="L8" s="782"/>
      <c r="M8" s="783"/>
      <c r="X8" s="765" t="s">
        <v>653</v>
      </c>
      <c r="Y8" s="782"/>
      <c r="Z8" s="782"/>
      <c r="AA8" s="782"/>
      <c r="AB8" s="782"/>
      <c r="AC8" s="783"/>
      <c r="AI8" s="177"/>
      <c r="AJ8" s="177"/>
      <c r="AK8" s="177"/>
      <c r="AL8" s="177"/>
      <c r="AM8" s="177"/>
      <c r="AN8" s="765" t="s">
        <v>653</v>
      </c>
      <c r="AO8" s="782"/>
      <c r="AP8" s="782"/>
      <c r="AQ8" s="782"/>
      <c r="AR8" s="782"/>
      <c r="AS8" s="783"/>
    </row>
    <row r="9" spans="1:45" s="177" customFormat="1" ht="81.599999999999994" x14ac:dyDescent="0.2">
      <c r="A9" s="1" t="s">
        <v>1</v>
      </c>
      <c r="B9" s="1" t="s">
        <v>53</v>
      </c>
      <c r="C9" s="632" t="str">
        <f>'Schedule 50E'!E9</f>
        <v>Monthly Test Year Inventory</v>
      </c>
      <c r="D9" s="632" t="str">
        <f>'Schedule 50E'!F9</f>
        <v>Base Rates
Effective
10-1-2021</v>
      </c>
      <c r="E9" s="632" t="str">
        <f>'Schedule 50E'!G9</f>
        <v>Proposed Lamp Charge (Base)</v>
      </c>
      <c r="F9" s="632" t="str">
        <f>'Schedule 50E'!H9</f>
        <v>TOTAL Proposed Charge (Base + 141COL + 141N + 141R + 141A)</v>
      </c>
      <c r="G9" s="632" t="str">
        <f>'Schedule 50E'!I9</f>
        <v>Current Annual Rate Revenue (Base)</v>
      </c>
      <c r="H9" s="632" t="str">
        <f>'Schedule 50E'!J9</f>
        <v>Annual Revenue (Base)</v>
      </c>
      <c r="I9" s="632" t="str">
        <f>'Schedule 50E'!K9</f>
        <v>TOTAL Annual Revenue (Base + 141COL + 141N + 141R + 141A)</v>
      </c>
      <c r="J9" s="632" t="str">
        <f>'Schedule 50E'!L9</f>
        <v>Revenue Change (Base)</v>
      </c>
      <c r="K9" s="632" t="str">
        <f>'Schedule 50E'!M9</f>
        <v>TOTAL Revenue Change (Base + 141COL + 141N + 141R + 141A)</v>
      </c>
      <c r="L9" s="632" t="str">
        <f>'Schedule 50E'!N9</f>
        <v>Base Change %</v>
      </c>
      <c r="M9" s="632" t="str">
        <f>'Schedule 50E'!O9</f>
        <v>TOTAL Overall Change %</v>
      </c>
      <c r="N9" s="626"/>
      <c r="O9" s="1" t="s">
        <v>1</v>
      </c>
      <c r="P9" s="1" t="s">
        <v>53</v>
      </c>
      <c r="Q9" s="632" t="str">
        <f>C9</f>
        <v>Monthly Test Year Inventory</v>
      </c>
      <c r="R9" s="374" t="s">
        <v>888</v>
      </c>
      <c r="S9" s="374" t="s">
        <v>1194</v>
      </c>
      <c r="T9" s="632" t="s">
        <v>880</v>
      </c>
      <c r="U9" s="374" t="s">
        <v>1191</v>
      </c>
      <c r="V9" s="631" t="s">
        <v>886</v>
      </c>
      <c r="W9" s="632" t="s">
        <v>1195</v>
      </c>
      <c r="X9" s="631" t="s">
        <v>879</v>
      </c>
      <c r="Y9" s="632" t="s">
        <v>1192</v>
      </c>
      <c r="Z9" s="632" t="s">
        <v>878</v>
      </c>
      <c r="AA9" s="632" t="s">
        <v>1193</v>
      </c>
      <c r="AB9" s="632" t="s">
        <v>887</v>
      </c>
      <c r="AC9" s="632" t="s">
        <v>959</v>
      </c>
      <c r="AD9" s="626"/>
      <c r="AE9" s="1" t="s">
        <v>1</v>
      </c>
      <c r="AF9" s="1" t="s">
        <v>53</v>
      </c>
      <c r="AG9" s="632" t="str">
        <f>Q9</f>
        <v>Monthly Test Year Inventory</v>
      </c>
      <c r="AH9" s="374" t="s">
        <v>885</v>
      </c>
      <c r="AI9" s="374" t="s">
        <v>1197</v>
      </c>
      <c r="AJ9" s="632" t="str">
        <f t="shared" ref="AJ9:AS9" si="0">T9</f>
        <v>Proposed Lamp Charge (Base)</v>
      </c>
      <c r="AK9" s="374" t="str">
        <f t="shared" si="0"/>
        <v>TOTAL Proposed Charge (Base + 141COL + 141N + 141R + 141A)</v>
      </c>
      <c r="AL9" s="632" t="str">
        <f t="shared" si="0"/>
        <v>Current Annual Rate Revenue (Base)</v>
      </c>
      <c r="AM9" s="632" t="str">
        <f t="shared" si="0"/>
        <v>TOTAL Current Annual Rate Revenue (Base + 141COL + 141N + 141R + 141A)</v>
      </c>
      <c r="AN9" s="632" t="str">
        <f t="shared" si="0"/>
        <v>Annual Revenue (Base)</v>
      </c>
      <c r="AO9" s="632" t="str">
        <f t="shared" si="0"/>
        <v>TOTAL Annual Revenue (Base + 141COL + 141N + 141R + 141A)</v>
      </c>
      <c r="AP9" s="632" t="str">
        <f t="shared" si="0"/>
        <v>Revenue Change (Base)</v>
      </c>
      <c r="AQ9" s="632" t="str">
        <f t="shared" si="0"/>
        <v>TOTAL Revenue Change (Base + 141COL + 141N + 141R + 141A)</v>
      </c>
      <c r="AR9" s="632" t="str">
        <f t="shared" si="0"/>
        <v>Base Change %</v>
      </c>
      <c r="AS9" s="632" t="str">
        <f t="shared" si="0"/>
        <v>TOAL Overall  Change %</v>
      </c>
    </row>
    <row r="10" spans="1:45" s="177" customFormat="1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626"/>
      <c r="O10" s="98"/>
      <c r="P10" s="98" t="s">
        <v>3</v>
      </c>
      <c r="Q10" s="169" t="s">
        <v>4</v>
      </c>
      <c r="R10" s="169" t="s">
        <v>5</v>
      </c>
      <c r="S10" s="169" t="s">
        <v>6</v>
      </c>
      <c r="T10" s="169" t="s">
        <v>390</v>
      </c>
      <c r="U10" s="169" t="s">
        <v>21</v>
      </c>
      <c r="V10" s="169" t="s">
        <v>8</v>
      </c>
      <c r="W10" s="169" t="s">
        <v>9</v>
      </c>
      <c r="X10" s="169" t="s">
        <v>22</v>
      </c>
      <c r="Y10" s="169" t="s">
        <v>23</v>
      </c>
      <c r="Z10" s="169" t="s">
        <v>10</v>
      </c>
      <c r="AA10" s="169" t="s">
        <v>11</v>
      </c>
      <c r="AB10" s="169" t="s">
        <v>12</v>
      </c>
      <c r="AC10" s="169" t="s">
        <v>14</v>
      </c>
      <c r="AD10" s="626"/>
      <c r="AE10" s="98"/>
      <c r="AF10" s="98" t="s">
        <v>3</v>
      </c>
      <c r="AG10" s="169" t="s">
        <v>4</v>
      </c>
      <c r="AH10" s="169" t="s">
        <v>5</v>
      </c>
      <c r="AI10" s="169" t="s">
        <v>6</v>
      </c>
      <c r="AJ10" s="169" t="s">
        <v>390</v>
      </c>
      <c r="AK10" s="169" t="s">
        <v>21</v>
      </c>
      <c r="AL10" s="169" t="s">
        <v>8</v>
      </c>
      <c r="AM10" s="169" t="s">
        <v>9</v>
      </c>
      <c r="AN10" s="169" t="s">
        <v>22</v>
      </c>
      <c r="AO10" s="169" t="s">
        <v>23</v>
      </c>
      <c r="AP10" s="169" t="s">
        <v>10</v>
      </c>
      <c r="AQ10" s="169" t="s">
        <v>11</v>
      </c>
      <c r="AR10" s="169" t="s">
        <v>12</v>
      </c>
      <c r="AS10" s="169" t="s">
        <v>14</v>
      </c>
    </row>
    <row r="11" spans="1:45" s="627" customFormat="1" ht="20.399999999999999" x14ac:dyDescent="0.2">
      <c r="A11" s="98" t="s">
        <v>396</v>
      </c>
      <c r="B11" s="98"/>
      <c r="C11" s="169" t="s">
        <v>397</v>
      </c>
      <c r="D11" s="169" t="s">
        <v>397</v>
      </c>
      <c r="E11" s="169" t="s">
        <v>397</v>
      </c>
      <c r="F11" s="169" t="s">
        <v>397</v>
      </c>
      <c r="G11" s="169" t="s">
        <v>410</v>
      </c>
      <c r="H11" s="169" t="s">
        <v>494</v>
      </c>
      <c r="I11" s="169" t="s">
        <v>495</v>
      </c>
      <c r="J11" s="169" t="s">
        <v>907</v>
      </c>
      <c r="K11" s="169" t="s">
        <v>485</v>
      </c>
      <c r="L11" s="169" t="s">
        <v>487</v>
      </c>
      <c r="M11" s="169" t="s">
        <v>894</v>
      </c>
      <c r="N11" s="626"/>
      <c r="O11" s="98" t="s">
        <v>396</v>
      </c>
      <c r="P11" s="98"/>
      <c r="Q11" s="169" t="s">
        <v>397</v>
      </c>
      <c r="R11" s="169" t="s">
        <v>397</v>
      </c>
      <c r="S11" s="169" t="s">
        <v>397</v>
      </c>
      <c r="T11" s="169" t="s">
        <v>397</v>
      </c>
      <c r="U11" s="169" t="s">
        <v>410</v>
      </c>
      <c r="V11" s="169" t="s">
        <v>494</v>
      </c>
      <c r="W11" s="169" t="s">
        <v>495</v>
      </c>
      <c r="X11" s="169" t="s">
        <v>495</v>
      </c>
      <c r="Y11" s="169" t="s">
        <v>906</v>
      </c>
      <c r="Z11" s="169" t="s">
        <v>905</v>
      </c>
      <c r="AA11" s="169" t="s">
        <v>398</v>
      </c>
      <c r="AB11" s="169" t="s">
        <v>891</v>
      </c>
      <c r="AC11" s="169" t="s">
        <v>876</v>
      </c>
      <c r="AD11" s="626"/>
      <c r="AE11" s="98" t="s">
        <v>396</v>
      </c>
      <c r="AF11" s="98"/>
      <c r="AG11" s="169" t="s">
        <v>397</v>
      </c>
      <c r="AH11" s="169" t="s">
        <v>397</v>
      </c>
      <c r="AI11" s="169" t="s">
        <v>397</v>
      </c>
      <c r="AJ11" s="169" t="s">
        <v>397</v>
      </c>
      <c r="AK11" s="169" t="s">
        <v>410</v>
      </c>
      <c r="AL11" s="169" t="s">
        <v>494</v>
      </c>
      <c r="AM11" s="169" t="s">
        <v>495</v>
      </c>
      <c r="AN11" s="169" t="s">
        <v>495</v>
      </c>
      <c r="AO11" s="169" t="s">
        <v>906</v>
      </c>
      <c r="AP11" s="169" t="s">
        <v>905</v>
      </c>
      <c r="AQ11" s="169" t="s">
        <v>398</v>
      </c>
      <c r="AR11" s="169" t="s">
        <v>891</v>
      </c>
      <c r="AS11" s="169" t="s">
        <v>876</v>
      </c>
    </row>
    <row r="12" spans="1:45" s="177" customFormat="1" x14ac:dyDescent="0.2">
      <c r="A12" s="98"/>
      <c r="B12" s="98"/>
      <c r="C12" s="169"/>
      <c r="D12" s="169"/>
      <c r="E12" s="169"/>
      <c r="F12" s="642"/>
      <c r="G12" s="169"/>
      <c r="H12" s="169"/>
      <c r="I12" s="169"/>
      <c r="J12" s="169"/>
      <c r="K12" s="642"/>
      <c r="L12" s="169"/>
      <c r="M12" s="169"/>
      <c r="N12" s="626"/>
      <c r="O12" s="98"/>
      <c r="P12" s="98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626"/>
      <c r="AE12" s="98"/>
      <c r="AF12" s="98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</row>
    <row r="13" spans="1:45" s="177" customFormat="1" x14ac:dyDescent="0.2">
      <c r="A13" s="630">
        <v>1</v>
      </c>
      <c r="B13" s="245" t="s">
        <v>85</v>
      </c>
      <c r="C13" s="364">
        <f>'WP1 Light Inventory'!J206</f>
        <v>612</v>
      </c>
      <c r="D13" s="496">
        <f>'WP2 Current Light Rates'!E151</f>
        <v>6.34</v>
      </c>
      <c r="E13" s="496">
        <f>'BDJ-6 Combined Charges'!K216</f>
        <v>5.29</v>
      </c>
      <c r="F13" s="496">
        <f>+E13</f>
        <v>5.29</v>
      </c>
      <c r="G13" s="295">
        <f>(+D13*$C13*12)</f>
        <v>46560.959999999999</v>
      </c>
      <c r="H13" s="295">
        <f>(+E13*$C13*12)</f>
        <v>38849.760000000002</v>
      </c>
      <c r="I13" s="295">
        <f>(F13*$C13*12)</f>
        <v>38849.760000000002</v>
      </c>
      <c r="J13" s="295">
        <f>+H13-G13</f>
        <v>-7711.1999999999971</v>
      </c>
      <c r="K13" s="295">
        <f>+I13-G13</f>
        <v>-7711.1999999999971</v>
      </c>
      <c r="L13" s="36">
        <f>IF(+J13=0,"0%",J13/G13)</f>
        <v>-0.1656151419558359</v>
      </c>
      <c r="M13" s="36">
        <f>IF(+K13=0,"0%",K13/G13)</f>
        <v>-0.1656151419558359</v>
      </c>
      <c r="N13" s="627"/>
      <c r="O13" s="630">
        <v>1</v>
      </c>
      <c r="P13" s="245" t="s">
        <v>85</v>
      </c>
      <c r="Q13" s="364">
        <f t="shared" ref="Q13:Q14" si="1">C13</f>
        <v>612</v>
      </c>
      <c r="R13" s="496">
        <f>E13</f>
        <v>5.29</v>
      </c>
      <c r="S13" s="496">
        <f>F13</f>
        <v>5.29</v>
      </c>
      <c r="T13" s="496">
        <f>R13</f>
        <v>5.29</v>
      </c>
      <c r="U13" s="496">
        <f>+T13</f>
        <v>5.29</v>
      </c>
      <c r="V13" s="295">
        <f t="shared" ref="V13:Y13" si="2">(+R13*$Q13*12)</f>
        <v>38849.760000000002</v>
      </c>
      <c r="W13" s="295">
        <f t="shared" si="2"/>
        <v>38849.760000000002</v>
      </c>
      <c r="X13" s="295">
        <f t="shared" si="2"/>
        <v>38849.760000000002</v>
      </c>
      <c r="Y13" s="295">
        <f t="shared" si="2"/>
        <v>38849.760000000002</v>
      </c>
      <c r="Z13" s="295">
        <f>+X13-V13</f>
        <v>0</v>
      </c>
      <c r="AA13" s="295">
        <f>+Y13-W13</f>
        <v>0</v>
      </c>
      <c r="AB13" s="36" t="str">
        <f>IF(+Z13=0,"0%",Z13/V13)</f>
        <v>0%</v>
      </c>
      <c r="AC13" s="36" t="str">
        <f>IF(+AA13=0,"0%",AA13/W13)</f>
        <v>0%</v>
      </c>
      <c r="AD13" s="627"/>
      <c r="AE13" s="630">
        <v>1</v>
      </c>
      <c r="AF13" s="245" t="s">
        <v>85</v>
      </c>
      <c r="AG13" s="364"/>
      <c r="AH13" s="496"/>
      <c r="AI13" s="496"/>
      <c r="AJ13" s="496"/>
      <c r="AK13" s="496"/>
      <c r="AL13" s="295"/>
      <c r="AM13" s="295"/>
      <c r="AN13" s="295"/>
      <c r="AO13" s="295"/>
      <c r="AP13" s="295"/>
      <c r="AQ13" s="295"/>
      <c r="AR13" s="36"/>
      <c r="AS13" s="36"/>
    </row>
    <row r="14" spans="1:45" s="177" customFormat="1" x14ac:dyDescent="0.2">
      <c r="A14" s="630">
        <f t="shared" ref="A14:A19" si="3">+A13+1</f>
        <v>2</v>
      </c>
      <c r="B14" s="244" t="s">
        <v>86</v>
      </c>
      <c r="C14" s="364">
        <f>'WP1 Light Inventory'!J207</f>
        <v>340</v>
      </c>
      <c r="D14" s="496">
        <f>'WP2 Current Light Rates'!E152</f>
        <v>11.05</v>
      </c>
      <c r="E14" s="496">
        <f>'BDJ-6 Combined Charges'!K217</f>
        <v>8.32</v>
      </c>
      <c r="F14" s="496">
        <f>+E14</f>
        <v>8.32</v>
      </c>
      <c r="G14" s="295">
        <f>(+D14*$C14*12)</f>
        <v>45084.000000000007</v>
      </c>
      <c r="H14" s="295">
        <f>(+E14*$C14*12)</f>
        <v>33945.600000000006</v>
      </c>
      <c r="I14" s="295">
        <f>(F14*$C14*12)</f>
        <v>33945.600000000006</v>
      </c>
      <c r="J14" s="295">
        <f>+H14-G14</f>
        <v>-11138.400000000001</v>
      </c>
      <c r="K14" s="295">
        <f>+I14-G14</f>
        <v>-11138.400000000001</v>
      </c>
      <c r="L14" s="36">
        <f>IF(+J14=0,"0%",J14/G14)</f>
        <v>-0.24705882352941175</v>
      </c>
      <c r="M14" s="36">
        <f>IF(+K14=0,"0%",K14/G14)</f>
        <v>-0.24705882352941175</v>
      </c>
      <c r="N14" s="627"/>
      <c r="O14" s="630">
        <f t="shared" ref="O14:O19" si="4">+O13+1</f>
        <v>2</v>
      </c>
      <c r="P14" s="244" t="s">
        <v>86</v>
      </c>
      <c r="Q14" s="364">
        <f t="shared" si="1"/>
        <v>340</v>
      </c>
      <c r="R14" s="496">
        <f>E14</f>
        <v>8.32</v>
      </c>
      <c r="S14" s="496">
        <f>F14</f>
        <v>8.32</v>
      </c>
      <c r="T14" s="496">
        <f>R14</f>
        <v>8.32</v>
      </c>
      <c r="U14" s="496">
        <f>+T14</f>
        <v>8.32</v>
      </c>
      <c r="V14" s="295">
        <f t="shared" ref="V14" si="5">(+R14*$Q14*12)</f>
        <v>33945.600000000006</v>
      </c>
      <c r="W14" s="295">
        <f t="shared" ref="W14" si="6">(+S14*$Q14*12)</f>
        <v>33945.600000000006</v>
      </c>
      <c r="X14" s="295">
        <f t="shared" ref="X14" si="7">(+T14*$Q14*12)</f>
        <v>33945.600000000006</v>
      </c>
      <c r="Y14" s="295">
        <f t="shared" ref="Y14" si="8">(+U14*$Q14*12)</f>
        <v>33945.600000000006</v>
      </c>
      <c r="Z14" s="295">
        <f>+X14-V14</f>
        <v>0</v>
      </c>
      <c r="AA14" s="295">
        <f>+Y14-W14</f>
        <v>0</v>
      </c>
      <c r="AB14" s="36" t="str">
        <f>IF(+Z14=0,"0%",Z14/V14)</f>
        <v>0%</v>
      </c>
      <c r="AC14" s="36" t="str">
        <f>IF(+AA14=0,"0%",AA14/W14)</f>
        <v>0%</v>
      </c>
      <c r="AD14" s="627"/>
      <c r="AE14" s="630">
        <f t="shared" ref="AE14:AE19" si="9">+AE13+1</f>
        <v>2</v>
      </c>
      <c r="AF14" s="244" t="s">
        <v>86</v>
      </c>
      <c r="AG14" s="364"/>
      <c r="AH14" s="496"/>
      <c r="AI14" s="496"/>
      <c r="AJ14" s="496"/>
      <c r="AK14" s="496"/>
      <c r="AL14" s="295"/>
      <c r="AM14" s="295"/>
      <c r="AN14" s="295"/>
      <c r="AO14" s="295"/>
      <c r="AP14" s="295"/>
      <c r="AQ14" s="295"/>
      <c r="AR14" s="36"/>
      <c r="AS14" s="36"/>
    </row>
    <row r="15" spans="1:45" s="177" customFormat="1" x14ac:dyDescent="0.2">
      <c r="A15" s="630">
        <f t="shared" si="3"/>
        <v>3</v>
      </c>
      <c r="B15" s="245"/>
      <c r="C15" s="364"/>
      <c r="D15" s="496"/>
      <c r="E15" s="496"/>
      <c r="F15" s="496"/>
      <c r="G15" s="295"/>
      <c r="H15" s="295"/>
      <c r="I15" s="295"/>
      <c r="J15" s="295"/>
      <c r="K15" s="295"/>
      <c r="L15" s="36"/>
      <c r="M15" s="36"/>
      <c r="N15" s="627"/>
      <c r="O15" s="630">
        <f t="shared" si="4"/>
        <v>3</v>
      </c>
      <c r="P15" s="245"/>
      <c r="Q15" s="364"/>
      <c r="R15" s="496"/>
      <c r="S15" s="496"/>
      <c r="T15" s="496"/>
      <c r="U15" s="496"/>
      <c r="V15" s="295"/>
      <c r="W15" s="295"/>
      <c r="X15" s="295"/>
      <c r="Y15" s="295"/>
      <c r="Z15" s="295"/>
      <c r="AA15" s="295"/>
      <c r="AB15" s="36"/>
      <c r="AC15" s="36"/>
      <c r="AD15" s="627"/>
      <c r="AE15" s="630">
        <f t="shared" si="9"/>
        <v>3</v>
      </c>
      <c r="AF15" s="245"/>
      <c r="AG15" s="364"/>
      <c r="AH15" s="496"/>
      <c r="AI15" s="496"/>
      <c r="AJ15" s="496"/>
      <c r="AK15" s="496"/>
      <c r="AL15" s="295"/>
      <c r="AM15" s="295"/>
      <c r="AN15" s="295"/>
      <c r="AO15" s="295"/>
      <c r="AP15" s="295"/>
      <c r="AQ15" s="295"/>
      <c r="AR15" s="36"/>
      <c r="AS15" s="36"/>
    </row>
    <row r="16" spans="1:45" s="177" customFormat="1" x14ac:dyDescent="0.2">
      <c r="A16" s="630">
        <f t="shared" si="3"/>
        <v>4</v>
      </c>
      <c r="B16" s="245" t="s">
        <v>87</v>
      </c>
      <c r="C16" s="364">
        <f>'WP1 Light Inventory'!J210</f>
        <v>156</v>
      </c>
      <c r="D16" s="496">
        <f>'WP2 Current Light Rates'!E196</f>
        <v>11.05</v>
      </c>
      <c r="E16" s="496">
        <f>'BDJ-6 Combined Charges'!K219</f>
        <v>8.32</v>
      </c>
      <c r="F16" s="496">
        <f>+E16</f>
        <v>8.32</v>
      </c>
      <c r="G16" s="295">
        <f>(+D16*$C16*12)</f>
        <v>20685.600000000002</v>
      </c>
      <c r="H16" s="295">
        <f>(+E16*$C16*12)</f>
        <v>15575.04</v>
      </c>
      <c r="I16" s="295">
        <f>(F16*$C16*12)</f>
        <v>15575.04</v>
      </c>
      <c r="J16" s="295">
        <f>+H16-G16</f>
        <v>-5110.5600000000013</v>
      </c>
      <c r="K16" s="295">
        <f>+I16-G16</f>
        <v>-5110.5600000000013</v>
      </c>
      <c r="L16" s="36">
        <f>IF(+J16=0,"0%",J16/G16)</f>
        <v>-0.2470588235294118</v>
      </c>
      <c r="M16" s="36">
        <f>IF(+K16=0,"0%",K16/G16)</f>
        <v>-0.2470588235294118</v>
      </c>
      <c r="N16" s="627"/>
      <c r="O16" s="630">
        <f t="shared" si="4"/>
        <v>4</v>
      </c>
      <c r="P16" s="245" t="s">
        <v>87</v>
      </c>
      <c r="Q16" s="364">
        <f>C16</f>
        <v>156</v>
      </c>
      <c r="R16" s="496">
        <f>E16</f>
        <v>8.32</v>
      </c>
      <c r="S16" s="496">
        <f>F16</f>
        <v>8.32</v>
      </c>
      <c r="T16" s="496">
        <f>R16</f>
        <v>8.32</v>
      </c>
      <c r="U16" s="496">
        <f>+T16</f>
        <v>8.32</v>
      </c>
      <c r="V16" s="295">
        <f t="shared" ref="V16" si="10">(+R16*$Q16*12)</f>
        <v>15575.04</v>
      </c>
      <c r="W16" s="295">
        <f t="shared" ref="W16" si="11">(+S16*$Q16*12)</f>
        <v>15575.04</v>
      </c>
      <c r="X16" s="295">
        <f t="shared" ref="X16" si="12">(+T16*$Q16*12)</f>
        <v>15575.04</v>
      </c>
      <c r="Y16" s="295">
        <f t="shared" ref="Y16" si="13">(+U16*$Q16*12)</f>
        <v>15575.04</v>
      </c>
      <c r="Z16" s="295">
        <f>+X16-V16</f>
        <v>0</v>
      </c>
      <c r="AA16" s="295">
        <f>+Y16-W16</f>
        <v>0</v>
      </c>
      <c r="AB16" s="36" t="str">
        <f>IF(+Z16=0,"0%",Z16/V16)</f>
        <v>0%</v>
      </c>
      <c r="AC16" s="36" t="str">
        <f>IF(+AA16=0,"0%",AA16/W16)</f>
        <v>0%</v>
      </c>
      <c r="AD16" s="627"/>
      <c r="AE16" s="630">
        <f t="shared" si="9"/>
        <v>4</v>
      </c>
      <c r="AF16" s="245" t="s">
        <v>87</v>
      </c>
      <c r="AG16" s="364"/>
      <c r="AH16" s="496"/>
      <c r="AI16" s="496"/>
      <c r="AJ16" s="496"/>
      <c r="AK16" s="496"/>
      <c r="AL16" s="295"/>
      <c r="AM16" s="295"/>
      <c r="AN16" s="295"/>
      <c r="AO16" s="295"/>
      <c r="AP16" s="295"/>
      <c r="AQ16" s="295"/>
      <c r="AR16" s="36"/>
      <c r="AS16" s="36"/>
    </row>
    <row r="17" spans="1:45" s="177" customFormat="1" x14ac:dyDescent="0.2">
      <c r="A17" s="630">
        <f t="shared" si="3"/>
        <v>5</v>
      </c>
      <c r="B17" s="244"/>
      <c r="C17" s="244"/>
      <c r="D17" s="496"/>
      <c r="E17" s="496"/>
      <c r="F17" s="496"/>
      <c r="G17" s="496"/>
      <c r="H17" s="496"/>
      <c r="I17" s="496"/>
      <c r="J17" s="496"/>
      <c r="K17" s="496"/>
      <c r="L17" s="247"/>
      <c r="M17" s="247"/>
      <c r="N17" s="627"/>
      <c r="O17" s="630">
        <f t="shared" si="4"/>
        <v>5</v>
      </c>
      <c r="P17" s="244"/>
      <c r="Q17" s="244"/>
      <c r="R17" s="496"/>
      <c r="S17" s="496"/>
      <c r="T17" s="496"/>
      <c r="U17" s="496"/>
      <c r="V17" s="496"/>
      <c r="W17" s="496"/>
      <c r="X17" s="496"/>
      <c r="Y17" s="496"/>
      <c r="Z17" s="247"/>
      <c r="AA17" s="496"/>
      <c r="AB17" s="247"/>
      <c r="AC17" s="247"/>
      <c r="AD17" s="627"/>
      <c r="AE17" s="630">
        <f t="shared" si="9"/>
        <v>5</v>
      </c>
      <c r="AF17" s="244"/>
      <c r="AG17" s="244"/>
      <c r="AH17" s="496"/>
      <c r="AI17" s="496"/>
      <c r="AJ17" s="496"/>
      <c r="AK17" s="496"/>
      <c r="AL17" s="496"/>
      <c r="AM17" s="496"/>
      <c r="AN17" s="496"/>
      <c r="AO17" s="496"/>
      <c r="AP17" s="247"/>
      <c r="AQ17" s="496"/>
      <c r="AR17" s="247"/>
      <c r="AS17" s="247"/>
    </row>
    <row r="18" spans="1:45" s="177" customFormat="1" ht="10.8" thickBot="1" x14ac:dyDescent="0.25">
      <c r="A18" s="630">
        <f t="shared" si="3"/>
        <v>6</v>
      </c>
      <c r="B18" s="109" t="s">
        <v>974</v>
      </c>
      <c r="C18" s="109">
        <f>C13</f>
        <v>612</v>
      </c>
      <c r="D18" s="534"/>
      <c r="E18" s="534"/>
      <c r="F18" s="534"/>
      <c r="G18" s="147">
        <f t="shared" ref="G18:K18" si="14">G13</f>
        <v>46560.959999999999</v>
      </c>
      <c r="H18" s="147">
        <f t="shared" si="14"/>
        <v>38849.760000000002</v>
      </c>
      <c r="I18" s="147">
        <f t="shared" si="14"/>
        <v>38849.760000000002</v>
      </c>
      <c r="J18" s="147">
        <f t="shared" si="14"/>
        <v>-7711.1999999999971</v>
      </c>
      <c r="K18" s="147">
        <f t="shared" si="14"/>
        <v>-7711.1999999999971</v>
      </c>
      <c r="L18" s="38">
        <f>IF(+J18=0,"0%",J18/G18)</f>
        <v>-0.1656151419558359</v>
      </c>
      <c r="M18" s="38">
        <f>IF(+K18=0,"0%",K18/G18)</f>
        <v>-0.1656151419558359</v>
      </c>
      <c r="N18" s="627"/>
      <c r="O18" s="630">
        <f t="shared" si="4"/>
        <v>6</v>
      </c>
      <c r="P18" s="109" t="s">
        <v>974</v>
      </c>
      <c r="Q18" s="109">
        <f>Q13</f>
        <v>612</v>
      </c>
      <c r="R18" s="534"/>
      <c r="S18" s="534"/>
      <c r="T18" s="534"/>
      <c r="U18" s="534"/>
      <c r="V18" s="147">
        <f t="shared" ref="V18:AA18" si="15">V13</f>
        <v>38849.760000000002</v>
      </c>
      <c r="W18" s="147">
        <f t="shared" si="15"/>
        <v>38849.760000000002</v>
      </c>
      <c r="X18" s="147">
        <f t="shared" si="15"/>
        <v>38849.760000000002</v>
      </c>
      <c r="Y18" s="147">
        <f t="shared" si="15"/>
        <v>38849.760000000002</v>
      </c>
      <c r="Z18" s="147">
        <f t="shared" si="15"/>
        <v>0</v>
      </c>
      <c r="AA18" s="147">
        <f t="shared" si="15"/>
        <v>0</v>
      </c>
      <c r="AB18" s="38" t="str">
        <f>IF(+Z18=0,"0%",Z18/V18)</f>
        <v>0%</v>
      </c>
      <c r="AC18" s="38" t="str">
        <f>IF(+AA18=0,"0%",AA18/W18)</f>
        <v>0%</v>
      </c>
      <c r="AD18" s="627"/>
      <c r="AE18" s="630">
        <f t="shared" si="9"/>
        <v>6</v>
      </c>
      <c r="AF18" s="109" t="s">
        <v>974</v>
      </c>
      <c r="AG18" s="109"/>
      <c r="AH18" s="534"/>
      <c r="AI18" s="534"/>
      <c r="AJ18" s="534"/>
      <c r="AK18" s="534"/>
      <c r="AL18" s="147"/>
      <c r="AM18" s="147"/>
      <c r="AN18" s="147"/>
      <c r="AO18" s="147"/>
      <c r="AP18" s="147"/>
      <c r="AQ18" s="147"/>
      <c r="AR18" s="38"/>
      <c r="AS18" s="38"/>
    </row>
    <row r="19" spans="1:45" s="177" customFormat="1" ht="11.4" thickTop="1" thickBot="1" x14ac:dyDescent="0.25">
      <c r="A19" s="630">
        <f t="shared" si="3"/>
        <v>7</v>
      </c>
      <c r="B19" s="109" t="s">
        <v>975</v>
      </c>
      <c r="C19" s="109">
        <f>SUM(C14,C16)</f>
        <v>496</v>
      </c>
      <c r="D19" s="534"/>
      <c r="E19" s="534"/>
      <c r="F19" s="534"/>
      <c r="G19" s="147">
        <f t="shared" ref="G19:K19" si="16">SUM(G14,G16)</f>
        <v>65769.600000000006</v>
      </c>
      <c r="H19" s="147">
        <f t="shared" si="16"/>
        <v>49520.640000000007</v>
      </c>
      <c r="I19" s="147">
        <f t="shared" si="16"/>
        <v>49520.640000000007</v>
      </c>
      <c r="J19" s="147">
        <f t="shared" si="16"/>
        <v>-16248.960000000003</v>
      </c>
      <c r="K19" s="147">
        <f t="shared" si="16"/>
        <v>-16248.960000000003</v>
      </c>
      <c r="L19" s="278">
        <f>IF(+J19=0,"0%",J19/G19)</f>
        <v>-0.24705882352941178</v>
      </c>
      <c r="M19" s="278">
        <f>IF(+K19=0,"0%",K19/G19)</f>
        <v>-0.24705882352941178</v>
      </c>
      <c r="N19" s="627"/>
      <c r="O19" s="630">
        <f t="shared" si="4"/>
        <v>7</v>
      </c>
      <c r="P19" s="109" t="s">
        <v>975</v>
      </c>
      <c r="Q19" s="109">
        <f>SUM(Q14,Q16)</f>
        <v>496</v>
      </c>
      <c r="R19" s="534"/>
      <c r="S19" s="534"/>
      <c r="T19" s="534"/>
      <c r="U19" s="534"/>
      <c r="V19" s="147">
        <f t="shared" ref="V19:AA19" si="17">SUM(V14,V16)</f>
        <v>49520.640000000007</v>
      </c>
      <c r="W19" s="147">
        <f t="shared" si="17"/>
        <v>49520.640000000007</v>
      </c>
      <c r="X19" s="147">
        <f t="shared" si="17"/>
        <v>49520.640000000007</v>
      </c>
      <c r="Y19" s="147">
        <f t="shared" si="17"/>
        <v>49520.640000000007</v>
      </c>
      <c r="Z19" s="147">
        <f t="shared" si="17"/>
        <v>0</v>
      </c>
      <c r="AA19" s="147">
        <f t="shared" si="17"/>
        <v>0</v>
      </c>
      <c r="AB19" s="278" t="str">
        <f>IF(+Z19=0,"0%",Z19/V19)</f>
        <v>0%</v>
      </c>
      <c r="AC19" s="278" t="str">
        <f>IF(+AA19=0,"0%",AA19/W19)</f>
        <v>0%</v>
      </c>
      <c r="AD19" s="627"/>
      <c r="AE19" s="630">
        <f t="shared" si="9"/>
        <v>7</v>
      </c>
      <c r="AF19" s="109" t="s">
        <v>975</v>
      </c>
      <c r="AG19" s="109"/>
      <c r="AH19" s="534"/>
      <c r="AI19" s="534"/>
      <c r="AJ19" s="534"/>
      <c r="AK19" s="534"/>
      <c r="AL19" s="147"/>
      <c r="AM19" s="147"/>
      <c r="AN19" s="147"/>
      <c r="AO19" s="147"/>
      <c r="AP19" s="147"/>
      <c r="AQ19" s="147"/>
      <c r="AR19" s="278"/>
      <c r="AS19" s="278"/>
    </row>
    <row r="20" spans="1:45" ht="10.8" thickTop="1" x14ac:dyDescent="0.2"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</row>
    <row r="21" spans="1:45" x14ac:dyDescent="0.2"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</row>
    <row r="22" spans="1:45" ht="13.8" x14ac:dyDescent="0.3">
      <c r="B22" s="633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</row>
  </sheetData>
  <mergeCells count="21">
    <mergeCell ref="H8:M8"/>
    <mergeCell ref="A1:M1"/>
    <mergeCell ref="A2:M2"/>
    <mergeCell ref="A4:M4"/>
    <mergeCell ref="A5:M5"/>
    <mergeCell ref="A3:M3"/>
    <mergeCell ref="A6:M6"/>
    <mergeCell ref="X8:AC8"/>
    <mergeCell ref="O1:AC1"/>
    <mergeCell ref="O2:AC2"/>
    <mergeCell ref="O3:AC3"/>
    <mergeCell ref="O4:AC4"/>
    <mergeCell ref="O5:AC5"/>
    <mergeCell ref="O6:AC6"/>
    <mergeCell ref="AN8:AS8"/>
    <mergeCell ref="AE1:AS1"/>
    <mergeCell ref="AE2:AS2"/>
    <mergeCell ref="AE3:AS3"/>
    <mergeCell ref="AE4:AS4"/>
    <mergeCell ref="AE5:AS5"/>
    <mergeCell ref="AE6:AS6"/>
  </mergeCells>
  <printOptions horizontalCentered="1"/>
  <pageMargins left="0.25" right="0.25" top="1" bottom="1" header="0.5" footer="0.5"/>
  <pageSetup scale="86" fitToWidth="3" fitToHeight="0" orientation="landscape" r:id="rId1"/>
  <headerFooter alignWithMargins="0">
    <oddFooter>&amp;R&amp;"Times New Roman,Regular"&amp;F
&amp;A
&amp;P of &amp;N</oddFooter>
  </headerFooter>
  <colBreaks count="1" manualBreakCount="1">
    <brk id="13" max="1048575" man="1"/>
  </colBreaks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V19"/>
  <sheetViews>
    <sheetView zoomScaleNormal="100" workbookViewId="0">
      <selection activeCell="G13" sqref="G13"/>
    </sheetView>
  </sheetViews>
  <sheetFormatPr defaultColWidth="9.109375" defaultRowHeight="10.199999999999999" x14ac:dyDescent="0.2"/>
  <cols>
    <col min="1" max="1" width="9.33203125" style="177" bestFit="1" customWidth="1"/>
    <col min="2" max="2" width="9.109375" style="177"/>
    <col min="3" max="3" width="11.33203125" style="177" customWidth="1"/>
    <col min="4" max="4" width="11.109375" style="177" bestFit="1" customWidth="1"/>
    <col min="5" max="5" width="8.5546875" style="177" bestFit="1" customWidth="1"/>
    <col min="6" max="6" width="10.33203125" style="177" customWidth="1"/>
    <col min="7" max="7" width="12.5546875" style="177" customWidth="1"/>
    <col min="8" max="8" width="10.44140625" style="177" bestFit="1" customWidth="1"/>
    <col min="9" max="9" width="10.88671875" style="177" customWidth="1"/>
    <col min="10" max="10" width="11.33203125" style="177" customWidth="1"/>
    <col min="11" max="11" width="8.44140625" style="177" bestFit="1" customWidth="1"/>
    <col min="12" max="12" width="11.44140625" style="177" customWidth="1"/>
    <col min="13" max="13" width="7.109375" style="177" bestFit="1" customWidth="1"/>
    <col min="14" max="14" width="8.88671875" style="177" customWidth="1"/>
    <col min="15" max="15" width="0.88671875" style="177" customWidth="1"/>
    <col min="16" max="16" width="9.33203125" style="177" bestFit="1" customWidth="1"/>
    <col min="17" max="17" width="8.33203125" style="177" bestFit="1" customWidth="1"/>
    <col min="18" max="18" width="9.33203125" style="177" bestFit="1" customWidth="1"/>
    <col min="19" max="19" width="9.109375" style="177"/>
    <col min="20" max="20" width="9.109375" style="177" bestFit="1" customWidth="1"/>
    <col min="21" max="21" width="13.33203125" style="177" bestFit="1" customWidth="1"/>
    <col min="22" max="22" width="9.33203125" style="177" bestFit="1" customWidth="1"/>
    <col min="23" max="23" width="11.6640625" style="177" bestFit="1" customWidth="1"/>
    <col min="24" max="24" width="10.44140625" style="177" bestFit="1" customWidth="1"/>
    <col min="25" max="25" width="10.6640625" style="177" customWidth="1"/>
    <col min="26" max="26" width="9.33203125" style="177" bestFit="1" customWidth="1"/>
    <col min="27" max="27" width="11" style="177" customWidth="1"/>
    <col min="28" max="28" width="8" style="177" bestFit="1" customWidth="1"/>
    <col min="29" max="29" width="11.33203125" style="177" customWidth="1"/>
    <col min="30" max="30" width="8.6640625" style="177" bestFit="1" customWidth="1"/>
    <col min="31" max="31" width="8.88671875" style="177" bestFit="1" customWidth="1"/>
    <col min="32" max="32" width="0.88671875" style="177" customWidth="1"/>
    <col min="33" max="33" width="9.33203125" style="177" bestFit="1" customWidth="1"/>
    <col min="34" max="34" width="8.33203125" style="177" bestFit="1" customWidth="1"/>
    <col min="35" max="36" width="9.109375" style="177"/>
    <col min="37" max="37" width="8" style="177" bestFit="1" customWidth="1"/>
    <col min="38" max="38" width="10.5546875" style="177" customWidth="1"/>
    <col min="39" max="39" width="9.109375" style="177"/>
    <col min="40" max="40" width="10" style="177" customWidth="1"/>
    <col min="41" max="41" width="10.33203125" style="177" bestFit="1" customWidth="1"/>
    <col min="42" max="42" width="11" style="177" customWidth="1"/>
    <col min="43" max="43" width="9.109375" style="177"/>
    <col min="44" max="44" width="10.5546875" style="177" customWidth="1"/>
    <col min="45" max="45" width="7.88671875" style="177" bestFit="1" customWidth="1"/>
    <col min="46" max="46" width="11.5546875" style="177" customWidth="1"/>
    <col min="47" max="48" width="8.6640625" style="177" bestFit="1" customWidth="1"/>
    <col min="49" max="16384" width="9.109375" style="177"/>
  </cols>
  <sheetData>
    <row r="1" spans="1:48" x14ac:dyDescent="0.2">
      <c r="A1" s="736" t="str">
        <f>'Schedules 55E &amp; 56E'!A1:O1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P1" s="736" t="str">
        <f>A1</f>
        <v>Puget Sound Energy</v>
      </c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G1" s="736" t="str">
        <f>P1</f>
        <v>Puget Sound Energy</v>
      </c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</row>
    <row r="2" spans="1:48" x14ac:dyDescent="0.2">
      <c r="A2" s="736" t="str">
        <f>'Schedules 55E &amp; 56E'!A2:O2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P2" s="736" t="str">
        <f t="shared" ref="P2:P5" si="0">A2</f>
        <v>ProForma Proposed Revenue</v>
      </c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G2" s="736" t="str">
        <f t="shared" ref="AG2:AG5" si="1">P2</f>
        <v>ProForma Proposed Revenue</v>
      </c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</row>
    <row r="3" spans="1:48" x14ac:dyDescent="0.2">
      <c r="A3" s="736" t="str">
        <f>'Schedules 55E &amp; 56E'!A3:O3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P3" s="736" t="str">
        <f t="shared" si="0"/>
        <v>2022 General Rate Case (GRC)</v>
      </c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G3" s="736" t="str">
        <f t="shared" si="1"/>
        <v>2022 General Rate Case (GRC)</v>
      </c>
      <c r="AH3" s="736"/>
      <c r="AI3" s="736"/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</row>
    <row r="4" spans="1:48" x14ac:dyDescent="0.2">
      <c r="A4" s="736" t="str">
        <f>'Schedules 55E &amp; 56E'!A4:O4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P4" s="736" t="str">
        <f t="shared" si="0"/>
        <v>Test Year Ending June 30, 2021</v>
      </c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G4" s="736" t="str">
        <f t="shared" si="1"/>
        <v>Test Year Ending June 30, 2021</v>
      </c>
      <c r="AH4" s="736"/>
      <c r="AI4" s="736"/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</row>
    <row r="5" spans="1:48" x14ac:dyDescent="0.2">
      <c r="A5" s="736" t="s">
        <v>480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P5" s="736" t="str">
        <f t="shared" si="0"/>
        <v>Schedule 57 - Continuous Street Lighting Service</v>
      </c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G5" s="736" t="str">
        <f t="shared" si="1"/>
        <v>Schedule 57 - Continuous Street Lighting Service</v>
      </c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</row>
    <row r="6" spans="1:48" x14ac:dyDescent="0.2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P6" s="736" t="s">
        <v>882</v>
      </c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G6" s="736" t="s">
        <v>881</v>
      </c>
      <c r="AH6" s="736"/>
      <c r="AI6" s="736"/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</row>
    <row r="7" spans="1:48" x14ac:dyDescent="0.2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</row>
    <row r="8" spans="1:48" ht="14.4" x14ac:dyDescent="0.3">
      <c r="I8" s="765" t="s">
        <v>653</v>
      </c>
      <c r="J8" s="782"/>
      <c r="K8" s="782"/>
      <c r="L8" s="782"/>
      <c r="M8" s="782"/>
      <c r="N8" s="783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765" t="s">
        <v>653</v>
      </c>
      <c r="AA8" s="782"/>
      <c r="AB8" s="782"/>
      <c r="AC8" s="782"/>
      <c r="AD8" s="782"/>
      <c r="AE8" s="783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765" t="s">
        <v>653</v>
      </c>
      <c r="AR8" s="782"/>
      <c r="AS8" s="782"/>
      <c r="AT8" s="782"/>
      <c r="AU8" s="782"/>
      <c r="AV8" s="783"/>
    </row>
    <row r="9" spans="1:48" s="574" customFormat="1" ht="96.75" customHeight="1" x14ac:dyDescent="0.2">
      <c r="A9" s="632" t="str">
        <f>'Schedule 50E'!A9</f>
        <v>Line No.</v>
      </c>
      <c r="B9" s="632" t="str">
        <f>'Schedule 50E'!B9</f>
        <v>Schedule</v>
      </c>
      <c r="C9" s="631" t="s">
        <v>902</v>
      </c>
      <c r="D9" s="632" t="str">
        <f>'Schedule 50E'!D9</f>
        <v>Lamp Type</v>
      </c>
      <c r="E9" s="374" t="str">
        <f>'Schedule 50E'!F9</f>
        <v>Base Rates
Effective
10-1-2021</v>
      </c>
      <c r="F9" s="374" t="str">
        <f>'Schedule 50E'!G9</f>
        <v>Proposed Lamp Charge (Base)</v>
      </c>
      <c r="G9" s="374" t="str">
        <f>'Schedule 50E'!H9</f>
        <v>TOTAL Proposed Charge (Base + 141COL + 141N + 141R + 141A)</v>
      </c>
      <c r="H9" s="374" t="str">
        <f>'Schedule 50E'!I9</f>
        <v>Current Annual Rate Revenue (Base)</v>
      </c>
      <c r="I9" s="374" t="str">
        <f>'Schedule 50E'!J9</f>
        <v>Annual Revenue (Base)</v>
      </c>
      <c r="J9" s="374" t="str">
        <f>'Schedule 50E'!K9</f>
        <v>TOTAL Annual Revenue (Base + 141COL + 141N + 141R + 141A)</v>
      </c>
      <c r="K9" s="374" t="str">
        <f>'Schedule 50E'!L9</f>
        <v>Revenue Change (Base)</v>
      </c>
      <c r="L9" s="374" t="str">
        <f>'Schedule 50E'!M9</f>
        <v>TOTAL Revenue Change (Base + 141COL + 141N + 141R + 141A)</v>
      </c>
      <c r="M9" s="374" t="str">
        <f>'Schedule 50E'!N9</f>
        <v>Base Change %</v>
      </c>
      <c r="N9" s="374" t="str">
        <f>'Schedule 50E'!O9</f>
        <v>TOTAL Overall Change %</v>
      </c>
      <c r="O9" s="626"/>
      <c r="P9" s="632" t="s">
        <v>1</v>
      </c>
      <c r="Q9" s="632" t="s">
        <v>53</v>
      </c>
      <c r="R9" s="631" t="str">
        <f>C9</f>
        <v>Monthly Test Year Connected Watts</v>
      </c>
      <c r="S9" s="632" t="s">
        <v>67</v>
      </c>
      <c r="T9" s="374" t="s">
        <v>888</v>
      </c>
      <c r="U9" s="374" t="s">
        <v>1194</v>
      </c>
      <c r="V9" s="374" t="s">
        <v>880</v>
      </c>
      <c r="W9" s="374" t="s">
        <v>1191</v>
      </c>
      <c r="X9" s="631" t="s">
        <v>886</v>
      </c>
      <c r="Y9" s="374" t="s">
        <v>1195</v>
      </c>
      <c r="Z9" s="632" t="s">
        <v>879</v>
      </c>
      <c r="AA9" s="374" t="s">
        <v>1192</v>
      </c>
      <c r="AB9" s="631" t="s">
        <v>878</v>
      </c>
      <c r="AC9" s="374" t="s">
        <v>1193</v>
      </c>
      <c r="AD9" s="81" t="s">
        <v>887</v>
      </c>
      <c r="AE9" s="374" t="s">
        <v>958</v>
      </c>
      <c r="AF9" s="626"/>
      <c r="AG9" s="632" t="s">
        <v>1</v>
      </c>
      <c r="AH9" s="632" t="s">
        <v>53</v>
      </c>
      <c r="AI9" s="631" t="str">
        <f>R9</f>
        <v>Monthly Test Year Connected Watts</v>
      </c>
      <c r="AJ9" s="632" t="s">
        <v>67</v>
      </c>
      <c r="AK9" s="374" t="s">
        <v>885</v>
      </c>
      <c r="AL9" s="374" t="s">
        <v>1197</v>
      </c>
      <c r="AM9" s="374" t="str">
        <f>V9</f>
        <v>Proposed Lamp Charge (Base)</v>
      </c>
      <c r="AN9" s="374" t="str">
        <f t="shared" ref="AN9:AV9" si="2">W9</f>
        <v>TOTAL Proposed Charge (Base + 141COL + 141N + 141R + 141A)</v>
      </c>
      <c r="AO9" s="374" t="str">
        <f t="shared" si="2"/>
        <v>Current Annual Rate Revenue (Base)</v>
      </c>
      <c r="AP9" s="374" t="str">
        <f t="shared" si="2"/>
        <v>TOTAL Current Annual Rate Revenue (Base + 141COL + 141N + 141R + 141A)</v>
      </c>
      <c r="AQ9" s="374" t="str">
        <f t="shared" si="2"/>
        <v>Annual Revenue (Base)</v>
      </c>
      <c r="AR9" s="374" t="str">
        <f t="shared" si="2"/>
        <v>TOTAL Annual Revenue (Base + 141COL + 141N + 141R + 141A)</v>
      </c>
      <c r="AS9" s="374" t="str">
        <f t="shared" si="2"/>
        <v>Revenue Change (Base)</v>
      </c>
      <c r="AT9" s="374" t="str">
        <f t="shared" si="2"/>
        <v>TOTAL Revenue Change (Base + 141COL + 141N + 141R + 141A)</v>
      </c>
      <c r="AU9" s="374" t="str">
        <f t="shared" si="2"/>
        <v>Base Change %</v>
      </c>
      <c r="AV9" s="374" t="str">
        <f t="shared" si="2"/>
        <v>TOTAL Overall Change %</v>
      </c>
    </row>
    <row r="10" spans="1:48" x14ac:dyDescent="0.2">
      <c r="A10" s="98"/>
      <c r="B10" s="98" t="s">
        <v>3</v>
      </c>
      <c r="C10" s="169" t="s">
        <v>4</v>
      </c>
      <c r="D10" s="169" t="s">
        <v>5</v>
      </c>
      <c r="E10" s="169" t="s">
        <v>6</v>
      </c>
      <c r="F10" s="169" t="s">
        <v>390</v>
      </c>
      <c r="G10" s="169" t="s">
        <v>21</v>
      </c>
      <c r="H10" s="169" t="s">
        <v>8</v>
      </c>
      <c r="I10" s="169" t="s">
        <v>9</v>
      </c>
      <c r="J10" s="169" t="s">
        <v>22</v>
      </c>
      <c r="K10" s="169" t="s">
        <v>23</v>
      </c>
      <c r="L10" s="169" t="s">
        <v>10</v>
      </c>
      <c r="M10" s="169" t="s">
        <v>11</v>
      </c>
      <c r="N10" s="169" t="s">
        <v>12</v>
      </c>
      <c r="O10" s="626"/>
      <c r="P10" s="98"/>
      <c r="Q10" s="98" t="s">
        <v>3</v>
      </c>
      <c r="R10" s="169" t="s">
        <v>4</v>
      </c>
      <c r="S10" s="169" t="s">
        <v>5</v>
      </c>
      <c r="T10" s="169" t="s">
        <v>6</v>
      </c>
      <c r="U10" s="169" t="s">
        <v>390</v>
      </c>
      <c r="V10" s="169" t="s">
        <v>21</v>
      </c>
      <c r="W10" s="169" t="s">
        <v>8</v>
      </c>
      <c r="X10" s="169" t="s">
        <v>9</v>
      </c>
      <c r="Y10" s="169" t="s">
        <v>22</v>
      </c>
      <c r="Z10" s="169" t="s">
        <v>23</v>
      </c>
      <c r="AA10" s="169" t="s">
        <v>10</v>
      </c>
      <c r="AB10" s="169" t="s">
        <v>11</v>
      </c>
      <c r="AC10" s="169" t="s">
        <v>12</v>
      </c>
      <c r="AD10" s="169" t="s">
        <v>13</v>
      </c>
      <c r="AE10" s="169" t="s">
        <v>14</v>
      </c>
      <c r="AF10" s="626"/>
      <c r="AG10" s="98"/>
      <c r="AH10" s="98" t="s">
        <v>3</v>
      </c>
      <c r="AI10" s="169" t="s">
        <v>4</v>
      </c>
      <c r="AJ10" s="169" t="s">
        <v>5</v>
      </c>
      <c r="AK10" s="169" t="s">
        <v>6</v>
      </c>
      <c r="AL10" s="169" t="s">
        <v>390</v>
      </c>
      <c r="AM10" s="169" t="s">
        <v>21</v>
      </c>
      <c r="AN10" s="169" t="s">
        <v>8</v>
      </c>
      <c r="AO10" s="169" t="s">
        <v>9</v>
      </c>
      <c r="AP10" s="169" t="s">
        <v>22</v>
      </c>
      <c r="AQ10" s="169" t="s">
        <v>23</v>
      </c>
      <c r="AR10" s="169" t="s">
        <v>10</v>
      </c>
      <c r="AS10" s="169" t="s">
        <v>11</v>
      </c>
      <c r="AT10" s="169" t="s">
        <v>12</v>
      </c>
      <c r="AU10" s="169" t="s">
        <v>13</v>
      </c>
      <c r="AV10" s="169" t="s">
        <v>14</v>
      </c>
    </row>
    <row r="11" spans="1:48" s="627" customFormat="1" ht="20.399999999999999" x14ac:dyDescent="0.2">
      <c r="A11" s="98" t="s">
        <v>396</v>
      </c>
      <c r="B11" s="98"/>
      <c r="C11" s="169" t="s">
        <v>397</v>
      </c>
      <c r="D11" s="169" t="s">
        <v>397</v>
      </c>
      <c r="E11" s="169" t="s">
        <v>397</v>
      </c>
      <c r="F11" s="169" t="s">
        <v>397</v>
      </c>
      <c r="G11" s="169" t="s">
        <v>397</v>
      </c>
      <c r="H11" s="169" t="s">
        <v>489</v>
      </c>
      <c r="I11" s="169" t="s">
        <v>415</v>
      </c>
      <c r="J11" s="169" t="s">
        <v>490</v>
      </c>
      <c r="K11" s="169" t="s">
        <v>486</v>
      </c>
      <c r="L11" s="169" t="s">
        <v>491</v>
      </c>
      <c r="M11" s="169" t="s">
        <v>488</v>
      </c>
      <c r="N11" s="169" t="s">
        <v>399</v>
      </c>
      <c r="O11" s="626"/>
      <c r="P11" s="98" t="s">
        <v>396</v>
      </c>
      <c r="Q11" s="98"/>
      <c r="R11" s="169" t="s">
        <v>397</v>
      </c>
      <c r="S11" s="169" t="s">
        <v>397</v>
      </c>
      <c r="T11" s="169" t="s">
        <v>397</v>
      </c>
      <c r="U11" s="169" t="s">
        <v>397</v>
      </c>
      <c r="V11" s="169" t="s">
        <v>397</v>
      </c>
      <c r="W11" s="169" t="s">
        <v>397</v>
      </c>
      <c r="X11" s="169" t="s">
        <v>489</v>
      </c>
      <c r="Y11" s="169" t="s">
        <v>903</v>
      </c>
      <c r="Z11" s="169" t="s">
        <v>490</v>
      </c>
      <c r="AA11" s="169" t="s">
        <v>904</v>
      </c>
      <c r="AB11" s="169" t="s">
        <v>398</v>
      </c>
      <c r="AC11" s="169" t="s">
        <v>493</v>
      </c>
      <c r="AD11" s="169" t="s">
        <v>876</v>
      </c>
      <c r="AE11" s="169" t="s">
        <v>873</v>
      </c>
      <c r="AF11" s="626"/>
      <c r="AG11" s="98" t="s">
        <v>396</v>
      </c>
      <c r="AH11" s="98"/>
      <c r="AI11" s="169" t="s">
        <v>397</v>
      </c>
      <c r="AJ11" s="169" t="s">
        <v>397</v>
      </c>
      <c r="AK11" s="169" t="s">
        <v>397</v>
      </c>
      <c r="AL11" s="169" t="s">
        <v>397</v>
      </c>
      <c r="AM11" s="169" t="s">
        <v>397</v>
      </c>
      <c r="AN11" s="169" t="s">
        <v>397</v>
      </c>
      <c r="AO11" s="169" t="s">
        <v>489</v>
      </c>
      <c r="AP11" s="169" t="s">
        <v>903</v>
      </c>
      <c r="AQ11" s="169" t="s">
        <v>490</v>
      </c>
      <c r="AR11" s="169" t="s">
        <v>904</v>
      </c>
      <c r="AS11" s="169" t="s">
        <v>398</v>
      </c>
      <c r="AT11" s="169" t="s">
        <v>493</v>
      </c>
      <c r="AU11" s="169" t="s">
        <v>876</v>
      </c>
      <c r="AV11" s="169" t="s">
        <v>873</v>
      </c>
    </row>
    <row r="12" spans="1:48" x14ac:dyDescent="0.2">
      <c r="A12" s="98"/>
      <c r="B12" s="9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627"/>
      <c r="N12" s="627"/>
      <c r="O12" s="626"/>
      <c r="P12" s="98"/>
      <c r="Q12" s="98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627"/>
      <c r="AE12" s="627"/>
      <c r="AF12" s="626"/>
      <c r="AG12" s="98"/>
      <c r="AH12" s="98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627"/>
      <c r="AV12" s="627"/>
    </row>
    <row r="13" spans="1:48" x14ac:dyDescent="0.2">
      <c r="A13" s="630">
        <v>1</v>
      </c>
      <c r="B13" s="164" t="s">
        <v>62</v>
      </c>
      <c r="C13" s="426">
        <f>'WP1 Light Inventory'!F204</f>
        <v>935514.08333333337</v>
      </c>
      <c r="D13" s="364" t="s">
        <v>253</v>
      </c>
      <c r="E13" s="279">
        <f>'WP2 Current Light Rates'!E154</f>
        <v>4.1930000000000002E-2</v>
      </c>
      <c r="F13" s="279">
        <f>'BDJ-6 Combined Charges'!K214</f>
        <v>4.3869999999999999E-2</v>
      </c>
      <c r="G13" s="279">
        <f>'Sch 141A Lighting Tariff'!J212+'Sch 141C Lighting Tariff'!J212+'Sch 141N Lighting Tariff'!J214+'Sch 141R Lighting Tariff'!J214+F13</f>
        <v>7.0389999999999994E-2</v>
      </c>
      <c r="H13" s="209">
        <f>(E13*$C13*12)</f>
        <v>470713.26617000008</v>
      </c>
      <c r="I13" s="209">
        <f>(F13*$C13*12)</f>
        <v>492492.03403000004</v>
      </c>
      <c r="J13" s="209">
        <f>(G13*C13*12)</f>
        <v>790210.03590999986</v>
      </c>
      <c r="K13" s="209">
        <f>I13-H13</f>
        <v>21778.767859999964</v>
      </c>
      <c r="L13" s="209">
        <f>+J13-H13</f>
        <v>319496.76973999979</v>
      </c>
      <c r="M13" s="36">
        <f>IF(+K13=0,"0%",K13/H13)</f>
        <v>4.626758883854034E-2</v>
      </c>
      <c r="N13" s="36">
        <f>IF(+L13=0,"0%",L13/H13)</f>
        <v>0.67875029811590692</v>
      </c>
      <c r="O13" s="627"/>
      <c r="P13" s="630">
        <v>1</v>
      </c>
      <c r="Q13" s="164" t="s">
        <v>62</v>
      </c>
      <c r="R13" s="426">
        <f>C13</f>
        <v>935514.08333333337</v>
      </c>
      <c r="S13" s="364" t="s">
        <v>253</v>
      </c>
      <c r="T13" s="279">
        <f>F13</f>
        <v>4.3869999999999999E-2</v>
      </c>
      <c r="U13" s="279">
        <f>G13</f>
        <v>7.0389999999999994E-2</v>
      </c>
      <c r="V13" s="279">
        <f>T13</f>
        <v>4.3869999999999999E-2</v>
      </c>
      <c r="W13" s="279">
        <f>'Sch 141A Lighting Tariff'!N212+'Sch 141C Lighting Tariff'!N212+'Sch 141N Lighting Tariff'!N214+'Sch 141R Lighting Tariff'!N214+V13</f>
        <v>7.4009999999999992E-2</v>
      </c>
      <c r="X13" s="209">
        <f>(T13*$R13*12)</f>
        <v>492492.03403000004</v>
      </c>
      <c r="Y13" s="209">
        <f>(U13*$R13*12)</f>
        <v>790210.03590999986</v>
      </c>
      <c r="Z13" s="209">
        <f>(V13*$R13*12)</f>
        <v>492492.03403000004</v>
      </c>
      <c r="AA13" s="209">
        <f>(W13*$R13*12)</f>
        <v>830848.76768999989</v>
      </c>
      <c r="AB13" s="209">
        <f>Z13-X13</f>
        <v>0</v>
      </c>
      <c r="AC13" s="209">
        <f>+AA13-Y13</f>
        <v>40638.731780000031</v>
      </c>
      <c r="AD13" s="36" t="str">
        <f>IF(+AB13=0,"0%",AB13/X13)</f>
        <v>0%</v>
      </c>
      <c r="AE13" s="36">
        <f>IF(+AC13=0,"0%",AC13/Y13)</f>
        <v>5.1427759624946771E-2</v>
      </c>
      <c r="AF13" s="627"/>
      <c r="AG13" s="630">
        <v>1</v>
      </c>
      <c r="AH13" s="164" t="s">
        <v>62</v>
      </c>
      <c r="AI13" s="426"/>
      <c r="AJ13" s="364"/>
      <c r="AK13" s="279"/>
      <c r="AL13" s="279"/>
      <c r="AM13" s="279"/>
      <c r="AN13" s="279"/>
      <c r="AO13" s="209"/>
      <c r="AP13" s="209"/>
      <c r="AQ13" s="209"/>
      <c r="AR13" s="209"/>
      <c r="AS13" s="209"/>
      <c r="AT13" s="209"/>
      <c r="AU13" s="36"/>
      <c r="AV13" s="36"/>
    </row>
    <row r="14" spans="1:48" x14ac:dyDescent="0.2">
      <c r="A14" s="630">
        <f>A13+1</f>
        <v>2</v>
      </c>
      <c r="H14" s="209"/>
      <c r="I14" s="209"/>
      <c r="J14" s="209"/>
      <c r="K14" s="209"/>
      <c r="L14" s="209"/>
      <c r="M14" s="518"/>
      <c r="N14" s="518"/>
      <c r="O14" s="627"/>
      <c r="P14" s="630">
        <f>P13+1</f>
        <v>2</v>
      </c>
      <c r="X14" s="209"/>
      <c r="Y14" s="209"/>
      <c r="Z14" s="209"/>
      <c r="AA14" s="209"/>
      <c r="AB14" s="209"/>
      <c r="AC14" s="209"/>
      <c r="AD14" s="518"/>
      <c r="AE14" s="518"/>
      <c r="AF14" s="627"/>
      <c r="AG14" s="630">
        <f>AG13+1</f>
        <v>2</v>
      </c>
      <c r="AO14" s="209"/>
      <c r="AP14" s="209"/>
      <c r="AQ14" s="209"/>
      <c r="AR14" s="209"/>
      <c r="AS14" s="209"/>
      <c r="AT14" s="209"/>
      <c r="AU14" s="518"/>
      <c r="AV14" s="518"/>
    </row>
    <row r="15" spans="1:48" ht="10.8" thickBot="1" x14ac:dyDescent="0.25">
      <c r="A15" s="630">
        <f>A14+1</f>
        <v>3</v>
      </c>
      <c r="B15" s="202" t="s">
        <v>20</v>
      </c>
      <c r="C15" s="147">
        <f>C13</f>
        <v>935514.08333333337</v>
      </c>
      <c r="D15" s="147"/>
      <c r="E15" s="147"/>
      <c r="F15" s="147"/>
      <c r="G15" s="147"/>
      <c r="H15" s="147">
        <f>H13</f>
        <v>470713.26617000008</v>
      </c>
      <c r="I15" s="147">
        <f>SUM(I13:I13)</f>
        <v>492492.03403000004</v>
      </c>
      <c r="J15" s="147">
        <f>SUM(J13:J13)</f>
        <v>790210.03590999986</v>
      </c>
      <c r="K15" s="147">
        <f>SUM(K13:K13)</f>
        <v>21778.767859999964</v>
      </c>
      <c r="L15" s="147">
        <f>SUM(L13:L13)</f>
        <v>319496.76973999979</v>
      </c>
      <c r="M15" s="38">
        <f>IF(+K15=0,"0%",K15/H15)</f>
        <v>4.626758883854034E-2</v>
      </c>
      <c r="N15" s="38">
        <f>IF(+L15=0,"0%",L15/H15)</f>
        <v>0.67875029811590692</v>
      </c>
      <c r="O15" s="627"/>
      <c r="P15" s="630">
        <f>P14+1</f>
        <v>3</v>
      </c>
      <c r="Q15" s="202" t="s">
        <v>20</v>
      </c>
      <c r="R15" s="147">
        <f>R13</f>
        <v>935514.08333333337</v>
      </c>
      <c r="S15" s="147"/>
      <c r="T15" s="147"/>
      <c r="U15" s="147"/>
      <c r="V15" s="147"/>
      <c r="W15" s="147"/>
      <c r="X15" s="147">
        <f>X13</f>
        <v>492492.03403000004</v>
      </c>
      <c r="Y15" s="147">
        <f t="shared" ref="Y15:AC15" si="3">Y13</f>
        <v>790210.03590999986</v>
      </c>
      <c r="Z15" s="147">
        <f t="shared" si="3"/>
        <v>492492.03403000004</v>
      </c>
      <c r="AA15" s="147">
        <f t="shared" si="3"/>
        <v>830848.76768999989</v>
      </c>
      <c r="AB15" s="147">
        <f t="shared" si="3"/>
        <v>0</v>
      </c>
      <c r="AC15" s="147">
        <f t="shared" si="3"/>
        <v>40638.731780000031</v>
      </c>
      <c r="AD15" s="38" t="str">
        <f>IF(+AB15=0,"0%",AB15/X15)</f>
        <v>0%</v>
      </c>
      <c r="AE15" s="38">
        <f>IF(+AC15=0,"0%",AC15/X15)</f>
        <v>8.251652609984049E-2</v>
      </c>
      <c r="AF15" s="627"/>
      <c r="AG15" s="630">
        <f>AG14+1</f>
        <v>3</v>
      </c>
      <c r="AH15" s="202" t="s">
        <v>20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38"/>
      <c r="AV15" s="38"/>
    </row>
    <row r="16" spans="1:48" ht="10.8" thickTop="1" x14ac:dyDescent="0.2"/>
    <row r="19" spans="2:2" ht="13.8" x14ac:dyDescent="0.3">
      <c r="B19" s="633"/>
    </row>
  </sheetData>
  <mergeCells count="21">
    <mergeCell ref="AQ8:AV8"/>
    <mergeCell ref="AG1:AV1"/>
    <mergeCell ref="AG2:AV2"/>
    <mergeCell ref="AG3:AV3"/>
    <mergeCell ref="AG4:AV4"/>
    <mergeCell ref="AG5:AV5"/>
    <mergeCell ref="AG6:AV6"/>
    <mergeCell ref="I8:N8"/>
    <mergeCell ref="P1:AE1"/>
    <mergeCell ref="P2:AE2"/>
    <mergeCell ref="P3:AE3"/>
    <mergeCell ref="P4:AE4"/>
    <mergeCell ref="P5:AE5"/>
    <mergeCell ref="P6:AE6"/>
    <mergeCell ref="Z8:AE8"/>
    <mergeCell ref="A3:N3"/>
    <mergeCell ref="A4:N4"/>
    <mergeCell ref="A1:N1"/>
    <mergeCell ref="A2:N2"/>
    <mergeCell ref="A5:N5"/>
    <mergeCell ref="A6:N6"/>
  </mergeCells>
  <printOptions horizontalCentered="1"/>
  <pageMargins left="0.25" right="0.25" top="1" bottom="1" header="0.5" footer="0.5"/>
  <pageSetup scale="84" fitToWidth="3" fitToHeight="0" orientation="landscape" r:id="rId1"/>
  <headerFooter alignWithMargins="0">
    <oddFooter>&amp;R&amp;"Times New Roman,Regular"&amp;F
&amp;A
&amp;P of &amp;N</oddFooter>
  </headerFooter>
  <colBreaks count="2" manualBreakCount="2">
    <brk id="15" max="1048575" man="1"/>
    <brk id="30" max="14" man="1"/>
  </colBreaks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B59"/>
  <sheetViews>
    <sheetView zoomScaleNormal="100" zoomScalePageLayoutView="85" workbookViewId="0">
      <pane ySplit="9" topLeftCell="A10" activePane="bottomLeft" state="frozen"/>
      <selection activeCell="D32" sqref="D32"/>
      <selection pane="bottomLeft" activeCell="I13" sqref="I13"/>
    </sheetView>
  </sheetViews>
  <sheetFormatPr defaultColWidth="9.109375" defaultRowHeight="10.199999999999999" x14ac:dyDescent="0.2"/>
  <cols>
    <col min="1" max="1" width="5.109375" style="177" customWidth="1"/>
    <col min="2" max="2" width="9.33203125" style="177" bestFit="1" customWidth="1"/>
    <col min="3" max="3" width="11" style="177" bestFit="1" customWidth="1"/>
    <col min="4" max="4" width="9.33203125" style="177" bestFit="1" customWidth="1"/>
    <col min="5" max="5" width="18.109375" style="177" bestFit="1" customWidth="1"/>
    <col min="6" max="6" width="8.5546875" style="177" bestFit="1" customWidth="1"/>
    <col min="7" max="7" width="9.88671875" style="177" bestFit="1" customWidth="1"/>
    <col min="8" max="8" width="8.6640625" style="177" bestFit="1" customWidth="1"/>
    <col min="9" max="9" width="11.109375" style="177" customWidth="1"/>
    <col min="10" max="10" width="10.33203125" style="209" customWidth="1"/>
    <col min="11" max="11" width="10.5546875" style="209" bestFit="1" customWidth="1"/>
    <col min="12" max="12" width="9.88671875" style="209" customWidth="1"/>
    <col min="13" max="13" width="7.88671875" style="209" bestFit="1" customWidth="1"/>
    <col min="14" max="14" width="10.33203125" style="209" customWidth="1"/>
    <col min="15" max="15" width="7" style="177" bestFit="1" customWidth="1"/>
    <col min="16" max="16" width="8.6640625" style="177" bestFit="1" customWidth="1"/>
    <col min="17" max="17" width="0.88671875" style="177" customWidth="1"/>
    <col min="18" max="18" width="6.109375" style="177" customWidth="1"/>
    <col min="19" max="19" width="12.5546875" style="177" bestFit="1" customWidth="1"/>
    <col min="20" max="20" width="9.109375" style="177"/>
    <col min="21" max="21" width="9.33203125" style="177" bestFit="1" customWidth="1"/>
    <col min="22" max="22" width="18.109375" style="177" bestFit="1" customWidth="1"/>
    <col min="23" max="23" width="8.5546875" style="177" bestFit="1" customWidth="1"/>
    <col min="24" max="24" width="9" style="177" bestFit="1" customWidth="1"/>
    <col min="25" max="25" width="11" style="177" customWidth="1"/>
    <col min="26" max="26" width="8.6640625" style="177" bestFit="1" customWidth="1"/>
    <col min="27" max="27" width="11.88671875" style="177" customWidth="1"/>
    <col min="28" max="28" width="10.33203125" style="177" bestFit="1" customWidth="1"/>
    <col min="29" max="29" width="13.109375" style="177" bestFit="1" customWidth="1"/>
    <col min="30" max="30" width="9.109375" style="177"/>
    <col min="31" max="31" width="12.109375" style="177" customWidth="1"/>
    <col min="32" max="32" width="7.88671875" style="177" bestFit="1" customWidth="1"/>
    <col min="33" max="33" width="11.88671875" style="177" customWidth="1"/>
    <col min="34" max="35" width="8.6640625" style="177" bestFit="1" customWidth="1"/>
    <col min="36" max="36" width="0.88671875" style="177" customWidth="1"/>
    <col min="37" max="37" width="6.5546875" style="177" customWidth="1"/>
    <col min="38" max="40" width="9.109375" style="177"/>
    <col min="41" max="41" width="15.44140625" style="177" bestFit="1" customWidth="1"/>
    <col min="42" max="43" width="9.88671875" style="177" bestFit="1" customWidth="1"/>
    <col min="44" max="44" width="9.6640625" style="177" customWidth="1"/>
    <col min="45" max="45" width="9.88671875" style="177" bestFit="1" customWidth="1"/>
    <col min="46" max="46" width="10.88671875" style="177" customWidth="1"/>
    <col min="47" max="47" width="10.33203125" style="177" customWidth="1"/>
    <col min="48" max="48" width="11.109375" style="177" customWidth="1"/>
    <col min="49" max="49" width="9.109375" style="177" bestFit="1" customWidth="1"/>
    <col min="50" max="50" width="10.5546875" style="177" customWidth="1"/>
    <col min="51" max="51" width="7.88671875" style="177" bestFit="1" customWidth="1"/>
    <col min="52" max="52" width="10.88671875" style="177" customWidth="1"/>
    <col min="53" max="54" width="8.6640625" style="177" bestFit="1" customWidth="1"/>
    <col min="55" max="16384" width="9.109375" style="177"/>
  </cols>
  <sheetData>
    <row r="1" spans="1:54" x14ac:dyDescent="0.2">
      <c r="A1" s="736" t="str">
        <f>'Schedule 57E'!A1:N1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R1" s="736" t="str">
        <f>A1</f>
        <v>Puget Sound Energy</v>
      </c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K1" s="736" t="str">
        <f>R1</f>
        <v>Puget Sound Energy</v>
      </c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</row>
    <row r="2" spans="1:54" x14ac:dyDescent="0.2">
      <c r="A2" s="736" t="str">
        <f>'Schedule 57E'!A2:N2</f>
        <v>ProForma Proposed Revenue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R2" s="736" t="str">
        <f>A2</f>
        <v>ProForma Proposed Revenue</v>
      </c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K2" s="736" t="str">
        <f>R2</f>
        <v>ProForma Proposed Revenue</v>
      </c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736"/>
    </row>
    <row r="3" spans="1:54" x14ac:dyDescent="0.2">
      <c r="A3" s="736" t="str">
        <f>'Schedule 57E'!A3:N3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R3" s="736" t="str">
        <f>A3</f>
        <v>2022 General Rate Case (GRC)</v>
      </c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K3" s="736" t="str">
        <f>R3</f>
        <v>2022 General Rate Case (GRC)</v>
      </c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  <c r="AZ3" s="736"/>
      <c r="BA3" s="736"/>
      <c r="BB3" s="736"/>
    </row>
    <row r="4" spans="1:54" x14ac:dyDescent="0.2">
      <c r="A4" s="736" t="str">
        <f>'Schedule 57E'!A4:N4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R4" s="736" t="str">
        <f>A4</f>
        <v>Test Year Ending June 30, 2021</v>
      </c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K4" s="736" t="str">
        <f>R4</f>
        <v>Test Year Ending June 30, 2021</v>
      </c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  <c r="AZ4" s="736"/>
      <c r="BA4" s="736"/>
      <c r="BB4" s="736"/>
    </row>
    <row r="5" spans="1:54" x14ac:dyDescent="0.2">
      <c r="A5" s="736" t="s">
        <v>481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R5" s="736" t="str">
        <f>A5</f>
        <v>Schedules 58 and 59 - Flood Lighting Service</v>
      </c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K5" s="736" t="str">
        <f>R5</f>
        <v>Schedules 58 and 59 - Flood Lighting Service</v>
      </c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  <c r="AZ5" s="736"/>
      <c r="BA5" s="736"/>
      <c r="BB5" s="736"/>
    </row>
    <row r="6" spans="1:54" ht="14.4" x14ac:dyDescent="0.3">
      <c r="A6" s="736" t="s">
        <v>883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7"/>
      <c r="R6" s="736" t="s">
        <v>882</v>
      </c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K6" s="736" t="s">
        <v>881</v>
      </c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  <c r="AZ6" s="736"/>
      <c r="BA6" s="736"/>
      <c r="BB6" s="736"/>
    </row>
    <row r="7" spans="1:54" x14ac:dyDescent="0.2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628"/>
    </row>
    <row r="8" spans="1:54" ht="14.4" x14ac:dyDescent="0.3">
      <c r="J8" s="177"/>
      <c r="K8" s="765" t="s">
        <v>653</v>
      </c>
      <c r="L8" s="782"/>
      <c r="M8" s="782"/>
      <c r="N8" s="782"/>
      <c r="O8" s="782"/>
      <c r="P8" s="783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765" t="s">
        <v>653</v>
      </c>
      <c r="AE8" s="782"/>
      <c r="AF8" s="782"/>
      <c r="AG8" s="782"/>
      <c r="AH8" s="782"/>
      <c r="AI8" s="783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765" t="s">
        <v>653</v>
      </c>
      <c r="AX8" s="782"/>
      <c r="AY8" s="782"/>
      <c r="AZ8" s="782"/>
      <c r="BA8" s="782"/>
      <c r="BB8" s="783"/>
    </row>
    <row r="9" spans="1:54" s="626" customFormat="1" ht="81.599999999999994" x14ac:dyDescent="0.2">
      <c r="A9" s="632" t="str">
        <f>'Schedule 50E'!A9</f>
        <v>Line No.</v>
      </c>
      <c r="B9" s="632" t="str">
        <f>'Schedule 50E'!B9</f>
        <v>Schedule</v>
      </c>
      <c r="C9" s="632" t="str">
        <f>'Schedule 50E'!C9</f>
        <v>Lamp Size (Watts)</v>
      </c>
      <c r="D9" s="632"/>
      <c r="E9" s="632" t="str">
        <f>'Schedule 50E'!D9</f>
        <v>Lamp Type</v>
      </c>
      <c r="F9" s="632" t="str">
        <f>'Schedule 50E'!E9</f>
        <v>Monthly Test Year Inventory</v>
      </c>
      <c r="G9" s="632" t="str">
        <f>'Schedule 50E'!F9</f>
        <v>Base Rates
Effective
10-1-2021</v>
      </c>
      <c r="H9" s="632" t="str">
        <f>'Schedule 50E'!G9</f>
        <v>Proposed Lamp Charge (Base)</v>
      </c>
      <c r="I9" s="632" t="str">
        <f>'Schedule 50E'!H9</f>
        <v>TOTAL Proposed Charge (Base + 141COL + 141N + 141R + 141A)</v>
      </c>
      <c r="J9" s="632" t="str">
        <f>'Schedule 50E'!I9</f>
        <v>Current Annual Rate Revenue (Base)</v>
      </c>
      <c r="K9" s="632" t="str">
        <f>'Schedule 50E'!J9</f>
        <v>Annual Revenue (Base)</v>
      </c>
      <c r="L9" s="632" t="str">
        <f>'Schedule 50E'!K9</f>
        <v>TOTAL Annual Revenue (Base + 141COL + 141N + 141R + 141A)</v>
      </c>
      <c r="M9" s="632" t="str">
        <f>'Schedule 50E'!L9</f>
        <v>Revenue Change (Base)</v>
      </c>
      <c r="N9" s="632" t="str">
        <f>'Schedule 50E'!M9</f>
        <v>TOTAL Revenue Change (Base + 141COL + 141N + 141R + 141A)</v>
      </c>
      <c r="O9" s="632" t="str">
        <f>'Schedule 50E'!N9</f>
        <v>Base Change %</v>
      </c>
      <c r="P9" s="632" t="str">
        <f>'Schedule 50E'!O9</f>
        <v>TOTAL Overall Change %</v>
      </c>
      <c r="R9" s="632" t="s">
        <v>1</v>
      </c>
      <c r="S9" s="632" t="s">
        <v>53</v>
      </c>
      <c r="T9" s="631" t="s">
        <v>66</v>
      </c>
      <c r="U9" s="631"/>
      <c r="V9" s="632" t="s">
        <v>67</v>
      </c>
      <c r="W9" s="632" t="str">
        <f>F9</f>
        <v>Monthly Test Year Inventory</v>
      </c>
      <c r="X9" s="374" t="s">
        <v>888</v>
      </c>
      <c r="Y9" s="632" t="s">
        <v>1194</v>
      </c>
      <c r="Z9" s="632" t="s">
        <v>880</v>
      </c>
      <c r="AA9" s="632" t="s">
        <v>1191</v>
      </c>
      <c r="AB9" s="631" t="s">
        <v>886</v>
      </c>
      <c r="AC9" s="632" t="s">
        <v>1195</v>
      </c>
      <c r="AD9" s="631" t="s">
        <v>879</v>
      </c>
      <c r="AE9" s="632" t="s">
        <v>1192</v>
      </c>
      <c r="AF9" s="632" t="s">
        <v>878</v>
      </c>
      <c r="AG9" s="632" t="s">
        <v>1193</v>
      </c>
      <c r="AH9" s="632" t="s">
        <v>887</v>
      </c>
      <c r="AI9" s="632" t="s">
        <v>958</v>
      </c>
      <c r="AK9" s="632" t="s">
        <v>1</v>
      </c>
      <c r="AL9" s="632" t="s">
        <v>53</v>
      </c>
      <c r="AM9" s="631" t="s">
        <v>66</v>
      </c>
      <c r="AN9" s="631"/>
      <c r="AO9" s="632" t="s">
        <v>67</v>
      </c>
      <c r="AP9" s="632" t="str">
        <f>W9</f>
        <v>Monthly Test Year Inventory</v>
      </c>
      <c r="AQ9" s="374" t="s">
        <v>885</v>
      </c>
      <c r="AR9" s="632" t="s">
        <v>1197</v>
      </c>
      <c r="AS9" s="632" t="str">
        <f>Z9</f>
        <v>Proposed Lamp Charge (Base)</v>
      </c>
      <c r="AT9" s="632" t="str">
        <f t="shared" ref="AT9:BB9" si="0">AA9</f>
        <v>TOTAL Proposed Charge (Base + 141COL + 141N + 141R + 141A)</v>
      </c>
      <c r="AU9" s="632" t="str">
        <f t="shared" si="0"/>
        <v>Current Annual Rate Revenue (Base)</v>
      </c>
      <c r="AV9" s="632" t="str">
        <f t="shared" si="0"/>
        <v>TOTAL Current Annual Rate Revenue (Base + 141COL + 141N + 141R + 141A)</v>
      </c>
      <c r="AW9" s="632" t="str">
        <f t="shared" si="0"/>
        <v>Annual Revenue (Base)</v>
      </c>
      <c r="AX9" s="632" t="str">
        <f t="shared" si="0"/>
        <v>TOTAL Annual Revenue (Base + 141COL + 141N + 141R + 141A)</v>
      </c>
      <c r="AY9" s="632" t="str">
        <f t="shared" si="0"/>
        <v>Revenue Change (Base)</v>
      </c>
      <c r="AZ9" s="632" t="str">
        <f t="shared" si="0"/>
        <v>TOTAL Revenue Change (Base + 141COL + 141N + 141R + 141A)</v>
      </c>
      <c r="BA9" s="632" t="str">
        <f t="shared" si="0"/>
        <v>Base Change %</v>
      </c>
      <c r="BB9" s="632" t="str">
        <f t="shared" si="0"/>
        <v>TOTAL Overall Change %</v>
      </c>
    </row>
    <row r="10" spans="1:54" s="627" customFormat="1" x14ac:dyDescent="0.2">
      <c r="A10" s="98"/>
      <c r="B10" s="98" t="s">
        <v>3</v>
      </c>
      <c r="C10" s="169" t="s">
        <v>4</v>
      </c>
      <c r="D10" s="169"/>
      <c r="E10" s="169" t="s">
        <v>5</v>
      </c>
      <c r="F10" s="169" t="s">
        <v>6</v>
      </c>
      <c r="G10" s="169" t="s">
        <v>390</v>
      </c>
      <c r="H10" s="169" t="s">
        <v>21</v>
      </c>
      <c r="I10" s="169" t="s">
        <v>8</v>
      </c>
      <c r="J10" s="169" t="s">
        <v>9</v>
      </c>
      <c r="K10" s="169" t="s">
        <v>22</v>
      </c>
      <c r="L10" s="169" t="s">
        <v>23</v>
      </c>
      <c r="M10" s="169" t="s">
        <v>10</v>
      </c>
      <c r="N10" s="169" t="s">
        <v>11</v>
      </c>
      <c r="O10" s="169" t="s">
        <v>12</v>
      </c>
      <c r="P10" s="169" t="s">
        <v>13</v>
      </c>
      <c r="Q10" s="626"/>
      <c r="R10" s="98"/>
      <c r="S10" s="98" t="s">
        <v>3</v>
      </c>
      <c r="T10" s="169" t="s">
        <v>4</v>
      </c>
      <c r="U10" s="169"/>
      <c r="V10" s="169" t="s">
        <v>5</v>
      </c>
      <c r="W10" s="169" t="s">
        <v>6</v>
      </c>
      <c r="X10" s="169" t="s">
        <v>390</v>
      </c>
      <c r="Y10" s="169" t="s">
        <v>21</v>
      </c>
      <c r="Z10" s="169" t="s">
        <v>8</v>
      </c>
      <c r="AA10" s="169" t="s">
        <v>9</v>
      </c>
      <c r="AB10" s="169" t="s">
        <v>22</v>
      </c>
      <c r="AC10" s="169" t="s">
        <v>23</v>
      </c>
      <c r="AD10" s="169" t="s">
        <v>10</v>
      </c>
      <c r="AE10" s="169" t="s">
        <v>11</v>
      </c>
      <c r="AF10" s="169" t="s">
        <v>12</v>
      </c>
      <c r="AG10" s="169" t="s">
        <v>13</v>
      </c>
      <c r="AH10" s="169" t="s">
        <v>14</v>
      </c>
      <c r="AI10" s="169" t="s">
        <v>877</v>
      </c>
      <c r="AJ10" s="626"/>
      <c r="AK10" s="98"/>
      <c r="AL10" s="98" t="s">
        <v>3</v>
      </c>
      <c r="AM10" s="169" t="s">
        <v>4</v>
      </c>
      <c r="AN10" s="169"/>
      <c r="AO10" s="169" t="s">
        <v>5</v>
      </c>
      <c r="AP10" s="169" t="s">
        <v>6</v>
      </c>
      <c r="AQ10" s="169" t="s">
        <v>390</v>
      </c>
      <c r="AR10" s="169" t="s">
        <v>21</v>
      </c>
      <c r="AS10" s="169" t="s">
        <v>8</v>
      </c>
      <c r="AT10" s="169" t="s">
        <v>9</v>
      </c>
      <c r="AU10" s="169" t="s">
        <v>22</v>
      </c>
      <c r="AV10" s="169" t="s">
        <v>23</v>
      </c>
      <c r="AW10" s="169" t="s">
        <v>10</v>
      </c>
      <c r="AX10" s="169" t="s">
        <v>11</v>
      </c>
      <c r="AY10" s="169" t="s">
        <v>12</v>
      </c>
      <c r="AZ10" s="169" t="s">
        <v>13</v>
      </c>
      <c r="BA10" s="169" t="s">
        <v>14</v>
      </c>
      <c r="BB10" s="169" t="s">
        <v>877</v>
      </c>
    </row>
    <row r="11" spans="1:54" s="627" customFormat="1" ht="20.399999999999999" x14ac:dyDescent="0.2">
      <c r="A11" s="98" t="s">
        <v>396</v>
      </c>
      <c r="B11" s="98"/>
      <c r="C11" s="169"/>
      <c r="D11" s="169"/>
      <c r="F11" s="169" t="s">
        <v>397</v>
      </c>
      <c r="G11" s="169" t="s">
        <v>397</v>
      </c>
      <c r="H11" s="169" t="s">
        <v>397</v>
      </c>
      <c r="I11" s="169" t="s">
        <v>397</v>
      </c>
      <c r="J11" s="169" t="s">
        <v>416</v>
      </c>
      <c r="K11" s="169" t="s">
        <v>483</v>
      </c>
      <c r="L11" s="169" t="s">
        <v>484</v>
      </c>
      <c r="M11" s="169" t="s">
        <v>492</v>
      </c>
      <c r="N11" s="169" t="s">
        <v>398</v>
      </c>
      <c r="O11" s="169" t="s">
        <v>399</v>
      </c>
      <c r="P11" s="169" t="s">
        <v>876</v>
      </c>
      <c r="Q11" s="626"/>
      <c r="R11" s="98" t="s">
        <v>396</v>
      </c>
      <c r="S11" s="98"/>
      <c r="T11" s="169"/>
      <c r="U11" s="169"/>
      <c r="W11" s="169" t="s">
        <v>397</v>
      </c>
      <c r="X11" s="169" t="s">
        <v>397</v>
      </c>
      <c r="Y11" s="169" t="s">
        <v>397</v>
      </c>
      <c r="Z11" s="169" t="s">
        <v>397</v>
      </c>
      <c r="AA11" s="169" t="s">
        <v>397</v>
      </c>
      <c r="AB11" s="169" t="s">
        <v>416</v>
      </c>
      <c r="AC11" s="169" t="s">
        <v>483</v>
      </c>
      <c r="AD11" s="169" t="s">
        <v>484</v>
      </c>
      <c r="AE11" s="169" t="s">
        <v>875</v>
      </c>
      <c r="AF11" s="169" t="s">
        <v>493</v>
      </c>
      <c r="AG11" s="169" t="s">
        <v>874</v>
      </c>
      <c r="AH11" s="169" t="s">
        <v>873</v>
      </c>
      <c r="AI11" s="169" t="s">
        <v>872</v>
      </c>
      <c r="AJ11" s="626"/>
      <c r="AK11" s="98" t="s">
        <v>396</v>
      </c>
      <c r="AL11" s="98"/>
      <c r="AM11" s="169"/>
      <c r="AN11" s="169"/>
      <c r="AP11" s="169" t="s">
        <v>397</v>
      </c>
      <c r="AQ11" s="169" t="s">
        <v>397</v>
      </c>
      <c r="AR11" s="169" t="s">
        <v>397</v>
      </c>
      <c r="AS11" s="169" t="s">
        <v>397</v>
      </c>
      <c r="AT11" s="169" t="s">
        <v>397</v>
      </c>
      <c r="AU11" s="169" t="s">
        <v>416</v>
      </c>
      <c r="AV11" s="169" t="s">
        <v>483</v>
      </c>
      <c r="AW11" s="169" t="s">
        <v>484</v>
      </c>
      <c r="AX11" s="169" t="s">
        <v>875</v>
      </c>
      <c r="AY11" s="169" t="s">
        <v>493</v>
      </c>
      <c r="AZ11" s="169" t="s">
        <v>874</v>
      </c>
      <c r="BA11" s="169" t="s">
        <v>873</v>
      </c>
      <c r="BB11" s="169" t="s">
        <v>872</v>
      </c>
    </row>
    <row r="12" spans="1:54" s="627" customFormat="1" x14ac:dyDescent="0.2">
      <c r="A12" s="98"/>
      <c r="B12" s="98"/>
      <c r="C12" s="169"/>
      <c r="D12" s="169"/>
      <c r="E12" s="169"/>
      <c r="F12" s="169"/>
      <c r="G12" s="73"/>
      <c r="H12" s="73"/>
      <c r="I12" s="73"/>
      <c r="J12" s="280"/>
      <c r="K12" s="280"/>
      <c r="L12" s="280"/>
      <c r="M12" s="280"/>
      <c r="N12" s="280"/>
      <c r="Q12" s="626"/>
      <c r="R12" s="98"/>
      <c r="S12" s="98"/>
      <c r="T12" s="169"/>
      <c r="U12" s="169"/>
      <c r="V12" s="169"/>
      <c r="W12" s="169"/>
      <c r="X12" s="169"/>
      <c r="Y12" s="73"/>
      <c r="Z12" s="169"/>
      <c r="AA12" s="73"/>
      <c r="AB12" s="169"/>
      <c r="AC12" s="280"/>
      <c r="AD12" s="169"/>
      <c r="AE12" s="280"/>
      <c r="AF12" s="169"/>
      <c r="AG12" s="280"/>
      <c r="AH12" s="169"/>
      <c r="AJ12" s="626"/>
      <c r="AK12" s="98"/>
      <c r="AL12" s="98"/>
      <c r="AM12" s="169"/>
      <c r="AN12" s="169"/>
      <c r="AO12" s="169"/>
      <c r="AP12" s="169"/>
      <c r="AQ12" s="169"/>
      <c r="AR12" s="73"/>
      <c r="AS12" s="169"/>
      <c r="AT12" s="73"/>
      <c r="AU12" s="169"/>
      <c r="AV12" s="280"/>
      <c r="AW12" s="169"/>
      <c r="AX12" s="280"/>
      <c r="AY12" s="169"/>
      <c r="AZ12" s="280"/>
      <c r="BA12" s="169"/>
    </row>
    <row r="13" spans="1:54" x14ac:dyDescent="0.2">
      <c r="A13" s="630">
        <v>1</v>
      </c>
      <c r="B13" s="164" t="s">
        <v>82</v>
      </c>
      <c r="C13" s="364">
        <v>70</v>
      </c>
      <c r="D13" s="364" t="s">
        <v>83</v>
      </c>
      <c r="E13" s="364" t="s">
        <v>69</v>
      </c>
      <c r="F13" s="426">
        <f>'WP1 Light Inventory'!J166</f>
        <v>53</v>
      </c>
      <c r="G13" s="330">
        <f>'WP2 Current Light Rates'!E157</f>
        <v>13.62</v>
      </c>
      <c r="H13" s="330">
        <f>'BDJ-6 Combined Charges'!K175</f>
        <v>13.530000000000001</v>
      </c>
      <c r="I13" s="330">
        <f>'Sch 141A Lighting Tariff'!J173+'Sch 141C Lighting Tariff'!J173+'Sch 141N Lighting Tariff'!J175+'Sch 141R Lighting Tariff'!J175+H13</f>
        <v>14.88</v>
      </c>
      <c r="J13" s="209">
        <f t="shared" ref="J13:K13" si="1">(+G13*$F13*12)</f>
        <v>8662.32</v>
      </c>
      <c r="K13" s="209">
        <f t="shared" si="1"/>
        <v>8605.08</v>
      </c>
      <c r="L13" s="209">
        <f t="shared" ref="L13" si="2">(I13*$F13*12)</f>
        <v>9463.68</v>
      </c>
      <c r="M13" s="209">
        <f t="shared" ref="M13" si="3">+K13-J13</f>
        <v>-57.239999999999782</v>
      </c>
      <c r="N13" s="209">
        <f t="shared" ref="N13" si="4">+L13-J13</f>
        <v>801.36000000000058</v>
      </c>
      <c r="O13" s="36">
        <f t="shared" ref="O13" si="5">IF(+M13=0,"0%",M13/J13)</f>
        <v>-6.6079295154184772E-3</v>
      </c>
      <c r="P13" s="36">
        <f t="shared" ref="P13" si="6">IF(+N13=0,"0%",N13/J13)</f>
        <v>9.2511013215859098E-2</v>
      </c>
      <c r="Q13" s="627"/>
      <c r="R13" s="630">
        <v>1</v>
      </c>
      <c r="S13" s="164" t="s">
        <v>82</v>
      </c>
      <c r="T13" s="364">
        <v>70</v>
      </c>
      <c r="U13" s="364" t="s">
        <v>83</v>
      </c>
      <c r="V13" s="364" t="s">
        <v>69</v>
      </c>
      <c r="W13" s="35">
        <f t="shared" ref="W13:W18" si="7">F13</f>
        <v>53</v>
      </c>
      <c r="X13" s="330">
        <f t="shared" ref="X13:Y18" si="8">H13</f>
        <v>13.530000000000001</v>
      </c>
      <c r="Y13" s="330">
        <f t="shared" si="8"/>
        <v>14.88</v>
      </c>
      <c r="Z13" s="330">
        <f t="shared" ref="Z13:Z18" si="9">X13</f>
        <v>13.530000000000001</v>
      </c>
      <c r="AA13" s="330">
        <f>'Sch 141A Lighting Tariff'!N173+'Sch 141C Lighting Tariff'!N173+'Sch 141N Lighting Tariff'!N175+'Sch 141R Lighting Tariff'!N175+Z13</f>
        <v>15.080000000000002</v>
      </c>
      <c r="AB13" s="209">
        <f t="shared" ref="AB13:AC13" si="10">(+X13*$W13*12)</f>
        <v>8605.08</v>
      </c>
      <c r="AC13" s="209">
        <f t="shared" si="10"/>
        <v>9463.68</v>
      </c>
      <c r="AD13" s="209">
        <f t="shared" ref="AD13:AE13" si="11">(Z13*$W13*12)</f>
        <v>8605.08</v>
      </c>
      <c r="AE13" s="209">
        <f t="shared" si="11"/>
        <v>9590.880000000001</v>
      </c>
      <c r="AF13" s="209">
        <f t="shared" ref="AF13:AG13" si="12">+AD13-AB13</f>
        <v>0</v>
      </c>
      <c r="AG13" s="209">
        <f t="shared" si="12"/>
        <v>127.20000000000073</v>
      </c>
      <c r="AH13" s="36" t="str">
        <f t="shared" ref="AH13:AI19" si="13">IF(+AF13=0,"0%",AF13/AB13)</f>
        <v>0%</v>
      </c>
      <c r="AI13" s="36">
        <f t="shared" si="13"/>
        <v>1.344086021505384E-2</v>
      </c>
      <c r="AJ13" s="627"/>
      <c r="AK13" s="630">
        <v>1</v>
      </c>
      <c r="AL13" s="164" t="s">
        <v>82</v>
      </c>
      <c r="AM13" s="364">
        <v>70</v>
      </c>
      <c r="AN13" s="364" t="s">
        <v>83</v>
      </c>
      <c r="AO13" s="364" t="s">
        <v>69</v>
      </c>
      <c r="AP13" s="35">
        <f t="shared" ref="AP13:AP18" si="14">W13</f>
        <v>53</v>
      </c>
      <c r="AQ13" s="330"/>
      <c r="AR13" s="330"/>
      <c r="AS13" s="330"/>
      <c r="AT13" s="330"/>
      <c r="AU13" s="209"/>
      <c r="AV13" s="209"/>
      <c r="AW13" s="209"/>
      <c r="AX13" s="209"/>
      <c r="AY13" s="209"/>
      <c r="AZ13" s="209"/>
      <c r="BA13" s="36"/>
      <c r="BB13" s="36"/>
    </row>
    <row r="14" spans="1:54" x14ac:dyDescent="0.2">
      <c r="A14" s="596">
        <f t="shared" ref="A14:A56" si="15">A13+1</f>
        <v>2</v>
      </c>
      <c r="B14" s="17" t="str">
        <f>+B13</f>
        <v>58E &amp; 59E</v>
      </c>
      <c r="C14" s="364">
        <v>100</v>
      </c>
      <c r="D14" s="364" t="s">
        <v>83</v>
      </c>
      <c r="E14" s="364" t="s">
        <v>69</v>
      </c>
      <c r="F14" s="426">
        <f>'WP1 Light Inventory'!J167</f>
        <v>10</v>
      </c>
      <c r="G14" s="330">
        <f>'WP2 Current Light Rates'!E158</f>
        <v>14.03</v>
      </c>
      <c r="H14" s="330">
        <f>'BDJ-6 Combined Charges'!K176</f>
        <v>13.879999999999999</v>
      </c>
      <c r="I14" s="330">
        <f>'Sch 141A Lighting Tariff'!J174+'Sch 141C Lighting Tariff'!J174+'Sch 141N Lighting Tariff'!J176+'Sch 141R Lighting Tariff'!J176+H14</f>
        <v>15.819999999999999</v>
      </c>
      <c r="J14" s="209">
        <f t="shared" ref="J14:J18" si="16">(+G14*$F14*12)</f>
        <v>1683.6</v>
      </c>
      <c r="K14" s="209">
        <f t="shared" ref="K14:K18" si="17">(+H14*$F14*12)</f>
        <v>1665.6</v>
      </c>
      <c r="L14" s="209">
        <f t="shared" ref="L14:L18" si="18">(I14*$F14*12)</f>
        <v>1898.3999999999999</v>
      </c>
      <c r="M14" s="209">
        <f t="shared" ref="M14:M18" si="19">+K14-J14</f>
        <v>-18</v>
      </c>
      <c r="N14" s="209">
        <f t="shared" ref="N14:N18" si="20">+L14-J14</f>
        <v>214.79999999999995</v>
      </c>
      <c r="O14" s="36">
        <f t="shared" ref="O14:O18" si="21">IF(+M14=0,"0%",M14/J14)</f>
        <v>-1.0691375623663579E-2</v>
      </c>
      <c r="P14" s="36">
        <f t="shared" ref="P14:P18" si="22">IF(+N14=0,"0%",N14/J14)</f>
        <v>0.12758374910905201</v>
      </c>
      <c r="Q14" s="627"/>
      <c r="R14" s="596">
        <f t="shared" ref="R14:R56" si="23">R13+1</f>
        <v>2</v>
      </c>
      <c r="S14" s="17" t="str">
        <f>+S13</f>
        <v>58E &amp; 59E</v>
      </c>
      <c r="T14" s="364">
        <v>100</v>
      </c>
      <c r="U14" s="364" t="s">
        <v>83</v>
      </c>
      <c r="V14" s="364" t="s">
        <v>69</v>
      </c>
      <c r="W14" s="35">
        <f t="shared" si="7"/>
        <v>10</v>
      </c>
      <c r="X14" s="330">
        <f t="shared" si="8"/>
        <v>13.879999999999999</v>
      </c>
      <c r="Y14" s="330">
        <f t="shared" si="8"/>
        <v>15.819999999999999</v>
      </c>
      <c r="Z14" s="330">
        <f t="shared" si="9"/>
        <v>13.879999999999999</v>
      </c>
      <c r="AA14" s="330">
        <f>'Sch 141A Lighting Tariff'!N174+'Sch 141C Lighting Tariff'!N174+'Sch 141N Lighting Tariff'!N176+'Sch 141R Lighting Tariff'!N176+Z14</f>
        <v>16.079999999999998</v>
      </c>
      <c r="AB14" s="209">
        <f t="shared" ref="AB14:AB18" si="24">(+X14*$W14*12)</f>
        <v>1665.6</v>
      </c>
      <c r="AC14" s="209">
        <f t="shared" ref="AC14:AC18" si="25">(+Y14*$W14*12)</f>
        <v>1898.3999999999999</v>
      </c>
      <c r="AD14" s="209">
        <f t="shared" ref="AD14:AD18" si="26">(Z14*$W14*12)</f>
        <v>1665.6</v>
      </c>
      <c r="AE14" s="209">
        <f t="shared" ref="AE14:AE18" si="27">(AA14*$W14*12)</f>
        <v>1929.6</v>
      </c>
      <c r="AF14" s="209">
        <f t="shared" ref="AF14:AF18" si="28">+AD14-AB14</f>
        <v>0</v>
      </c>
      <c r="AG14" s="209">
        <f t="shared" ref="AG14:AG18" si="29">+AE14-AC14</f>
        <v>31.200000000000045</v>
      </c>
      <c r="AH14" s="36" t="str">
        <f t="shared" ref="AH14:AH18" si="30">IF(+AF14=0,"0%",AF14/AB14)</f>
        <v>0%</v>
      </c>
      <c r="AI14" s="36">
        <f t="shared" ref="AI14:AI18" si="31">IF(+AG14=0,"0%",AG14/AC14)</f>
        <v>1.6434892541087258E-2</v>
      </c>
      <c r="AJ14" s="627"/>
      <c r="AK14" s="596">
        <f t="shared" ref="AK14:AK56" si="32">AK13+1</f>
        <v>2</v>
      </c>
      <c r="AL14" s="17" t="str">
        <f>+AL13</f>
        <v>58E &amp; 59E</v>
      </c>
      <c r="AM14" s="364">
        <v>100</v>
      </c>
      <c r="AN14" s="364" t="s">
        <v>83</v>
      </c>
      <c r="AO14" s="364" t="s">
        <v>69</v>
      </c>
      <c r="AP14" s="35">
        <f t="shared" si="14"/>
        <v>10</v>
      </c>
      <c r="AQ14" s="330"/>
      <c r="AR14" s="330"/>
      <c r="AS14" s="330"/>
      <c r="AT14" s="330"/>
      <c r="AU14" s="209"/>
      <c r="AV14" s="209"/>
      <c r="AW14" s="209"/>
      <c r="AX14" s="209"/>
      <c r="AY14" s="209"/>
      <c r="AZ14" s="209"/>
      <c r="BA14" s="36"/>
      <c r="BB14" s="36"/>
    </row>
    <row r="15" spans="1:54" x14ac:dyDescent="0.2">
      <c r="A15" s="596">
        <f t="shared" si="15"/>
        <v>3</v>
      </c>
      <c r="B15" s="17" t="str">
        <f>+B14</f>
        <v>58E &amp; 59E</v>
      </c>
      <c r="C15" s="364">
        <v>150</v>
      </c>
      <c r="D15" s="364" t="s">
        <v>83</v>
      </c>
      <c r="E15" s="364" t="s">
        <v>69</v>
      </c>
      <c r="F15" s="426">
        <f>'WP1 Light Inventory'!J168</f>
        <v>145</v>
      </c>
      <c r="G15" s="330">
        <f>'WP2 Current Light Rates'!E159</f>
        <v>15.65</v>
      </c>
      <c r="H15" s="330">
        <f>'BDJ-6 Combined Charges'!K177</f>
        <v>15.36</v>
      </c>
      <c r="I15" s="330">
        <f>'Sch 141A Lighting Tariff'!J175+'Sch 141C Lighting Tariff'!J175+'Sch 141N Lighting Tariff'!J177+'Sch 141R Lighting Tariff'!J177+H15</f>
        <v>18.27</v>
      </c>
      <c r="J15" s="209">
        <f t="shared" si="16"/>
        <v>27231</v>
      </c>
      <c r="K15" s="209">
        <f t="shared" si="17"/>
        <v>26726.399999999998</v>
      </c>
      <c r="L15" s="209">
        <f t="shared" si="18"/>
        <v>31789.800000000003</v>
      </c>
      <c r="M15" s="209">
        <f t="shared" si="19"/>
        <v>-504.60000000000218</v>
      </c>
      <c r="N15" s="209">
        <f t="shared" si="20"/>
        <v>4558.8000000000029</v>
      </c>
      <c r="O15" s="36">
        <f t="shared" si="21"/>
        <v>-1.8530351437699762E-2</v>
      </c>
      <c r="P15" s="36">
        <f t="shared" si="22"/>
        <v>0.16741214057507997</v>
      </c>
      <c r="Q15" s="627"/>
      <c r="R15" s="596">
        <f t="shared" si="23"/>
        <v>3</v>
      </c>
      <c r="S15" s="17" t="str">
        <f>+S14</f>
        <v>58E &amp; 59E</v>
      </c>
      <c r="T15" s="364">
        <v>150</v>
      </c>
      <c r="U15" s="364" t="s">
        <v>83</v>
      </c>
      <c r="V15" s="364" t="s">
        <v>69</v>
      </c>
      <c r="W15" s="35">
        <f t="shared" si="7"/>
        <v>145</v>
      </c>
      <c r="X15" s="330">
        <f t="shared" si="8"/>
        <v>15.36</v>
      </c>
      <c r="Y15" s="330">
        <f t="shared" si="8"/>
        <v>18.27</v>
      </c>
      <c r="Z15" s="330">
        <f t="shared" si="9"/>
        <v>15.36</v>
      </c>
      <c r="AA15" s="330">
        <f>'Sch 141A Lighting Tariff'!N175+'Sch 141C Lighting Tariff'!N175+'Sch 141N Lighting Tariff'!N177+'Sch 141R Lighting Tariff'!N177+Z15</f>
        <v>18.66</v>
      </c>
      <c r="AB15" s="209">
        <f t="shared" si="24"/>
        <v>26726.399999999998</v>
      </c>
      <c r="AC15" s="209">
        <f t="shared" si="25"/>
        <v>31789.800000000003</v>
      </c>
      <c r="AD15" s="209">
        <f t="shared" si="26"/>
        <v>26726.399999999998</v>
      </c>
      <c r="AE15" s="209">
        <f t="shared" si="27"/>
        <v>32468.399999999998</v>
      </c>
      <c r="AF15" s="209">
        <f t="shared" si="28"/>
        <v>0</v>
      </c>
      <c r="AG15" s="209">
        <f t="shared" si="29"/>
        <v>678.59999999999491</v>
      </c>
      <c r="AH15" s="36" t="str">
        <f t="shared" si="30"/>
        <v>0%</v>
      </c>
      <c r="AI15" s="36">
        <f t="shared" si="31"/>
        <v>2.134646962233153E-2</v>
      </c>
      <c r="AJ15" s="627"/>
      <c r="AK15" s="596">
        <f t="shared" si="32"/>
        <v>3</v>
      </c>
      <c r="AL15" s="17" t="str">
        <f>+AL14</f>
        <v>58E &amp; 59E</v>
      </c>
      <c r="AM15" s="364">
        <v>150</v>
      </c>
      <c r="AN15" s="364" t="s">
        <v>83</v>
      </c>
      <c r="AO15" s="364" t="s">
        <v>69</v>
      </c>
      <c r="AP15" s="35">
        <f t="shared" si="14"/>
        <v>145</v>
      </c>
      <c r="AQ15" s="330"/>
      <c r="AR15" s="330"/>
      <c r="AS15" s="330"/>
      <c r="AT15" s="330"/>
      <c r="AU15" s="209"/>
      <c r="AV15" s="209"/>
      <c r="AW15" s="209"/>
      <c r="AX15" s="209"/>
      <c r="AY15" s="209"/>
      <c r="AZ15" s="209"/>
      <c r="BA15" s="36"/>
      <c r="BB15" s="36"/>
    </row>
    <row r="16" spans="1:54" x14ac:dyDescent="0.2">
      <c r="A16" s="596">
        <f t="shared" si="15"/>
        <v>4</v>
      </c>
      <c r="B16" s="17" t="str">
        <f>+B15</f>
        <v>58E &amp; 59E</v>
      </c>
      <c r="C16" s="364">
        <v>200</v>
      </c>
      <c r="D16" s="364" t="s">
        <v>83</v>
      </c>
      <c r="E16" s="364" t="s">
        <v>69</v>
      </c>
      <c r="F16" s="426">
        <f>'WP1 Light Inventory'!J169</f>
        <v>266</v>
      </c>
      <c r="G16" s="330">
        <f>'WP2 Current Light Rates'!E160</f>
        <v>17.77</v>
      </c>
      <c r="H16" s="330">
        <f>'BDJ-6 Combined Charges'!K178</f>
        <v>17.34</v>
      </c>
      <c r="I16" s="330">
        <f>'Sch 141A Lighting Tariff'!J176+'Sch 141C Lighting Tariff'!J176+'Sch 141N Lighting Tariff'!J178+'Sch 141R Lighting Tariff'!J178+H16</f>
        <v>21.22</v>
      </c>
      <c r="J16" s="209">
        <f t="shared" si="16"/>
        <v>56721.84</v>
      </c>
      <c r="K16" s="209">
        <f t="shared" si="17"/>
        <v>55349.279999999999</v>
      </c>
      <c r="L16" s="209">
        <f t="shared" si="18"/>
        <v>67734.239999999991</v>
      </c>
      <c r="M16" s="209">
        <f t="shared" si="19"/>
        <v>-1372.5599999999977</v>
      </c>
      <c r="N16" s="209">
        <f t="shared" si="20"/>
        <v>11012.399999999994</v>
      </c>
      <c r="O16" s="36">
        <f t="shared" si="21"/>
        <v>-2.4198086662914987E-2</v>
      </c>
      <c r="P16" s="36">
        <f t="shared" si="22"/>
        <v>0.19414743950478325</v>
      </c>
      <c r="Q16" s="627"/>
      <c r="R16" s="596">
        <f t="shared" si="23"/>
        <v>4</v>
      </c>
      <c r="S16" s="17" t="str">
        <f>+S15</f>
        <v>58E &amp; 59E</v>
      </c>
      <c r="T16" s="364">
        <v>200</v>
      </c>
      <c r="U16" s="364" t="s">
        <v>83</v>
      </c>
      <c r="V16" s="364" t="s">
        <v>69</v>
      </c>
      <c r="W16" s="35">
        <f t="shared" si="7"/>
        <v>266</v>
      </c>
      <c r="X16" s="330">
        <f t="shared" si="8"/>
        <v>17.34</v>
      </c>
      <c r="Y16" s="330">
        <f t="shared" si="8"/>
        <v>21.22</v>
      </c>
      <c r="Z16" s="330">
        <f t="shared" si="9"/>
        <v>17.34</v>
      </c>
      <c r="AA16" s="330">
        <f>'Sch 141A Lighting Tariff'!N176+'Sch 141C Lighting Tariff'!N176+'Sch 141N Lighting Tariff'!N178+'Sch 141R Lighting Tariff'!N178+Z16</f>
        <v>21.740000000000002</v>
      </c>
      <c r="AB16" s="209">
        <f t="shared" si="24"/>
        <v>55349.279999999999</v>
      </c>
      <c r="AC16" s="209">
        <f t="shared" si="25"/>
        <v>67734.239999999991</v>
      </c>
      <c r="AD16" s="209">
        <f t="shared" si="26"/>
        <v>55349.279999999999</v>
      </c>
      <c r="AE16" s="209">
        <f t="shared" si="27"/>
        <v>69394.080000000002</v>
      </c>
      <c r="AF16" s="209">
        <f t="shared" si="28"/>
        <v>0</v>
      </c>
      <c r="AG16" s="209">
        <f t="shared" si="29"/>
        <v>1659.8400000000111</v>
      </c>
      <c r="AH16" s="36" t="str">
        <f t="shared" si="30"/>
        <v>0%</v>
      </c>
      <c r="AI16" s="36">
        <f t="shared" si="31"/>
        <v>2.4505183788878584E-2</v>
      </c>
      <c r="AJ16" s="627"/>
      <c r="AK16" s="596">
        <f t="shared" si="32"/>
        <v>4</v>
      </c>
      <c r="AL16" s="17" t="str">
        <f>+AL15</f>
        <v>58E &amp; 59E</v>
      </c>
      <c r="AM16" s="364">
        <v>200</v>
      </c>
      <c r="AN16" s="364" t="s">
        <v>83</v>
      </c>
      <c r="AO16" s="364" t="s">
        <v>69</v>
      </c>
      <c r="AP16" s="35">
        <f t="shared" si="14"/>
        <v>266</v>
      </c>
      <c r="AQ16" s="330"/>
      <c r="AR16" s="330"/>
      <c r="AS16" s="330"/>
      <c r="AT16" s="330"/>
      <c r="AU16" s="209"/>
      <c r="AV16" s="209"/>
      <c r="AW16" s="209"/>
      <c r="AX16" s="209"/>
      <c r="AY16" s="209"/>
      <c r="AZ16" s="209"/>
      <c r="BA16" s="36"/>
      <c r="BB16" s="36"/>
    </row>
    <row r="17" spans="1:54" x14ac:dyDescent="0.2">
      <c r="A17" s="596">
        <f t="shared" si="15"/>
        <v>5</v>
      </c>
      <c r="B17" s="17" t="str">
        <f>+B16</f>
        <v>58E &amp; 59E</v>
      </c>
      <c r="C17" s="364">
        <v>250</v>
      </c>
      <c r="D17" s="364" t="s">
        <v>83</v>
      </c>
      <c r="E17" s="364" t="s">
        <v>69</v>
      </c>
      <c r="F17" s="426">
        <f>'WP1 Light Inventory'!J170</f>
        <v>39</v>
      </c>
      <c r="G17" s="330">
        <f>'WP2 Current Light Rates'!E161</f>
        <v>19.54</v>
      </c>
      <c r="H17" s="330">
        <f>'BDJ-6 Combined Charges'!K179</f>
        <v>18.979999999999997</v>
      </c>
      <c r="I17" s="330">
        <f>'Sch 141A Lighting Tariff'!J177+'Sch 141C Lighting Tariff'!J177+'Sch 141N Lighting Tariff'!J179+'Sch 141R Lighting Tariff'!J179+H17</f>
        <v>23.83</v>
      </c>
      <c r="J17" s="209">
        <f t="shared" si="16"/>
        <v>9144.7199999999993</v>
      </c>
      <c r="K17" s="209">
        <f t="shared" si="17"/>
        <v>8882.64</v>
      </c>
      <c r="L17" s="209">
        <f t="shared" si="18"/>
        <v>11152.439999999999</v>
      </c>
      <c r="M17" s="209">
        <f t="shared" si="19"/>
        <v>-262.07999999999993</v>
      </c>
      <c r="N17" s="209">
        <f t="shared" si="20"/>
        <v>2007.7199999999993</v>
      </c>
      <c r="O17" s="36">
        <f t="shared" si="21"/>
        <v>-2.8659160696008181E-2</v>
      </c>
      <c r="P17" s="36">
        <f t="shared" si="22"/>
        <v>0.21954964176049124</v>
      </c>
      <c r="Q17" s="627"/>
      <c r="R17" s="596">
        <f t="shared" si="23"/>
        <v>5</v>
      </c>
      <c r="S17" s="17" t="str">
        <f>+S16</f>
        <v>58E &amp; 59E</v>
      </c>
      <c r="T17" s="364">
        <v>250</v>
      </c>
      <c r="U17" s="364" t="s">
        <v>83</v>
      </c>
      <c r="V17" s="364" t="s">
        <v>69</v>
      </c>
      <c r="W17" s="35">
        <f t="shared" si="7"/>
        <v>39</v>
      </c>
      <c r="X17" s="330">
        <f t="shared" si="8"/>
        <v>18.979999999999997</v>
      </c>
      <c r="Y17" s="330">
        <f t="shared" si="8"/>
        <v>23.83</v>
      </c>
      <c r="Z17" s="330">
        <f t="shared" si="9"/>
        <v>18.979999999999997</v>
      </c>
      <c r="AA17" s="330">
        <f>'Sch 141A Lighting Tariff'!N177+'Sch 141C Lighting Tariff'!N177+'Sch 141N Lighting Tariff'!N179+'Sch 141R Lighting Tariff'!N179+Z17</f>
        <v>24.489999999999995</v>
      </c>
      <c r="AB17" s="209">
        <f t="shared" si="24"/>
        <v>8882.64</v>
      </c>
      <c r="AC17" s="209">
        <f t="shared" si="25"/>
        <v>11152.439999999999</v>
      </c>
      <c r="AD17" s="209">
        <f t="shared" si="26"/>
        <v>8882.64</v>
      </c>
      <c r="AE17" s="209">
        <f t="shared" si="27"/>
        <v>11461.319999999998</v>
      </c>
      <c r="AF17" s="209">
        <f t="shared" si="28"/>
        <v>0</v>
      </c>
      <c r="AG17" s="209">
        <f t="shared" si="29"/>
        <v>308.8799999999992</v>
      </c>
      <c r="AH17" s="36" t="str">
        <f t="shared" si="30"/>
        <v>0%</v>
      </c>
      <c r="AI17" s="36">
        <f t="shared" si="31"/>
        <v>2.7696181284095608E-2</v>
      </c>
      <c r="AJ17" s="627"/>
      <c r="AK17" s="596">
        <f t="shared" si="32"/>
        <v>5</v>
      </c>
      <c r="AL17" s="17" t="str">
        <f>+AL16</f>
        <v>58E &amp; 59E</v>
      </c>
      <c r="AM17" s="364">
        <v>250</v>
      </c>
      <c r="AN17" s="364" t="s">
        <v>83</v>
      </c>
      <c r="AO17" s="364" t="s">
        <v>69</v>
      </c>
      <c r="AP17" s="35">
        <f t="shared" si="14"/>
        <v>39</v>
      </c>
      <c r="AQ17" s="330"/>
      <c r="AR17" s="330"/>
      <c r="AS17" s="330"/>
      <c r="AT17" s="330"/>
      <c r="AU17" s="209"/>
      <c r="AV17" s="209"/>
      <c r="AW17" s="209"/>
      <c r="AX17" s="209"/>
      <c r="AY17" s="209"/>
      <c r="AZ17" s="209"/>
      <c r="BA17" s="36"/>
      <c r="BB17" s="36"/>
    </row>
    <row r="18" spans="1:54" x14ac:dyDescent="0.2">
      <c r="A18" s="596">
        <f t="shared" si="15"/>
        <v>6</v>
      </c>
      <c r="B18" s="17" t="str">
        <f>+B17</f>
        <v>58E &amp; 59E</v>
      </c>
      <c r="C18" s="364">
        <v>400</v>
      </c>
      <c r="D18" s="364" t="s">
        <v>83</v>
      </c>
      <c r="E18" s="364" t="s">
        <v>69</v>
      </c>
      <c r="F18" s="426">
        <f>'WP1 Light Inventory'!J171</f>
        <v>354</v>
      </c>
      <c r="G18" s="330">
        <f>'WP2 Current Light Rates'!E162</f>
        <v>25.47</v>
      </c>
      <c r="H18" s="330">
        <f>'BDJ-6 Combined Charges'!K180</f>
        <v>24.49</v>
      </c>
      <c r="I18" s="330">
        <f>'Sch 141A Lighting Tariff'!J178+'Sch 141C Lighting Tariff'!J178+'Sch 141N Lighting Tariff'!J180+'Sch 141R Lighting Tariff'!J180+H18</f>
        <v>32.25</v>
      </c>
      <c r="J18" s="209">
        <f t="shared" si="16"/>
        <v>108196.56</v>
      </c>
      <c r="K18" s="209">
        <f t="shared" si="17"/>
        <v>104033.51999999999</v>
      </c>
      <c r="L18" s="209">
        <f t="shared" si="18"/>
        <v>136998</v>
      </c>
      <c r="M18" s="209">
        <f t="shared" si="19"/>
        <v>-4163.0400000000081</v>
      </c>
      <c r="N18" s="209">
        <f t="shared" si="20"/>
        <v>28801.440000000002</v>
      </c>
      <c r="O18" s="36">
        <f t="shared" si="21"/>
        <v>-3.8476639183353041E-2</v>
      </c>
      <c r="P18" s="36">
        <f t="shared" si="22"/>
        <v>0.26619552414605419</v>
      </c>
      <c r="Q18" s="627"/>
      <c r="R18" s="596">
        <f t="shared" si="23"/>
        <v>6</v>
      </c>
      <c r="S18" s="17" t="str">
        <f>+S17</f>
        <v>58E &amp; 59E</v>
      </c>
      <c r="T18" s="364">
        <v>400</v>
      </c>
      <c r="U18" s="364" t="s">
        <v>83</v>
      </c>
      <c r="V18" s="364" t="s">
        <v>69</v>
      </c>
      <c r="W18" s="35">
        <f t="shared" si="7"/>
        <v>354</v>
      </c>
      <c r="X18" s="330">
        <f t="shared" si="8"/>
        <v>24.49</v>
      </c>
      <c r="Y18" s="330">
        <f t="shared" si="8"/>
        <v>32.25</v>
      </c>
      <c r="Z18" s="330">
        <f t="shared" si="9"/>
        <v>24.49</v>
      </c>
      <c r="AA18" s="330">
        <f>'Sch 141A Lighting Tariff'!N178+'Sch 141C Lighting Tariff'!N178+'Sch 141N Lighting Tariff'!N180+'Sch 141R Lighting Tariff'!N180+Z18</f>
        <v>33.31</v>
      </c>
      <c r="AB18" s="209">
        <f t="shared" si="24"/>
        <v>104033.51999999999</v>
      </c>
      <c r="AC18" s="209">
        <f t="shared" si="25"/>
        <v>136998</v>
      </c>
      <c r="AD18" s="209">
        <f t="shared" si="26"/>
        <v>104033.51999999999</v>
      </c>
      <c r="AE18" s="209">
        <f t="shared" si="27"/>
        <v>141500.88</v>
      </c>
      <c r="AF18" s="209">
        <f t="shared" si="28"/>
        <v>0</v>
      </c>
      <c r="AG18" s="209">
        <f t="shared" si="29"/>
        <v>4502.8800000000047</v>
      </c>
      <c r="AH18" s="36" t="str">
        <f t="shared" si="30"/>
        <v>0%</v>
      </c>
      <c r="AI18" s="36">
        <f t="shared" si="31"/>
        <v>3.2868217054263599E-2</v>
      </c>
      <c r="AJ18" s="627"/>
      <c r="AK18" s="596">
        <f t="shared" si="32"/>
        <v>6</v>
      </c>
      <c r="AL18" s="17" t="str">
        <f>+AL17</f>
        <v>58E &amp; 59E</v>
      </c>
      <c r="AM18" s="364">
        <v>400</v>
      </c>
      <c r="AN18" s="364" t="s">
        <v>83</v>
      </c>
      <c r="AO18" s="364" t="s">
        <v>69</v>
      </c>
      <c r="AP18" s="35">
        <f t="shared" si="14"/>
        <v>354</v>
      </c>
      <c r="AQ18" s="330"/>
      <c r="AR18" s="330"/>
      <c r="AS18" s="330"/>
      <c r="AT18" s="330"/>
      <c r="AU18" s="209"/>
      <c r="AV18" s="209"/>
      <c r="AW18" s="209"/>
      <c r="AX18" s="209"/>
      <c r="AY18" s="209"/>
      <c r="AZ18" s="209"/>
      <c r="BA18" s="36"/>
      <c r="BB18" s="36"/>
    </row>
    <row r="19" spans="1:54" x14ac:dyDescent="0.2">
      <c r="A19" s="596">
        <f t="shared" si="15"/>
        <v>7</v>
      </c>
      <c r="B19" s="17"/>
      <c r="C19" s="364"/>
      <c r="D19" s="364"/>
      <c r="E19" s="364" t="str">
        <f>E18</f>
        <v>Sodium Vapor</v>
      </c>
      <c r="F19" s="272">
        <f>SUM(F13:F18)</f>
        <v>867</v>
      </c>
      <c r="G19" s="42"/>
      <c r="H19" s="42"/>
      <c r="I19" s="42"/>
      <c r="J19" s="266">
        <f>SUM(J13:J18)</f>
        <v>211640.03999999998</v>
      </c>
      <c r="K19" s="266">
        <f>SUM(K13:K18)</f>
        <v>205262.52</v>
      </c>
      <c r="L19" s="266">
        <f>SUM(L13:L18)</f>
        <v>259036.56</v>
      </c>
      <c r="M19" s="266">
        <f>SUM(M13:M18)</f>
        <v>-6377.5200000000077</v>
      </c>
      <c r="N19" s="266">
        <f>SUM(N13:N18)</f>
        <v>47396.52</v>
      </c>
      <c r="O19" s="267">
        <f>IF(+M19=0,"na",M19/J19)</f>
        <v>-3.0133806438517062E-2</v>
      </c>
      <c r="P19" s="267">
        <f>IF(+N19=0,"na",N19/K19)</f>
        <v>0.23090684066433559</v>
      </c>
      <c r="Q19" s="627"/>
      <c r="R19" s="596">
        <f t="shared" si="23"/>
        <v>7</v>
      </c>
      <c r="S19" s="17"/>
      <c r="T19" s="364"/>
      <c r="U19" s="364"/>
      <c r="V19" s="364" t="str">
        <f>V18</f>
        <v>Sodium Vapor</v>
      </c>
      <c r="W19" s="272">
        <f>SUM(W13:W18)</f>
        <v>867</v>
      </c>
      <c r="X19" s="42"/>
      <c r="Y19" s="42"/>
      <c r="Z19" s="42"/>
      <c r="AA19" s="42"/>
      <c r="AB19" s="266">
        <f t="shared" ref="AB19:AG19" si="33">SUM(AB13:AB18)</f>
        <v>205262.52</v>
      </c>
      <c r="AC19" s="266">
        <f t="shared" si="33"/>
        <v>259036.56</v>
      </c>
      <c r="AD19" s="266">
        <f t="shared" si="33"/>
        <v>205262.52</v>
      </c>
      <c r="AE19" s="266">
        <f t="shared" si="33"/>
        <v>266345.15999999997</v>
      </c>
      <c r="AF19" s="266">
        <f t="shared" si="33"/>
        <v>0</v>
      </c>
      <c r="AG19" s="266">
        <f t="shared" si="33"/>
        <v>7308.6000000000104</v>
      </c>
      <c r="AH19" s="267" t="str">
        <f t="shared" si="13"/>
        <v>0%</v>
      </c>
      <c r="AI19" s="267">
        <f t="shared" si="13"/>
        <v>2.8214550100572715E-2</v>
      </c>
      <c r="AJ19" s="627"/>
      <c r="AK19" s="596">
        <f t="shared" si="32"/>
        <v>7</v>
      </c>
      <c r="AL19" s="17"/>
      <c r="AM19" s="364"/>
      <c r="AN19" s="364"/>
      <c r="AO19" s="364" t="str">
        <f>AO18</f>
        <v>Sodium Vapor</v>
      </c>
      <c r="AP19" s="272">
        <f>SUM(AP13:AP18)</f>
        <v>867</v>
      </c>
      <c r="AQ19" s="42"/>
      <c r="AR19" s="42"/>
      <c r="AS19" s="42"/>
      <c r="AT19" s="42"/>
      <c r="AU19" s="266"/>
      <c r="AV19" s="266"/>
      <c r="AW19" s="266"/>
      <c r="AX19" s="266"/>
      <c r="AY19" s="266"/>
      <c r="AZ19" s="266"/>
      <c r="BA19" s="267"/>
      <c r="BB19" s="267"/>
    </row>
    <row r="20" spans="1:54" x14ac:dyDescent="0.2">
      <c r="A20" s="596">
        <f t="shared" si="15"/>
        <v>8</v>
      </c>
      <c r="B20" s="17"/>
      <c r="C20" s="364"/>
      <c r="D20" s="364"/>
      <c r="E20" s="364"/>
      <c r="F20" s="426"/>
      <c r="G20" s="496"/>
      <c r="H20" s="496"/>
      <c r="I20" s="496"/>
      <c r="O20" s="518"/>
      <c r="P20" s="518"/>
      <c r="Q20" s="627"/>
      <c r="R20" s="596">
        <f t="shared" si="23"/>
        <v>8</v>
      </c>
      <c r="S20" s="17"/>
      <c r="T20" s="364"/>
      <c r="U20" s="364"/>
      <c r="V20" s="364"/>
      <c r="Y20" s="496"/>
      <c r="AA20" s="496"/>
      <c r="AC20" s="209"/>
      <c r="AE20" s="209"/>
      <c r="AG20" s="209"/>
      <c r="AH20" s="518"/>
      <c r="AI20" s="518"/>
      <c r="AJ20" s="627"/>
      <c r="AK20" s="596">
        <f t="shared" si="32"/>
        <v>8</v>
      </c>
      <c r="AL20" s="17"/>
      <c r="AM20" s="364"/>
      <c r="AN20" s="364"/>
      <c r="AO20" s="364"/>
      <c r="AR20" s="496"/>
      <c r="AT20" s="496"/>
      <c r="AV20" s="209"/>
      <c r="AX20" s="209"/>
      <c r="AZ20" s="209"/>
      <c r="BA20" s="518"/>
      <c r="BB20" s="518"/>
    </row>
    <row r="21" spans="1:54" x14ac:dyDescent="0.2">
      <c r="A21" s="596">
        <f t="shared" si="15"/>
        <v>9</v>
      </c>
      <c r="B21" s="17" t="str">
        <f>+B14</f>
        <v>58E &amp; 59E</v>
      </c>
      <c r="C21" s="364">
        <v>100</v>
      </c>
      <c r="D21" s="364" t="s">
        <v>84</v>
      </c>
      <c r="E21" s="364" t="s">
        <v>69</v>
      </c>
      <c r="F21" s="426">
        <f>'WP1 Light Inventory'!J173</f>
        <v>1</v>
      </c>
      <c r="G21" s="330">
        <f>'WP2 Current Light Rates'!E169</f>
        <v>14.03</v>
      </c>
      <c r="H21" s="330">
        <f>'BDJ-6 Combined Charges'!K182</f>
        <v>13.879999999999999</v>
      </c>
      <c r="I21" s="330">
        <f>'Sch 141A Lighting Tariff'!J180+'Sch 141C Lighting Tariff'!J180+'Sch 141N Lighting Tariff'!J182+'Sch 141R Lighting Tariff'!J182+H21</f>
        <v>15.819999999999999</v>
      </c>
      <c r="J21" s="209">
        <f t="shared" ref="J21:J25" si="34">(+G21*$F21*12)</f>
        <v>168.35999999999999</v>
      </c>
      <c r="K21" s="209">
        <f t="shared" ref="K21:K25" si="35">(+H21*$F21*12)</f>
        <v>166.56</v>
      </c>
      <c r="L21" s="209">
        <f t="shared" ref="L21:L25" si="36">(I21*$F21*12)</f>
        <v>189.83999999999997</v>
      </c>
      <c r="M21" s="209">
        <f t="shared" ref="M21:M25" si="37">+K21-J21</f>
        <v>-1.7999999999999829</v>
      </c>
      <c r="N21" s="209">
        <f t="shared" ref="N21:N25" si="38">+L21-J21</f>
        <v>21.47999999999999</v>
      </c>
      <c r="O21" s="36">
        <f t="shared" ref="O21:O25" si="39">IF(+M21=0,"0%",M21/J21)</f>
        <v>-1.0691375623663478E-2</v>
      </c>
      <c r="P21" s="36">
        <f t="shared" ref="P21:P25" si="40">IF(+N21=0,"0%",N21/J21)</f>
        <v>0.12758374910905199</v>
      </c>
      <c r="Q21" s="627"/>
      <c r="R21" s="596">
        <f t="shared" si="23"/>
        <v>9</v>
      </c>
      <c r="S21" s="17" t="str">
        <f>+S14</f>
        <v>58E &amp; 59E</v>
      </c>
      <c r="T21" s="364">
        <v>100</v>
      </c>
      <c r="U21" s="364" t="s">
        <v>84</v>
      </c>
      <c r="V21" s="364" t="s">
        <v>69</v>
      </c>
      <c r="W21" s="35">
        <f>F21</f>
        <v>1</v>
      </c>
      <c r="X21" s="330">
        <f t="shared" ref="X21:Y25" si="41">H21</f>
        <v>13.879999999999999</v>
      </c>
      <c r="Y21" s="330">
        <f t="shared" si="41"/>
        <v>15.819999999999999</v>
      </c>
      <c r="Z21" s="330">
        <f>X21</f>
        <v>13.879999999999999</v>
      </c>
      <c r="AA21" s="330">
        <f>'Sch 141A Lighting Tariff'!N180+'Sch 141C Lighting Tariff'!N180+'Sch 141N Lighting Tariff'!N182+'Sch 141R Lighting Tariff'!N182+Z21</f>
        <v>16.079999999999998</v>
      </c>
      <c r="AB21" s="209">
        <f t="shared" ref="AB21:AB25" si="42">(+X21*$W21*12)</f>
        <v>166.56</v>
      </c>
      <c r="AC21" s="209">
        <f t="shared" ref="AC21:AC25" si="43">(+Y21*$W21*12)</f>
        <v>189.83999999999997</v>
      </c>
      <c r="AD21" s="209">
        <f t="shared" ref="AD21:AD25" si="44">(Z21*$W21*12)</f>
        <v>166.56</v>
      </c>
      <c r="AE21" s="209">
        <f t="shared" ref="AE21:AE25" si="45">(AA21*$W21*12)</f>
        <v>192.95999999999998</v>
      </c>
      <c r="AF21" s="209">
        <f t="shared" ref="AF21:AF25" si="46">+AD21-AB21</f>
        <v>0</v>
      </c>
      <c r="AG21" s="209">
        <f t="shared" ref="AG21:AG25" si="47">+AE21-AC21</f>
        <v>3.1200000000000045</v>
      </c>
      <c r="AH21" s="36" t="str">
        <f t="shared" ref="AH21:AH25" si="48">IF(+AF21=0,"0%",AF21/AB21)</f>
        <v>0%</v>
      </c>
      <c r="AI21" s="36">
        <f t="shared" ref="AI21:AI25" si="49">IF(+AG21=0,"0%",AG21/AC21)</f>
        <v>1.6434892541087258E-2</v>
      </c>
      <c r="AJ21" s="627"/>
      <c r="AK21" s="596">
        <f t="shared" si="32"/>
        <v>9</v>
      </c>
      <c r="AL21" s="17" t="str">
        <f>+AL14</f>
        <v>58E &amp; 59E</v>
      </c>
      <c r="AM21" s="364">
        <v>100</v>
      </c>
      <c r="AN21" s="364" t="s">
        <v>84</v>
      </c>
      <c r="AO21" s="364" t="s">
        <v>69</v>
      </c>
      <c r="AP21" s="35">
        <f>W21</f>
        <v>1</v>
      </c>
      <c r="AQ21" s="330"/>
      <c r="AR21" s="330"/>
      <c r="AS21" s="330"/>
      <c r="AT21" s="330"/>
      <c r="AU21" s="209"/>
      <c r="AV21" s="209"/>
      <c r="AW21" s="209"/>
      <c r="AX21" s="209"/>
      <c r="AY21" s="209"/>
      <c r="AZ21" s="209"/>
      <c r="BA21" s="36"/>
      <c r="BB21" s="36"/>
    </row>
    <row r="22" spans="1:54" x14ac:dyDescent="0.2">
      <c r="A22" s="596">
        <f t="shared" si="15"/>
        <v>10</v>
      </c>
      <c r="B22" s="17" t="str">
        <f>+B15</f>
        <v>58E &amp; 59E</v>
      </c>
      <c r="C22" s="364">
        <v>150</v>
      </c>
      <c r="D22" s="364" t="s">
        <v>84</v>
      </c>
      <c r="E22" s="364" t="s">
        <v>69</v>
      </c>
      <c r="F22" s="426">
        <f>'WP1 Light Inventory'!J174</f>
        <v>16</v>
      </c>
      <c r="G22" s="330">
        <f>'WP2 Current Light Rates'!E170</f>
        <v>15.65</v>
      </c>
      <c r="H22" s="330">
        <f>'BDJ-6 Combined Charges'!K183</f>
        <v>15.36</v>
      </c>
      <c r="I22" s="330">
        <f>'Sch 141A Lighting Tariff'!J181+'Sch 141C Lighting Tariff'!J181+'Sch 141N Lighting Tariff'!J183+'Sch 141R Lighting Tariff'!J183+H22</f>
        <v>18.27</v>
      </c>
      <c r="J22" s="209">
        <f t="shared" si="34"/>
        <v>3004.8</v>
      </c>
      <c r="K22" s="209">
        <f t="shared" si="35"/>
        <v>2949.12</v>
      </c>
      <c r="L22" s="209">
        <f t="shared" si="36"/>
        <v>3507.84</v>
      </c>
      <c r="M22" s="209">
        <f t="shared" si="37"/>
        <v>-55.680000000000291</v>
      </c>
      <c r="N22" s="209">
        <f t="shared" si="38"/>
        <v>503.03999999999996</v>
      </c>
      <c r="O22" s="36">
        <f t="shared" si="39"/>
        <v>-1.8530351437699776E-2</v>
      </c>
      <c r="P22" s="36">
        <f t="shared" si="40"/>
        <v>0.16741214057507986</v>
      </c>
      <c r="Q22" s="627"/>
      <c r="R22" s="596">
        <f t="shared" si="23"/>
        <v>10</v>
      </c>
      <c r="S22" s="17" t="str">
        <f>+S15</f>
        <v>58E &amp; 59E</v>
      </c>
      <c r="T22" s="364">
        <v>150</v>
      </c>
      <c r="U22" s="364" t="s">
        <v>84</v>
      </c>
      <c r="V22" s="364" t="s">
        <v>69</v>
      </c>
      <c r="W22" s="35">
        <f>F22</f>
        <v>16</v>
      </c>
      <c r="X22" s="330">
        <f t="shared" si="41"/>
        <v>15.36</v>
      </c>
      <c r="Y22" s="330">
        <f t="shared" si="41"/>
        <v>18.27</v>
      </c>
      <c r="Z22" s="330">
        <f>X22</f>
        <v>15.36</v>
      </c>
      <c r="AA22" s="330">
        <f>'Sch 141A Lighting Tariff'!N181+'Sch 141C Lighting Tariff'!N181+'Sch 141N Lighting Tariff'!N183+'Sch 141R Lighting Tariff'!N183+Z22</f>
        <v>18.66</v>
      </c>
      <c r="AB22" s="209">
        <f t="shared" si="42"/>
        <v>2949.12</v>
      </c>
      <c r="AC22" s="209">
        <f t="shared" si="43"/>
        <v>3507.84</v>
      </c>
      <c r="AD22" s="209">
        <f t="shared" si="44"/>
        <v>2949.12</v>
      </c>
      <c r="AE22" s="209">
        <f t="shared" si="45"/>
        <v>3582.7200000000003</v>
      </c>
      <c r="AF22" s="209">
        <f t="shared" si="46"/>
        <v>0</v>
      </c>
      <c r="AG22" s="209">
        <f t="shared" si="47"/>
        <v>74.880000000000109</v>
      </c>
      <c r="AH22" s="36" t="str">
        <f t="shared" si="48"/>
        <v>0%</v>
      </c>
      <c r="AI22" s="36">
        <f t="shared" si="49"/>
        <v>2.1346469622331721E-2</v>
      </c>
      <c r="AJ22" s="627"/>
      <c r="AK22" s="596">
        <f t="shared" si="32"/>
        <v>10</v>
      </c>
      <c r="AL22" s="17" t="str">
        <f>+AL15</f>
        <v>58E &amp; 59E</v>
      </c>
      <c r="AM22" s="364">
        <v>150</v>
      </c>
      <c r="AN22" s="364" t="s">
        <v>84</v>
      </c>
      <c r="AO22" s="364" t="s">
        <v>69</v>
      </c>
      <c r="AP22" s="35">
        <f>W22</f>
        <v>16</v>
      </c>
      <c r="AQ22" s="330"/>
      <c r="AR22" s="330"/>
      <c r="AS22" s="330"/>
      <c r="AT22" s="330"/>
      <c r="AU22" s="209"/>
      <c r="AV22" s="209"/>
      <c r="AW22" s="209"/>
      <c r="AX22" s="209"/>
      <c r="AY22" s="209"/>
      <c r="AZ22" s="209"/>
      <c r="BA22" s="36"/>
      <c r="BB22" s="36"/>
    </row>
    <row r="23" spans="1:54" x14ac:dyDescent="0.2">
      <c r="A23" s="596">
        <f t="shared" si="15"/>
        <v>11</v>
      </c>
      <c r="B23" s="17" t="str">
        <f>+B16</f>
        <v>58E &amp; 59E</v>
      </c>
      <c r="C23" s="364">
        <v>200</v>
      </c>
      <c r="D23" s="364" t="s">
        <v>84</v>
      </c>
      <c r="E23" s="364" t="s">
        <v>69</v>
      </c>
      <c r="F23" s="426">
        <f>'WP1 Light Inventory'!J175</f>
        <v>9</v>
      </c>
      <c r="G23" s="330">
        <f>'WP2 Current Light Rates'!E171</f>
        <v>17.77</v>
      </c>
      <c r="H23" s="330">
        <f>'BDJ-6 Combined Charges'!K184</f>
        <v>17.34</v>
      </c>
      <c r="I23" s="330">
        <f>'Sch 141A Lighting Tariff'!J182+'Sch 141C Lighting Tariff'!J182+'Sch 141N Lighting Tariff'!J184+'Sch 141R Lighting Tariff'!J184+H23</f>
        <v>21.22</v>
      </c>
      <c r="J23" s="209">
        <f t="shared" si="34"/>
        <v>1919.16</v>
      </c>
      <c r="K23" s="209">
        <f t="shared" si="35"/>
        <v>1872.72</v>
      </c>
      <c r="L23" s="209">
        <f t="shared" si="36"/>
        <v>2291.7599999999998</v>
      </c>
      <c r="M23" s="209">
        <f t="shared" si="37"/>
        <v>-46.440000000000055</v>
      </c>
      <c r="N23" s="209">
        <f t="shared" si="38"/>
        <v>372.59999999999968</v>
      </c>
      <c r="O23" s="36">
        <f t="shared" si="39"/>
        <v>-2.4198086662915053E-2</v>
      </c>
      <c r="P23" s="36">
        <f t="shared" si="40"/>
        <v>0.19414743950478316</v>
      </c>
      <c r="Q23" s="627"/>
      <c r="R23" s="596">
        <f t="shared" si="23"/>
        <v>11</v>
      </c>
      <c r="S23" s="17" t="str">
        <f>+S16</f>
        <v>58E &amp; 59E</v>
      </c>
      <c r="T23" s="364">
        <v>200</v>
      </c>
      <c r="U23" s="364" t="s">
        <v>84</v>
      </c>
      <c r="V23" s="364" t="s">
        <v>69</v>
      </c>
      <c r="W23" s="35">
        <f>F23</f>
        <v>9</v>
      </c>
      <c r="X23" s="330">
        <f t="shared" si="41"/>
        <v>17.34</v>
      </c>
      <c r="Y23" s="330">
        <f t="shared" si="41"/>
        <v>21.22</v>
      </c>
      <c r="Z23" s="330">
        <f>X23</f>
        <v>17.34</v>
      </c>
      <c r="AA23" s="330">
        <f>'Sch 141A Lighting Tariff'!N182+'Sch 141C Lighting Tariff'!N182+'Sch 141N Lighting Tariff'!N184+'Sch 141R Lighting Tariff'!N184+Z23</f>
        <v>21.740000000000002</v>
      </c>
      <c r="AB23" s="209">
        <f t="shared" si="42"/>
        <v>1872.72</v>
      </c>
      <c r="AC23" s="209">
        <f t="shared" si="43"/>
        <v>2291.7599999999998</v>
      </c>
      <c r="AD23" s="209">
        <f t="shared" si="44"/>
        <v>1872.72</v>
      </c>
      <c r="AE23" s="209">
        <f t="shared" si="45"/>
        <v>2347.92</v>
      </c>
      <c r="AF23" s="209">
        <f t="shared" si="46"/>
        <v>0</v>
      </c>
      <c r="AG23" s="209">
        <f t="shared" si="47"/>
        <v>56.160000000000309</v>
      </c>
      <c r="AH23" s="36" t="str">
        <f t="shared" si="48"/>
        <v>0%</v>
      </c>
      <c r="AI23" s="36">
        <f t="shared" si="49"/>
        <v>2.4505183788878553E-2</v>
      </c>
      <c r="AJ23" s="627"/>
      <c r="AK23" s="596">
        <f t="shared" si="32"/>
        <v>11</v>
      </c>
      <c r="AL23" s="17" t="str">
        <f>+AL16</f>
        <v>58E &amp; 59E</v>
      </c>
      <c r="AM23" s="364">
        <v>200</v>
      </c>
      <c r="AN23" s="364" t="s">
        <v>84</v>
      </c>
      <c r="AO23" s="364" t="s">
        <v>69</v>
      </c>
      <c r="AP23" s="35">
        <f>W23</f>
        <v>9</v>
      </c>
      <c r="AQ23" s="330"/>
      <c r="AR23" s="330"/>
      <c r="AS23" s="330"/>
      <c r="AT23" s="330"/>
      <c r="AU23" s="209"/>
      <c r="AV23" s="209"/>
      <c r="AW23" s="209"/>
      <c r="AX23" s="209"/>
      <c r="AY23" s="209"/>
      <c r="AZ23" s="209"/>
      <c r="BA23" s="36"/>
      <c r="BB23" s="36"/>
    </row>
    <row r="24" spans="1:54" x14ac:dyDescent="0.2">
      <c r="A24" s="596">
        <f t="shared" si="15"/>
        <v>12</v>
      </c>
      <c r="B24" s="17" t="str">
        <f>+B17</f>
        <v>58E &amp; 59E</v>
      </c>
      <c r="C24" s="364">
        <v>250</v>
      </c>
      <c r="D24" s="364" t="s">
        <v>84</v>
      </c>
      <c r="E24" s="364" t="s">
        <v>69</v>
      </c>
      <c r="F24" s="426">
        <f>'WP1 Light Inventory'!J176</f>
        <v>34</v>
      </c>
      <c r="G24" s="330">
        <f>'WP2 Current Light Rates'!E172</f>
        <v>19.54</v>
      </c>
      <c r="H24" s="330">
        <f>'BDJ-6 Combined Charges'!K185</f>
        <v>18.979999999999997</v>
      </c>
      <c r="I24" s="330">
        <f>'Sch 141A Lighting Tariff'!J183+'Sch 141C Lighting Tariff'!J183+'Sch 141N Lighting Tariff'!J185+'Sch 141R Lighting Tariff'!J185+H24</f>
        <v>23.83</v>
      </c>
      <c r="J24" s="209">
        <f t="shared" si="34"/>
        <v>7972.32</v>
      </c>
      <c r="K24" s="209">
        <f t="shared" si="35"/>
        <v>7743.8399999999992</v>
      </c>
      <c r="L24" s="209">
        <f t="shared" si="36"/>
        <v>9722.64</v>
      </c>
      <c r="M24" s="209">
        <f t="shared" si="37"/>
        <v>-228.48000000000047</v>
      </c>
      <c r="N24" s="209">
        <f t="shared" si="38"/>
        <v>1750.3199999999997</v>
      </c>
      <c r="O24" s="36">
        <f t="shared" si="39"/>
        <v>-2.8659160696008247E-2</v>
      </c>
      <c r="P24" s="36">
        <f t="shared" si="40"/>
        <v>0.21954964176049127</v>
      </c>
      <c r="Q24" s="627"/>
      <c r="R24" s="596">
        <f t="shared" si="23"/>
        <v>12</v>
      </c>
      <c r="S24" s="17" t="str">
        <f>+S17</f>
        <v>58E &amp; 59E</v>
      </c>
      <c r="T24" s="364">
        <v>250</v>
      </c>
      <c r="U24" s="364" t="s">
        <v>84</v>
      </c>
      <c r="V24" s="364" t="s">
        <v>69</v>
      </c>
      <c r="W24" s="35">
        <f>F24</f>
        <v>34</v>
      </c>
      <c r="X24" s="330">
        <f t="shared" si="41"/>
        <v>18.979999999999997</v>
      </c>
      <c r="Y24" s="330">
        <f t="shared" si="41"/>
        <v>23.83</v>
      </c>
      <c r="Z24" s="330">
        <f>X24</f>
        <v>18.979999999999997</v>
      </c>
      <c r="AA24" s="330">
        <f>'Sch 141A Lighting Tariff'!N183+'Sch 141C Lighting Tariff'!N183+'Sch 141N Lighting Tariff'!N185+'Sch 141R Lighting Tariff'!N185+Z24</f>
        <v>24.489999999999995</v>
      </c>
      <c r="AB24" s="209">
        <f t="shared" si="42"/>
        <v>7743.8399999999992</v>
      </c>
      <c r="AC24" s="209">
        <f t="shared" si="43"/>
        <v>9722.64</v>
      </c>
      <c r="AD24" s="209">
        <f t="shared" si="44"/>
        <v>7743.8399999999992</v>
      </c>
      <c r="AE24" s="209">
        <f t="shared" si="45"/>
        <v>9991.9199999999983</v>
      </c>
      <c r="AF24" s="209">
        <f t="shared" si="46"/>
        <v>0</v>
      </c>
      <c r="AG24" s="209">
        <f t="shared" si="47"/>
        <v>269.27999999999884</v>
      </c>
      <c r="AH24" s="36" t="str">
        <f t="shared" si="48"/>
        <v>0%</v>
      </c>
      <c r="AI24" s="36">
        <f t="shared" si="49"/>
        <v>2.769618128409556E-2</v>
      </c>
      <c r="AJ24" s="627"/>
      <c r="AK24" s="596">
        <f t="shared" si="32"/>
        <v>12</v>
      </c>
      <c r="AL24" s="17" t="str">
        <f>+AL17</f>
        <v>58E &amp; 59E</v>
      </c>
      <c r="AM24" s="364">
        <v>250</v>
      </c>
      <c r="AN24" s="364" t="s">
        <v>84</v>
      </c>
      <c r="AO24" s="364" t="s">
        <v>69</v>
      </c>
      <c r="AP24" s="35">
        <f>W24</f>
        <v>34</v>
      </c>
      <c r="AQ24" s="330"/>
      <c r="AR24" s="330"/>
      <c r="AS24" s="330"/>
      <c r="AT24" s="330"/>
      <c r="AU24" s="209"/>
      <c r="AV24" s="209"/>
      <c r="AW24" s="209"/>
      <c r="AX24" s="209"/>
      <c r="AY24" s="209"/>
      <c r="AZ24" s="209"/>
      <c r="BA24" s="36"/>
      <c r="BB24" s="36"/>
    </row>
    <row r="25" spans="1:54" x14ac:dyDescent="0.2">
      <c r="A25" s="596">
        <f t="shared" si="15"/>
        <v>13</v>
      </c>
      <c r="B25" s="17" t="str">
        <f>+B16</f>
        <v>58E &amp; 59E</v>
      </c>
      <c r="C25" s="364">
        <v>400</v>
      </c>
      <c r="D25" s="364" t="s">
        <v>84</v>
      </c>
      <c r="E25" s="364" t="s">
        <v>69</v>
      </c>
      <c r="F25" s="426">
        <f>'WP1 Light Inventory'!J177</f>
        <v>48</v>
      </c>
      <c r="G25" s="330">
        <f>'WP2 Current Light Rates'!E173</f>
        <v>25.47</v>
      </c>
      <c r="H25" s="330">
        <f>'BDJ-6 Combined Charges'!K186</f>
        <v>24.49</v>
      </c>
      <c r="I25" s="330">
        <f>'Sch 141A Lighting Tariff'!J184+'Sch 141C Lighting Tariff'!J184+'Sch 141N Lighting Tariff'!J186+'Sch 141R Lighting Tariff'!J186+H25</f>
        <v>32.25</v>
      </c>
      <c r="J25" s="209">
        <f t="shared" si="34"/>
        <v>14670.72</v>
      </c>
      <c r="K25" s="209">
        <f t="shared" si="35"/>
        <v>14106.24</v>
      </c>
      <c r="L25" s="209">
        <f t="shared" si="36"/>
        <v>18576</v>
      </c>
      <c r="M25" s="209">
        <f t="shared" si="37"/>
        <v>-564.47999999999956</v>
      </c>
      <c r="N25" s="209">
        <f t="shared" si="38"/>
        <v>3905.2800000000007</v>
      </c>
      <c r="O25" s="36">
        <f t="shared" si="39"/>
        <v>-3.8476639183352937E-2</v>
      </c>
      <c r="P25" s="36">
        <f t="shared" si="40"/>
        <v>0.26619552414605424</v>
      </c>
      <c r="Q25" s="627"/>
      <c r="R25" s="596">
        <f t="shared" si="23"/>
        <v>13</v>
      </c>
      <c r="S25" s="17" t="str">
        <f>+S16</f>
        <v>58E &amp; 59E</v>
      </c>
      <c r="T25" s="364">
        <v>400</v>
      </c>
      <c r="U25" s="364" t="s">
        <v>84</v>
      </c>
      <c r="V25" s="364" t="s">
        <v>69</v>
      </c>
      <c r="W25" s="35">
        <f>F25</f>
        <v>48</v>
      </c>
      <c r="X25" s="330">
        <f t="shared" si="41"/>
        <v>24.49</v>
      </c>
      <c r="Y25" s="330">
        <f t="shared" si="41"/>
        <v>32.25</v>
      </c>
      <c r="Z25" s="330">
        <f>X25</f>
        <v>24.49</v>
      </c>
      <c r="AA25" s="330">
        <f>'Sch 141A Lighting Tariff'!N184+'Sch 141C Lighting Tariff'!N184+'Sch 141N Lighting Tariff'!N186+'Sch 141R Lighting Tariff'!N186+Z25</f>
        <v>33.31</v>
      </c>
      <c r="AB25" s="209">
        <f t="shared" si="42"/>
        <v>14106.24</v>
      </c>
      <c r="AC25" s="209">
        <f t="shared" si="43"/>
        <v>18576</v>
      </c>
      <c r="AD25" s="209">
        <f t="shared" si="44"/>
        <v>14106.24</v>
      </c>
      <c r="AE25" s="209">
        <f t="shared" si="45"/>
        <v>19186.560000000001</v>
      </c>
      <c r="AF25" s="209">
        <f t="shared" si="46"/>
        <v>0</v>
      </c>
      <c r="AG25" s="209">
        <f t="shared" si="47"/>
        <v>610.56000000000131</v>
      </c>
      <c r="AH25" s="36" t="str">
        <f t="shared" si="48"/>
        <v>0%</v>
      </c>
      <c r="AI25" s="36">
        <f t="shared" si="49"/>
        <v>3.2868217054263633E-2</v>
      </c>
      <c r="AJ25" s="627"/>
      <c r="AK25" s="596">
        <f t="shared" si="32"/>
        <v>13</v>
      </c>
      <c r="AL25" s="17" t="str">
        <f>+AL16</f>
        <v>58E &amp; 59E</v>
      </c>
      <c r="AM25" s="364">
        <v>400</v>
      </c>
      <c r="AN25" s="364" t="s">
        <v>84</v>
      </c>
      <c r="AO25" s="364" t="s">
        <v>69</v>
      </c>
      <c r="AP25" s="35">
        <f>W25</f>
        <v>48</v>
      </c>
      <c r="AQ25" s="330"/>
      <c r="AR25" s="330"/>
      <c r="AS25" s="330"/>
      <c r="AT25" s="330"/>
      <c r="AU25" s="209"/>
      <c r="AV25" s="209"/>
      <c r="AW25" s="209"/>
      <c r="AX25" s="209"/>
      <c r="AY25" s="209"/>
      <c r="AZ25" s="209"/>
      <c r="BA25" s="36"/>
      <c r="BB25" s="36"/>
    </row>
    <row r="26" spans="1:54" x14ac:dyDescent="0.2">
      <c r="A26" s="596">
        <f t="shared" si="15"/>
        <v>14</v>
      </c>
      <c r="B26" s="17"/>
      <c r="C26" s="364"/>
      <c r="D26" s="364"/>
      <c r="E26" s="364" t="str">
        <f>E25</f>
        <v>Sodium Vapor</v>
      </c>
      <c r="F26" s="272">
        <f>SUM(F21:F25)</f>
        <v>108</v>
      </c>
      <c r="G26" s="42"/>
      <c r="H26" s="42"/>
      <c r="I26" s="42"/>
      <c r="J26" s="266">
        <f>SUM(J21:J25)</f>
        <v>27735.360000000001</v>
      </c>
      <c r="K26" s="266">
        <f>SUM(K21:K25)</f>
        <v>26838.479999999996</v>
      </c>
      <c r="L26" s="266">
        <f>SUM(L21:L25)</f>
        <v>34288.080000000002</v>
      </c>
      <c r="M26" s="266">
        <f>SUM(M21:M25)</f>
        <v>-896.88000000000034</v>
      </c>
      <c r="N26" s="266">
        <f>SUM(N21:N25)</f>
        <v>6552.72</v>
      </c>
      <c r="O26" s="267">
        <f>IF(+M26=0,"na",M26/J26)</f>
        <v>-3.2337059984078098E-2</v>
      </c>
      <c r="P26" s="267">
        <f>IF(+N26=0,"na",N26/K26)</f>
        <v>0.24415391631716854</v>
      </c>
      <c r="Q26" s="627"/>
      <c r="R26" s="596">
        <f t="shared" si="23"/>
        <v>14</v>
      </c>
      <c r="S26" s="17"/>
      <c r="T26" s="364"/>
      <c r="U26" s="364"/>
      <c r="V26" s="364" t="str">
        <f>V25</f>
        <v>Sodium Vapor</v>
      </c>
      <c r="W26" s="272">
        <f>SUM(W21:W25)</f>
        <v>108</v>
      </c>
      <c r="X26" s="42"/>
      <c r="Y26" s="42"/>
      <c r="Z26" s="42"/>
      <c r="AA26" s="42"/>
      <c r="AB26" s="266">
        <f t="shared" ref="AB26:AG26" si="50">SUM(AB21:AB25)</f>
        <v>26838.479999999996</v>
      </c>
      <c r="AC26" s="266">
        <f t="shared" si="50"/>
        <v>34288.080000000002</v>
      </c>
      <c r="AD26" s="266">
        <f t="shared" si="50"/>
        <v>26838.479999999996</v>
      </c>
      <c r="AE26" s="266">
        <f t="shared" si="50"/>
        <v>35302.080000000002</v>
      </c>
      <c r="AF26" s="266">
        <f t="shared" si="50"/>
        <v>0</v>
      </c>
      <c r="AG26" s="266">
        <f t="shared" si="50"/>
        <v>1014.0000000000006</v>
      </c>
      <c r="AH26" s="267" t="str">
        <f t="shared" ref="AH26:AI26" si="51">IF(+AF26=0,"0%",AF26/AB26)</f>
        <v>0%</v>
      </c>
      <c r="AI26" s="267">
        <f t="shared" si="51"/>
        <v>2.9572959465796876E-2</v>
      </c>
      <c r="AJ26" s="627"/>
      <c r="AK26" s="596">
        <f t="shared" si="32"/>
        <v>14</v>
      </c>
      <c r="AL26" s="17"/>
      <c r="AM26" s="364"/>
      <c r="AN26" s="364"/>
      <c r="AO26" s="364" t="str">
        <f>AO25</f>
        <v>Sodium Vapor</v>
      </c>
      <c r="AP26" s="272">
        <f>SUM(AP21:AP25)</f>
        <v>108</v>
      </c>
      <c r="AQ26" s="42"/>
      <c r="AR26" s="42"/>
      <c r="AS26" s="42"/>
      <c r="AT26" s="42"/>
      <c r="AU26" s="266"/>
      <c r="AV26" s="266"/>
      <c r="AW26" s="266"/>
      <c r="AX26" s="266"/>
      <c r="AY26" s="266"/>
      <c r="AZ26" s="266"/>
      <c r="BA26" s="267"/>
      <c r="BB26" s="267"/>
    </row>
    <row r="27" spans="1:54" x14ac:dyDescent="0.2">
      <c r="A27" s="596">
        <f t="shared" si="15"/>
        <v>15</v>
      </c>
      <c r="B27" s="17"/>
      <c r="C27" s="364"/>
      <c r="D27" s="364"/>
      <c r="E27" s="364"/>
      <c r="F27" s="426"/>
      <c r="G27" s="496"/>
      <c r="H27" s="496"/>
      <c r="I27" s="496"/>
      <c r="O27" s="518"/>
      <c r="P27" s="518"/>
      <c r="Q27" s="627"/>
      <c r="R27" s="596">
        <f t="shared" si="23"/>
        <v>15</v>
      </c>
      <c r="S27" s="17"/>
      <c r="T27" s="364"/>
      <c r="U27" s="364"/>
      <c r="V27" s="364"/>
      <c r="Y27" s="496"/>
      <c r="AA27" s="496"/>
      <c r="AC27" s="209"/>
      <c r="AE27" s="209"/>
      <c r="AG27" s="209"/>
      <c r="AH27" s="518"/>
      <c r="AI27" s="518"/>
      <c r="AJ27" s="627"/>
      <c r="AK27" s="596">
        <f t="shared" si="32"/>
        <v>15</v>
      </c>
      <c r="AL27" s="17"/>
      <c r="AM27" s="364"/>
      <c r="AN27" s="364"/>
      <c r="AO27" s="364"/>
      <c r="AR27" s="496"/>
      <c r="AT27" s="496"/>
      <c r="AV27" s="209"/>
      <c r="AX27" s="209"/>
      <c r="AZ27" s="209"/>
      <c r="BA27" s="518"/>
      <c r="BB27" s="518"/>
    </row>
    <row r="28" spans="1:54" x14ac:dyDescent="0.2">
      <c r="A28" s="596">
        <f t="shared" si="15"/>
        <v>16</v>
      </c>
      <c r="B28" s="17" t="str">
        <f>+B17</f>
        <v>58E &amp; 59E</v>
      </c>
      <c r="C28" s="364">
        <v>175</v>
      </c>
      <c r="D28" s="364" t="s">
        <v>83</v>
      </c>
      <c r="E28" s="364" t="s">
        <v>80</v>
      </c>
      <c r="F28" s="426">
        <f>'WP1 Light Inventory'!J179</f>
        <v>3</v>
      </c>
      <c r="G28" s="330">
        <f>'WP2 Current Light Rates'!E164</f>
        <v>18</v>
      </c>
      <c r="H28" s="330">
        <f>'BDJ-6 Combined Charges'!K188</f>
        <v>18.310000000000002</v>
      </c>
      <c r="I28" s="330">
        <f>'Sch 141A Lighting Tariff'!J186+'Sch 141C Lighting Tariff'!J186+'Sch 141N Lighting Tariff'!J188+'Sch 141R Lighting Tariff'!J188+H28</f>
        <v>21.71</v>
      </c>
      <c r="J28" s="209">
        <f t="shared" ref="J28:J31" si="52">(+G28*$F28*12)</f>
        <v>648</v>
      </c>
      <c r="K28" s="209">
        <f t="shared" ref="K28:K31" si="53">(+H28*$F28*12)</f>
        <v>659.16000000000008</v>
      </c>
      <c r="L28" s="209">
        <f t="shared" ref="L28:L31" si="54">(I28*$F28*12)</f>
        <v>781.56</v>
      </c>
      <c r="M28" s="209">
        <f t="shared" ref="M28:M31" si="55">+K28-J28</f>
        <v>11.160000000000082</v>
      </c>
      <c r="N28" s="209">
        <f t="shared" ref="N28:N31" si="56">+L28-J28</f>
        <v>133.55999999999995</v>
      </c>
      <c r="O28" s="36">
        <f t="shared" ref="O28:O31" si="57">IF(+M28=0,"0%",M28/J28)</f>
        <v>1.7222222222222347E-2</v>
      </c>
      <c r="P28" s="36">
        <f t="shared" ref="P28:P31" si="58">IF(+N28=0,"0%",N28/J28)</f>
        <v>0.20611111111111102</v>
      </c>
      <c r="Q28" s="627"/>
      <c r="R28" s="596">
        <f t="shared" si="23"/>
        <v>16</v>
      </c>
      <c r="S28" s="17" t="str">
        <f>+S17</f>
        <v>58E &amp; 59E</v>
      </c>
      <c r="T28" s="364">
        <v>175</v>
      </c>
      <c r="U28" s="364" t="s">
        <v>83</v>
      </c>
      <c r="V28" s="364" t="s">
        <v>80</v>
      </c>
      <c r="W28" s="35">
        <f>F28</f>
        <v>3</v>
      </c>
      <c r="X28" s="330">
        <f t="shared" ref="X28:Y31" si="59">H28</f>
        <v>18.310000000000002</v>
      </c>
      <c r="Y28" s="330">
        <f t="shared" si="59"/>
        <v>21.71</v>
      </c>
      <c r="Z28" s="330">
        <f>X28</f>
        <v>18.310000000000002</v>
      </c>
      <c r="AA28" s="330">
        <f>'Sch 141A Lighting Tariff'!N186+'Sch 141C Lighting Tariff'!N186+'Sch 141N Lighting Tariff'!N188+'Sch 141R Lighting Tariff'!N188+Z28</f>
        <v>22.17</v>
      </c>
      <c r="AB28" s="209">
        <f t="shared" ref="AB28:AB31" si="60">(+X28*$W28*12)</f>
        <v>659.16000000000008</v>
      </c>
      <c r="AC28" s="209">
        <f t="shared" ref="AC28:AC31" si="61">(+Y28*$W28*12)</f>
        <v>781.56</v>
      </c>
      <c r="AD28" s="209">
        <f t="shared" ref="AD28:AD31" si="62">(Z28*$W28*12)</f>
        <v>659.16000000000008</v>
      </c>
      <c r="AE28" s="209">
        <f t="shared" ref="AE28:AE31" si="63">(AA28*$W28*12)</f>
        <v>798.12000000000012</v>
      </c>
      <c r="AF28" s="209">
        <f t="shared" ref="AF28:AF31" si="64">+AD28-AB28</f>
        <v>0</v>
      </c>
      <c r="AG28" s="209">
        <f t="shared" ref="AG28:AG31" si="65">+AE28-AC28</f>
        <v>16.560000000000173</v>
      </c>
      <c r="AH28" s="36" t="str">
        <f t="shared" ref="AH28:AH31" si="66">IF(+AF28=0,"0%",AF28/AB28)</f>
        <v>0%</v>
      </c>
      <c r="AI28" s="36">
        <f t="shared" ref="AI28:AI31" si="67">IF(+AG28=0,"0%",AG28/AC28)</f>
        <v>2.11883924458777E-2</v>
      </c>
      <c r="AJ28" s="627"/>
      <c r="AK28" s="596">
        <f t="shared" si="32"/>
        <v>16</v>
      </c>
      <c r="AL28" s="17" t="str">
        <f>+AL17</f>
        <v>58E &amp; 59E</v>
      </c>
      <c r="AM28" s="364">
        <v>175</v>
      </c>
      <c r="AN28" s="364" t="s">
        <v>83</v>
      </c>
      <c r="AO28" s="364" t="s">
        <v>80</v>
      </c>
      <c r="AP28" s="35">
        <f>W28</f>
        <v>3</v>
      </c>
      <c r="AQ28" s="330"/>
      <c r="AR28" s="330"/>
      <c r="AS28" s="330"/>
      <c r="AT28" s="330"/>
      <c r="AU28" s="209"/>
      <c r="AV28" s="209"/>
      <c r="AW28" s="209"/>
      <c r="AX28" s="209"/>
      <c r="AY28" s="209"/>
      <c r="AZ28" s="209"/>
      <c r="BA28" s="36"/>
      <c r="BB28" s="36"/>
    </row>
    <row r="29" spans="1:54" x14ac:dyDescent="0.2">
      <c r="A29" s="596">
        <f t="shared" si="15"/>
        <v>17</v>
      </c>
      <c r="B29" s="17" t="str">
        <f>+B18</f>
        <v>58E &amp; 59E</v>
      </c>
      <c r="C29" s="364">
        <v>250</v>
      </c>
      <c r="D29" s="364" t="s">
        <v>83</v>
      </c>
      <c r="E29" s="364" t="s">
        <v>80</v>
      </c>
      <c r="F29" s="426">
        <f>'WP1 Light Inventory'!J180</f>
        <v>17</v>
      </c>
      <c r="G29" s="330">
        <f>'WP2 Current Light Rates'!E165</f>
        <v>21.08</v>
      </c>
      <c r="H29" s="330">
        <f>'BDJ-6 Combined Charges'!K189</f>
        <v>21.16</v>
      </c>
      <c r="I29" s="330">
        <f>'Sch 141A Lighting Tariff'!J187+'Sch 141C Lighting Tariff'!J187+'Sch 141N Lighting Tariff'!J189+'Sch 141R Lighting Tariff'!J189+H29</f>
        <v>26.009999999999998</v>
      </c>
      <c r="J29" s="209">
        <f t="shared" si="52"/>
        <v>4300.32</v>
      </c>
      <c r="K29" s="209">
        <f t="shared" si="53"/>
        <v>4316.6400000000003</v>
      </c>
      <c r="L29" s="209">
        <f t="shared" si="54"/>
        <v>5306.0399999999991</v>
      </c>
      <c r="M29" s="209">
        <f t="shared" si="55"/>
        <v>16.320000000000618</v>
      </c>
      <c r="N29" s="209">
        <f t="shared" si="56"/>
        <v>1005.7199999999993</v>
      </c>
      <c r="O29" s="36">
        <f t="shared" si="57"/>
        <v>3.7950664136623831E-3</v>
      </c>
      <c r="P29" s="36">
        <f t="shared" si="58"/>
        <v>0.23387096774193536</v>
      </c>
      <c r="Q29" s="627"/>
      <c r="R29" s="596">
        <f t="shared" si="23"/>
        <v>17</v>
      </c>
      <c r="S29" s="17" t="str">
        <f>+S18</f>
        <v>58E &amp; 59E</v>
      </c>
      <c r="T29" s="364">
        <v>250</v>
      </c>
      <c r="U29" s="364" t="s">
        <v>83</v>
      </c>
      <c r="V29" s="364" t="s">
        <v>80</v>
      </c>
      <c r="W29" s="35">
        <f>F29</f>
        <v>17</v>
      </c>
      <c r="X29" s="330">
        <f t="shared" si="59"/>
        <v>21.16</v>
      </c>
      <c r="Y29" s="330">
        <f t="shared" si="59"/>
        <v>26.009999999999998</v>
      </c>
      <c r="Z29" s="330">
        <f>X29</f>
        <v>21.16</v>
      </c>
      <c r="AA29" s="330">
        <f>'Sch 141A Lighting Tariff'!N187+'Sch 141C Lighting Tariff'!N187+'Sch 141N Lighting Tariff'!N189+'Sch 141R Lighting Tariff'!N189+Z29</f>
        <v>26.67</v>
      </c>
      <c r="AB29" s="209">
        <f t="shared" si="60"/>
        <v>4316.6400000000003</v>
      </c>
      <c r="AC29" s="209">
        <f t="shared" si="61"/>
        <v>5306.0399999999991</v>
      </c>
      <c r="AD29" s="209">
        <f t="shared" si="62"/>
        <v>4316.6400000000003</v>
      </c>
      <c r="AE29" s="209">
        <f t="shared" si="63"/>
        <v>5440.68</v>
      </c>
      <c r="AF29" s="209">
        <f t="shared" si="64"/>
        <v>0</v>
      </c>
      <c r="AG29" s="209">
        <f t="shared" si="65"/>
        <v>134.64000000000124</v>
      </c>
      <c r="AH29" s="36" t="str">
        <f t="shared" si="66"/>
        <v>0%</v>
      </c>
      <c r="AI29" s="36">
        <f t="shared" si="67"/>
        <v>2.5374855824683053E-2</v>
      </c>
      <c r="AJ29" s="627"/>
      <c r="AK29" s="596">
        <f t="shared" si="32"/>
        <v>17</v>
      </c>
      <c r="AL29" s="17" t="str">
        <f>+AL18</f>
        <v>58E &amp; 59E</v>
      </c>
      <c r="AM29" s="364">
        <v>250</v>
      </c>
      <c r="AN29" s="364" t="s">
        <v>83</v>
      </c>
      <c r="AO29" s="364" t="s">
        <v>80</v>
      </c>
      <c r="AP29" s="35">
        <f>W29</f>
        <v>17</v>
      </c>
      <c r="AQ29" s="330"/>
      <c r="AR29" s="330"/>
      <c r="AS29" s="330"/>
      <c r="AT29" s="330"/>
      <c r="AU29" s="209"/>
      <c r="AV29" s="209"/>
      <c r="AW29" s="209"/>
      <c r="AX29" s="209"/>
      <c r="AY29" s="209"/>
      <c r="AZ29" s="209"/>
      <c r="BA29" s="36"/>
      <c r="BB29" s="36"/>
    </row>
    <row r="30" spans="1:54" x14ac:dyDescent="0.2">
      <c r="A30" s="596">
        <f t="shared" si="15"/>
        <v>18</v>
      </c>
      <c r="B30" s="17" t="str">
        <f>+B18</f>
        <v>58E &amp; 59E</v>
      </c>
      <c r="C30" s="364">
        <v>400</v>
      </c>
      <c r="D30" s="364" t="s">
        <v>83</v>
      </c>
      <c r="E30" s="364" t="s">
        <v>80</v>
      </c>
      <c r="F30" s="426">
        <f>'WP1 Light Inventory'!J181</f>
        <v>88</v>
      </c>
      <c r="G30" s="330">
        <f>'WP2 Current Light Rates'!E166</f>
        <v>25.92</v>
      </c>
      <c r="H30" s="330">
        <f>'BDJ-6 Combined Charges'!K190</f>
        <v>25.630000000000003</v>
      </c>
      <c r="I30" s="330">
        <f>'Sch 141A Lighting Tariff'!J188+'Sch 141C Lighting Tariff'!J188+'Sch 141N Lighting Tariff'!J190+'Sch 141R Lighting Tariff'!J190+H30</f>
        <v>33.39</v>
      </c>
      <c r="J30" s="209">
        <f t="shared" si="52"/>
        <v>27371.52</v>
      </c>
      <c r="K30" s="209">
        <f t="shared" si="53"/>
        <v>27065.279999999999</v>
      </c>
      <c r="L30" s="209">
        <f t="shared" si="54"/>
        <v>35259.840000000004</v>
      </c>
      <c r="M30" s="209">
        <f t="shared" si="55"/>
        <v>-306.2400000000016</v>
      </c>
      <c r="N30" s="209">
        <f t="shared" si="56"/>
        <v>7888.3200000000033</v>
      </c>
      <c r="O30" s="36">
        <f t="shared" si="57"/>
        <v>-1.118827160493833E-2</v>
      </c>
      <c r="P30" s="36">
        <f t="shared" si="58"/>
        <v>0.28819444444444459</v>
      </c>
      <c r="Q30" s="627"/>
      <c r="R30" s="596">
        <f t="shared" si="23"/>
        <v>18</v>
      </c>
      <c r="S30" s="17" t="str">
        <f>+S18</f>
        <v>58E &amp; 59E</v>
      </c>
      <c r="T30" s="364">
        <v>400</v>
      </c>
      <c r="U30" s="364" t="s">
        <v>83</v>
      </c>
      <c r="V30" s="364" t="s">
        <v>80</v>
      </c>
      <c r="W30" s="35">
        <f>F30</f>
        <v>88</v>
      </c>
      <c r="X30" s="330">
        <f t="shared" si="59"/>
        <v>25.630000000000003</v>
      </c>
      <c r="Y30" s="330">
        <f t="shared" si="59"/>
        <v>33.39</v>
      </c>
      <c r="Z30" s="330">
        <f>X30</f>
        <v>25.630000000000003</v>
      </c>
      <c r="AA30" s="330">
        <f>'Sch 141A Lighting Tariff'!N188+'Sch 141C Lighting Tariff'!N188+'Sch 141N Lighting Tariff'!N190+'Sch 141R Lighting Tariff'!N190+Z30</f>
        <v>34.450000000000003</v>
      </c>
      <c r="AB30" s="209">
        <f t="shared" si="60"/>
        <v>27065.279999999999</v>
      </c>
      <c r="AC30" s="209">
        <f t="shared" si="61"/>
        <v>35259.840000000004</v>
      </c>
      <c r="AD30" s="209">
        <f t="shared" si="62"/>
        <v>27065.279999999999</v>
      </c>
      <c r="AE30" s="209">
        <f t="shared" si="63"/>
        <v>36379.200000000004</v>
      </c>
      <c r="AF30" s="209">
        <f t="shared" si="64"/>
        <v>0</v>
      </c>
      <c r="AG30" s="209">
        <f t="shared" si="65"/>
        <v>1119.3600000000006</v>
      </c>
      <c r="AH30" s="36" t="str">
        <f t="shared" si="66"/>
        <v>0%</v>
      </c>
      <c r="AI30" s="36">
        <f t="shared" si="67"/>
        <v>3.1746031746031758E-2</v>
      </c>
      <c r="AJ30" s="627"/>
      <c r="AK30" s="596">
        <f t="shared" si="32"/>
        <v>18</v>
      </c>
      <c r="AL30" s="17" t="str">
        <f>+AL18</f>
        <v>58E &amp; 59E</v>
      </c>
      <c r="AM30" s="364">
        <v>400</v>
      </c>
      <c r="AN30" s="364" t="s">
        <v>83</v>
      </c>
      <c r="AO30" s="364" t="s">
        <v>80</v>
      </c>
      <c r="AP30" s="35">
        <f>W30</f>
        <v>88</v>
      </c>
      <c r="AQ30" s="330"/>
      <c r="AR30" s="330"/>
      <c r="AS30" s="330"/>
      <c r="AT30" s="330"/>
      <c r="AU30" s="209"/>
      <c r="AV30" s="209"/>
      <c r="AW30" s="209"/>
      <c r="AX30" s="209"/>
      <c r="AY30" s="209"/>
      <c r="AZ30" s="209"/>
      <c r="BA30" s="36"/>
      <c r="BB30" s="36"/>
    </row>
    <row r="31" spans="1:54" x14ac:dyDescent="0.2">
      <c r="A31" s="596">
        <f t="shared" si="15"/>
        <v>19</v>
      </c>
      <c r="B31" s="17" t="str">
        <f>+B35</f>
        <v>58E &amp; 59E</v>
      </c>
      <c r="C31" s="364">
        <v>1000</v>
      </c>
      <c r="D31" s="364" t="s">
        <v>83</v>
      </c>
      <c r="E31" s="364" t="s">
        <v>80</v>
      </c>
      <c r="F31" s="426">
        <f>'WP1 Light Inventory'!J182</f>
        <v>128</v>
      </c>
      <c r="G31" s="330">
        <f>'WP2 Current Light Rates'!E167</f>
        <v>48.57</v>
      </c>
      <c r="H31" s="330">
        <f>'BDJ-6 Combined Charges'!K191</f>
        <v>46.539999999999992</v>
      </c>
      <c r="I31" s="330">
        <f>'Sch 141A Lighting Tariff'!J189+'Sch 141C Lighting Tariff'!J189+'Sch 141N Lighting Tariff'!J191+'Sch 141R Lighting Tariff'!J191+H31</f>
        <v>65.929999999999993</v>
      </c>
      <c r="J31" s="209">
        <f t="shared" si="52"/>
        <v>74603.520000000004</v>
      </c>
      <c r="K31" s="209">
        <f t="shared" si="53"/>
        <v>71485.439999999988</v>
      </c>
      <c r="L31" s="209">
        <f t="shared" si="54"/>
        <v>101268.47999999998</v>
      </c>
      <c r="M31" s="209">
        <f t="shared" si="55"/>
        <v>-3118.0800000000163</v>
      </c>
      <c r="N31" s="209">
        <f t="shared" si="56"/>
        <v>26664.959999999977</v>
      </c>
      <c r="O31" s="36">
        <f t="shared" si="57"/>
        <v>-4.1795346921968513E-2</v>
      </c>
      <c r="P31" s="36">
        <f t="shared" si="58"/>
        <v>0.35742227712579749</v>
      </c>
      <c r="Q31" s="627"/>
      <c r="R31" s="596">
        <f t="shared" si="23"/>
        <v>19</v>
      </c>
      <c r="S31" s="17" t="str">
        <f>+S35</f>
        <v>58E &amp; 59E</v>
      </c>
      <c r="T31" s="364">
        <v>1000</v>
      </c>
      <c r="U31" s="364" t="s">
        <v>83</v>
      </c>
      <c r="V31" s="364" t="s">
        <v>80</v>
      </c>
      <c r="W31" s="35">
        <f>F31</f>
        <v>128</v>
      </c>
      <c r="X31" s="330">
        <f t="shared" si="59"/>
        <v>46.539999999999992</v>
      </c>
      <c r="Y31" s="330">
        <f t="shared" si="59"/>
        <v>65.929999999999993</v>
      </c>
      <c r="Z31" s="330">
        <f>X31</f>
        <v>46.539999999999992</v>
      </c>
      <c r="AA31" s="330">
        <f>'Sch 141A Lighting Tariff'!N189+'Sch 141C Lighting Tariff'!N189+'Sch 141N Lighting Tariff'!N191+'Sch 141R Lighting Tariff'!N191+Z31</f>
        <v>68.579999999999984</v>
      </c>
      <c r="AB31" s="209">
        <f t="shared" si="60"/>
        <v>71485.439999999988</v>
      </c>
      <c r="AC31" s="209">
        <f t="shared" si="61"/>
        <v>101268.47999999998</v>
      </c>
      <c r="AD31" s="209">
        <f t="shared" si="62"/>
        <v>71485.439999999988</v>
      </c>
      <c r="AE31" s="209">
        <f t="shared" si="63"/>
        <v>105338.87999999998</v>
      </c>
      <c r="AF31" s="209">
        <f t="shared" si="64"/>
        <v>0</v>
      </c>
      <c r="AG31" s="209">
        <f t="shared" si="65"/>
        <v>4070.3999999999942</v>
      </c>
      <c r="AH31" s="36" t="str">
        <f t="shared" si="66"/>
        <v>0%</v>
      </c>
      <c r="AI31" s="36">
        <f t="shared" si="67"/>
        <v>4.0194145305627128E-2</v>
      </c>
      <c r="AJ31" s="627"/>
      <c r="AK31" s="596">
        <f t="shared" si="32"/>
        <v>19</v>
      </c>
      <c r="AL31" s="17" t="str">
        <f>+AL35</f>
        <v>58E &amp; 59E</v>
      </c>
      <c r="AM31" s="364">
        <v>1000</v>
      </c>
      <c r="AN31" s="364" t="s">
        <v>83</v>
      </c>
      <c r="AO31" s="364" t="s">
        <v>80</v>
      </c>
      <c r="AP31" s="35">
        <f>W31</f>
        <v>128</v>
      </c>
      <c r="AQ31" s="330"/>
      <c r="AR31" s="330"/>
      <c r="AS31" s="330"/>
      <c r="AT31" s="330"/>
      <c r="AU31" s="209"/>
      <c r="AV31" s="209"/>
      <c r="AW31" s="209"/>
      <c r="AX31" s="209"/>
      <c r="AY31" s="209"/>
      <c r="AZ31" s="209"/>
      <c r="BA31" s="36"/>
      <c r="BB31" s="36"/>
    </row>
    <row r="32" spans="1:54" x14ac:dyDescent="0.2">
      <c r="A32" s="596">
        <f t="shared" si="15"/>
        <v>20</v>
      </c>
      <c r="B32" s="17"/>
      <c r="C32" s="364"/>
      <c r="D32" s="364"/>
      <c r="E32" s="364" t="str">
        <f>E31</f>
        <v>Metal Halide</v>
      </c>
      <c r="F32" s="272">
        <f>SUM(F28:F31)</f>
        <v>236</v>
      </c>
      <c r="G32" s="42"/>
      <c r="H32" s="42"/>
      <c r="I32" s="42"/>
      <c r="J32" s="266">
        <f>SUM(J28:J31)</f>
        <v>106923.36</v>
      </c>
      <c r="K32" s="266">
        <f>SUM(K28:K31)</f>
        <v>103526.51999999999</v>
      </c>
      <c r="L32" s="266">
        <f>SUM(L28:L31)</f>
        <v>142615.91999999998</v>
      </c>
      <c r="M32" s="266">
        <f>SUM(M28:M31)</f>
        <v>-3396.8400000000174</v>
      </c>
      <c r="N32" s="266">
        <f>SUM(N28:N31)</f>
        <v>35692.559999999983</v>
      </c>
      <c r="O32" s="267">
        <f>IF(+M32=0,"na",M32/J32)</f>
        <v>-3.1768923086592279E-2</v>
      </c>
      <c r="P32" s="267">
        <f>IF(+N32=0,"na",N32/K32)</f>
        <v>0.3447673117960498</v>
      </c>
      <c r="Q32" s="627"/>
      <c r="R32" s="596">
        <f t="shared" si="23"/>
        <v>20</v>
      </c>
      <c r="S32" s="17"/>
      <c r="T32" s="364"/>
      <c r="U32" s="364"/>
      <c r="V32" s="364" t="str">
        <f>V31</f>
        <v>Metal Halide</v>
      </c>
      <c r="W32" s="272">
        <f>SUM(W28:W31)</f>
        <v>236</v>
      </c>
      <c r="X32" s="42"/>
      <c r="Y32" s="42"/>
      <c r="Z32" s="42"/>
      <c r="AA32" s="42"/>
      <c r="AB32" s="266">
        <f t="shared" ref="AB32:AG32" si="68">SUM(AB28:AB31)</f>
        <v>103526.51999999999</v>
      </c>
      <c r="AC32" s="266">
        <f t="shared" si="68"/>
        <v>142615.91999999998</v>
      </c>
      <c r="AD32" s="266">
        <f t="shared" si="68"/>
        <v>103526.51999999999</v>
      </c>
      <c r="AE32" s="266">
        <f t="shared" si="68"/>
        <v>147956.87999999998</v>
      </c>
      <c r="AF32" s="266">
        <f t="shared" si="68"/>
        <v>0</v>
      </c>
      <c r="AG32" s="266">
        <f t="shared" si="68"/>
        <v>5340.9599999999964</v>
      </c>
      <c r="AH32" s="267" t="str">
        <f t="shared" ref="AH32:AI32" si="69">IF(+AF32=0,"0%",AF32/AB32)</f>
        <v>0%</v>
      </c>
      <c r="AI32" s="267">
        <f t="shared" si="69"/>
        <v>3.7449956498545163E-2</v>
      </c>
      <c r="AJ32" s="627"/>
      <c r="AK32" s="596">
        <f t="shared" si="32"/>
        <v>20</v>
      </c>
      <c r="AL32" s="17"/>
      <c r="AM32" s="364"/>
      <c r="AN32" s="364"/>
      <c r="AO32" s="364" t="str">
        <f>AO31</f>
        <v>Metal Halide</v>
      </c>
      <c r="AP32" s="272">
        <f>SUM(AP28:AP31)</f>
        <v>236</v>
      </c>
      <c r="AQ32" s="42"/>
      <c r="AR32" s="42"/>
      <c r="AS32" s="42"/>
      <c r="AT32" s="42"/>
      <c r="AU32" s="266"/>
      <c r="AV32" s="266"/>
      <c r="AW32" s="266"/>
      <c r="AX32" s="266"/>
      <c r="AY32" s="266"/>
      <c r="AZ32" s="266"/>
      <c r="BA32" s="267"/>
      <c r="BB32" s="267"/>
    </row>
    <row r="33" spans="1:54" x14ac:dyDescent="0.2">
      <c r="A33" s="596">
        <f t="shared" si="15"/>
        <v>21</v>
      </c>
      <c r="B33" s="17"/>
      <c r="C33" s="364"/>
      <c r="D33" s="364"/>
      <c r="E33" s="364"/>
      <c r="F33" s="426"/>
      <c r="G33" s="496"/>
      <c r="H33" s="496"/>
      <c r="I33" s="496"/>
      <c r="J33" s="295"/>
      <c r="K33" s="295"/>
      <c r="O33" s="36"/>
      <c r="P33" s="36"/>
      <c r="Q33" s="627"/>
      <c r="R33" s="596">
        <f t="shared" si="23"/>
        <v>21</v>
      </c>
      <c r="S33" s="17"/>
      <c r="T33" s="364"/>
      <c r="U33" s="364"/>
      <c r="V33" s="364"/>
      <c r="Y33" s="496"/>
      <c r="AA33" s="496"/>
      <c r="AC33" s="209"/>
      <c r="AE33" s="209"/>
      <c r="AG33" s="209"/>
      <c r="AH33" s="36"/>
      <c r="AI33" s="36"/>
      <c r="AJ33" s="627"/>
      <c r="AK33" s="596">
        <f t="shared" si="32"/>
        <v>21</v>
      </c>
      <c r="AL33" s="17"/>
      <c r="AM33" s="364"/>
      <c r="AN33" s="364"/>
      <c r="AO33" s="364"/>
      <c r="AR33" s="496"/>
      <c r="AT33" s="496"/>
      <c r="AV33" s="209"/>
      <c r="AX33" s="209"/>
      <c r="AZ33" s="209"/>
      <c r="BA33" s="36"/>
      <c r="BB33" s="36"/>
    </row>
    <row r="34" spans="1:54" x14ac:dyDescent="0.2">
      <c r="A34" s="596">
        <f t="shared" si="15"/>
        <v>22</v>
      </c>
      <c r="B34" s="17" t="str">
        <f>+B29</f>
        <v>58E &amp; 59E</v>
      </c>
      <c r="C34" s="364">
        <v>250</v>
      </c>
      <c r="D34" s="364" t="s">
        <v>84</v>
      </c>
      <c r="E34" s="364" t="s">
        <v>80</v>
      </c>
      <c r="F34" s="426">
        <f>'WP1 Light Inventory'!J184</f>
        <v>10</v>
      </c>
      <c r="G34" s="330">
        <f>'WP2 Current Light Rates'!E175</f>
        <v>21.08</v>
      </c>
      <c r="H34" s="330">
        <f>'BDJ-6 Combined Charges'!K193</f>
        <v>21.16</v>
      </c>
      <c r="I34" s="330">
        <f>'Sch 141A Lighting Tariff'!J191+'Sch 141C Lighting Tariff'!J191+'Sch 141N Lighting Tariff'!J193+'Sch 141R Lighting Tariff'!J193+H34</f>
        <v>26.009999999999998</v>
      </c>
      <c r="J34" s="209">
        <f t="shared" ref="J34:J35" si="70">(+G34*$F34*12)</f>
        <v>2529.6</v>
      </c>
      <c r="K34" s="209">
        <f t="shared" ref="K34:K35" si="71">(+H34*$F34*12)</f>
        <v>2539.1999999999998</v>
      </c>
      <c r="L34" s="209">
        <f t="shared" ref="L34:L35" si="72">(I34*$F34*12)</f>
        <v>3121.2</v>
      </c>
      <c r="M34" s="209">
        <f t="shared" ref="M34:M35" si="73">+K34-J34</f>
        <v>9.5999999999999091</v>
      </c>
      <c r="N34" s="209">
        <f t="shared" ref="N34:N35" si="74">+L34-J34</f>
        <v>591.59999999999991</v>
      </c>
      <c r="O34" s="36">
        <f t="shared" ref="O34:O35" si="75">IF(+M34=0,"0%",M34/J34)</f>
        <v>3.7950664136622032E-3</v>
      </c>
      <c r="P34" s="36">
        <f t="shared" ref="P34:P35" si="76">IF(+N34=0,"0%",N34/J34)</f>
        <v>0.23387096774193544</v>
      </c>
      <c r="Q34" s="627"/>
      <c r="R34" s="596">
        <f t="shared" si="23"/>
        <v>22</v>
      </c>
      <c r="S34" s="17" t="str">
        <f>+S29</f>
        <v>58E &amp; 59E</v>
      </c>
      <c r="T34" s="364">
        <v>250</v>
      </c>
      <c r="U34" s="364" t="s">
        <v>84</v>
      </c>
      <c r="V34" s="364" t="s">
        <v>80</v>
      </c>
      <c r="W34" s="35">
        <f>F34</f>
        <v>10</v>
      </c>
      <c r="X34" s="330">
        <f>H34</f>
        <v>21.16</v>
      </c>
      <c r="Y34" s="330">
        <f>I34</f>
        <v>26.009999999999998</v>
      </c>
      <c r="Z34" s="330">
        <f>X34</f>
        <v>21.16</v>
      </c>
      <c r="AA34" s="330">
        <f>'Sch 141A Lighting Tariff'!N191+'Sch 141C Lighting Tariff'!N191+'Sch 141N Lighting Tariff'!N193+'Sch 141R Lighting Tariff'!N193+Z34</f>
        <v>26.67</v>
      </c>
      <c r="AB34" s="209">
        <f t="shared" ref="AB34:AB35" si="77">(+X34*$W34*12)</f>
        <v>2539.1999999999998</v>
      </c>
      <c r="AC34" s="209">
        <f t="shared" ref="AC34:AC35" si="78">(+Y34*$W34*12)</f>
        <v>3121.2</v>
      </c>
      <c r="AD34" s="209">
        <f t="shared" ref="AD34:AD35" si="79">(Z34*$W34*12)</f>
        <v>2539.1999999999998</v>
      </c>
      <c r="AE34" s="209">
        <f t="shared" ref="AE34:AE35" si="80">(AA34*$W34*12)</f>
        <v>3200.4000000000005</v>
      </c>
      <c r="AF34" s="209">
        <f t="shared" ref="AF34:AF35" si="81">+AD34-AB34</f>
        <v>0</v>
      </c>
      <c r="AG34" s="209">
        <f t="shared" ref="AG34:AG35" si="82">+AE34-AC34</f>
        <v>79.200000000000728</v>
      </c>
      <c r="AH34" s="36" t="str">
        <f t="shared" ref="AH34:AH35" si="83">IF(+AF34=0,"0%",AF34/AB34)</f>
        <v>0%</v>
      </c>
      <c r="AI34" s="36">
        <f t="shared" ref="AI34:AI35" si="84">IF(+AG34=0,"0%",AG34/AC34)</f>
        <v>2.5374855824683049E-2</v>
      </c>
      <c r="AJ34" s="627"/>
      <c r="AK34" s="596">
        <f t="shared" si="32"/>
        <v>22</v>
      </c>
      <c r="AL34" s="17" t="str">
        <f>+AL29</f>
        <v>58E &amp; 59E</v>
      </c>
      <c r="AM34" s="364">
        <v>250</v>
      </c>
      <c r="AN34" s="364" t="s">
        <v>84</v>
      </c>
      <c r="AO34" s="364" t="s">
        <v>80</v>
      </c>
      <c r="AP34" s="35">
        <f>W34</f>
        <v>10</v>
      </c>
      <c r="AQ34" s="330"/>
      <c r="AR34" s="330"/>
      <c r="AS34" s="330"/>
      <c r="AT34" s="330"/>
      <c r="AU34" s="209"/>
      <c r="AV34" s="209"/>
      <c r="AW34" s="209"/>
      <c r="AX34" s="209"/>
      <c r="AY34" s="209"/>
      <c r="AZ34" s="209"/>
      <c r="BA34" s="36"/>
      <c r="BB34" s="36"/>
    </row>
    <row r="35" spans="1:54" x14ac:dyDescent="0.2">
      <c r="A35" s="596">
        <f t="shared" si="15"/>
        <v>23</v>
      </c>
      <c r="B35" s="17" t="str">
        <f>+B30</f>
        <v>58E &amp; 59E</v>
      </c>
      <c r="C35" s="364">
        <v>400</v>
      </c>
      <c r="D35" s="364" t="s">
        <v>84</v>
      </c>
      <c r="E35" s="364" t="s">
        <v>80</v>
      </c>
      <c r="F35" s="426">
        <f>'WP1 Light Inventory'!J185</f>
        <v>40</v>
      </c>
      <c r="G35" s="330">
        <f>'WP2 Current Light Rates'!E176</f>
        <v>25.92</v>
      </c>
      <c r="H35" s="330">
        <f>'BDJ-6 Combined Charges'!K194</f>
        <v>25.630000000000003</v>
      </c>
      <c r="I35" s="330">
        <f>'Sch 141A Lighting Tariff'!J192+'Sch 141C Lighting Tariff'!J192+'Sch 141N Lighting Tariff'!J194+'Sch 141R Lighting Tariff'!J194+H35</f>
        <v>33.39</v>
      </c>
      <c r="J35" s="209">
        <f t="shared" si="70"/>
        <v>12441.600000000002</v>
      </c>
      <c r="K35" s="209">
        <f t="shared" si="71"/>
        <v>12302.400000000001</v>
      </c>
      <c r="L35" s="209">
        <f t="shared" si="72"/>
        <v>16027.199999999999</v>
      </c>
      <c r="M35" s="209">
        <f t="shared" si="73"/>
        <v>-139.20000000000073</v>
      </c>
      <c r="N35" s="209">
        <f t="shared" si="74"/>
        <v>3585.5999999999967</v>
      </c>
      <c r="O35" s="36">
        <f t="shared" si="75"/>
        <v>-1.1188271604938328E-2</v>
      </c>
      <c r="P35" s="36">
        <f t="shared" si="76"/>
        <v>0.28819444444444414</v>
      </c>
      <c r="Q35" s="627"/>
      <c r="R35" s="596">
        <f t="shared" si="23"/>
        <v>23</v>
      </c>
      <c r="S35" s="17" t="str">
        <f>+S30</f>
        <v>58E &amp; 59E</v>
      </c>
      <c r="T35" s="364">
        <v>400</v>
      </c>
      <c r="U35" s="364" t="s">
        <v>84</v>
      </c>
      <c r="V35" s="364" t="s">
        <v>80</v>
      </c>
      <c r="W35" s="35">
        <f>F35</f>
        <v>40</v>
      </c>
      <c r="X35" s="330">
        <f>H35</f>
        <v>25.630000000000003</v>
      </c>
      <c r="Y35" s="330">
        <f>I35</f>
        <v>33.39</v>
      </c>
      <c r="Z35" s="330">
        <f>X35</f>
        <v>25.630000000000003</v>
      </c>
      <c r="AA35" s="330">
        <f>'Sch 141A Lighting Tariff'!N192+'Sch 141C Lighting Tariff'!N192+'Sch 141N Lighting Tariff'!N194+'Sch 141R Lighting Tariff'!N194+Z35</f>
        <v>34.450000000000003</v>
      </c>
      <c r="AB35" s="209">
        <f t="shared" si="77"/>
        <v>12302.400000000001</v>
      </c>
      <c r="AC35" s="209">
        <f t="shared" si="78"/>
        <v>16027.199999999999</v>
      </c>
      <c r="AD35" s="209">
        <f t="shared" si="79"/>
        <v>12302.400000000001</v>
      </c>
      <c r="AE35" s="209">
        <f t="shared" si="80"/>
        <v>16536</v>
      </c>
      <c r="AF35" s="209">
        <f t="shared" si="81"/>
        <v>0</v>
      </c>
      <c r="AG35" s="209">
        <f t="shared" si="82"/>
        <v>508.80000000000109</v>
      </c>
      <c r="AH35" s="36" t="str">
        <f t="shared" si="83"/>
        <v>0%</v>
      </c>
      <c r="AI35" s="36">
        <f t="shared" si="84"/>
        <v>3.1746031746031814E-2</v>
      </c>
      <c r="AJ35" s="627"/>
      <c r="AK35" s="596">
        <f t="shared" si="32"/>
        <v>23</v>
      </c>
      <c r="AL35" s="17" t="str">
        <f>+AL30</f>
        <v>58E &amp; 59E</v>
      </c>
      <c r="AM35" s="364">
        <v>400</v>
      </c>
      <c r="AN35" s="364" t="s">
        <v>84</v>
      </c>
      <c r="AO35" s="364" t="s">
        <v>80</v>
      </c>
      <c r="AP35" s="35">
        <f>W35</f>
        <v>40</v>
      </c>
      <c r="AQ35" s="330"/>
      <c r="AR35" s="330"/>
      <c r="AS35" s="330"/>
      <c r="AT35" s="330"/>
      <c r="AU35" s="209"/>
      <c r="AV35" s="209"/>
      <c r="AW35" s="209"/>
      <c r="AX35" s="209"/>
      <c r="AY35" s="209"/>
      <c r="AZ35" s="209"/>
      <c r="BA35" s="36"/>
      <c r="BB35" s="36"/>
    </row>
    <row r="36" spans="1:54" x14ac:dyDescent="0.2">
      <c r="A36" s="596">
        <f t="shared" si="15"/>
        <v>24</v>
      </c>
      <c r="B36" s="17"/>
      <c r="C36" s="364"/>
      <c r="D36" s="364"/>
      <c r="E36" s="364" t="str">
        <f>E35</f>
        <v>Metal Halide</v>
      </c>
      <c r="F36" s="272">
        <f>SUM(F34:F35)</f>
        <v>50</v>
      </c>
      <c r="G36" s="42"/>
      <c r="H36" s="42"/>
      <c r="I36" s="42"/>
      <c r="J36" s="266">
        <f>SUM(J34:J35)</f>
        <v>14971.200000000003</v>
      </c>
      <c r="K36" s="266">
        <f>SUM(K34:K35)</f>
        <v>14841.600000000002</v>
      </c>
      <c r="L36" s="266">
        <f>SUM(L34:L35)</f>
        <v>19148.399999999998</v>
      </c>
      <c r="M36" s="266">
        <f>SUM(M34:M35)</f>
        <v>-129.60000000000082</v>
      </c>
      <c r="N36" s="266">
        <f>SUM(N34:N35)</f>
        <v>4177.1999999999971</v>
      </c>
      <c r="O36" s="267">
        <f>IF(+M36=0,"na",M36/J36)</f>
        <v>-8.6566207117666459E-3</v>
      </c>
      <c r="P36" s="267">
        <f>IF(+N36=0,"na",N36/K36)</f>
        <v>0.28145213454075008</v>
      </c>
      <c r="Q36" s="627"/>
      <c r="R36" s="596">
        <f t="shared" si="23"/>
        <v>24</v>
      </c>
      <c r="S36" s="17"/>
      <c r="T36" s="364"/>
      <c r="U36" s="364"/>
      <c r="V36" s="364" t="str">
        <f>V35</f>
        <v>Metal Halide</v>
      </c>
      <c r="W36" s="272">
        <f>SUM(W34:W35)</f>
        <v>50</v>
      </c>
      <c r="X36" s="42"/>
      <c r="Y36" s="42"/>
      <c r="Z36" s="42"/>
      <c r="AA36" s="42"/>
      <c r="AB36" s="266">
        <f t="shared" ref="AB36:AG36" si="85">SUM(AB34:AB35)</f>
        <v>14841.600000000002</v>
      </c>
      <c r="AC36" s="266">
        <f t="shared" si="85"/>
        <v>19148.399999999998</v>
      </c>
      <c r="AD36" s="266">
        <f t="shared" si="85"/>
        <v>14841.600000000002</v>
      </c>
      <c r="AE36" s="266">
        <f t="shared" si="85"/>
        <v>19736.400000000001</v>
      </c>
      <c r="AF36" s="266">
        <f t="shared" si="85"/>
        <v>0</v>
      </c>
      <c r="AG36" s="266">
        <f t="shared" si="85"/>
        <v>588.00000000000182</v>
      </c>
      <c r="AH36" s="267" t="str">
        <f t="shared" ref="AH36:AI36" si="86">IF(+AF36=0,"0%",AF36/AB36)</f>
        <v>0%</v>
      </c>
      <c r="AI36" s="267">
        <f t="shared" si="86"/>
        <v>3.0707526477408133E-2</v>
      </c>
      <c r="AJ36" s="627"/>
      <c r="AK36" s="596">
        <f t="shared" si="32"/>
        <v>24</v>
      </c>
      <c r="AL36" s="17"/>
      <c r="AM36" s="364"/>
      <c r="AN36" s="364"/>
      <c r="AO36" s="364" t="str">
        <f>AO35</f>
        <v>Metal Halide</v>
      </c>
      <c r="AP36" s="272">
        <f>SUM(AP34:AP35)</f>
        <v>50</v>
      </c>
      <c r="AQ36" s="42"/>
      <c r="AR36" s="42"/>
      <c r="AS36" s="42"/>
      <c r="AT36" s="42"/>
      <c r="AU36" s="266"/>
      <c r="AV36" s="266"/>
      <c r="AW36" s="266"/>
      <c r="AX36" s="266"/>
      <c r="AY36" s="266"/>
      <c r="AZ36" s="266"/>
      <c r="BA36" s="267"/>
      <c r="BB36" s="267"/>
    </row>
    <row r="37" spans="1:54" x14ac:dyDescent="0.2">
      <c r="A37" s="596">
        <f t="shared" si="15"/>
        <v>25</v>
      </c>
      <c r="B37" s="17"/>
      <c r="C37" s="364"/>
      <c r="D37" s="364"/>
      <c r="G37" s="330"/>
      <c r="H37" s="330"/>
      <c r="I37" s="330"/>
      <c r="O37" s="518"/>
      <c r="P37" s="518"/>
      <c r="Q37" s="627"/>
      <c r="R37" s="596">
        <f t="shared" si="23"/>
        <v>25</v>
      </c>
      <c r="S37" s="17"/>
      <c r="T37" s="364"/>
      <c r="U37" s="364"/>
      <c r="Y37" s="330"/>
      <c r="AA37" s="330"/>
      <c r="AC37" s="209"/>
      <c r="AE37" s="209"/>
      <c r="AG37" s="209"/>
      <c r="AH37" s="518"/>
      <c r="AI37" s="518"/>
      <c r="AJ37" s="627"/>
      <c r="AK37" s="596">
        <f t="shared" si="32"/>
        <v>25</v>
      </c>
      <c r="AL37" s="17"/>
      <c r="AM37" s="364"/>
      <c r="AN37" s="364"/>
      <c r="AR37" s="330"/>
      <c r="AT37" s="330"/>
      <c r="AV37" s="209"/>
      <c r="AX37" s="209"/>
      <c r="AZ37" s="209"/>
      <c r="BA37" s="518"/>
      <c r="BB37" s="518"/>
    </row>
    <row r="38" spans="1:54" x14ac:dyDescent="0.2">
      <c r="A38" s="596">
        <f>A36+1</f>
        <v>25</v>
      </c>
      <c r="B38" s="17" t="s">
        <v>82</v>
      </c>
      <c r="C38" s="593" t="s">
        <v>932</v>
      </c>
      <c r="D38" s="426"/>
      <c r="E38" s="426" t="s">
        <v>117</v>
      </c>
      <c r="F38" s="426">
        <f>'WP1 Light Inventory'!J187</f>
        <v>0</v>
      </c>
      <c r="G38" s="330">
        <f>'WP2 Current Light Rates'!E178</f>
        <v>12.16</v>
      </c>
      <c r="H38" s="330">
        <f>'BDJ-6 Combined Charges'!K196</f>
        <v>8.6499999999999986</v>
      </c>
      <c r="I38" s="330">
        <f>'Sch 141A Lighting Tariff'!J194+'Sch 141C Lighting Tariff'!J194+'Sch 141N Lighting Tariff'!J196+'Sch 141R Lighting Tariff'!J196+H38</f>
        <v>8.9299999999999979</v>
      </c>
      <c r="J38" s="209">
        <f t="shared" ref="J38:J53" si="87">(+G38*$F38*12)</f>
        <v>0</v>
      </c>
      <c r="K38" s="209">
        <f t="shared" ref="K38:K53" si="88">(+H38*$F38*12)</f>
        <v>0</v>
      </c>
      <c r="L38" s="209">
        <f t="shared" ref="L38:L53" si="89">(I38*$F38*12)</f>
        <v>0</v>
      </c>
      <c r="M38" s="209">
        <f t="shared" ref="M38:M53" si="90">+K38-J38</f>
        <v>0</v>
      </c>
      <c r="N38" s="209">
        <f t="shared" ref="N38:N53" si="91">+L38-J38</f>
        <v>0</v>
      </c>
      <c r="O38" s="36" t="str">
        <f t="shared" ref="O38:O53" si="92">IF(+M38=0,"0%",M38/J38)</f>
        <v>0%</v>
      </c>
      <c r="P38" s="36" t="str">
        <f t="shared" ref="P38:P53" si="93">IF(+N38=0,"0%",N38/J38)</f>
        <v>0%</v>
      </c>
      <c r="Q38" s="627"/>
      <c r="R38" s="596">
        <f>R36+1</f>
        <v>25</v>
      </c>
      <c r="S38" s="17" t="s">
        <v>82</v>
      </c>
      <c r="T38" s="593" t="s">
        <v>932</v>
      </c>
      <c r="U38" s="426"/>
      <c r="V38" s="426" t="s">
        <v>117</v>
      </c>
      <c r="W38" s="35">
        <f t="shared" ref="W38" si="94">F38</f>
        <v>0</v>
      </c>
      <c r="X38" s="330">
        <f t="shared" ref="X38" si="95">H38</f>
        <v>8.6499999999999986</v>
      </c>
      <c r="Y38" s="330">
        <f t="shared" ref="Y38" si="96">I38</f>
        <v>8.9299999999999979</v>
      </c>
      <c r="Z38" s="330">
        <f t="shared" ref="Z38" si="97">X38</f>
        <v>8.6499999999999986</v>
      </c>
      <c r="AA38" s="330">
        <f>'Sch 141A Lighting Tariff'!N194+'Sch 141C Lighting Tariff'!N194+'Sch 141N Lighting Tariff'!N196+'Sch 141R Lighting Tariff'!N196+Z38</f>
        <v>8.9699999999999989</v>
      </c>
      <c r="AB38" s="209">
        <f t="shared" ref="AB38:AB53" si="98">(+X38*$W38*12)</f>
        <v>0</v>
      </c>
      <c r="AC38" s="209">
        <f t="shared" ref="AC38:AC53" si="99">(+Y38*$W38*12)</f>
        <v>0</v>
      </c>
      <c r="AD38" s="209">
        <f t="shared" ref="AD38:AD53" si="100">(Z38*$W38*12)</f>
        <v>0</v>
      </c>
      <c r="AE38" s="209">
        <f t="shared" ref="AE38:AE53" si="101">(AA38*$W38*12)</f>
        <v>0</v>
      </c>
      <c r="AF38" s="209">
        <f t="shared" ref="AF38:AF53" si="102">+AD38-AB38</f>
        <v>0</v>
      </c>
      <c r="AG38" s="209">
        <f t="shared" ref="AG38:AG53" si="103">+AE38-AC38</f>
        <v>0</v>
      </c>
      <c r="AH38" s="36" t="str">
        <f t="shared" ref="AH38:AH53" si="104">IF(+AF38=0,"0%",AF38/AB38)</f>
        <v>0%</v>
      </c>
      <c r="AI38" s="36" t="str">
        <f t="shared" ref="AI38:AI53" si="105">IF(+AG38=0,"0%",AG38/AC38)</f>
        <v>0%</v>
      </c>
      <c r="AJ38" s="627"/>
      <c r="AK38" s="596">
        <f>AK36+1</f>
        <v>25</v>
      </c>
      <c r="AL38" s="17" t="s">
        <v>82</v>
      </c>
      <c r="AM38" s="593" t="s">
        <v>932</v>
      </c>
      <c r="AN38" s="426"/>
      <c r="AO38" s="426" t="s">
        <v>117</v>
      </c>
      <c r="AP38" s="35">
        <f t="shared" ref="AP38" si="106">W38</f>
        <v>0</v>
      </c>
      <c r="AQ38" s="330"/>
      <c r="AR38" s="330"/>
      <c r="AS38" s="330"/>
      <c r="AT38" s="330"/>
      <c r="AU38" s="209"/>
      <c r="AV38" s="209"/>
      <c r="AW38" s="209"/>
      <c r="AX38" s="209"/>
      <c r="AY38" s="209"/>
      <c r="AZ38" s="209"/>
      <c r="BA38" s="36"/>
      <c r="BB38" s="36"/>
    </row>
    <row r="39" spans="1:54" x14ac:dyDescent="0.2">
      <c r="A39" s="596">
        <f>A37+1</f>
        <v>26</v>
      </c>
      <c r="B39" s="17" t="s">
        <v>82</v>
      </c>
      <c r="C39" s="593" t="s">
        <v>588</v>
      </c>
      <c r="D39" s="364"/>
      <c r="E39" s="364" t="s">
        <v>117</v>
      </c>
      <c r="F39" s="426">
        <f>'WP1 Light Inventory'!J188</f>
        <v>3</v>
      </c>
      <c r="G39" s="330">
        <f>'WP2 Current Light Rates'!E179</f>
        <v>12.16</v>
      </c>
      <c r="H39" s="330">
        <f>'BDJ-6 Combined Charges'!K197</f>
        <v>11.08</v>
      </c>
      <c r="I39" s="330">
        <f>'Sch 141A Lighting Tariff'!J195+'Sch 141C Lighting Tariff'!J195+'Sch 141N Lighting Tariff'!J197+'Sch 141R Lighting Tariff'!J197+H39</f>
        <v>11.95</v>
      </c>
      <c r="J39" s="209">
        <f t="shared" si="87"/>
        <v>437.76000000000005</v>
      </c>
      <c r="K39" s="209">
        <f t="shared" si="88"/>
        <v>398.88</v>
      </c>
      <c r="L39" s="209">
        <f t="shared" si="89"/>
        <v>430.19999999999993</v>
      </c>
      <c r="M39" s="209">
        <f t="shared" si="90"/>
        <v>-38.880000000000052</v>
      </c>
      <c r="N39" s="209">
        <f t="shared" si="91"/>
        <v>-7.560000000000116</v>
      </c>
      <c r="O39" s="36">
        <f t="shared" si="92"/>
        <v>-8.881578947368432E-2</v>
      </c>
      <c r="P39" s="36">
        <f t="shared" si="93"/>
        <v>-1.7269736842105525E-2</v>
      </c>
      <c r="Q39" s="627"/>
      <c r="R39" s="596">
        <f>R37+1</f>
        <v>26</v>
      </c>
      <c r="S39" s="17" t="s">
        <v>82</v>
      </c>
      <c r="T39" s="593" t="s">
        <v>588</v>
      </c>
      <c r="U39" s="364"/>
      <c r="V39" s="364" t="s">
        <v>117</v>
      </c>
      <c r="W39" s="35">
        <f t="shared" ref="W39:W53" si="107">F39</f>
        <v>3</v>
      </c>
      <c r="X39" s="330">
        <f t="shared" ref="X39:X53" si="108">H39</f>
        <v>11.08</v>
      </c>
      <c r="Y39" s="330">
        <f t="shared" ref="Y39:Y53" si="109">I39</f>
        <v>11.95</v>
      </c>
      <c r="Z39" s="330">
        <f t="shared" ref="Z39:Z53" si="110">X39</f>
        <v>11.08</v>
      </c>
      <c r="AA39" s="330">
        <f>'Sch 141A Lighting Tariff'!N195+'Sch 141C Lighting Tariff'!N195+'Sch 141N Lighting Tariff'!N197+'Sch 141R Lighting Tariff'!N197+Z39</f>
        <v>12.07</v>
      </c>
      <c r="AB39" s="209">
        <f t="shared" si="98"/>
        <v>398.88</v>
      </c>
      <c r="AC39" s="209">
        <f t="shared" si="99"/>
        <v>430.19999999999993</v>
      </c>
      <c r="AD39" s="209">
        <f t="shared" si="100"/>
        <v>398.88</v>
      </c>
      <c r="AE39" s="209">
        <f t="shared" si="101"/>
        <v>434.52</v>
      </c>
      <c r="AF39" s="209">
        <f t="shared" si="102"/>
        <v>0</v>
      </c>
      <c r="AG39" s="209">
        <f t="shared" si="103"/>
        <v>4.32000000000005</v>
      </c>
      <c r="AH39" s="36" t="str">
        <f t="shared" si="104"/>
        <v>0%</v>
      </c>
      <c r="AI39" s="36">
        <f t="shared" si="105"/>
        <v>1.0041841004184218E-2</v>
      </c>
      <c r="AJ39" s="627"/>
      <c r="AK39" s="596">
        <f>AK37+1</f>
        <v>26</v>
      </c>
      <c r="AL39" s="17" t="s">
        <v>82</v>
      </c>
      <c r="AM39" s="593" t="s">
        <v>588</v>
      </c>
      <c r="AN39" s="364"/>
      <c r="AO39" s="364" t="s">
        <v>117</v>
      </c>
      <c r="AP39" s="35">
        <f t="shared" ref="AP39:AP53" si="111">W39</f>
        <v>3</v>
      </c>
      <c r="AQ39" s="330"/>
      <c r="AR39" s="330"/>
      <c r="AS39" s="330"/>
      <c r="AT39" s="330"/>
      <c r="AU39" s="209"/>
      <c r="AV39" s="209"/>
      <c r="AW39" s="209"/>
      <c r="AX39" s="209"/>
      <c r="AY39" s="209"/>
      <c r="AZ39" s="209"/>
      <c r="BA39" s="36"/>
      <c r="BB39" s="36"/>
    </row>
    <row r="40" spans="1:54" x14ac:dyDescent="0.2">
      <c r="A40" s="596">
        <f t="shared" si="15"/>
        <v>27</v>
      </c>
      <c r="B40" s="17" t="str">
        <f t="shared" ref="B40:B53" si="112">B39</f>
        <v>58E &amp; 59E</v>
      </c>
      <c r="C40" s="593" t="s">
        <v>589</v>
      </c>
      <c r="D40" s="364"/>
      <c r="E40" s="364" t="s">
        <v>117</v>
      </c>
      <c r="F40" s="426">
        <f>'WP1 Light Inventory'!J189</f>
        <v>50</v>
      </c>
      <c r="G40" s="330">
        <f>'WP2 Current Light Rates'!E180</f>
        <v>14.03</v>
      </c>
      <c r="H40" s="330">
        <f>'BDJ-6 Combined Charges'!K198</f>
        <v>13.519999999999998</v>
      </c>
      <c r="I40" s="330">
        <f>'Sch 141A Lighting Tariff'!J196+'Sch 141C Lighting Tariff'!J196+'Sch 141N Lighting Tariff'!J198+'Sch 141R Lighting Tariff'!J198+H40</f>
        <v>14.979999999999997</v>
      </c>
      <c r="J40" s="209">
        <f t="shared" si="87"/>
        <v>8418</v>
      </c>
      <c r="K40" s="209">
        <f t="shared" si="88"/>
        <v>8111.9999999999982</v>
      </c>
      <c r="L40" s="209">
        <f t="shared" si="89"/>
        <v>8987.9999999999982</v>
      </c>
      <c r="M40" s="209">
        <f t="shared" si="90"/>
        <v>-306.00000000000182</v>
      </c>
      <c r="N40" s="209">
        <f t="shared" si="91"/>
        <v>569.99999999999818</v>
      </c>
      <c r="O40" s="36">
        <f t="shared" si="92"/>
        <v>-3.6350677120456379E-2</v>
      </c>
      <c r="P40" s="36">
        <f t="shared" si="93"/>
        <v>6.7712045616535779E-2</v>
      </c>
      <c r="Q40" s="627"/>
      <c r="R40" s="596">
        <f t="shared" si="23"/>
        <v>27</v>
      </c>
      <c r="S40" s="17" t="str">
        <f t="shared" ref="S40:S53" si="113">S39</f>
        <v>58E &amp; 59E</v>
      </c>
      <c r="T40" s="593" t="s">
        <v>589</v>
      </c>
      <c r="U40" s="364"/>
      <c r="V40" s="364" t="s">
        <v>117</v>
      </c>
      <c r="W40" s="35">
        <f t="shared" si="107"/>
        <v>50</v>
      </c>
      <c r="X40" s="330">
        <f t="shared" si="108"/>
        <v>13.519999999999998</v>
      </c>
      <c r="Y40" s="330">
        <f t="shared" si="109"/>
        <v>14.979999999999997</v>
      </c>
      <c r="Z40" s="330">
        <f t="shared" si="110"/>
        <v>13.519999999999998</v>
      </c>
      <c r="AA40" s="330">
        <f>'Sch 141A Lighting Tariff'!N196+'Sch 141C Lighting Tariff'!N196+'Sch 141N Lighting Tariff'!N198+'Sch 141R Lighting Tariff'!N198+Z40</f>
        <v>15.169999999999998</v>
      </c>
      <c r="AB40" s="209">
        <f t="shared" si="98"/>
        <v>8111.9999999999982</v>
      </c>
      <c r="AC40" s="209">
        <f t="shared" si="99"/>
        <v>8987.9999999999982</v>
      </c>
      <c r="AD40" s="209">
        <f t="shared" si="100"/>
        <v>8111.9999999999982</v>
      </c>
      <c r="AE40" s="209">
        <f t="shared" si="101"/>
        <v>9101.9999999999982</v>
      </c>
      <c r="AF40" s="209">
        <f t="shared" si="102"/>
        <v>0</v>
      </c>
      <c r="AG40" s="209">
        <f t="shared" si="103"/>
        <v>114</v>
      </c>
      <c r="AH40" s="36" t="str">
        <f t="shared" si="104"/>
        <v>0%</v>
      </c>
      <c r="AI40" s="36">
        <f t="shared" si="105"/>
        <v>1.2683578104138855E-2</v>
      </c>
      <c r="AJ40" s="627"/>
      <c r="AK40" s="596">
        <f t="shared" si="32"/>
        <v>27</v>
      </c>
      <c r="AL40" s="17" t="str">
        <f t="shared" ref="AL40:AL53" si="114">AL39</f>
        <v>58E &amp; 59E</v>
      </c>
      <c r="AM40" s="593" t="s">
        <v>589</v>
      </c>
      <c r="AN40" s="364"/>
      <c r="AO40" s="364" t="s">
        <v>117</v>
      </c>
      <c r="AP40" s="35">
        <f t="shared" si="111"/>
        <v>50</v>
      </c>
      <c r="AQ40" s="330"/>
      <c r="AR40" s="330"/>
      <c r="AS40" s="330"/>
      <c r="AT40" s="330"/>
      <c r="AU40" s="209"/>
      <c r="AV40" s="209"/>
      <c r="AW40" s="209"/>
      <c r="AX40" s="209"/>
      <c r="AY40" s="209"/>
      <c r="AZ40" s="209"/>
      <c r="BA40" s="36"/>
      <c r="BB40" s="36"/>
    </row>
    <row r="41" spans="1:54" x14ac:dyDescent="0.2">
      <c r="A41" s="596">
        <f t="shared" si="15"/>
        <v>28</v>
      </c>
      <c r="B41" s="17" t="str">
        <f t="shared" si="112"/>
        <v>58E &amp; 59E</v>
      </c>
      <c r="C41" s="593" t="s">
        <v>590</v>
      </c>
      <c r="D41" s="364"/>
      <c r="E41" s="364" t="s">
        <v>117</v>
      </c>
      <c r="F41" s="426">
        <f>'WP1 Light Inventory'!J190</f>
        <v>15</v>
      </c>
      <c r="G41" s="330">
        <f>'WP2 Current Light Rates'!E181</f>
        <v>15.89</v>
      </c>
      <c r="H41" s="330">
        <f>'BDJ-6 Combined Charges'!K199</f>
        <v>15.959999999999999</v>
      </c>
      <c r="I41" s="330">
        <f>'Sch 141A Lighting Tariff'!J197+'Sch 141C Lighting Tariff'!J197+'Sch 141N Lighting Tariff'!J199+'Sch 141R Lighting Tariff'!J199+H41</f>
        <v>18</v>
      </c>
      <c r="J41" s="209">
        <f t="shared" si="87"/>
        <v>2860.2000000000003</v>
      </c>
      <c r="K41" s="209">
        <f t="shared" si="88"/>
        <v>2872.7999999999997</v>
      </c>
      <c r="L41" s="209">
        <f t="shared" si="89"/>
        <v>3240</v>
      </c>
      <c r="M41" s="209">
        <f t="shared" si="90"/>
        <v>12.599999999999454</v>
      </c>
      <c r="N41" s="209">
        <f t="shared" si="91"/>
        <v>379.79999999999973</v>
      </c>
      <c r="O41" s="36">
        <f t="shared" si="92"/>
        <v>4.4052863436121435E-3</v>
      </c>
      <c r="P41" s="36">
        <f t="shared" si="93"/>
        <v>0.13278791692888597</v>
      </c>
      <c r="Q41" s="627"/>
      <c r="R41" s="596">
        <f t="shared" si="23"/>
        <v>28</v>
      </c>
      <c r="S41" s="17" t="str">
        <f t="shared" si="113"/>
        <v>58E &amp; 59E</v>
      </c>
      <c r="T41" s="593" t="s">
        <v>590</v>
      </c>
      <c r="U41" s="364"/>
      <c r="V41" s="364" t="s">
        <v>117</v>
      </c>
      <c r="W41" s="35">
        <f t="shared" si="107"/>
        <v>15</v>
      </c>
      <c r="X41" s="330">
        <f t="shared" si="108"/>
        <v>15.959999999999999</v>
      </c>
      <c r="Y41" s="330">
        <f t="shared" si="109"/>
        <v>18</v>
      </c>
      <c r="Z41" s="330">
        <f t="shared" si="110"/>
        <v>15.959999999999999</v>
      </c>
      <c r="AA41" s="330">
        <f>'Sch 141A Lighting Tariff'!N197+'Sch 141C Lighting Tariff'!N197+'Sch 141N Lighting Tariff'!N199+'Sch 141R Lighting Tariff'!N199+Z41</f>
        <v>18.28</v>
      </c>
      <c r="AB41" s="209">
        <f t="shared" si="98"/>
        <v>2872.7999999999997</v>
      </c>
      <c r="AC41" s="209">
        <f t="shared" si="99"/>
        <v>3240</v>
      </c>
      <c r="AD41" s="209">
        <f t="shared" si="100"/>
        <v>2872.7999999999997</v>
      </c>
      <c r="AE41" s="209">
        <f t="shared" si="101"/>
        <v>3290.4000000000005</v>
      </c>
      <c r="AF41" s="209">
        <f t="shared" si="102"/>
        <v>0</v>
      </c>
      <c r="AG41" s="209">
        <f t="shared" si="103"/>
        <v>50.400000000000546</v>
      </c>
      <c r="AH41" s="36" t="str">
        <f t="shared" si="104"/>
        <v>0%</v>
      </c>
      <c r="AI41" s="36">
        <f t="shared" si="105"/>
        <v>1.5555555555555723E-2</v>
      </c>
      <c r="AJ41" s="627"/>
      <c r="AK41" s="596">
        <f t="shared" si="32"/>
        <v>28</v>
      </c>
      <c r="AL41" s="17" t="str">
        <f t="shared" si="114"/>
        <v>58E &amp; 59E</v>
      </c>
      <c r="AM41" s="593" t="s">
        <v>590</v>
      </c>
      <c r="AN41" s="364"/>
      <c r="AO41" s="364" t="s">
        <v>117</v>
      </c>
      <c r="AP41" s="35">
        <f t="shared" si="111"/>
        <v>15</v>
      </c>
      <c r="AQ41" s="330"/>
      <c r="AR41" s="330"/>
      <c r="AS41" s="330"/>
      <c r="AT41" s="330"/>
      <c r="AU41" s="209"/>
      <c r="AV41" s="209"/>
      <c r="AW41" s="209"/>
      <c r="AX41" s="209"/>
      <c r="AY41" s="209"/>
      <c r="AZ41" s="209"/>
      <c r="BA41" s="36"/>
      <c r="BB41" s="36"/>
    </row>
    <row r="42" spans="1:54" x14ac:dyDescent="0.2">
      <c r="A42" s="596">
        <f t="shared" si="15"/>
        <v>29</v>
      </c>
      <c r="B42" s="17" t="str">
        <f t="shared" si="112"/>
        <v>58E &amp; 59E</v>
      </c>
      <c r="C42" s="593" t="s">
        <v>571</v>
      </c>
      <c r="D42" s="364"/>
      <c r="E42" s="364" t="s">
        <v>117</v>
      </c>
      <c r="F42" s="426">
        <f>'WP1 Light Inventory'!J191</f>
        <v>94</v>
      </c>
      <c r="G42" s="330">
        <f>'WP2 Current Light Rates'!E182</f>
        <v>17.760000000000002</v>
      </c>
      <c r="H42" s="330">
        <f>'BDJ-6 Combined Charges'!K200</f>
        <v>18.41</v>
      </c>
      <c r="I42" s="330">
        <f>'Sch 141A Lighting Tariff'!J198+'Sch 141C Lighting Tariff'!J198+'Sch 141N Lighting Tariff'!J200+'Sch 141R Lighting Tariff'!J200+H42</f>
        <v>21.02</v>
      </c>
      <c r="J42" s="209">
        <f t="shared" si="87"/>
        <v>20033.28</v>
      </c>
      <c r="K42" s="209">
        <f t="shared" si="88"/>
        <v>20766.48</v>
      </c>
      <c r="L42" s="209">
        <f t="shared" si="89"/>
        <v>23710.559999999998</v>
      </c>
      <c r="M42" s="209">
        <f t="shared" si="90"/>
        <v>733.20000000000073</v>
      </c>
      <c r="N42" s="209">
        <f t="shared" si="91"/>
        <v>3677.2799999999988</v>
      </c>
      <c r="O42" s="36">
        <f t="shared" si="92"/>
        <v>3.6599099099099135E-2</v>
      </c>
      <c r="P42" s="36">
        <f t="shared" si="93"/>
        <v>0.18355855855855852</v>
      </c>
      <c r="Q42" s="627"/>
      <c r="R42" s="596">
        <f t="shared" si="23"/>
        <v>29</v>
      </c>
      <c r="S42" s="17" t="str">
        <f t="shared" si="113"/>
        <v>58E &amp; 59E</v>
      </c>
      <c r="T42" s="593" t="s">
        <v>571</v>
      </c>
      <c r="U42" s="364"/>
      <c r="V42" s="364" t="s">
        <v>117</v>
      </c>
      <c r="W42" s="35">
        <f t="shared" si="107"/>
        <v>94</v>
      </c>
      <c r="X42" s="330">
        <f t="shared" si="108"/>
        <v>18.41</v>
      </c>
      <c r="Y42" s="330">
        <f t="shared" si="109"/>
        <v>21.02</v>
      </c>
      <c r="Z42" s="330">
        <f t="shared" si="110"/>
        <v>18.41</v>
      </c>
      <c r="AA42" s="330">
        <f>'Sch 141A Lighting Tariff'!N198+'Sch 141C Lighting Tariff'!N198+'Sch 141N Lighting Tariff'!N200+'Sch 141R Lighting Tariff'!N200+Z42</f>
        <v>21.39</v>
      </c>
      <c r="AB42" s="209">
        <f t="shared" si="98"/>
        <v>20766.48</v>
      </c>
      <c r="AC42" s="209">
        <f t="shared" si="99"/>
        <v>23710.559999999998</v>
      </c>
      <c r="AD42" s="209">
        <f t="shared" si="100"/>
        <v>20766.48</v>
      </c>
      <c r="AE42" s="209">
        <f t="shared" si="101"/>
        <v>24127.920000000002</v>
      </c>
      <c r="AF42" s="209">
        <f t="shared" si="102"/>
        <v>0</v>
      </c>
      <c r="AG42" s="209">
        <f t="shared" si="103"/>
        <v>417.36000000000422</v>
      </c>
      <c r="AH42" s="36" t="str">
        <f t="shared" si="104"/>
        <v>0%</v>
      </c>
      <c r="AI42" s="36">
        <f t="shared" si="105"/>
        <v>1.7602283539486382E-2</v>
      </c>
      <c r="AJ42" s="627"/>
      <c r="AK42" s="596">
        <f t="shared" si="32"/>
        <v>29</v>
      </c>
      <c r="AL42" s="17" t="str">
        <f t="shared" si="114"/>
        <v>58E &amp; 59E</v>
      </c>
      <c r="AM42" s="593" t="s">
        <v>571</v>
      </c>
      <c r="AN42" s="364"/>
      <c r="AO42" s="364" t="s">
        <v>117</v>
      </c>
      <c r="AP42" s="35">
        <f t="shared" si="111"/>
        <v>94</v>
      </c>
      <c r="AQ42" s="330"/>
      <c r="AR42" s="330"/>
      <c r="AS42" s="330"/>
      <c r="AT42" s="330"/>
      <c r="AU42" s="209"/>
      <c r="AV42" s="209"/>
      <c r="AW42" s="209"/>
      <c r="AX42" s="209"/>
      <c r="AY42" s="209"/>
      <c r="AZ42" s="209"/>
      <c r="BA42" s="36"/>
      <c r="BB42" s="36"/>
    </row>
    <row r="43" spans="1:54" x14ac:dyDescent="0.2">
      <c r="A43" s="596">
        <f t="shared" si="15"/>
        <v>30</v>
      </c>
      <c r="B43" s="17" t="str">
        <f t="shared" si="112"/>
        <v>58E &amp; 59E</v>
      </c>
      <c r="C43" s="593" t="s">
        <v>572</v>
      </c>
      <c r="D43" s="364"/>
      <c r="E43" s="364" t="s">
        <v>117</v>
      </c>
      <c r="F43" s="426">
        <f>'WP1 Light Inventory'!J192</f>
        <v>11</v>
      </c>
      <c r="G43" s="330">
        <f>'WP2 Current Light Rates'!E183</f>
        <v>19.62</v>
      </c>
      <c r="H43" s="330">
        <f>'BDJ-6 Combined Charges'!K201</f>
        <v>20.849999999999998</v>
      </c>
      <c r="I43" s="330">
        <f>'Sch 141A Lighting Tariff'!J199+'Sch 141C Lighting Tariff'!J199+'Sch 141N Lighting Tariff'!J201+'Sch 141R Lighting Tariff'!J201+H43</f>
        <v>24.04</v>
      </c>
      <c r="J43" s="209">
        <f t="shared" si="87"/>
        <v>2589.84</v>
      </c>
      <c r="K43" s="209">
        <f t="shared" si="88"/>
        <v>2752.2</v>
      </c>
      <c r="L43" s="209">
        <f t="shared" si="89"/>
        <v>3173.2799999999997</v>
      </c>
      <c r="M43" s="209">
        <f t="shared" si="90"/>
        <v>162.35999999999967</v>
      </c>
      <c r="N43" s="209">
        <f t="shared" si="91"/>
        <v>583.4399999999996</v>
      </c>
      <c r="O43" s="36">
        <f t="shared" si="92"/>
        <v>6.2691131498470817E-2</v>
      </c>
      <c r="P43" s="36">
        <f t="shared" si="93"/>
        <v>0.22528032619775723</v>
      </c>
      <c r="Q43" s="627"/>
      <c r="R43" s="596">
        <f t="shared" si="23"/>
        <v>30</v>
      </c>
      <c r="S43" s="17" t="str">
        <f t="shared" si="113"/>
        <v>58E &amp; 59E</v>
      </c>
      <c r="T43" s="593" t="s">
        <v>572</v>
      </c>
      <c r="U43" s="364"/>
      <c r="V43" s="364" t="s">
        <v>117</v>
      </c>
      <c r="W43" s="35">
        <f t="shared" si="107"/>
        <v>11</v>
      </c>
      <c r="X43" s="330">
        <f t="shared" si="108"/>
        <v>20.849999999999998</v>
      </c>
      <c r="Y43" s="330">
        <f t="shared" si="109"/>
        <v>24.04</v>
      </c>
      <c r="Z43" s="330">
        <f t="shared" si="110"/>
        <v>20.849999999999998</v>
      </c>
      <c r="AA43" s="330">
        <f>'Sch 141A Lighting Tariff'!N199+'Sch 141C Lighting Tariff'!N199+'Sch 141N Lighting Tariff'!N201+'Sch 141R Lighting Tariff'!N201+Z43</f>
        <v>24.49</v>
      </c>
      <c r="AB43" s="209">
        <f t="shared" si="98"/>
        <v>2752.2</v>
      </c>
      <c r="AC43" s="209">
        <f t="shared" si="99"/>
        <v>3173.2799999999997</v>
      </c>
      <c r="AD43" s="209">
        <f t="shared" si="100"/>
        <v>2752.2</v>
      </c>
      <c r="AE43" s="209">
        <f t="shared" si="101"/>
        <v>3232.68</v>
      </c>
      <c r="AF43" s="209">
        <f t="shared" si="102"/>
        <v>0</v>
      </c>
      <c r="AG43" s="209">
        <f t="shared" si="103"/>
        <v>59.400000000000091</v>
      </c>
      <c r="AH43" s="36" t="str">
        <f t="shared" si="104"/>
        <v>0%</v>
      </c>
      <c r="AI43" s="36">
        <f t="shared" si="105"/>
        <v>1.8718801996672241E-2</v>
      </c>
      <c r="AJ43" s="627"/>
      <c r="AK43" s="596">
        <f t="shared" si="32"/>
        <v>30</v>
      </c>
      <c r="AL43" s="17" t="str">
        <f t="shared" si="114"/>
        <v>58E &amp; 59E</v>
      </c>
      <c r="AM43" s="593" t="s">
        <v>572</v>
      </c>
      <c r="AN43" s="364"/>
      <c r="AO43" s="364" t="s">
        <v>117</v>
      </c>
      <c r="AP43" s="35">
        <f t="shared" si="111"/>
        <v>11</v>
      </c>
      <c r="AQ43" s="330"/>
      <c r="AR43" s="330"/>
      <c r="AS43" s="330"/>
      <c r="AT43" s="330"/>
      <c r="AU43" s="209"/>
      <c r="AV43" s="209"/>
      <c r="AW43" s="209"/>
      <c r="AX43" s="209"/>
      <c r="AY43" s="209"/>
      <c r="AZ43" s="209"/>
      <c r="BA43" s="36"/>
      <c r="BB43" s="36"/>
    </row>
    <row r="44" spans="1:54" x14ac:dyDescent="0.2">
      <c r="A44" s="596">
        <f t="shared" si="15"/>
        <v>31</v>
      </c>
      <c r="B44" s="17" t="str">
        <f t="shared" si="112"/>
        <v>58E &amp; 59E</v>
      </c>
      <c r="C44" s="593" t="s">
        <v>587</v>
      </c>
      <c r="D44" s="364"/>
      <c r="E44" s="364" t="s">
        <v>117</v>
      </c>
      <c r="F44" s="426">
        <f>'WP1 Light Inventory'!J193</f>
        <v>0</v>
      </c>
      <c r="G44" s="330">
        <f>'WP2 Current Light Rates'!E184</f>
        <v>21.49</v>
      </c>
      <c r="H44" s="330">
        <f>'BDJ-6 Combined Charges'!K202</f>
        <v>23.299999999999997</v>
      </c>
      <c r="I44" s="330">
        <f>'Sch 141A Lighting Tariff'!J200+'Sch 141C Lighting Tariff'!J200+'Sch 141N Lighting Tariff'!J202+'Sch 141R Lighting Tariff'!J202+H44</f>
        <v>27.089999999999996</v>
      </c>
      <c r="J44" s="209">
        <f t="shared" si="87"/>
        <v>0</v>
      </c>
      <c r="K44" s="209">
        <f t="shared" si="88"/>
        <v>0</v>
      </c>
      <c r="L44" s="209">
        <f t="shared" si="89"/>
        <v>0</v>
      </c>
      <c r="M44" s="209">
        <f t="shared" si="90"/>
        <v>0</v>
      </c>
      <c r="N44" s="209">
        <f t="shared" si="91"/>
        <v>0</v>
      </c>
      <c r="O44" s="36" t="str">
        <f t="shared" si="92"/>
        <v>0%</v>
      </c>
      <c r="P44" s="36" t="str">
        <f t="shared" si="93"/>
        <v>0%</v>
      </c>
      <c r="Q44" s="627"/>
      <c r="R44" s="596">
        <f t="shared" si="23"/>
        <v>31</v>
      </c>
      <c r="S44" s="17" t="str">
        <f t="shared" si="113"/>
        <v>58E &amp; 59E</v>
      </c>
      <c r="T44" s="593" t="s">
        <v>587</v>
      </c>
      <c r="U44" s="364"/>
      <c r="V44" s="364" t="s">
        <v>117</v>
      </c>
      <c r="W44" s="35">
        <f t="shared" si="107"/>
        <v>0</v>
      </c>
      <c r="X44" s="330">
        <f t="shared" si="108"/>
        <v>23.299999999999997</v>
      </c>
      <c r="Y44" s="330">
        <f t="shared" si="109"/>
        <v>27.089999999999996</v>
      </c>
      <c r="Z44" s="330">
        <f t="shared" si="110"/>
        <v>23.299999999999997</v>
      </c>
      <c r="AA44" s="330">
        <f>'Sch 141A Lighting Tariff'!N200+'Sch 141C Lighting Tariff'!N200+'Sch 141N Lighting Tariff'!N202+'Sch 141R Lighting Tariff'!N202+Z44</f>
        <v>27.589999999999996</v>
      </c>
      <c r="AB44" s="209">
        <f t="shared" si="98"/>
        <v>0</v>
      </c>
      <c r="AC44" s="209">
        <f t="shared" si="99"/>
        <v>0</v>
      </c>
      <c r="AD44" s="209">
        <f t="shared" si="100"/>
        <v>0</v>
      </c>
      <c r="AE44" s="209">
        <f t="shared" si="101"/>
        <v>0</v>
      </c>
      <c r="AF44" s="209">
        <f t="shared" si="102"/>
        <v>0</v>
      </c>
      <c r="AG44" s="209">
        <f t="shared" si="103"/>
        <v>0</v>
      </c>
      <c r="AH44" s="36" t="str">
        <f t="shared" si="104"/>
        <v>0%</v>
      </c>
      <c r="AI44" s="36" t="str">
        <f t="shared" si="105"/>
        <v>0%</v>
      </c>
      <c r="AJ44" s="627"/>
      <c r="AK44" s="596">
        <f t="shared" si="32"/>
        <v>31</v>
      </c>
      <c r="AL44" s="17" t="str">
        <f t="shared" si="114"/>
        <v>58E &amp; 59E</v>
      </c>
      <c r="AM44" s="593" t="s">
        <v>587</v>
      </c>
      <c r="AN44" s="364"/>
      <c r="AO44" s="364" t="s">
        <v>117</v>
      </c>
      <c r="AP44" s="35">
        <f t="shared" si="111"/>
        <v>0</v>
      </c>
      <c r="AQ44" s="330"/>
      <c r="AR44" s="330"/>
      <c r="AS44" s="330"/>
      <c r="AT44" s="330"/>
      <c r="AU44" s="209"/>
      <c r="AV44" s="209"/>
      <c r="AW44" s="209"/>
      <c r="AX44" s="209"/>
      <c r="AY44" s="209"/>
      <c r="AZ44" s="209"/>
      <c r="BA44" s="36"/>
      <c r="BB44" s="36"/>
    </row>
    <row r="45" spans="1:54" x14ac:dyDescent="0.2">
      <c r="A45" s="596">
        <f t="shared" si="15"/>
        <v>32</v>
      </c>
      <c r="B45" s="17" t="str">
        <f t="shared" si="112"/>
        <v>58E &amp; 59E</v>
      </c>
      <c r="C45" s="593" t="s">
        <v>586</v>
      </c>
      <c r="D45" s="364"/>
      <c r="E45" s="364" t="s">
        <v>117</v>
      </c>
      <c r="F45" s="426">
        <f>'WP1 Light Inventory'!J194</f>
        <v>10</v>
      </c>
      <c r="G45" s="330">
        <f>'WP2 Current Light Rates'!E185</f>
        <v>23.35</v>
      </c>
      <c r="H45" s="330">
        <f>'BDJ-6 Combined Charges'!K203</f>
        <v>25.75</v>
      </c>
      <c r="I45" s="330">
        <f>'Sch 141A Lighting Tariff'!J201+'Sch 141C Lighting Tariff'!J201+'Sch 141N Lighting Tariff'!J203+'Sch 141R Lighting Tariff'!J203+H45</f>
        <v>30.13</v>
      </c>
      <c r="J45" s="209">
        <f t="shared" si="87"/>
        <v>2802</v>
      </c>
      <c r="K45" s="209">
        <f t="shared" si="88"/>
        <v>3090</v>
      </c>
      <c r="L45" s="209">
        <f t="shared" si="89"/>
        <v>3615.6000000000004</v>
      </c>
      <c r="M45" s="209">
        <f t="shared" si="90"/>
        <v>288</v>
      </c>
      <c r="N45" s="209">
        <f t="shared" si="91"/>
        <v>813.60000000000036</v>
      </c>
      <c r="O45" s="36">
        <f t="shared" si="92"/>
        <v>0.10278372591006424</v>
      </c>
      <c r="P45" s="36">
        <f t="shared" si="93"/>
        <v>0.29036402569593162</v>
      </c>
      <c r="Q45" s="627"/>
      <c r="R45" s="596">
        <f t="shared" si="23"/>
        <v>32</v>
      </c>
      <c r="S45" s="17" t="str">
        <f t="shared" si="113"/>
        <v>58E &amp; 59E</v>
      </c>
      <c r="T45" s="593" t="s">
        <v>586</v>
      </c>
      <c r="U45" s="364"/>
      <c r="V45" s="364" t="s">
        <v>117</v>
      </c>
      <c r="W45" s="35">
        <f t="shared" si="107"/>
        <v>10</v>
      </c>
      <c r="X45" s="330">
        <f t="shared" si="108"/>
        <v>25.75</v>
      </c>
      <c r="Y45" s="330">
        <f t="shared" si="109"/>
        <v>30.13</v>
      </c>
      <c r="Z45" s="330">
        <f t="shared" si="110"/>
        <v>25.75</v>
      </c>
      <c r="AA45" s="330">
        <f>'Sch 141A Lighting Tariff'!N201+'Sch 141C Lighting Tariff'!N201+'Sch 141N Lighting Tariff'!N203+'Sch 141R Lighting Tariff'!N203+Z45</f>
        <v>30.7</v>
      </c>
      <c r="AB45" s="209">
        <f t="shared" si="98"/>
        <v>3090</v>
      </c>
      <c r="AC45" s="209">
        <f t="shared" si="99"/>
        <v>3615.6000000000004</v>
      </c>
      <c r="AD45" s="209">
        <f t="shared" si="100"/>
        <v>3090</v>
      </c>
      <c r="AE45" s="209">
        <f t="shared" si="101"/>
        <v>3684</v>
      </c>
      <c r="AF45" s="209">
        <f t="shared" si="102"/>
        <v>0</v>
      </c>
      <c r="AG45" s="209">
        <f t="shared" si="103"/>
        <v>68.399999999999636</v>
      </c>
      <c r="AH45" s="36" t="str">
        <f t="shared" si="104"/>
        <v>0%</v>
      </c>
      <c r="AI45" s="36">
        <f t="shared" si="105"/>
        <v>1.8918021905077891E-2</v>
      </c>
      <c r="AJ45" s="627"/>
      <c r="AK45" s="596">
        <f t="shared" si="32"/>
        <v>32</v>
      </c>
      <c r="AL45" s="17" t="str">
        <f t="shared" si="114"/>
        <v>58E &amp; 59E</v>
      </c>
      <c r="AM45" s="593" t="s">
        <v>586</v>
      </c>
      <c r="AN45" s="364"/>
      <c r="AO45" s="364" t="s">
        <v>117</v>
      </c>
      <c r="AP45" s="35">
        <f t="shared" si="111"/>
        <v>10</v>
      </c>
      <c r="AQ45" s="330"/>
      <c r="AR45" s="330"/>
      <c r="AS45" s="330"/>
      <c r="AT45" s="330"/>
      <c r="AU45" s="209"/>
      <c r="AV45" s="209"/>
      <c r="AW45" s="209"/>
      <c r="AX45" s="209"/>
      <c r="AY45" s="209"/>
      <c r="AZ45" s="209"/>
      <c r="BA45" s="36"/>
      <c r="BB45" s="36"/>
    </row>
    <row r="46" spans="1:54" x14ac:dyDescent="0.2">
      <c r="A46" s="596">
        <f t="shared" si="15"/>
        <v>33</v>
      </c>
      <c r="B46" s="17" t="str">
        <f t="shared" si="112"/>
        <v>58E &amp; 59E</v>
      </c>
      <c r="C46" s="399" t="s">
        <v>573</v>
      </c>
      <c r="D46" s="364"/>
      <c r="E46" s="364" t="s">
        <v>117</v>
      </c>
      <c r="F46" s="426">
        <f>'WP1 Light Inventory'!J195</f>
        <v>22</v>
      </c>
      <c r="G46" s="330">
        <f>'WP2 Current Light Rates'!E186</f>
        <v>25.22</v>
      </c>
      <c r="H46" s="330">
        <f>'BDJ-6 Combined Charges'!K204</f>
        <v>28.19</v>
      </c>
      <c r="I46" s="330">
        <f>'Sch 141A Lighting Tariff'!J202+'Sch 141C Lighting Tariff'!J202+'Sch 141N Lighting Tariff'!J204+'Sch 141R Lighting Tariff'!J204+H46</f>
        <v>33.130000000000003</v>
      </c>
      <c r="J46" s="209">
        <f t="shared" si="87"/>
        <v>6658.079999999999</v>
      </c>
      <c r="K46" s="209">
        <f t="shared" si="88"/>
        <v>7442.1600000000008</v>
      </c>
      <c r="L46" s="209">
        <f t="shared" si="89"/>
        <v>8746.32</v>
      </c>
      <c r="M46" s="209">
        <f t="shared" si="90"/>
        <v>784.08000000000175</v>
      </c>
      <c r="N46" s="209">
        <f t="shared" si="91"/>
        <v>2088.2400000000007</v>
      </c>
      <c r="O46" s="36">
        <f t="shared" si="92"/>
        <v>0.11776367961935</v>
      </c>
      <c r="P46" s="36">
        <f t="shared" si="93"/>
        <v>0.3136399682791437</v>
      </c>
      <c r="Q46" s="627"/>
      <c r="R46" s="596">
        <f t="shared" si="23"/>
        <v>33</v>
      </c>
      <c r="S46" s="17" t="str">
        <f t="shared" si="113"/>
        <v>58E &amp; 59E</v>
      </c>
      <c r="T46" s="399" t="s">
        <v>573</v>
      </c>
      <c r="U46" s="364"/>
      <c r="V46" s="364" t="s">
        <v>117</v>
      </c>
      <c r="W46" s="35">
        <f t="shared" si="107"/>
        <v>22</v>
      </c>
      <c r="X46" s="330">
        <f t="shared" si="108"/>
        <v>28.19</v>
      </c>
      <c r="Y46" s="330">
        <f t="shared" si="109"/>
        <v>33.130000000000003</v>
      </c>
      <c r="Z46" s="330">
        <f t="shared" si="110"/>
        <v>28.19</v>
      </c>
      <c r="AA46" s="330">
        <f>'Sch 141A Lighting Tariff'!N202+'Sch 141C Lighting Tariff'!N202+'Sch 141N Lighting Tariff'!N204+'Sch 141R Lighting Tariff'!N204+Z46</f>
        <v>33.81</v>
      </c>
      <c r="AB46" s="209">
        <f t="shared" si="98"/>
        <v>7442.1600000000008</v>
      </c>
      <c r="AC46" s="209">
        <f t="shared" si="99"/>
        <v>8746.32</v>
      </c>
      <c r="AD46" s="209">
        <f t="shared" si="100"/>
        <v>7442.1600000000008</v>
      </c>
      <c r="AE46" s="209">
        <f t="shared" si="101"/>
        <v>8925.84</v>
      </c>
      <c r="AF46" s="209">
        <f t="shared" si="102"/>
        <v>0</v>
      </c>
      <c r="AG46" s="209">
        <f t="shared" si="103"/>
        <v>179.52000000000044</v>
      </c>
      <c r="AH46" s="36" t="str">
        <f t="shared" si="104"/>
        <v>0%</v>
      </c>
      <c r="AI46" s="36">
        <f t="shared" si="105"/>
        <v>2.0525203742831323E-2</v>
      </c>
      <c r="AJ46" s="627"/>
      <c r="AK46" s="596">
        <f t="shared" si="32"/>
        <v>33</v>
      </c>
      <c r="AL46" s="17" t="str">
        <f t="shared" si="114"/>
        <v>58E &amp; 59E</v>
      </c>
      <c r="AM46" s="399" t="s">
        <v>573</v>
      </c>
      <c r="AN46" s="364"/>
      <c r="AO46" s="364" t="s">
        <v>117</v>
      </c>
      <c r="AP46" s="35">
        <f t="shared" si="111"/>
        <v>22</v>
      </c>
      <c r="AQ46" s="330"/>
      <c r="AR46" s="330"/>
      <c r="AS46" s="330"/>
      <c r="AT46" s="330"/>
      <c r="AU46" s="209"/>
      <c r="AV46" s="209"/>
      <c r="AW46" s="209"/>
      <c r="AX46" s="209"/>
      <c r="AY46" s="209"/>
      <c r="AZ46" s="209"/>
      <c r="BA46" s="36"/>
      <c r="BB46" s="36"/>
    </row>
    <row r="47" spans="1:54" x14ac:dyDescent="0.2">
      <c r="A47" s="596">
        <f t="shared" si="15"/>
        <v>34</v>
      </c>
      <c r="B47" s="17" t="str">
        <f t="shared" si="112"/>
        <v>58E &amp; 59E</v>
      </c>
      <c r="C47" s="399" t="s">
        <v>574</v>
      </c>
      <c r="D47" s="364"/>
      <c r="E47" s="364" t="s">
        <v>117</v>
      </c>
      <c r="F47" s="426">
        <f>'WP1 Light Inventory'!J196</f>
        <v>0</v>
      </c>
      <c r="G47" s="330">
        <f>'WP2 Current Light Rates'!E187</f>
        <v>27.08</v>
      </c>
      <c r="H47" s="330">
        <f>'BDJ-6 Combined Charges'!K205</f>
        <v>30.64</v>
      </c>
      <c r="I47" s="330">
        <f>'Sch 141A Lighting Tariff'!J203+'Sch 141C Lighting Tariff'!J203+'Sch 141N Lighting Tariff'!J205+'Sch 141R Lighting Tariff'!J205+H47</f>
        <v>36.17</v>
      </c>
      <c r="J47" s="209">
        <f t="shared" si="87"/>
        <v>0</v>
      </c>
      <c r="K47" s="209">
        <f t="shared" si="88"/>
        <v>0</v>
      </c>
      <c r="L47" s="209">
        <f t="shared" si="89"/>
        <v>0</v>
      </c>
      <c r="M47" s="209">
        <f t="shared" si="90"/>
        <v>0</v>
      </c>
      <c r="N47" s="209">
        <f t="shared" si="91"/>
        <v>0</v>
      </c>
      <c r="O47" s="36" t="str">
        <f t="shared" si="92"/>
        <v>0%</v>
      </c>
      <c r="P47" s="36" t="str">
        <f t="shared" si="93"/>
        <v>0%</v>
      </c>
      <c r="Q47" s="627"/>
      <c r="R47" s="596">
        <f t="shared" si="23"/>
        <v>34</v>
      </c>
      <c r="S47" s="17" t="str">
        <f t="shared" si="113"/>
        <v>58E &amp; 59E</v>
      </c>
      <c r="T47" s="399" t="s">
        <v>574</v>
      </c>
      <c r="U47" s="364"/>
      <c r="V47" s="364" t="s">
        <v>117</v>
      </c>
      <c r="W47" s="35">
        <f t="shared" si="107"/>
        <v>0</v>
      </c>
      <c r="X47" s="330">
        <f t="shared" si="108"/>
        <v>30.64</v>
      </c>
      <c r="Y47" s="330">
        <f t="shared" si="109"/>
        <v>36.17</v>
      </c>
      <c r="Z47" s="330">
        <f t="shared" si="110"/>
        <v>30.64</v>
      </c>
      <c r="AA47" s="330">
        <f>'Sch 141A Lighting Tariff'!N203+'Sch 141C Lighting Tariff'!N203+'Sch 141N Lighting Tariff'!N205+'Sch 141R Lighting Tariff'!N205+Z47</f>
        <v>36.92</v>
      </c>
      <c r="AB47" s="209">
        <f t="shared" si="98"/>
        <v>0</v>
      </c>
      <c r="AC47" s="209">
        <f t="shared" si="99"/>
        <v>0</v>
      </c>
      <c r="AD47" s="209">
        <f t="shared" si="100"/>
        <v>0</v>
      </c>
      <c r="AE47" s="209">
        <f t="shared" si="101"/>
        <v>0</v>
      </c>
      <c r="AF47" s="209">
        <f t="shared" si="102"/>
        <v>0</v>
      </c>
      <c r="AG47" s="209">
        <f t="shared" si="103"/>
        <v>0</v>
      </c>
      <c r="AH47" s="36" t="str">
        <f t="shared" si="104"/>
        <v>0%</v>
      </c>
      <c r="AI47" s="36" t="str">
        <f t="shared" si="105"/>
        <v>0%</v>
      </c>
      <c r="AJ47" s="627"/>
      <c r="AK47" s="596">
        <f t="shared" si="32"/>
        <v>34</v>
      </c>
      <c r="AL47" s="17" t="str">
        <f t="shared" si="114"/>
        <v>58E &amp; 59E</v>
      </c>
      <c r="AM47" s="399" t="s">
        <v>574</v>
      </c>
      <c r="AN47" s="364"/>
      <c r="AO47" s="364" t="s">
        <v>117</v>
      </c>
      <c r="AP47" s="35">
        <f t="shared" si="111"/>
        <v>0</v>
      </c>
      <c r="AQ47" s="330"/>
      <c r="AR47" s="330"/>
      <c r="AS47" s="330"/>
      <c r="AT47" s="330"/>
      <c r="AU47" s="209"/>
      <c r="AV47" s="209"/>
      <c r="AW47" s="209"/>
      <c r="AX47" s="209"/>
      <c r="AY47" s="209"/>
      <c r="AZ47" s="209"/>
      <c r="BA47" s="36"/>
      <c r="BB47" s="36"/>
    </row>
    <row r="48" spans="1:54" x14ac:dyDescent="0.2">
      <c r="A48" s="596">
        <f t="shared" si="15"/>
        <v>35</v>
      </c>
      <c r="B48" s="17" t="str">
        <f t="shared" si="112"/>
        <v>58E &amp; 59E</v>
      </c>
      <c r="C48" s="399" t="s">
        <v>591</v>
      </c>
      <c r="D48" s="364"/>
      <c r="E48" s="364" t="s">
        <v>117</v>
      </c>
      <c r="F48" s="426">
        <f>'WP1 Light Inventory'!J197</f>
        <v>0</v>
      </c>
      <c r="G48" s="330">
        <f>'WP2 Current Light Rates'!E188</f>
        <v>31.12</v>
      </c>
      <c r="H48" s="330">
        <f>'BDJ-6 Combined Charges'!K206</f>
        <v>35.92</v>
      </c>
      <c r="I48" s="330">
        <f>'Sch 141A Lighting Tariff'!J204+'Sch 141C Lighting Tariff'!J204+'Sch 141N Lighting Tariff'!J206+'Sch 141R Lighting Tariff'!J206+H48</f>
        <v>42.71</v>
      </c>
      <c r="J48" s="209">
        <f t="shared" si="87"/>
        <v>0</v>
      </c>
      <c r="K48" s="209">
        <f t="shared" si="88"/>
        <v>0</v>
      </c>
      <c r="L48" s="209">
        <f t="shared" si="89"/>
        <v>0</v>
      </c>
      <c r="M48" s="209">
        <f t="shared" si="90"/>
        <v>0</v>
      </c>
      <c r="N48" s="209">
        <f t="shared" si="91"/>
        <v>0</v>
      </c>
      <c r="O48" s="36" t="str">
        <f t="shared" si="92"/>
        <v>0%</v>
      </c>
      <c r="P48" s="36" t="str">
        <f t="shared" si="93"/>
        <v>0%</v>
      </c>
      <c r="Q48" s="627"/>
      <c r="R48" s="596">
        <f t="shared" si="23"/>
        <v>35</v>
      </c>
      <c r="S48" s="17" t="str">
        <f t="shared" si="113"/>
        <v>58E &amp; 59E</v>
      </c>
      <c r="T48" s="399" t="s">
        <v>591</v>
      </c>
      <c r="U48" s="364"/>
      <c r="V48" s="364" t="s">
        <v>117</v>
      </c>
      <c r="W48" s="35">
        <f t="shared" si="107"/>
        <v>0</v>
      </c>
      <c r="X48" s="330">
        <f t="shared" si="108"/>
        <v>35.92</v>
      </c>
      <c r="Y48" s="330">
        <f t="shared" si="109"/>
        <v>42.71</v>
      </c>
      <c r="Z48" s="330">
        <f t="shared" si="110"/>
        <v>35.92</v>
      </c>
      <c r="AA48" s="330">
        <f>'Sch 141A Lighting Tariff'!N204+'Sch 141C Lighting Tariff'!N204+'Sch 141N Lighting Tariff'!N206+'Sch 141R Lighting Tariff'!N206+Z48</f>
        <v>43.64</v>
      </c>
      <c r="AB48" s="209">
        <f t="shared" si="98"/>
        <v>0</v>
      </c>
      <c r="AC48" s="209">
        <f t="shared" si="99"/>
        <v>0</v>
      </c>
      <c r="AD48" s="209">
        <f t="shared" si="100"/>
        <v>0</v>
      </c>
      <c r="AE48" s="209">
        <f t="shared" si="101"/>
        <v>0</v>
      </c>
      <c r="AF48" s="209">
        <f t="shared" si="102"/>
        <v>0</v>
      </c>
      <c r="AG48" s="209">
        <f t="shared" si="103"/>
        <v>0</v>
      </c>
      <c r="AH48" s="36" t="str">
        <f t="shared" si="104"/>
        <v>0%</v>
      </c>
      <c r="AI48" s="36" t="str">
        <f t="shared" si="105"/>
        <v>0%</v>
      </c>
      <c r="AJ48" s="627"/>
      <c r="AK48" s="596">
        <f t="shared" si="32"/>
        <v>35</v>
      </c>
      <c r="AL48" s="17" t="str">
        <f t="shared" si="114"/>
        <v>58E &amp; 59E</v>
      </c>
      <c r="AM48" s="399" t="s">
        <v>591</v>
      </c>
      <c r="AN48" s="364"/>
      <c r="AO48" s="364" t="s">
        <v>117</v>
      </c>
      <c r="AP48" s="35">
        <f t="shared" si="111"/>
        <v>0</v>
      </c>
      <c r="AQ48" s="330"/>
      <c r="AR48" s="330"/>
      <c r="AS48" s="330"/>
      <c r="AT48" s="330"/>
      <c r="AU48" s="209"/>
      <c r="AV48" s="209"/>
      <c r="AW48" s="209"/>
      <c r="AX48" s="209"/>
      <c r="AY48" s="209"/>
      <c r="AZ48" s="209"/>
      <c r="BA48" s="36"/>
      <c r="BB48" s="36"/>
    </row>
    <row r="49" spans="1:54" x14ac:dyDescent="0.2">
      <c r="A49" s="596">
        <f t="shared" si="15"/>
        <v>36</v>
      </c>
      <c r="B49" s="17" t="str">
        <f t="shared" si="112"/>
        <v>58E &amp; 59E</v>
      </c>
      <c r="C49" s="399" t="s">
        <v>592</v>
      </c>
      <c r="D49" s="364"/>
      <c r="E49" s="364" t="s">
        <v>117</v>
      </c>
      <c r="F49" s="426">
        <f>'WP1 Light Inventory'!J198</f>
        <v>0</v>
      </c>
      <c r="G49" s="330">
        <f>'WP2 Current Light Rates'!E189</f>
        <v>37.340000000000003</v>
      </c>
      <c r="H49" s="330">
        <f>'BDJ-6 Combined Charges'!K207</f>
        <v>44.070000000000007</v>
      </c>
      <c r="I49" s="330">
        <f>'Sch 141A Lighting Tariff'!J205+'Sch 141C Lighting Tariff'!J205+'Sch 141N Lighting Tariff'!J207+'Sch 141R Lighting Tariff'!J207+H49</f>
        <v>52.790000000000006</v>
      </c>
      <c r="J49" s="209">
        <f t="shared" si="87"/>
        <v>0</v>
      </c>
      <c r="K49" s="209">
        <f t="shared" si="88"/>
        <v>0</v>
      </c>
      <c r="L49" s="209">
        <f t="shared" si="89"/>
        <v>0</v>
      </c>
      <c r="M49" s="209">
        <f t="shared" si="90"/>
        <v>0</v>
      </c>
      <c r="N49" s="209">
        <f t="shared" si="91"/>
        <v>0</v>
      </c>
      <c r="O49" s="36" t="str">
        <f t="shared" si="92"/>
        <v>0%</v>
      </c>
      <c r="P49" s="36" t="str">
        <f t="shared" si="93"/>
        <v>0%</v>
      </c>
      <c r="Q49" s="627"/>
      <c r="R49" s="596">
        <f t="shared" si="23"/>
        <v>36</v>
      </c>
      <c r="S49" s="17" t="str">
        <f t="shared" si="113"/>
        <v>58E &amp; 59E</v>
      </c>
      <c r="T49" s="399" t="s">
        <v>592</v>
      </c>
      <c r="U49" s="364"/>
      <c r="V49" s="364" t="s">
        <v>117</v>
      </c>
      <c r="W49" s="35">
        <f t="shared" si="107"/>
        <v>0</v>
      </c>
      <c r="X49" s="330">
        <f t="shared" si="108"/>
        <v>44.070000000000007</v>
      </c>
      <c r="Y49" s="330">
        <f t="shared" si="109"/>
        <v>52.790000000000006</v>
      </c>
      <c r="Z49" s="330">
        <f t="shared" si="110"/>
        <v>44.070000000000007</v>
      </c>
      <c r="AA49" s="330">
        <f>'Sch 141A Lighting Tariff'!N205+'Sch 141C Lighting Tariff'!N205+'Sch 141N Lighting Tariff'!N207+'Sch 141R Lighting Tariff'!N207+Z49</f>
        <v>53.990000000000009</v>
      </c>
      <c r="AB49" s="209">
        <f t="shared" si="98"/>
        <v>0</v>
      </c>
      <c r="AC49" s="209">
        <f t="shared" si="99"/>
        <v>0</v>
      </c>
      <c r="AD49" s="209">
        <f t="shared" si="100"/>
        <v>0</v>
      </c>
      <c r="AE49" s="209">
        <f t="shared" si="101"/>
        <v>0</v>
      </c>
      <c r="AF49" s="209">
        <f t="shared" si="102"/>
        <v>0</v>
      </c>
      <c r="AG49" s="209">
        <f t="shared" si="103"/>
        <v>0</v>
      </c>
      <c r="AH49" s="36" t="str">
        <f t="shared" si="104"/>
        <v>0%</v>
      </c>
      <c r="AI49" s="36" t="str">
        <f t="shared" si="105"/>
        <v>0%</v>
      </c>
      <c r="AJ49" s="627"/>
      <c r="AK49" s="596">
        <f t="shared" si="32"/>
        <v>36</v>
      </c>
      <c r="AL49" s="17" t="str">
        <f t="shared" si="114"/>
        <v>58E &amp; 59E</v>
      </c>
      <c r="AM49" s="399" t="s">
        <v>592</v>
      </c>
      <c r="AN49" s="364"/>
      <c r="AO49" s="364" t="s">
        <v>117</v>
      </c>
      <c r="AP49" s="35">
        <f t="shared" si="111"/>
        <v>0</v>
      </c>
      <c r="AQ49" s="330"/>
      <c r="AR49" s="330"/>
      <c r="AS49" s="330"/>
      <c r="AT49" s="330"/>
      <c r="AU49" s="209"/>
      <c r="AV49" s="209"/>
      <c r="AW49" s="209"/>
      <c r="AX49" s="209"/>
      <c r="AY49" s="209"/>
      <c r="AZ49" s="209"/>
      <c r="BA49" s="36"/>
      <c r="BB49" s="36"/>
    </row>
    <row r="50" spans="1:54" x14ac:dyDescent="0.2">
      <c r="A50" s="596">
        <f t="shared" si="15"/>
        <v>37</v>
      </c>
      <c r="B50" s="17" t="str">
        <f t="shared" si="112"/>
        <v>58E &amp; 59E</v>
      </c>
      <c r="C50" s="399" t="s">
        <v>593</v>
      </c>
      <c r="D50" s="364"/>
      <c r="E50" s="364" t="s">
        <v>117</v>
      </c>
      <c r="F50" s="426">
        <f>'WP1 Light Inventory'!J199</f>
        <v>0</v>
      </c>
      <c r="G50" s="330">
        <f>'WP2 Current Light Rates'!E190</f>
        <v>43.55</v>
      </c>
      <c r="H50" s="330">
        <f>'BDJ-6 Combined Charges'!K208</f>
        <v>52.22</v>
      </c>
      <c r="I50" s="330">
        <f>'Sch 141A Lighting Tariff'!J206+'Sch 141C Lighting Tariff'!J206+'Sch 141N Lighting Tariff'!J208+'Sch 141R Lighting Tariff'!J208+H50</f>
        <v>62.879999999999995</v>
      </c>
      <c r="J50" s="209">
        <f t="shared" si="87"/>
        <v>0</v>
      </c>
      <c r="K50" s="209">
        <f t="shared" si="88"/>
        <v>0</v>
      </c>
      <c r="L50" s="209">
        <f t="shared" si="89"/>
        <v>0</v>
      </c>
      <c r="M50" s="209">
        <f t="shared" si="90"/>
        <v>0</v>
      </c>
      <c r="N50" s="209">
        <f t="shared" si="91"/>
        <v>0</v>
      </c>
      <c r="O50" s="36" t="str">
        <f t="shared" si="92"/>
        <v>0%</v>
      </c>
      <c r="P50" s="36" t="str">
        <f t="shared" si="93"/>
        <v>0%</v>
      </c>
      <c r="Q50" s="627"/>
      <c r="R50" s="596">
        <f t="shared" si="23"/>
        <v>37</v>
      </c>
      <c r="S50" s="17" t="str">
        <f t="shared" si="113"/>
        <v>58E &amp; 59E</v>
      </c>
      <c r="T50" s="399" t="s">
        <v>593</v>
      </c>
      <c r="U50" s="364"/>
      <c r="V50" s="364" t="s">
        <v>117</v>
      </c>
      <c r="W50" s="35">
        <f t="shared" si="107"/>
        <v>0</v>
      </c>
      <c r="X50" s="330">
        <f t="shared" si="108"/>
        <v>52.22</v>
      </c>
      <c r="Y50" s="330">
        <f t="shared" si="109"/>
        <v>62.879999999999995</v>
      </c>
      <c r="Z50" s="330">
        <f t="shared" si="110"/>
        <v>52.22</v>
      </c>
      <c r="AA50" s="330">
        <f>'Sch 141A Lighting Tariff'!N206+'Sch 141C Lighting Tariff'!N206+'Sch 141N Lighting Tariff'!N208+'Sch 141R Lighting Tariff'!N208+Z50</f>
        <v>64.34</v>
      </c>
      <c r="AB50" s="209">
        <f t="shared" si="98"/>
        <v>0</v>
      </c>
      <c r="AC50" s="209">
        <f t="shared" si="99"/>
        <v>0</v>
      </c>
      <c r="AD50" s="209">
        <f t="shared" si="100"/>
        <v>0</v>
      </c>
      <c r="AE50" s="209">
        <f t="shared" si="101"/>
        <v>0</v>
      </c>
      <c r="AF50" s="209">
        <f t="shared" si="102"/>
        <v>0</v>
      </c>
      <c r="AG50" s="209">
        <f t="shared" si="103"/>
        <v>0</v>
      </c>
      <c r="AH50" s="36" t="str">
        <f t="shared" si="104"/>
        <v>0%</v>
      </c>
      <c r="AI50" s="36" t="str">
        <f t="shared" si="105"/>
        <v>0%</v>
      </c>
      <c r="AJ50" s="627"/>
      <c r="AK50" s="596">
        <f t="shared" si="32"/>
        <v>37</v>
      </c>
      <c r="AL50" s="17" t="str">
        <f t="shared" si="114"/>
        <v>58E &amp; 59E</v>
      </c>
      <c r="AM50" s="399" t="s">
        <v>593</v>
      </c>
      <c r="AN50" s="364"/>
      <c r="AO50" s="364" t="s">
        <v>117</v>
      </c>
      <c r="AP50" s="35">
        <f t="shared" si="111"/>
        <v>0</v>
      </c>
      <c r="AQ50" s="330"/>
      <c r="AR50" s="330"/>
      <c r="AS50" s="330"/>
      <c r="AT50" s="330"/>
      <c r="AU50" s="209"/>
      <c r="AV50" s="209"/>
      <c r="AW50" s="209"/>
      <c r="AX50" s="209"/>
      <c r="AY50" s="209"/>
      <c r="AZ50" s="209"/>
      <c r="BA50" s="36"/>
      <c r="BB50" s="36"/>
    </row>
    <row r="51" spans="1:54" x14ac:dyDescent="0.2">
      <c r="A51" s="596">
        <f t="shared" si="15"/>
        <v>38</v>
      </c>
      <c r="B51" s="17" t="str">
        <f t="shared" si="112"/>
        <v>58E &amp; 59E</v>
      </c>
      <c r="C51" s="399" t="s">
        <v>594</v>
      </c>
      <c r="D51" s="364"/>
      <c r="E51" s="364" t="s">
        <v>117</v>
      </c>
      <c r="F51" s="426">
        <f>'WP1 Light Inventory'!J200</f>
        <v>0</v>
      </c>
      <c r="G51" s="330">
        <f>'WP2 Current Light Rates'!E191</f>
        <v>49.77</v>
      </c>
      <c r="H51" s="330">
        <f>'BDJ-6 Combined Charges'!K209</f>
        <v>60.36</v>
      </c>
      <c r="I51" s="330">
        <f>'Sch 141A Lighting Tariff'!J207+'Sch 141C Lighting Tariff'!J207+'Sch 141N Lighting Tariff'!J209+'Sch 141R Lighting Tariff'!J209+H51</f>
        <v>72.960000000000008</v>
      </c>
      <c r="J51" s="209">
        <f t="shared" si="87"/>
        <v>0</v>
      </c>
      <c r="K51" s="209">
        <f t="shared" si="88"/>
        <v>0</v>
      </c>
      <c r="L51" s="209">
        <f t="shared" si="89"/>
        <v>0</v>
      </c>
      <c r="M51" s="209">
        <f t="shared" si="90"/>
        <v>0</v>
      </c>
      <c r="N51" s="209">
        <f t="shared" si="91"/>
        <v>0</v>
      </c>
      <c r="O51" s="36" t="str">
        <f t="shared" si="92"/>
        <v>0%</v>
      </c>
      <c r="P51" s="36" t="str">
        <f t="shared" si="93"/>
        <v>0%</v>
      </c>
      <c r="Q51" s="627"/>
      <c r="R51" s="596">
        <f t="shared" si="23"/>
        <v>38</v>
      </c>
      <c r="S51" s="17" t="str">
        <f t="shared" si="113"/>
        <v>58E &amp; 59E</v>
      </c>
      <c r="T51" s="399" t="s">
        <v>594</v>
      </c>
      <c r="U51" s="364"/>
      <c r="V51" s="364" t="s">
        <v>117</v>
      </c>
      <c r="W51" s="35">
        <f t="shared" si="107"/>
        <v>0</v>
      </c>
      <c r="X51" s="330">
        <f t="shared" si="108"/>
        <v>60.36</v>
      </c>
      <c r="Y51" s="330">
        <f t="shared" si="109"/>
        <v>72.960000000000008</v>
      </c>
      <c r="Z51" s="330">
        <f t="shared" si="110"/>
        <v>60.36</v>
      </c>
      <c r="AA51" s="330">
        <f>'Sch 141A Lighting Tariff'!N207+'Sch 141C Lighting Tariff'!N207+'Sch 141N Lighting Tariff'!N209+'Sch 141R Lighting Tariff'!N209+Z51</f>
        <v>74.69</v>
      </c>
      <c r="AB51" s="209">
        <f t="shared" si="98"/>
        <v>0</v>
      </c>
      <c r="AC51" s="209">
        <f t="shared" si="99"/>
        <v>0</v>
      </c>
      <c r="AD51" s="209">
        <f t="shared" si="100"/>
        <v>0</v>
      </c>
      <c r="AE51" s="209">
        <f t="shared" si="101"/>
        <v>0</v>
      </c>
      <c r="AF51" s="209">
        <f t="shared" si="102"/>
        <v>0</v>
      </c>
      <c r="AG51" s="209">
        <f t="shared" si="103"/>
        <v>0</v>
      </c>
      <c r="AH51" s="36" t="str">
        <f t="shared" si="104"/>
        <v>0%</v>
      </c>
      <c r="AI51" s="36" t="str">
        <f t="shared" si="105"/>
        <v>0%</v>
      </c>
      <c r="AJ51" s="627"/>
      <c r="AK51" s="596">
        <f t="shared" si="32"/>
        <v>38</v>
      </c>
      <c r="AL51" s="17" t="str">
        <f t="shared" si="114"/>
        <v>58E &amp; 59E</v>
      </c>
      <c r="AM51" s="399" t="s">
        <v>594</v>
      </c>
      <c r="AN51" s="364"/>
      <c r="AO51" s="364" t="s">
        <v>117</v>
      </c>
      <c r="AP51" s="35">
        <f t="shared" si="111"/>
        <v>0</v>
      </c>
      <c r="AQ51" s="330"/>
      <c r="AR51" s="330"/>
      <c r="AS51" s="330"/>
      <c r="AT51" s="330"/>
      <c r="AU51" s="209"/>
      <c r="AV51" s="209"/>
      <c r="AW51" s="209"/>
      <c r="AX51" s="209"/>
      <c r="AY51" s="209"/>
      <c r="AZ51" s="209"/>
      <c r="BA51" s="36"/>
      <c r="BB51" s="36"/>
    </row>
    <row r="52" spans="1:54" x14ac:dyDescent="0.2">
      <c r="A52" s="596">
        <f t="shared" si="15"/>
        <v>39</v>
      </c>
      <c r="B52" s="17" t="str">
        <f t="shared" si="112"/>
        <v>58E &amp; 59E</v>
      </c>
      <c r="C52" s="399" t="s">
        <v>595</v>
      </c>
      <c r="D52" s="364"/>
      <c r="E52" s="364" t="s">
        <v>117</v>
      </c>
      <c r="F52" s="426">
        <f>'WP1 Light Inventory'!J201</f>
        <v>0</v>
      </c>
      <c r="G52" s="330">
        <f>'WP2 Current Light Rates'!E192</f>
        <v>55.99</v>
      </c>
      <c r="H52" s="330">
        <f>'BDJ-6 Combined Charges'!K210</f>
        <v>68.509999999999991</v>
      </c>
      <c r="I52" s="330">
        <f>'Sch 141A Lighting Tariff'!J208+'Sch 141C Lighting Tariff'!J208+'Sch 141N Lighting Tariff'!J210+'Sch 141R Lighting Tariff'!J210+H52</f>
        <v>83.059999999999988</v>
      </c>
      <c r="J52" s="209">
        <f t="shared" si="87"/>
        <v>0</v>
      </c>
      <c r="K52" s="209">
        <f t="shared" si="88"/>
        <v>0</v>
      </c>
      <c r="L52" s="209">
        <f t="shared" si="89"/>
        <v>0</v>
      </c>
      <c r="M52" s="209">
        <f t="shared" si="90"/>
        <v>0</v>
      </c>
      <c r="N52" s="209">
        <f t="shared" si="91"/>
        <v>0</v>
      </c>
      <c r="O52" s="36" t="str">
        <f t="shared" si="92"/>
        <v>0%</v>
      </c>
      <c r="P52" s="36" t="str">
        <f t="shared" si="93"/>
        <v>0%</v>
      </c>
      <c r="Q52" s="627"/>
      <c r="R52" s="596">
        <f t="shared" si="23"/>
        <v>39</v>
      </c>
      <c r="S52" s="17" t="str">
        <f t="shared" si="113"/>
        <v>58E &amp; 59E</v>
      </c>
      <c r="T52" s="399" t="s">
        <v>595</v>
      </c>
      <c r="U52" s="364"/>
      <c r="V52" s="364" t="s">
        <v>117</v>
      </c>
      <c r="W52" s="35">
        <f t="shared" si="107"/>
        <v>0</v>
      </c>
      <c r="X52" s="330">
        <f t="shared" si="108"/>
        <v>68.509999999999991</v>
      </c>
      <c r="Y52" s="330">
        <f t="shared" si="109"/>
        <v>83.059999999999988</v>
      </c>
      <c r="Z52" s="330">
        <f t="shared" si="110"/>
        <v>68.509999999999991</v>
      </c>
      <c r="AA52" s="330">
        <f>'Sch 141A Lighting Tariff'!N208+'Sch 141C Lighting Tariff'!N208+'Sch 141N Lighting Tariff'!N210+'Sch 141R Lighting Tariff'!N210+Z52</f>
        <v>85.039999999999992</v>
      </c>
      <c r="AB52" s="209">
        <f t="shared" si="98"/>
        <v>0</v>
      </c>
      <c r="AC52" s="209">
        <f t="shared" si="99"/>
        <v>0</v>
      </c>
      <c r="AD52" s="209">
        <f t="shared" si="100"/>
        <v>0</v>
      </c>
      <c r="AE52" s="209">
        <f t="shared" si="101"/>
        <v>0</v>
      </c>
      <c r="AF52" s="209">
        <f t="shared" si="102"/>
        <v>0</v>
      </c>
      <c r="AG52" s="209">
        <f t="shared" si="103"/>
        <v>0</v>
      </c>
      <c r="AH52" s="36" t="str">
        <f t="shared" si="104"/>
        <v>0%</v>
      </c>
      <c r="AI52" s="36" t="str">
        <f t="shared" si="105"/>
        <v>0%</v>
      </c>
      <c r="AJ52" s="627"/>
      <c r="AK52" s="596">
        <f t="shared" si="32"/>
        <v>39</v>
      </c>
      <c r="AL52" s="17" t="str">
        <f t="shared" si="114"/>
        <v>58E &amp; 59E</v>
      </c>
      <c r="AM52" s="399" t="s">
        <v>595</v>
      </c>
      <c r="AN52" s="364"/>
      <c r="AO52" s="364" t="s">
        <v>117</v>
      </c>
      <c r="AP52" s="35">
        <f t="shared" si="111"/>
        <v>0</v>
      </c>
      <c r="AQ52" s="330"/>
      <c r="AR52" s="330"/>
      <c r="AS52" s="330"/>
      <c r="AT52" s="330"/>
      <c r="AU52" s="209"/>
      <c r="AV52" s="209"/>
      <c r="AW52" s="209"/>
      <c r="AX52" s="209"/>
      <c r="AY52" s="209"/>
      <c r="AZ52" s="209"/>
      <c r="BA52" s="36"/>
      <c r="BB52" s="36"/>
    </row>
    <row r="53" spans="1:54" x14ac:dyDescent="0.2">
      <c r="A53" s="596">
        <f t="shared" si="15"/>
        <v>40</v>
      </c>
      <c r="B53" s="17" t="str">
        <f t="shared" si="112"/>
        <v>58E &amp; 59E</v>
      </c>
      <c r="C53" s="399" t="s">
        <v>596</v>
      </c>
      <c r="D53" s="364"/>
      <c r="E53" s="364" t="s">
        <v>117</v>
      </c>
      <c r="F53" s="426">
        <f>'WP1 Light Inventory'!J202</f>
        <v>0</v>
      </c>
      <c r="G53" s="330">
        <f>'WP2 Current Light Rates'!E193</f>
        <v>62.2</v>
      </c>
      <c r="H53" s="330">
        <f>'BDJ-6 Combined Charges'!K211</f>
        <v>76.66</v>
      </c>
      <c r="I53" s="330">
        <f>'Sch 141A Lighting Tariff'!J209+'Sch 141C Lighting Tariff'!J209+'Sch 141N Lighting Tariff'!J211+'Sch 141R Lighting Tariff'!J211+H53</f>
        <v>93.149999999999991</v>
      </c>
      <c r="J53" s="209">
        <f t="shared" si="87"/>
        <v>0</v>
      </c>
      <c r="K53" s="209">
        <f t="shared" si="88"/>
        <v>0</v>
      </c>
      <c r="L53" s="209">
        <f t="shared" si="89"/>
        <v>0</v>
      </c>
      <c r="M53" s="209">
        <f t="shared" si="90"/>
        <v>0</v>
      </c>
      <c r="N53" s="209">
        <f t="shared" si="91"/>
        <v>0</v>
      </c>
      <c r="O53" s="36" t="str">
        <f t="shared" si="92"/>
        <v>0%</v>
      </c>
      <c r="P53" s="36" t="str">
        <f t="shared" si="93"/>
        <v>0%</v>
      </c>
      <c r="Q53" s="627"/>
      <c r="R53" s="596">
        <f t="shared" si="23"/>
        <v>40</v>
      </c>
      <c r="S53" s="17" t="str">
        <f t="shared" si="113"/>
        <v>58E &amp; 59E</v>
      </c>
      <c r="T53" s="399" t="s">
        <v>596</v>
      </c>
      <c r="U53" s="364"/>
      <c r="V53" s="364" t="s">
        <v>117</v>
      </c>
      <c r="W53" s="35">
        <f t="shared" si="107"/>
        <v>0</v>
      </c>
      <c r="X53" s="330">
        <f t="shared" si="108"/>
        <v>76.66</v>
      </c>
      <c r="Y53" s="330">
        <f t="shared" si="109"/>
        <v>93.149999999999991</v>
      </c>
      <c r="Z53" s="330">
        <f t="shared" si="110"/>
        <v>76.66</v>
      </c>
      <c r="AA53" s="330">
        <f>'Sch 141A Lighting Tariff'!N209+'Sch 141C Lighting Tariff'!N209+'Sch 141N Lighting Tariff'!N211+'Sch 141R Lighting Tariff'!N211+Z53</f>
        <v>95.4</v>
      </c>
      <c r="AB53" s="209">
        <f t="shared" si="98"/>
        <v>0</v>
      </c>
      <c r="AC53" s="209">
        <f t="shared" si="99"/>
        <v>0</v>
      </c>
      <c r="AD53" s="209">
        <f t="shared" si="100"/>
        <v>0</v>
      </c>
      <c r="AE53" s="209">
        <f t="shared" si="101"/>
        <v>0</v>
      </c>
      <c r="AF53" s="209">
        <f t="shared" si="102"/>
        <v>0</v>
      </c>
      <c r="AG53" s="209">
        <f t="shared" si="103"/>
        <v>0</v>
      </c>
      <c r="AH53" s="36" t="str">
        <f t="shared" si="104"/>
        <v>0%</v>
      </c>
      <c r="AI53" s="36" t="str">
        <f t="shared" si="105"/>
        <v>0%</v>
      </c>
      <c r="AJ53" s="627"/>
      <c r="AK53" s="596">
        <f t="shared" si="32"/>
        <v>40</v>
      </c>
      <c r="AL53" s="17" t="str">
        <f t="shared" si="114"/>
        <v>58E &amp; 59E</v>
      </c>
      <c r="AM53" s="399" t="s">
        <v>596</v>
      </c>
      <c r="AN53" s="364"/>
      <c r="AO53" s="364" t="s">
        <v>117</v>
      </c>
      <c r="AP53" s="35">
        <f t="shared" si="111"/>
        <v>0</v>
      </c>
      <c r="AQ53" s="330"/>
      <c r="AR53" s="330"/>
      <c r="AS53" s="330"/>
      <c r="AT53" s="330"/>
      <c r="AU53" s="209"/>
      <c r="AV53" s="209"/>
      <c r="AW53" s="209"/>
      <c r="AX53" s="209"/>
      <c r="AY53" s="209"/>
      <c r="AZ53" s="209"/>
      <c r="BA53" s="36"/>
      <c r="BB53" s="36"/>
    </row>
    <row r="54" spans="1:54" x14ac:dyDescent="0.2">
      <c r="A54" s="596">
        <f t="shared" si="15"/>
        <v>41</v>
      </c>
      <c r="B54" s="17"/>
      <c r="C54" s="398"/>
      <c r="D54" s="364"/>
      <c r="E54" s="364" t="str">
        <f>E53</f>
        <v>Light Emitting Diode</v>
      </c>
      <c r="F54" s="272">
        <f>SUM(F38:F53)</f>
        <v>205</v>
      </c>
      <c r="G54" s="42"/>
      <c r="H54" s="42"/>
      <c r="I54" s="42"/>
      <c r="J54" s="266">
        <f>SUM(J38:J53)</f>
        <v>43799.16</v>
      </c>
      <c r="K54" s="266">
        <f t="shared" ref="K54:N54" si="115">SUM(K38:K53)</f>
        <v>45434.52</v>
      </c>
      <c r="L54" s="266">
        <f t="shared" si="115"/>
        <v>51903.959999999992</v>
      </c>
      <c r="M54" s="266">
        <f t="shared" si="115"/>
        <v>1635.3599999999997</v>
      </c>
      <c r="N54" s="266">
        <f t="shared" si="115"/>
        <v>8104.7999999999975</v>
      </c>
      <c r="O54" s="267">
        <f>IF(+M54=0,"na",M54/J54)</f>
        <v>3.7337702366894696E-2</v>
      </c>
      <c r="P54" s="267">
        <f>IF(+N54=0,"na",N54/K54)</f>
        <v>0.17838418893827859</v>
      </c>
      <c r="Q54" s="627"/>
      <c r="R54" s="596">
        <f t="shared" si="23"/>
        <v>41</v>
      </c>
      <c r="S54" s="17"/>
      <c r="T54" s="398"/>
      <c r="U54" s="364"/>
      <c r="V54" s="364" t="str">
        <f>V53</f>
        <v>Light Emitting Diode</v>
      </c>
      <c r="W54" s="272">
        <f>SUM(W38:W53)</f>
        <v>205</v>
      </c>
      <c r="X54" s="42"/>
      <c r="Y54" s="42"/>
      <c r="Z54" s="42"/>
      <c r="AA54" s="42"/>
      <c r="AB54" s="266">
        <f>SUM(AB38:AB53)</f>
        <v>45434.52</v>
      </c>
      <c r="AC54" s="266">
        <f t="shared" ref="AC54:AE54" si="116">SUM(AC38:AC53)</f>
        <v>51903.959999999992</v>
      </c>
      <c r="AD54" s="266">
        <f t="shared" si="116"/>
        <v>45434.52</v>
      </c>
      <c r="AE54" s="266">
        <f t="shared" si="116"/>
        <v>52797.36</v>
      </c>
      <c r="AF54" s="266">
        <f>SUM(AF38:AF53)</f>
        <v>0</v>
      </c>
      <c r="AG54" s="266">
        <f t="shared" ref="AG54" si="117">SUM(AG38:AG53)</f>
        <v>893.40000000000498</v>
      </c>
      <c r="AH54" s="267" t="str">
        <f t="shared" ref="AH54" si="118">IF(+AF54=0,"0%",AF54/AB54)</f>
        <v>0%</v>
      </c>
      <c r="AI54" s="267">
        <f t="shared" ref="AI54" si="119">IF(+AG54=0,"0%",AG54/AC54)</f>
        <v>1.721255950413042E-2</v>
      </c>
      <c r="AJ54" s="627"/>
      <c r="AK54" s="596">
        <f t="shared" si="32"/>
        <v>41</v>
      </c>
      <c r="AL54" s="17"/>
      <c r="AM54" s="398"/>
      <c r="AN54" s="364"/>
      <c r="AO54" s="364" t="str">
        <f>AO53</f>
        <v>Light Emitting Diode</v>
      </c>
      <c r="AP54" s="272">
        <f>SUM(AP38:AP53)</f>
        <v>205</v>
      </c>
      <c r="AQ54" s="42"/>
      <c r="AR54" s="42"/>
      <c r="AS54" s="42"/>
      <c r="AT54" s="42"/>
      <c r="AU54" s="266"/>
      <c r="AV54" s="266"/>
      <c r="AW54" s="266"/>
      <c r="AX54" s="266"/>
      <c r="AY54" s="266"/>
      <c r="AZ54" s="266"/>
      <c r="BA54" s="267"/>
      <c r="BB54" s="267"/>
    </row>
    <row r="55" spans="1:54" x14ac:dyDescent="0.2">
      <c r="A55" s="596">
        <f t="shared" si="15"/>
        <v>42</v>
      </c>
      <c r="B55" s="17"/>
      <c r="C55" s="364"/>
      <c r="D55" s="364"/>
      <c r="E55" s="364"/>
      <c r="F55" s="426"/>
      <c r="G55" s="330"/>
      <c r="H55" s="330"/>
      <c r="I55" s="330"/>
      <c r="O55" s="36"/>
      <c r="P55" s="36"/>
      <c r="Q55" s="627"/>
      <c r="R55" s="596">
        <f t="shared" si="23"/>
        <v>42</v>
      </c>
      <c r="S55" s="17"/>
      <c r="T55" s="364"/>
      <c r="U55" s="364"/>
      <c r="V55" s="364"/>
      <c r="W55" s="426"/>
      <c r="X55" s="330"/>
      <c r="Y55" s="330"/>
      <c r="Z55" s="330"/>
      <c r="AA55" s="330"/>
      <c r="AB55" s="209"/>
      <c r="AC55" s="209"/>
      <c r="AD55" s="209"/>
      <c r="AE55" s="209"/>
      <c r="AF55" s="209"/>
      <c r="AG55" s="209"/>
      <c r="AH55" s="36"/>
      <c r="AI55" s="36"/>
      <c r="AJ55" s="627"/>
      <c r="AK55" s="596">
        <f t="shared" si="32"/>
        <v>42</v>
      </c>
      <c r="AL55" s="17"/>
      <c r="AM55" s="364"/>
      <c r="AN55" s="364"/>
      <c r="AO55" s="364"/>
      <c r="AP55" s="426"/>
      <c r="AQ55" s="330"/>
      <c r="AR55" s="330"/>
      <c r="AS55" s="330"/>
      <c r="AT55" s="330"/>
      <c r="AU55" s="209"/>
      <c r="AV55" s="209"/>
      <c r="AW55" s="209"/>
      <c r="AX55" s="209"/>
      <c r="AY55" s="209"/>
      <c r="AZ55" s="209"/>
      <c r="BA55" s="36"/>
      <c r="BB55" s="36"/>
    </row>
    <row r="56" spans="1:54" ht="10.8" thickBot="1" x14ac:dyDescent="0.25">
      <c r="A56" s="596">
        <f t="shared" si="15"/>
        <v>43</v>
      </c>
      <c r="B56" s="202" t="s">
        <v>20</v>
      </c>
      <c r="C56" s="109"/>
      <c r="D56" s="109"/>
      <c r="E56" s="109"/>
      <c r="F56" s="109">
        <f>SUM(F19+F26+F32+F36+F54)</f>
        <v>1466</v>
      </c>
      <c r="G56" s="534"/>
      <c r="H56" s="534"/>
      <c r="I56" s="534"/>
      <c r="J56" s="147">
        <f>SUM(J19+J26+J32+J36+J54)</f>
        <v>405069.12</v>
      </c>
      <c r="K56" s="147">
        <f>SUM(K19+K26+K32+K36+K54)</f>
        <v>395903.64</v>
      </c>
      <c r="L56" s="147">
        <f>SUM(L19+L26+L32+L36+L54)</f>
        <v>506992.92000000004</v>
      </c>
      <c r="M56" s="147">
        <f>SUM(M19+M26+M32+M36+M54)</f>
        <v>-9165.480000000025</v>
      </c>
      <c r="N56" s="147">
        <f>SUM(N19+N26+N32+N36+N54)</f>
        <v>101923.79999999999</v>
      </c>
      <c r="O56" s="38">
        <f>IF(M56=0,"na",+M56/J56)</f>
        <v>-2.2626953148144259E-2</v>
      </c>
      <c r="P56" s="38">
        <f>IF(N56=0,"na",+N56/K56)</f>
        <v>0.25744597852144019</v>
      </c>
      <c r="Q56" s="627"/>
      <c r="R56" s="596">
        <f t="shared" si="23"/>
        <v>43</v>
      </c>
      <c r="S56" s="202" t="s">
        <v>20</v>
      </c>
      <c r="T56" s="109"/>
      <c r="U56" s="109"/>
      <c r="V56" s="109"/>
      <c r="W56" s="109">
        <f>SUM(W19+W26+W32+W36+W54)</f>
        <v>1466</v>
      </c>
      <c r="X56" s="534"/>
      <c r="Y56" s="534"/>
      <c r="Z56" s="534"/>
      <c r="AA56" s="534"/>
      <c r="AB56" s="147">
        <f t="shared" ref="AB56:AG56" si="120">SUM(AB19+AB26+AB32+AB36+AB54)</f>
        <v>395903.64</v>
      </c>
      <c r="AC56" s="147">
        <f t="shared" si="120"/>
        <v>506992.92000000004</v>
      </c>
      <c r="AD56" s="147">
        <f t="shared" si="120"/>
        <v>395903.64</v>
      </c>
      <c r="AE56" s="147">
        <f t="shared" si="120"/>
        <v>522137.88</v>
      </c>
      <c r="AF56" s="147">
        <f t="shared" si="120"/>
        <v>0</v>
      </c>
      <c r="AG56" s="147">
        <f t="shared" si="120"/>
        <v>15144.960000000015</v>
      </c>
      <c r="AH56" s="38" t="str">
        <f>IF(+AF56=0,"0%",AF56/AB56)</f>
        <v>0%</v>
      </c>
      <c r="AI56" s="38">
        <f>IF(+AG56=0,"0%",AG56/AC56)</f>
        <v>2.9872133125646044E-2</v>
      </c>
      <c r="AJ56" s="627"/>
      <c r="AK56" s="596">
        <f t="shared" si="32"/>
        <v>43</v>
      </c>
      <c r="AL56" s="202" t="s">
        <v>20</v>
      </c>
      <c r="AM56" s="109"/>
      <c r="AN56" s="109"/>
      <c r="AO56" s="109"/>
      <c r="AP56" s="109">
        <f>SUM(AP19+AP26+AP32+AP36+AP54)</f>
        <v>1466</v>
      </c>
      <c r="AQ56" s="534"/>
      <c r="AR56" s="534"/>
      <c r="AS56" s="534"/>
      <c r="AT56" s="534"/>
      <c r="AU56" s="147"/>
      <c r="AV56" s="147"/>
      <c r="AW56" s="147"/>
      <c r="AX56" s="147"/>
      <c r="AY56" s="147"/>
      <c r="AZ56" s="147"/>
      <c r="BA56" s="38"/>
      <c r="BB56" s="38"/>
    </row>
    <row r="57" spans="1:54" ht="10.8" thickTop="1" x14ac:dyDescent="0.2"/>
    <row r="59" spans="1:54" ht="13.8" x14ac:dyDescent="0.3">
      <c r="B59" s="633"/>
    </row>
  </sheetData>
  <mergeCells count="21">
    <mergeCell ref="K8:P8"/>
    <mergeCell ref="A6:P6"/>
    <mergeCell ref="AD8:AI8"/>
    <mergeCell ref="A1:P1"/>
    <mergeCell ref="A2:P2"/>
    <mergeCell ref="A4:P4"/>
    <mergeCell ref="A5:P5"/>
    <mergeCell ref="A3:P3"/>
    <mergeCell ref="AK6:BB6"/>
    <mergeCell ref="AW8:BB8"/>
    <mergeCell ref="R1:AI1"/>
    <mergeCell ref="R2:AI2"/>
    <mergeCell ref="AK1:BB1"/>
    <mergeCell ref="AK2:BB2"/>
    <mergeCell ref="AK3:BB3"/>
    <mergeCell ref="AK4:BB4"/>
    <mergeCell ref="AK5:BB5"/>
    <mergeCell ref="R3:AI3"/>
    <mergeCell ref="R4:AI4"/>
    <mergeCell ref="R5:AI5"/>
    <mergeCell ref="R6:AI6"/>
  </mergeCells>
  <printOptions horizontalCentered="1"/>
  <pageMargins left="0.25" right="0.25" top="1" bottom="1" header="0.5" footer="0.5"/>
  <pageSetup scale="68" fitToWidth="3" orientation="landscape" r:id="rId1"/>
  <headerFooter alignWithMargins="0">
    <oddFooter>&amp;R&amp;"Times New Roman,Regular"&amp;F
&amp;A
Page &amp;P of  &amp;N</oddFooter>
  </headerFooter>
  <colBreaks count="2" manualBreakCount="2">
    <brk id="16" max="1048575" man="1"/>
    <brk id="36" max="1048575" man="1"/>
  </colBreaks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S210"/>
  <sheetViews>
    <sheetView zoomScaleNormal="100" workbookViewId="0">
      <pane xSplit="6" ySplit="6" topLeftCell="M7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09375" defaultRowHeight="10.199999999999999" x14ac:dyDescent="0.2"/>
  <cols>
    <col min="1" max="1" width="18.6640625" style="19" bestFit="1" customWidth="1"/>
    <col min="2" max="2" width="13.5546875" style="19" bestFit="1" customWidth="1"/>
    <col min="3" max="3" width="16.88671875" style="14" bestFit="1" customWidth="1"/>
    <col min="4" max="4" width="13.109375" style="19" customWidth="1"/>
    <col min="5" max="5" width="12" style="290" bestFit="1" customWidth="1"/>
    <col min="6" max="6" width="8.6640625" style="19" bestFit="1" customWidth="1"/>
    <col min="7" max="7" width="14.88671875" style="364" customWidth="1"/>
    <col min="8" max="8" width="12" style="74" customWidth="1"/>
    <col min="9" max="9" width="8.5546875" style="14" customWidth="1"/>
    <col min="10" max="10" width="9.33203125" style="19" customWidth="1"/>
    <col min="11" max="11" width="10.5546875" style="19" customWidth="1"/>
    <col min="12" max="12" width="12.6640625" style="43" customWidth="1"/>
    <col min="13" max="13" width="10.44140625" style="283" customWidth="1"/>
    <col min="14" max="14" width="10.6640625" style="398" bestFit="1" customWidth="1"/>
    <col min="15" max="15" width="11" style="265" customWidth="1"/>
    <col min="16" max="16" width="12.33203125" style="261" customWidth="1"/>
    <col min="17" max="17" width="13" style="261" customWidth="1"/>
    <col min="18" max="19" width="9.33203125" style="261" customWidth="1"/>
    <col min="20" max="20" width="11.44140625" style="261" customWidth="1"/>
    <col min="21" max="24" width="9.33203125" style="43" customWidth="1"/>
    <col min="25" max="25" width="10.33203125" style="43" customWidth="1"/>
    <col min="26" max="26" width="9.33203125" style="43" customWidth="1"/>
    <col min="27" max="27" width="0.6640625" style="19" customWidth="1"/>
    <col min="28" max="28" width="8.33203125" style="19" bestFit="1" customWidth="1"/>
    <col min="29" max="29" width="11.33203125" style="19" bestFit="1" customWidth="1"/>
    <col min="30" max="30" width="9.5546875" style="19" bestFit="1" customWidth="1"/>
    <col min="31" max="31" width="8.33203125" style="19" bestFit="1" customWidth="1"/>
    <col min="32" max="32" width="10.6640625" style="19" bestFit="1" customWidth="1"/>
    <col min="33" max="33" width="10" style="19" bestFit="1" customWidth="1"/>
    <col min="34" max="34" width="11.33203125" style="43" bestFit="1" customWidth="1"/>
    <col min="35" max="35" width="10.6640625" style="43" bestFit="1" customWidth="1"/>
    <col min="36" max="36" width="9.5546875" style="43" customWidth="1"/>
    <col min="37" max="38" width="10.6640625" style="43" bestFit="1" customWidth="1"/>
    <col min="39" max="42" width="12" style="43" bestFit="1" customWidth="1"/>
    <col min="43" max="43" width="10.6640625" style="43" bestFit="1" customWidth="1"/>
    <col min="44" max="44" width="12" style="43" bestFit="1" customWidth="1"/>
    <col min="45" max="45" width="12.88671875" style="43" bestFit="1" customWidth="1"/>
    <col min="46" max="16384" width="9.109375" style="19"/>
  </cols>
  <sheetData>
    <row r="1" spans="1:45" ht="14.4" x14ac:dyDescent="0.3">
      <c r="A1" s="785" t="str">
        <f>'BDJ-6 Base Revenue (Summary)'!A1:I1</f>
        <v>Puget Sound Energy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</row>
    <row r="2" spans="1:45" ht="14.4" x14ac:dyDescent="0.3">
      <c r="A2" s="785" t="str">
        <f>'BDJ-6 Base Revenue (Summary)'!A4:I4</f>
        <v>2022 General Rate Case (GRC)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</row>
    <row r="3" spans="1:45" ht="14.4" x14ac:dyDescent="0.3">
      <c r="A3" s="785" t="str">
        <f>'BDJ-6 Base Revenue (Summary)'!A5:I5</f>
        <v>Test Year Ending June 30, 2021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</row>
    <row r="6" spans="1:45" s="281" customFormat="1" ht="51" x14ac:dyDescent="0.2">
      <c r="A6" s="222" t="s">
        <v>53</v>
      </c>
      <c r="B6" s="222"/>
      <c r="C6" s="222" t="s">
        <v>67</v>
      </c>
      <c r="D6" s="222" t="s">
        <v>553</v>
      </c>
      <c r="E6" s="222" t="s">
        <v>160</v>
      </c>
      <c r="F6" s="222" t="s">
        <v>250</v>
      </c>
      <c r="G6" s="382" t="s">
        <v>413</v>
      </c>
      <c r="H6" s="383" t="s">
        <v>260</v>
      </c>
      <c r="I6" s="222" t="s">
        <v>629</v>
      </c>
      <c r="J6" s="222" t="s">
        <v>118</v>
      </c>
      <c r="K6" s="222" t="s">
        <v>184</v>
      </c>
      <c r="L6" s="383" t="s">
        <v>161</v>
      </c>
      <c r="M6" s="384" t="s">
        <v>162</v>
      </c>
      <c r="N6" s="382" t="s">
        <v>598</v>
      </c>
      <c r="O6" s="222" t="s">
        <v>254</v>
      </c>
      <c r="P6" s="385" t="s">
        <v>251</v>
      </c>
      <c r="Q6" s="385" t="s">
        <v>252</v>
      </c>
      <c r="R6" s="385" t="s">
        <v>391</v>
      </c>
      <c r="S6" s="385" t="s">
        <v>126</v>
      </c>
      <c r="T6" s="385" t="s">
        <v>125</v>
      </c>
      <c r="U6" s="383" t="s">
        <v>122</v>
      </c>
      <c r="V6" s="383" t="s">
        <v>119</v>
      </c>
      <c r="W6" s="383" t="s">
        <v>262</v>
      </c>
      <c r="X6" s="383" t="s">
        <v>120</v>
      </c>
      <c r="Y6" s="383" t="s">
        <v>121</v>
      </c>
      <c r="Z6" s="383" t="s">
        <v>266</v>
      </c>
      <c r="AB6" s="386" t="s">
        <v>172</v>
      </c>
      <c r="AC6" s="386" t="s">
        <v>173</v>
      </c>
      <c r="AD6" s="386" t="s">
        <v>176</v>
      </c>
      <c r="AE6" s="386" t="s">
        <v>174</v>
      </c>
      <c r="AF6" s="386" t="s">
        <v>175</v>
      </c>
      <c r="AG6" s="386" t="s">
        <v>177</v>
      </c>
      <c r="AH6" s="387" t="s">
        <v>255</v>
      </c>
      <c r="AI6" s="387" t="s">
        <v>256</v>
      </c>
      <c r="AJ6" s="387" t="s">
        <v>259</v>
      </c>
      <c r="AK6" s="387" t="s">
        <v>257</v>
      </c>
      <c r="AL6" s="387" t="s">
        <v>258</v>
      </c>
      <c r="AM6" s="387" t="s">
        <v>182</v>
      </c>
      <c r="AN6" s="387" t="s">
        <v>628</v>
      </c>
      <c r="AO6" s="387" t="s">
        <v>627</v>
      </c>
      <c r="AP6" s="387" t="s">
        <v>626</v>
      </c>
      <c r="AQ6" s="387" t="s">
        <v>625</v>
      </c>
      <c r="AR6" s="387" t="s">
        <v>624</v>
      </c>
      <c r="AS6" s="387" t="s">
        <v>623</v>
      </c>
    </row>
    <row r="7" spans="1:45" x14ac:dyDescent="0.2">
      <c r="A7" s="388" t="s">
        <v>134</v>
      </c>
      <c r="B7" s="389"/>
      <c r="C7" s="15"/>
      <c r="D7" s="390"/>
      <c r="E7" s="391"/>
      <c r="F7" s="390"/>
      <c r="G7" s="392"/>
      <c r="H7" s="378"/>
      <c r="I7" s="15"/>
      <c r="J7" s="390"/>
      <c r="K7" s="393"/>
      <c r="L7" s="378"/>
      <c r="M7" s="379"/>
      <c r="N7" s="394"/>
      <c r="O7" s="395"/>
      <c r="P7" s="396"/>
      <c r="Q7" s="396"/>
      <c r="R7" s="396"/>
      <c r="S7" s="396"/>
      <c r="T7" s="396"/>
      <c r="U7" s="274"/>
      <c r="V7" s="274"/>
      <c r="W7" s="274"/>
      <c r="X7" s="274"/>
      <c r="Y7" s="274"/>
      <c r="Z7" s="274"/>
      <c r="AA7" s="220"/>
      <c r="AB7" s="220"/>
    </row>
    <row r="8" spans="1:45" x14ac:dyDescent="0.2">
      <c r="A8" s="58">
        <v>3</v>
      </c>
      <c r="B8" s="22" t="s">
        <v>514</v>
      </c>
      <c r="C8" s="21" t="str">
        <f>'WP1 Light Inventory'!D9</f>
        <v>Compact Fluorescent</v>
      </c>
      <c r="D8" s="21" t="str">
        <f>'WP1 Light Inventory'!E9</f>
        <v>CF 22</v>
      </c>
      <c r="E8" s="21">
        <f>'WP1 Light Inventory'!F9</f>
        <v>22</v>
      </c>
      <c r="F8" s="21" t="str">
        <f>'WP1 Light Inventory'!H9</f>
        <v>Customer</v>
      </c>
      <c r="G8" s="397">
        <f>'WP1 Light Inventory'!J9</f>
        <v>59</v>
      </c>
      <c r="H8" s="74" t="s">
        <v>600</v>
      </c>
      <c r="I8" s="14" t="s">
        <v>159</v>
      </c>
      <c r="J8" s="19">
        <f>IF(C8="Light Emitting Diode",'WP10 O&amp;M Weighting Factor'!$B$26,IF('WP12 Condensed Sch. Level Costs'!C8="Sodium Vapor",'WP10 O&amp;M Weighting Factor'!$B$27,IF('WP12 Condensed Sch. Level Costs'!C8="Metal Halide",'WP10 O&amp;M Weighting Factor'!$B$28,IF('WP12 Condensed Sch. Level Costs'!C8="Mercury Vapor",'WP10 O&amp;M Weighting Factor'!$B$30,IF('WP12 Condensed Sch. Level Costs'!C8="Compact Flourescent",'WP10 O&amp;M Weighting Factor'!$B$29, IF(C8="Incandescent", 'WP10 O&amp;M Weighting Factor'!$B$31, 0))))))</f>
        <v>0</v>
      </c>
      <c r="K8" s="282">
        <f>IF(I8="Yes",G8*J8,0)</f>
        <v>0</v>
      </c>
      <c r="L8" s="74">
        <f>IF(F8="Company", G8*H8,0)</f>
        <v>0</v>
      </c>
      <c r="M8" s="283">
        <f>E8*G8/1000</f>
        <v>1.298</v>
      </c>
      <c r="N8" s="398">
        <f>'WP1 Light Inventory'!L9</f>
        <v>5451.5999999999995</v>
      </c>
      <c r="O8" s="284">
        <f>E8*4200/1000/12</f>
        <v>7.7</v>
      </c>
      <c r="P8" s="261">
        <f>'BDJ-6 Unitized Lighting Costs'!D$20</f>
        <v>1.0137794003499056E-2</v>
      </c>
      <c r="Q8" s="261">
        <f>'BDJ-6 Unitized Lighting Costs'!$D$43</f>
        <v>2.2529806535397991</v>
      </c>
      <c r="R8" s="261">
        <f>'BDJ-6 Unitized Lighting Costs'!D$69</f>
        <v>1.9131568994526543E-2</v>
      </c>
      <c r="S8" s="261">
        <f>'BDJ-6 Unitized Lighting Costs'!D$100</f>
        <v>3.6511265600435805</v>
      </c>
      <c r="T8" s="261">
        <f>'BDJ-6 Unitized Lighting Costs'!$D$117</f>
        <v>5.4555747529966878E-2</v>
      </c>
      <c r="U8" s="43">
        <f>IF(F8="Company", H8*P8, 0)</f>
        <v>0</v>
      </c>
      <c r="V8" s="43">
        <f>IF(I8="yes", J8*Q8, 0)</f>
        <v>0</v>
      </c>
      <c r="W8" s="43">
        <f>R8*O8</f>
        <v>0.14731308125785439</v>
      </c>
      <c r="X8" s="43">
        <f>E8*S8/1000</f>
        <v>8.032478432095877E-2</v>
      </c>
      <c r="Y8" s="43">
        <f>O8*T8</f>
        <v>0.42007925598074497</v>
      </c>
      <c r="Z8" s="43">
        <f>SUM(U8:Y8)</f>
        <v>0.64771712155955807</v>
      </c>
      <c r="AA8" s="220"/>
      <c r="AB8" s="240">
        <f>IFERROR(U8/O8,0)</f>
        <v>0</v>
      </c>
      <c r="AC8" s="240">
        <f>IFERROR(V8/O8,0)</f>
        <v>0</v>
      </c>
      <c r="AD8" s="240">
        <f>IFERROR(W8/O8,0)</f>
        <v>1.9131568994526543E-2</v>
      </c>
      <c r="AE8" s="240">
        <f>IFERROR(X8/O8,0)</f>
        <v>1.0431790171553088E-2</v>
      </c>
      <c r="AF8" s="240">
        <f>IFERROR(Y8/O8,0)</f>
        <v>5.4555747529966878E-2</v>
      </c>
      <c r="AG8" s="240">
        <f>SUM(AB8:AF8)</f>
        <v>8.4119106696046511E-2</v>
      </c>
      <c r="AH8" s="43">
        <f>(U8*$G8)</f>
        <v>0</v>
      </c>
      <c r="AI8" s="43">
        <f>(V8*$G8)</f>
        <v>0</v>
      </c>
      <c r="AJ8" s="43">
        <f>(W8*$G8)</f>
        <v>8.6914717942134097</v>
      </c>
      <c r="AK8" s="43">
        <f>(X8*$G8)</f>
        <v>4.7391622749365672</v>
      </c>
      <c r="AL8" s="43">
        <f>(Y8*$G8)</f>
        <v>24.784676102863955</v>
      </c>
      <c r="AM8" s="43">
        <f>SUM(AH8:AL8)</f>
        <v>38.215310172013929</v>
      </c>
      <c r="AN8" s="43">
        <f t="shared" ref="AN8:AS8" si="0">AH8*12</f>
        <v>0</v>
      </c>
      <c r="AO8" s="43">
        <f t="shared" si="0"/>
        <v>0</v>
      </c>
      <c r="AP8" s="43">
        <f t="shared" si="0"/>
        <v>104.29766153056092</v>
      </c>
      <c r="AQ8" s="43">
        <f t="shared" si="0"/>
        <v>56.869947299238802</v>
      </c>
      <c r="AR8" s="43">
        <f t="shared" si="0"/>
        <v>297.41611323436746</v>
      </c>
      <c r="AS8" s="43">
        <f t="shared" si="0"/>
        <v>458.58372206416715</v>
      </c>
    </row>
    <row r="9" spans="1:45" x14ac:dyDescent="0.2">
      <c r="A9" s="58"/>
      <c r="B9" s="2"/>
      <c r="C9" s="21"/>
      <c r="D9" s="21"/>
      <c r="E9" s="41"/>
      <c r="F9" s="16"/>
      <c r="G9" s="399"/>
      <c r="K9" s="141"/>
      <c r="L9" s="73"/>
      <c r="N9" s="400"/>
      <c r="O9" s="75"/>
      <c r="AA9" s="220"/>
      <c r="AB9" s="240"/>
      <c r="AC9" s="240"/>
      <c r="AD9" s="240"/>
      <c r="AE9" s="240"/>
      <c r="AF9" s="240"/>
      <c r="AG9" s="240"/>
    </row>
    <row r="10" spans="1:45" x14ac:dyDescent="0.2">
      <c r="A10" s="58" t="s">
        <v>55</v>
      </c>
      <c r="B10" s="22"/>
      <c r="C10" s="21" t="str">
        <f>'WP1 Light Inventory'!D11</f>
        <v>Mercury Vapor</v>
      </c>
      <c r="D10" s="21" t="str">
        <f>'WP1 Light Inventory'!E11</f>
        <v>MV 100</v>
      </c>
      <c r="E10" s="21">
        <f>'WP1 Light Inventory'!F11</f>
        <v>100</v>
      </c>
      <c r="F10" s="21" t="str">
        <f>'WP1 Light Inventory'!H11</f>
        <v>Customer</v>
      </c>
      <c r="G10" s="397">
        <f>'WP1 Light Inventory'!J11</f>
        <v>2</v>
      </c>
      <c r="H10" s="74" t="s">
        <v>600</v>
      </c>
      <c r="I10" s="14" t="s">
        <v>133</v>
      </c>
      <c r="J10" s="19">
        <f>IF(C10="Light Emitting Diode",'WP10 O&amp;M Weighting Factor'!$B$26,IF('WP12 Condensed Sch. Level Costs'!C10="Sodium Vapor",'WP10 O&amp;M Weighting Factor'!$B$27,IF('WP12 Condensed Sch. Level Costs'!C10="Metal Halide",'WP10 O&amp;M Weighting Factor'!$B$28,IF('WP12 Condensed Sch. Level Costs'!C10="Mercury Vapor",'WP10 O&amp;M Weighting Factor'!$B$30,IF('WP12 Condensed Sch. Level Costs'!C10="Compact Flourescent",'WP10 O&amp;M Weighting Factor'!$B$29, IF(C10="Incandescent", 'WP10 O&amp;M Weighting Factor'!$B$31, 0))))))</f>
        <v>1</v>
      </c>
      <c r="K10" s="282">
        <f>IF(I10="Yes",G10*J10,0)</f>
        <v>2</v>
      </c>
      <c r="L10" s="74">
        <f>IF(F10="Company", G10*H10,0)</f>
        <v>0</v>
      </c>
      <c r="M10" s="283">
        <f>E10*G10/1000</f>
        <v>0.2</v>
      </c>
      <c r="N10" s="398">
        <f>'WP1 Light Inventory'!L11</f>
        <v>840</v>
      </c>
      <c r="O10" s="284">
        <f>E10*4200/1000/12</f>
        <v>35</v>
      </c>
      <c r="P10" s="261">
        <f>'BDJ-6 Unitized Lighting Costs'!D$20</f>
        <v>1.0137794003499056E-2</v>
      </c>
      <c r="Q10" s="261">
        <f>'BDJ-6 Unitized Lighting Costs'!$D$43</f>
        <v>2.2529806535397991</v>
      </c>
      <c r="R10" s="261">
        <f>'BDJ-6 Unitized Lighting Costs'!D$69</f>
        <v>1.9131568994526543E-2</v>
      </c>
      <c r="S10" s="261">
        <f>'BDJ-6 Unitized Lighting Costs'!D$100</f>
        <v>3.6511265600435805</v>
      </c>
      <c r="T10" s="261">
        <f>'BDJ-6 Unitized Lighting Costs'!$D$117</f>
        <v>5.4555747529966878E-2</v>
      </c>
      <c r="U10" s="43">
        <f>IF(F10="Company", H10*P10, 0)</f>
        <v>0</v>
      </c>
      <c r="V10" s="43">
        <f>IF(I10="yes", J10*Q10, 0)</f>
        <v>2.2529806535397991</v>
      </c>
      <c r="W10" s="43">
        <f>R10*O10</f>
        <v>0.66960491480842899</v>
      </c>
      <c r="X10" s="43">
        <f>E10*S10/1000</f>
        <v>0.36511265600435805</v>
      </c>
      <c r="Y10" s="43">
        <f>O10*T10</f>
        <v>1.9094511635488407</v>
      </c>
      <c r="Z10" s="43">
        <f>SUM(U10:Y10)</f>
        <v>5.197149387901427</v>
      </c>
      <c r="AA10" s="220"/>
      <c r="AB10" s="240">
        <f>IFERROR(U10/O10,0)</f>
        <v>0</v>
      </c>
      <c r="AC10" s="240">
        <f>IFERROR(V10/O10,0)</f>
        <v>6.4370875815422834E-2</v>
      </c>
      <c r="AD10" s="240">
        <f>IFERROR(W10/O10,0)</f>
        <v>1.9131568994526543E-2</v>
      </c>
      <c r="AE10" s="240">
        <f>IFERROR(X10/O10,0)</f>
        <v>1.0431790171553088E-2</v>
      </c>
      <c r="AF10" s="240">
        <f>IFERROR(Y10/O10,0)</f>
        <v>5.4555747529966878E-2</v>
      </c>
      <c r="AG10" s="240">
        <f>SUM(AB10:AF10)</f>
        <v>0.14848998251146933</v>
      </c>
      <c r="AH10" s="43">
        <f t="shared" ref="AH10:AL12" si="1">(U10*$G10)</f>
        <v>0</v>
      </c>
      <c r="AI10" s="43">
        <f t="shared" si="1"/>
        <v>4.5059613070795983</v>
      </c>
      <c r="AJ10" s="43">
        <f t="shared" si="1"/>
        <v>1.339209829616858</v>
      </c>
      <c r="AK10" s="43">
        <f t="shared" si="1"/>
        <v>0.7302253120087161</v>
      </c>
      <c r="AL10" s="43">
        <f t="shared" si="1"/>
        <v>3.8189023270976814</v>
      </c>
      <c r="AM10" s="43">
        <f>SUM(AH10:AL10)</f>
        <v>10.394298775802854</v>
      </c>
      <c r="AN10" s="43">
        <f t="shared" ref="AN10:AS12" si="2">AH10*12</f>
        <v>0</v>
      </c>
      <c r="AO10" s="43">
        <f t="shared" si="2"/>
        <v>54.07153568495518</v>
      </c>
      <c r="AP10" s="43">
        <f t="shared" si="2"/>
        <v>16.070517955402295</v>
      </c>
      <c r="AQ10" s="43">
        <f t="shared" si="2"/>
        <v>8.7627037441045932</v>
      </c>
      <c r="AR10" s="43">
        <f t="shared" si="2"/>
        <v>45.826827925172175</v>
      </c>
      <c r="AS10" s="43">
        <f t="shared" si="2"/>
        <v>124.73158530963426</v>
      </c>
    </row>
    <row r="11" spans="1:45" x14ac:dyDescent="0.2">
      <c r="A11" s="58" t="str">
        <f>+A10</f>
        <v>50E-A</v>
      </c>
      <c r="B11" s="22"/>
      <c r="C11" s="21" t="str">
        <f>'WP1 Light Inventory'!D12</f>
        <v>Mercury Vapor</v>
      </c>
      <c r="D11" s="21" t="str">
        <f>'WP1 Light Inventory'!E12</f>
        <v>MV 175</v>
      </c>
      <c r="E11" s="21">
        <f>'WP1 Light Inventory'!F12</f>
        <v>175</v>
      </c>
      <c r="F11" s="21" t="str">
        <f>'WP1 Light Inventory'!H12</f>
        <v>Customer</v>
      </c>
      <c r="G11" s="397">
        <f>'WP1 Light Inventory'!J12</f>
        <v>19</v>
      </c>
      <c r="H11" s="74" t="s">
        <v>600</v>
      </c>
      <c r="I11" s="14" t="s">
        <v>133</v>
      </c>
      <c r="J11" s="19">
        <f>IF(C11="Light Emitting Diode",'WP10 O&amp;M Weighting Factor'!$B$26,IF('WP12 Condensed Sch. Level Costs'!C11="Sodium Vapor",'WP10 O&amp;M Weighting Factor'!$B$27,IF('WP12 Condensed Sch. Level Costs'!C11="Metal Halide",'WP10 O&amp;M Weighting Factor'!$B$28,IF('WP12 Condensed Sch. Level Costs'!C11="Mercury Vapor",'WP10 O&amp;M Weighting Factor'!$B$30,IF('WP12 Condensed Sch. Level Costs'!C11="Compact Flourescent",'WP10 O&amp;M Weighting Factor'!$B$29, IF(C11="Incandescent", 'WP10 O&amp;M Weighting Factor'!$B$31, 0))))))</f>
        <v>1</v>
      </c>
      <c r="K11" s="282">
        <f>IF(I11="Yes",G11*J11,0)</f>
        <v>19</v>
      </c>
      <c r="L11" s="74">
        <f>IF(F11="Company", G11*H11,0)</f>
        <v>0</v>
      </c>
      <c r="M11" s="283">
        <f>E11*G11/1000</f>
        <v>3.3250000000000002</v>
      </c>
      <c r="N11" s="398">
        <f>'WP1 Light Inventory'!L12</f>
        <v>13965</v>
      </c>
      <c r="O11" s="284">
        <f>E11*4200/1000/12</f>
        <v>61.25</v>
      </c>
      <c r="P11" s="261">
        <f>'BDJ-6 Unitized Lighting Costs'!D$20</f>
        <v>1.0137794003499056E-2</v>
      </c>
      <c r="Q11" s="261">
        <f>'BDJ-6 Unitized Lighting Costs'!$D$43</f>
        <v>2.2529806535397991</v>
      </c>
      <c r="R11" s="261">
        <f>'BDJ-6 Unitized Lighting Costs'!D$69</f>
        <v>1.9131568994526543E-2</v>
      </c>
      <c r="S11" s="261">
        <f>'BDJ-6 Unitized Lighting Costs'!D$100</f>
        <v>3.6511265600435805</v>
      </c>
      <c r="T11" s="261">
        <f>'BDJ-6 Unitized Lighting Costs'!$D$117</f>
        <v>5.4555747529966878E-2</v>
      </c>
      <c r="U11" s="43">
        <f>IF(F11="Company", H11*P11, 0)</f>
        <v>0</v>
      </c>
      <c r="V11" s="43">
        <f>IF(I11="yes", J11*Q11, 0)</f>
        <v>2.2529806535397991</v>
      </c>
      <c r="W11" s="43">
        <f>R11*O11</f>
        <v>1.1718086009147508</v>
      </c>
      <c r="X11" s="43">
        <f>E11*S11/1000</f>
        <v>0.63894714800762653</v>
      </c>
      <c r="Y11" s="43">
        <f>O11*T11</f>
        <v>3.3415395362104712</v>
      </c>
      <c r="Z11" s="43">
        <f>SUM(U11:Y11)</f>
        <v>7.4052759386726468</v>
      </c>
      <c r="AA11" s="220"/>
      <c r="AB11" s="240">
        <f>IFERROR(U11/O11,0)</f>
        <v>0</v>
      </c>
      <c r="AC11" s="240">
        <f>IFERROR(V11/O11,0)</f>
        <v>3.6783357608813044E-2</v>
      </c>
      <c r="AD11" s="240">
        <f>IFERROR(W11/O11,0)</f>
        <v>1.9131568994526543E-2</v>
      </c>
      <c r="AE11" s="240">
        <f>IFERROR(X11/O11,0)</f>
        <v>1.0431790171553086E-2</v>
      </c>
      <c r="AF11" s="240">
        <f>IFERROR(Y11/O11,0)</f>
        <v>5.4555747529966878E-2</v>
      </c>
      <c r="AG11" s="240">
        <f>SUM(AB11:AF11)</f>
        <v>0.12090246430485956</v>
      </c>
      <c r="AH11" s="43">
        <f t="shared" si="1"/>
        <v>0</v>
      </c>
      <c r="AI11" s="43">
        <f t="shared" si="1"/>
        <v>42.806632417256182</v>
      </c>
      <c r="AJ11" s="43">
        <f t="shared" si="1"/>
        <v>22.264363417380267</v>
      </c>
      <c r="AK11" s="43">
        <f t="shared" si="1"/>
        <v>12.139995812144903</v>
      </c>
      <c r="AL11" s="43">
        <f t="shared" si="1"/>
        <v>63.489251187998953</v>
      </c>
      <c r="AM11" s="43">
        <f>SUM(AH11:AL11)</f>
        <v>140.70024283478031</v>
      </c>
      <c r="AN11" s="43">
        <f t="shared" si="2"/>
        <v>0</v>
      </c>
      <c r="AO11" s="43">
        <f t="shared" si="2"/>
        <v>513.67958900707413</v>
      </c>
      <c r="AP11" s="43">
        <f t="shared" si="2"/>
        <v>267.1723610085632</v>
      </c>
      <c r="AQ11" s="43">
        <f t="shared" si="2"/>
        <v>145.67994974573884</v>
      </c>
      <c r="AR11" s="43">
        <f t="shared" si="2"/>
        <v>761.87101425598746</v>
      </c>
      <c r="AS11" s="43">
        <f t="shared" si="2"/>
        <v>1688.4029140173639</v>
      </c>
    </row>
    <row r="12" spans="1:45" x14ac:dyDescent="0.2">
      <c r="A12" s="58" t="str">
        <f>+A11</f>
        <v>50E-A</v>
      </c>
      <c r="B12" s="22"/>
      <c r="C12" s="21" t="str">
        <f>'WP1 Light Inventory'!D13</f>
        <v>Mercury Vapor</v>
      </c>
      <c r="D12" s="21" t="str">
        <f>'WP1 Light Inventory'!E13</f>
        <v>MV 400</v>
      </c>
      <c r="E12" s="21">
        <f>'WP1 Light Inventory'!F13</f>
        <v>400</v>
      </c>
      <c r="F12" s="21" t="str">
        <f>'WP1 Light Inventory'!H13</f>
        <v>Customer</v>
      </c>
      <c r="G12" s="397">
        <f>'WP1 Light Inventory'!J13</f>
        <v>20</v>
      </c>
      <c r="H12" s="74" t="s">
        <v>600</v>
      </c>
      <c r="I12" s="14" t="s">
        <v>133</v>
      </c>
      <c r="J12" s="19">
        <f>IF(C12="Light Emitting Diode",'WP10 O&amp;M Weighting Factor'!$B$26,IF('WP12 Condensed Sch. Level Costs'!C12="Sodium Vapor",'WP10 O&amp;M Weighting Factor'!$B$27,IF('WP12 Condensed Sch. Level Costs'!C12="Metal Halide",'WP10 O&amp;M Weighting Factor'!$B$28,IF('WP12 Condensed Sch. Level Costs'!C12="Mercury Vapor",'WP10 O&amp;M Weighting Factor'!$B$30,IF('WP12 Condensed Sch. Level Costs'!C12="Compact Flourescent",'WP10 O&amp;M Weighting Factor'!$B$29, IF(C12="Incandescent", 'WP10 O&amp;M Weighting Factor'!$B$31, 0))))))</f>
        <v>1</v>
      </c>
      <c r="K12" s="282">
        <f>IF(I12="Yes",G12*J12,0)</f>
        <v>20</v>
      </c>
      <c r="L12" s="74">
        <f>IF(F12="Company", G12*H12,0)</f>
        <v>0</v>
      </c>
      <c r="M12" s="283">
        <f>E12*G12/1000</f>
        <v>8</v>
      </c>
      <c r="N12" s="398">
        <f>'WP1 Light Inventory'!L13</f>
        <v>33600</v>
      </c>
      <c r="O12" s="284">
        <f>E12*4200/1000/12</f>
        <v>140</v>
      </c>
      <c r="P12" s="261">
        <f>'BDJ-6 Unitized Lighting Costs'!D$20</f>
        <v>1.0137794003499056E-2</v>
      </c>
      <c r="Q12" s="261">
        <f>'BDJ-6 Unitized Lighting Costs'!$D$43</f>
        <v>2.2529806535397991</v>
      </c>
      <c r="R12" s="261">
        <f>'BDJ-6 Unitized Lighting Costs'!D$69</f>
        <v>1.9131568994526543E-2</v>
      </c>
      <c r="S12" s="261">
        <f>'BDJ-6 Unitized Lighting Costs'!D$100</f>
        <v>3.6511265600435805</v>
      </c>
      <c r="T12" s="261">
        <f>'BDJ-6 Unitized Lighting Costs'!$D$117</f>
        <v>5.4555747529966878E-2</v>
      </c>
      <c r="U12" s="43">
        <f>IF(F12="Company", H12*P12, 0)</f>
        <v>0</v>
      </c>
      <c r="V12" s="43">
        <f>IF(I12="yes", J12*Q12, 0)</f>
        <v>2.2529806535397991</v>
      </c>
      <c r="W12" s="43">
        <f>R12*O12</f>
        <v>2.6784196592337159</v>
      </c>
      <c r="X12" s="43">
        <f>E12*S12/1000</f>
        <v>1.4604506240174322</v>
      </c>
      <c r="Y12" s="43">
        <f>O12*T12</f>
        <v>7.6378046541953628</v>
      </c>
      <c r="Z12" s="43">
        <f>SUM(U12:Y12)</f>
        <v>14.029655590986311</v>
      </c>
      <c r="AA12" s="220"/>
      <c r="AB12" s="240">
        <f>IFERROR(U12/O12,0)</f>
        <v>0</v>
      </c>
      <c r="AC12" s="240">
        <f>IFERROR(V12/O12,0)</f>
        <v>1.6092718953855709E-2</v>
      </c>
      <c r="AD12" s="240">
        <f>IFERROR(W12/O12,0)</f>
        <v>1.9131568994526543E-2</v>
      </c>
      <c r="AE12" s="240">
        <f>IFERROR(X12/O12,0)</f>
        <v>1.0431790171553088E-2</v>
      </c>
      <c r="AF12" s="240">
        <f>IFERROR(Y12/O12,0)</f>
        <v>5.4555747529966878E-2</v>
      </c>
      <c r="AG12" s="240">
        <f>SUM(AB12:AF12)</f>
        <v>0.10021182564990222</v>
      </c>
      <c r="AH12" s="43">
        <f t="shared" si="1"/>
        <v>0</v>
      </c>
      <c r="AI12" s="43">
        <f t="shared" si="1"/>
        <v>45.059613070795983</v>
      </c>
      <c r="AJ12" s="43">
        <f t="shared" si="1"/>
        <v>53.568393184674321</v>
      </c>
      <c r="AK12" s="43">
        <f t="shared" si="1"/>
        <v>29.209012480348644</v>
      </c>
      <c r="AL12" s="43">
        <f t="shared" si="1"/>
        <v>152.75609308390725</v>
      </c>
      <c r="AM12" s="43">
        <f>SUM(AH12:AL12)</f>
        <v>280.59311181972618</v>
      </c>
      <c r="AN12" s="43">
        <f t="shared" si="2"/>
        <v>0</v>
      </c>
      <c r="AO12" s="43">
        <f t="shared" si="2"/>
        <v>540.71535684955177</v>
      </c>
      <c r="AP12" s="43">
        <f t="shared" si="2"/>
        <v>642.82071821609179</v>
      </c>
      <c r="AQ12" s="43">
        <f t="shared" si="2"/>
        <v>350.50814976418371</v>
      </c>
      <c r="AR12" s="43">
        <f t="shared" si="2"/>
        <v>1833.0731170068871</v>
      </c>
      <c r="AS12" s="43">
        <f t="shared" si="2"/>
        <v>3367.1173418367143</v>
      </c>
    </row>
    <row r="13" spans="1:45" x14ac:dyDescent="0.2">
      <c r="A13" s="58"/>
      <c r="B13" s="22"/>
      <c r="C13" s="47"/>
      <c r="D13" s="23"/>
      <c r="E13" s="401"/>
      <c r="F13" s="18"/>
      <c r="G13" s="399"/>
      <c r="K13" s="142"/>
      <c r="L13" s="74"/>
      <c r="O13" s="23"/>
      <c r="AA13" s="220"/>
      <c r="AB13" s="240"/>
      <c r="AC13" s="240"/>
      <c r="AD13" s="240"/>
      <c r="AE13" s="240"/>
      <c r="AF13" s="240"/>
      <c r="AG13" s="240"/>
    </row>
    <row r="14" spans="1:45" x14ac:dyDescent="0.2">
      <c r="A14" s="58" t="s">
        <v>56</v>
      </c>
      <c r="B14" s="22" t="s">
        <v>514</v>
      </c>
      <c r="C14" s="21" t="str">
        <f>'WP1 Light Inventory'!D15</f>
        <v>Mercury Vapor</v>
      </c>
      <c r="D14" s="21" t="str">
        <f>'WP1 Light Inventory'!E15</f>
        <v>MV 100</v>
      </c>
      <c r="E14" s="21">
        <f>'WP1 Light Inventory'!F15</f>
        <v>100</v>
      </c>
      <c r="F14" s="21" t="str">
        <f>'WP1 Light Inventory'!H15</f>
        <v>Customer</v>
      </c>
      <c r="G14" s="397">
        <f>'WP1 Light Inventory'!J15</f>
        <v>0</v>
      </c>
      <c r="H14" s="74" t="s">
        <v>600</v>
      </c>
      <c r="I14" s="14" t="s">
        <v>159</v>
      </c>
      <c r="J14" s="19">
        <f>IF(C14="Light Emitting Diode",'WP10 O&amp;M Weighting Factor'!$B$26,IF('WP12 Condensed Sch. Level Costs'!C14="Sodium Vapor",'WP10 O&amp;M Weighting Factor'!$B$27,IF('WP12 Condensed Sch. Level Costs'!C14="Metal Halide",'WP10 O&amp;M Weighting Factor'!$B$28,IF('WP12 Condensed Sch. Level Costs'!C14="Mercury Vapor",'WP10 O&amp;M Weighting Factor'!$B$30,IF('WP12 Condensed Sch. Level Costs'!C14="Compact Flourescent",'WP10 O&amp;M Weighting Factor'!$B$29, IF(C14="Incandescent", 'WP10 O&amp;M Weighting Factor'!$B$31, 0))))))</f>
        <v>1</v>
      </c>
      <c r="K14" s="282">
        <f>IF(I14="Yes",G14*J14,0)</f>
        <v>0</v>
      </c>
      <c r="L14" s="74">
        <f>IF(F14="Company", G14*H14,0)</f>
        <v>0</v>
      </c>
      <c r="M14" s="283">
        <f>E14*G14/1000</f>
        <v>0</v>
      </c>
      <c r="N14" s="398">
        <f>'WP1 Light Inventory'!L15</f>
        <v>0</v>
      </c>
      <c r="O14" s="284">
        <f>E14*4200/1000/12</f>
        <v>35</v>
      </c>
      <c r="P14" s="261">
        <f>'BDJ-6 Unitized Lighting Costs'!D$20</f>
        <v>1.0137794003499056E-2</v>
      </c>
      <c r="Q14" s="261">
        <f>'BDJ-6 Unitized Lighting Costs'!$D$43</f>
        <v>2.2529806535397991</v>
      </c>
      <c r="R14" s="261">
        <f>'BDJ-6 Unitized Lighting Costs'!D$69</f>
        <v>1.9131568994526543E-2</v>
      </c>
      <c r="S14" s="261">
        <f>'BDJ-6 Unitized Lighting Costs'!D$100</f>
        <v>3.6511265600435805</v>
      </c>
      <c r="T14" s="261">
        <f>'BDJ-6 Unitized Lighting Costs'!$D$117</f>
        <v>5.4555747529966878E-2</v>
      </c>
      <c r="U14" s="43">
        <f>IF(F14="Company", H14*P14, 0)</f>
        <v>0</v>
      </c>
      <c r="V14" s="43">
        <f>IF(I14="yes", J14*Q14, 0)</f>
        <v>0</v>
      </c>
      <c r="W14" s="43">
        <f>R14*O14</f>
        <v>0.66960491480842899</v>
      </c>
      <c r="X14" s="43">
        <f>E14*S14/1000</f>
        <v>0.36511265600435805</v>
      </c>
      <c r="Y14" s="43">
        <f>O14*T14</f>
        <v>1.9094511635488407</v>
      </c>
      <c r="Z14" s="43">
        <f>SUM(U14:Y14)</f>
        <v>2.9441687343616278</v>
      </c>
      <c r="AA14" s="220"/>
      <c r="AB14" s="240">
        <f>IFERROR(U14/O14,0)</f>
        <v>0</v>
      </c>
      <c r="AC14" s="240">
        <f>IFERROR(V14/O14,0)</f>
        <v>0</v>
      </c>
      <c r="AD14" s="240">
        <f>IFERROR(W14/O14,0)</f>
        <v>1.9131568994526543E-2</v>
      </c>
      <c r="AE14" s="240">
        <f>IFERROR(X14/O14,0)</f>
        <v>1.0431790171553088E-2</v>
      </c>
      <c r="AF14" s="240">
        <f>IFERROR(Y14/O14,0)</f>
        <v>5.4555747529966878E-2</v>
      </c>
      <c r="AG14" s="240">
        <f>SUM(AB14:AF14)</f>
        <v>8.4119106696046511E-2</v>
      </c>
      <c r="AH14" s="43">
        <f t="shared" ref="AH14:AL17" si="3">(U14*$G14)</f>
        <v>0</v>
      </c>
      <c r="AI14" s="43">
        <f t="shared" si="3"/>
        <v>0</v>
      </c>
      <c r="AJ14" s="43">
        <f t="shared" si="3"/>
        <v>0</v>
      </c>
      <c r="AK14" s="43">
        <f t="shared" si="3"/>
        <v>0</v>
      </c>
      <c r="AL14" s="43">
        <f t="shared" si="3"/>
        <v>0</v>
      </c>
      <c r="AM14" s="43">
        <f>SUM(AH14:AL14)</f>
        <v>0</v>
      </c>
      <c r="AN14" s="43">
        <f t="shared" ref="AN14:AS17" si="4">AH14*12</f>
        <v>0</v>
      </c>
      <c r="AO14" s="43">
        <f t="shared" si="4"/>
        <v>0</v>
      </c>
      <c r="AP14" s="43">
        <f t="shared" si="4"/>
        <v>0</v>
      </c>
      <c r="AQ14" s="43">
        <f t="shared" si="4"/>
        <v>0</v>
      </c>
      <c r="AR14" s="43">
        <f t="shared" si="4"/>
        <v>0</v>
      </c>
      <c r="AS14" s="43">
        <f t="shared" si="4"/>
        <v>0</v>
      </c>
    </row>
    <row r="15" spans="1:45" x14ac:dyDescent="0.2">
      <c r="A15" s="58" t="str">
        <f>+A14</f>
        <v>50E-B</v>
      </c>
      <c r="B15" s="22" t="s">
        <v>514</v>
      </c>
      <c r="C15" s="21" t="str">
        <f>'WP1 Light Inventory'!D16</f>
        <v>Mercury Vapor</v>
      </c>
      <c r="D15" s="21" t="str">
        <f>'WP1 Light Inventory'!E16</f>
        <v>MV 175</v>
      </c>
      <c r="E15" s="21">
        <f>'WP1 Light Inventory'!F16</f>
        <v>175</v>
      </c>
      <c r="F15" s="21" t="str">
        <f>'WP1 Light Inventory'!H16</f>
        <v>Customer</v>
      </c>
      <c r="G15" s="397">
        <f>'WP1 Light Inventory'!J16</f>
        <v>1</v>
      </c>
      <c r="H15" s="74" t="s">
        <v>600</v>
      </c>
      <c r="I15" s="14" t="s">
        <v>159</v>
      </c>
      <c r="J15" s="19">
        <f>IF(C15="Light Emitting Diode",'WP10 O&amp;M Weighting Factor'!$B$26,IF('WP12 Condensed Sch. Level Costs'!C15="Sodium Vapor",'WP10 O&amp;M Weighting Factor'!$B$27,IF('WP12 Condensed Sch. Level Costs'!C15="Metal Halide",'WP10 O&amp;M Weighting Factor'!$B$28,IF('WP12 Condensed Sch. Level Costs'!C15="Mercury Vapor",'WP10 O&amp;M Weighting Factor'!$B$30,IF('WP12 Condensed Sch. Level Costs'!C15="Compact Flourescent",'WP10 O&amp;M Weighting Factor'!$B$29, IF(C15="Incandescent", 'WP10 O&amp;M Weighting Factor'!$B$31, 0))))))</f>
        <v>1</v>
      </c>
      <c r="K15" s="282">
        <f>IF(I15="Yes",G15*J15,0)</f>
        <v>0</v>
      </c>
      <c r="L15" s="74">
        <f>IF(F15="Company", G15*H15,0)</f>
        <v>0</v>
      </c>
      <c r="M15" s="283">
        <f>E15*G15/1000</f>
        <v>0.17499999999999999</v>
      </c>
      <c r="N15" s="398">
        <f>'WP1 Light Inventory'!L16</f>
        <v>735</v>
      </c>
      <c r="O15" s="284">
        <f>E15*4200/1000/12</f>
        <v>61.25</v>
      </c>
      <c r="P15" s="261">
        <f>'BDJ-6 Unitized Lighting Costs'!D$20</f>
        <v>1.0137794003499056E-2</v>
      </c>
      <c r="Q15" s="261">
        <f>'BDJ-6 Unitized Lighting Costs'!$D$43</f>
        <v>2.2529806535397991</v>
      </c>
      <c r="R15" s="261">
        <f>'BDJ-6 Unitized Lighting Costs'!D$69</f>
        <v>1.9131568994526543E-2</v>
      </c>
      <c r="S15" s="261">
        <f>'BDJ-6 Unitized Lighting Costs'!D$100</f>
        <v>3.6511265600435805</v>
      </c>
      <c r="T15" s="261">
        <f>'BDJ-6 Unitized Lighting Costs'!$D$117</f>
        <v>5.4555747529966878E-2</v>
      </c>
      <c r="U15" s="43">
        <f>IF(F15="Company", H15*P15, 0)</f>
        <v>0</v>
      </c>
      <c r="V15" s="43">
        <f>IF(I15="yes", J15*Q15, 0)</f>
        <v>0</v>
      </c>
      <c r="W15" s="43">
        <f>R15*O15</f>
        <v>1.1718086009147508</v>
      </c>
      <c r="X15" s="43">
        <f>E15*S15/1000</f>
        <v>0.63894714800762653</v>
      </c>
      <c r="Y15" s="43">
        <f>O15*T15</f>
        <v>3.3415395362104712</v>
      </c>
      <c r="Z15" s="43">
        <f>SUM(U15:Y15)</f>
        <v>5.1522952851328485</v>
      </c>
      <c r="AA15" s="220"/>
      <c r="AB15" s="240">
        <f>IFERROR(U15/O15,0)</f>
        <v>0</v>
      </c>
      <c r="AC15" s="240">
        <f>IFERROR(V15/O15,0)</f>
        <v>0</v>
      </c>
      <c r="AD15" s="240">
        <f>IFERROR(W15/O15,0)</f>
        <v>1.9131568994526543E-2</v>
      </c>
      <c r="AE15" s="240">
        <f>IFERROR(X15/O15,0)</f>
        <v>1.0431790171553086E-2</v>
      </c>
      <c r="AF15" s="240">
        <f>IFERROR(Y15/O15,0)</f>
        <v>5.4555747529966878E-2</v>
      </c>
      <c r="AG15" s="240">
        <f>SUM(AB15:AF15)</f>
        <v>8.4119106696046497E-2</v>
      </c>
      <c r="AH15" s="43">
        <f t="shared" si="3"/>
        <v>0</v>
      </c>
      <c r="AI15" s="43">
        <f t="shared" si="3"/>
        <v>0</v>
      </c>
      <c r="AJ15" s="43">
        <f t="shared" si="3"/>
        <v>1.1718086009147508</v>
      </c>
      <c r="AK15" s="43">
        <f t="shared" si="3"/>
        <v>0.63894714800762653</v>
      </c>
      <c r="AL15" s="43">
        <f t="shared" si="3"/>
        <v>3.3415395362104712</v>
      </c>
      <c r="AM15" s="43">
        <f>SUM(AH15:AL15)</f>
        <v>5.1522952851328485</v>
      </c>
      <c r="AN15" s="43">
        <f t="shared" si="4"/>
        <v>0</v>
      </c>
      <c r="AO15" s="43">
        <f t="shared" si="4"/>
        <v>0</v>
      </c>
      <c r="AP15" s="43">
        <f t="shared" si="4"/>
        <v>14.06170321097701</v>
      </c>
      <c r="AQ15" s="43">
        <f t="shared" si="4"/>
        <v>7.6673657760915184</v>
      </c>
      <c r="AR15" s="43">
        <f t="shared" si="4"/>
        <v>40.098474434525656</v>
      </c>
      <c r="AS15" s="43">
        <f t="shared" si="4"/>
        <v>61.827543421594186</v>
      </c>
    </row>
    <row r="16" spans="1:45" x14ac:dyDescent="0.2">
      <c r="A16" s="58" t="str">
        <f>+A15</f>
        <v>50E-B</v>
      </c>
      <c r="B16" s="22" t="s">
        <v>514</v>
      </c>
      <c r="C16" s="21" t="str">
        <f>'WP1 Light Inventory'!D17</f>
        <v>Mercury Vapor</v>
      </c>
      <c r="D16" s="21" t="str">
        <f>'WP1 Light Inventory'!E17</f>
        <v>MV 400</v>
      </c>
      <c r="E16" s="21">
        <f>'WP1 Light Inventory'!F17</f>
        <v>400</v>
      </c>
      <c r="F16" s="21" t="str">
        <f>'WP1 Light Inventory'!H17</f>
        <v>Customer</v>
      </c>
      <c r="G16" s="397">
        <f>'WP1 Light Inventory'!J17</f>
        <v>0</v>
      </c>
      <c r="H16" s="74" t="s">
        <v>600</v>
      </c>
      <c r="I16" s="14" t="s">
        <v>159</v>
      </c>
      <c r="J16" s="19">
        <f>IF(C16="Light Emitting Diode",'WP10 O&amp;M Weighting Factor'!$B$26,IF('WP12 Condensed Sch. Level Costs'!C16="Sodium Vapor",'WP10 O&amp;M Weighting Factor'!$B$27,IF('WP12 Condensed Sch. Level Costs'!C16="Metal Halide",'WP10 O&amp;M Weighting Factor'!$B$28,IF('WP12 Condensed Sch. Level Costs'!C16="Mercury Vapor",'WP10 O&amp;M Weighting Factor'!$B$30,IF('WP12 Condensed Sch. Level Costs'!C16="Compact Flourescent",'WP10 O&amp;M Weighting Factor'!$B$29, IF(C16="Incandescent", 'WP10 O&amp;M Weighting Factor'!$B$31, 0))))))</f>
        <v>1</v>
      </c>
      <c r="K16" s="282">
        <f>IF(I16="Yes",G16*J16,0)</f>
        <v>0</v>
      </c>
      <c r="L16" s="74">
        <f>IF(F16="Company", G16*H16,0)</f>
        <v>0</v>
      </c>
      <c r="M16" s="283">
        <f>E16*G16/1000</f>
        <v>0</v>
      </c>
      <c r="N16" s="398">
        <f>'WP1 Light Inventory'!L17</f>
        <v>0</v>
      </c>
      <c r="O16" s="284">
        <f>E16*4200/1000/12</f>
        <v>140</v>
      </c>
      <c r="P16" s="261">
        <f>'BDJ-6 Unitized Lighting Costs'!D$20</f>
        <v>1.0137794003499056E-2</v>
      </c>
      <c r="Q16" s="261">
        <f>'BDJ-6 Unitized Lighting Costs'!$D$43</f>
        <v>2.2529806535397991</v>
      </c>
      <c r="R16" s="261">
        <f>'BDJ-6 Unitized Lighting Costs'!D$69</f>
        <v>1.9131568994526543E-2</v>
      </c>
      <c r="S16" s="261">
        <f>'BDJ-6 Unitized Lighting Costs'!D$100</f>
        <v>3.6511265600435805</v>
      </c>
      <c r="T16" s="261">
        <f>'BDJ-6 Unitized Lighting Costs'!$D$117</f>
        <v>5.4555747529966878E-2</v>
      </c>
      <c r="U16" s="43">
        <f>IF(F16="Company", H16*P16, 0)</f>
        <v>0</v>
      </c>
      <c r="V16" s="43">
        <f>IF(I16="yes", J16*Q16, 0)</f>
        <v>0</v>
      </c>
      <c r="W16" s="43">
        <f>R16*O16</f>
        <v>2.6784196592337159</v>
      </c>
      <c r="X16" s="43">
        <f>E16*S16/1000</f>
        <v>1.4604506240174322</v>
      </c>
      <c r="Y16" s="43">
        <f>O16*T16</f>
        <v>7.6378046541953628</v>
      </c>
      <c r="Z16" s="43">
        <f>SUM(U16:Y16)</f>
        <v>11.776674937446511</v>
      </c>
      <c r="AA16" s="220"/>
      <c r="AB16" s="240">
        <f>IFERROR(U16/O16,0)</f>
        <v>0</v>
      </c>
      <c r="AC16" s="240">
        <f>IFERROR(V16/O16,0)</f>
        <v>0</v>
      </c>
      <c r="AD16" s="240">
        <f>IFERROR(W16/O16,0)</f>
        <v>1.9131568994526543E-2</v>
      </c>
      <c r="AE16" s="240">
        <f>IFERROR(X16/O16,0)</f>
        <v>1.0431790171553088E-2</v>
      </c>
      <c r="AF16" s="240">
        <f>IFERROR(Y16/O16,0)</f>
        <v>5.4555747529966878E-2</v>
      </c>
      <c r="AG16" s="240">
        <f>SUM(AB16:AF16)</f>
        <v>8.4119106696046511E-2</v>
      </c>
      <c r="AH16" s="43">
        <f t="shared" si="3"/>
        <v>0</v>
      </c>
      <c r="AI16" s="43">
        <f t="shared" si="3"/>
        <v>0</v>
      </c>
      <c r="AJ16" s="43">
        <f t="shared" si="3"/>
        <v>0</v>
      </c>
      <c r="AK16" s="43">
        <f t="shared" si="3"/>
        <v>0</v>
      </c>
      <c r="AL16" s="43">
        <f t="shared" si="3"/>
        <v>0</v>
      </c>
      <c r="AM16" s="43">
        <f>SUM(AH16:AL16)</f>
        <v>0</v>
      </c>
      <c r="AN16" s="43">
        <f t="shared" si="4"/>
        <v>0</v>
      </c>
      <c r="AO16" s="43">
        <f t="shared" si="4"/>
        <v>0</v>
      </c>
      <c r="AP16" s="43">
        <f t="shared" si="4"/>
        <v>0</v>
      </c>
      <c r="AQ16" s="43">
        <f t="shared" si="4"/>
        <v>0</v>
      </c>
      <c r="AR16" s="43">
        <f t="shared" si="4"/>
        <v>0</v>
      </c>
      <c r="AS16" s="43">
        <f t="shared" si="4"/>
        <v>0</v>
      </c>
    </row>
    <row r="17" spans="1:45" x14ac:dyDescent="0.2">
      <c r="A17" s="58" t="str">
        <f>+A16</f>
        <v>50E-B</v>
      </c>
      <c r="B17" s="22" t="s">
        <v>514</v>
      </c>
      <c r="C17" s="21" t="str">
        <f>'WP1 Light Inventory'!D18</f>
        <v>Mercury Vapor</v>
      </c>
      <c r="D17" s="21" t="str">
        <f>'WP1 Light Inventory'!E18</f>
        <v>MV 700</v>
      </c>
      <c r="E17" s="21">
        <f>'WP1 Light Inventory'!F18</f>
        <v>700</v>
      </c>
      <c r="F17" s="21" t="str">
        <f>'WP1 Light Inventory'!H18</f>
        <v>Customer</v>
      </c>
      <c r="G17" s="397">
        <f>'WP1 Light Inventory'!J18</f>
        <v>0</v>
      </c>
      <c r="H17" s="74" t="s">
        <v>600</v>
      </c>
      <c r="I17" s="14" t="s">
        <v>159</v>
      </c>
      <c r="J17" s="19">
        <f>IF(C17="Light Emitting Diode",'WP10 O&amp;M Weighting Factor'!$B$26,IF('WP12 Condensed Sch. Level Costs'!C17="Sodium Vapor",'WP10 O&amp;M Weighting Factor'!$B$27,IF('WP12 Condensed Sch. Level Costs'!C17="Metal Halide",'WP10 O&amp;M Weighting Factor'!$B$28,IF('WP12 Condensed Sch. Level Costs'!C17="Mercury Vapor",'WP10 O&amp;M Weighting Factor'!$B$30,IF('WP12 Condensed Sch. Level Costs'!C17="Compact Flourescent",'WP10 O&amp;M Weighting Factor'!$B$29, IF(C17="Incandescent", 'WP10 O&amp;M Weighting Factor'!$B$31, 0))))))</f>
        <v>1</v>
      </c>
      <c r="K17" s="282">
        <f>IF(I17="Yes",G17*J17,0)</f>
        <v>0</v>
      </c>
      <c r="L17" s="74">
        <f>IF(F17="Company", G17*H17,0)</f>
        <v>0</v>
      </c>
      <c r="M17" s="283">
        <f>E17*G17/1000</f>
        <v>0</v>
      </c>
      <c r="N17" s="398">
        <f>'WP1 Light Inventory'!L18</f>
        <v>0</v>
      </c>
      <c r="O17" s="284">
        <f>E17*4200/1000/12</f>
        <v>245</v>
      </c>
      <c r="P17" s="261">
        <f>'BDJ-6 Unitized Lighting Costs'!D$20</f>
        <v>1.0137794003499056E-2</v>
      </c>
      <c r="Q17" s="261">
        <f>'BDJ-6 Unitized Lighting Costs'!$D$43</f>
        <v>2.2529806535397991</v>
      </c>
      <c r="R17" s="261">
        <f>'BDJ-6 Unitized Lighting Costs'!D$69</f>
        <v>1.9131568994526543E-2</v>
      </c>
      <c r="S17" s="261">
        <f>'BDJ-6 Unitized Lighting Costs'!D$100</f>
        <v>3.6511265600435805</v>
      </c>
      <c r="T17" s="261">
        <f>'BDJ-6 Unitized Lighting Costs'!$D$117</f>
        <v>5.4555747529966878E-2</v>
      </c>
      <c r="U17" s="43">
        <f>IF(F17="Company", H17*P17, 0)</f>
        <v>0</v>
      </c>
      <c r="V17" s="43">
        <f>IF(I17="yes", J17*Q17, 0)</f>
        <v>0</v>
      </c>
      <c r="W17" s="43">
        <f>R17*O17</f>
        <v>4.6872344036590032</v>
      </c>
      <c r="X17" s="43">
        <f>E17*S17/1000</f>
        <v>2.5557885920305061</v>
      </c>
      <c r="Y17" s="43">
        <f>O17*T17</f>
        <v>13.366158144841885</v>
      </c>
      <c r="Z17" s="43">
        <f>SUM(U17:Y17)</f>
        <v>20.609181140531394</v>
      </c>
      <c r="AA17" s="220"/>
      <c r="AB17" s="240">
        <f>IFERROR(U17/O17,0)</f>
        <v>0</v>
      </c>
      <c r="AC17" s="240">
        <f>IFERROR(V17/O17,0)</f>
        <v>0</v>
      </c>
      <c r="AD17" s="240">
        <f>IFERROR(W17/O17,0)</f>
        <v>1.9131568994526543E-2</v>
      </c>
      <c r="AE17" s="240">
        <f>IFERROR(X17/O17,0)</f>
        <v>1.0431790171553086E-2</v>
      </c>
      <c r="AF17" s="240">
        <f>IFERROR(Y17/O17,0)</f>
        <v>5.4555747529966878E-2</v>
      </c>
      <c r="AG17" s="240">
        <f>SUM(AB17:AF17)</f>
        <v>8.4119106696046497E-2</v>
      </c>
      <c r="AH17" s="43">
        <f t="shared" si="3"/>
        <v>0</v>
      </c>
      <c r="AI17" s="43">
        <f t="shared" si="3"/>
        <v>0</v>
      </c>
      <c r="AJ17" s="43">
        <f t="shared" si="3"/>
        <v>0</v>
      </c>
      <c r="AK17" s="43">
        <f t="shared" si="3"/>
        <v>0</v>
      </c>
      <c r="AL17" s="43">
        <f t="shared" si="3"/>
        <v>0</v>
      </c>
      <c r="AM17" s="43">
        <f>SUM(AH17:AL17)</f>
        <v>0</v>
      </c>
      <c r="AN17" s="43">
        <f t="shared" si="4"/>
        <v>0</v>
      </c>
      <c r="AO17" s="43">
        <f t="shared" si="4"/>
        <v>0</v>
      </c>
      <c r="AP17" s="43">
        <f t="shared" si="4"/>
        <v>0</v>
      </c>
      <c r="AQ17" s="43">
        <f t="shared" si="4"/>
        <v>0</v>
      </c>
      <c r="AR17" s="43">
        <f t="shared" si="4"/>
        <v>0</v>
      </c>
      <c r="AS17" s="43">
        <f t="shared" si="4"/>
        <v>0</v>
      </c>
    </row>
    <row r="18" spans="1:45" x14ac:dyDescent="0.2">
      <c r="A18" s="388" t="s">
        <v>135</v>
      </c>
      <c r="B18" s="389"/>
      <c r="C18" s="15"/>
      <c r="D18" s="390"/>
      <c r="E18" s="391"/>
      <c r="F18" s="390"/>
      <c r="G18" s="392"/>
      <c r="H18" s="378"/>
      <c r="I18" s="15"/>
      <c r="J18" s="390"/>
      <c r="K18" s="377"/>
      <c r="L18" s="378"/>
      <c r="M18" s="379"/>
      <c r="N18" s="394"/>
      <c r="O18" s="395"/>
      <c r="P18" s="402"/>
      <c r="Q18" s="402"/>
      <c r="R18" s="402"/>
      <c r="S18" s="402"/>
      <c r="T18" s="402"/>
      <c r="U18" s="395"/>
      <c r="V18" s="274"/>
      <c r="W18" s="274"/>
      <c r="X18" s="274"/>
      <c r="Y18" s="274"/>
      <c r="Z18" s="274"/>
      <c r="AA18" s="220"/>
      <c r="AB18" s="240"/>
      <c r="AC18" s="240"/>
      <c r="AD18" s="240"/>
      <c r="AE18" s="240"/>
      <c r="AF18" s="240"/>
      <c r="AG18" s="240"/>
    </row>
    <row r="19" spans="1:45" x14ac:dyDescent="0.2">
      <c r="A19" s="58" t="s">
        <v>78</v>
      </c>
      <c r="B19" s="22" t="s">
        <v>925</v>
      </c>
      <c r="C19" s="21" t="str">
        <f>'WP1 Light Inventory'!D20</f>
        <v>Light Emitting Diode</v>
      </c>
      <c r="D19" s="21" t="str">
        <f>'WP1 Light Inventory'!E20</f>
        <v>LED 0-030</v>
      </c>
      <c r="E19" s="21">
        <f>'WP1 Light Inventory'!F20</f>
        <v>15</v>
      </c>
      <c r="F19" s="21" t="str">
        <f>'WP1 Light Inventory'!H20</f>
        <v>Customer</v>
      </c>
      <c r="G19" s="397">
        <f>'WP1 Light Inventory'!J20</f>
        <v>0</v>
      </c>
      <c r="H19" s="74" t="s">
        <v>600</v>
      </c>
      <c r="I19" s="14" t="s">
        <v>159</v>
      </c>
      <c r="J19" s="19">
        <f>IF(C19="Light Emitting Diode",'WP10 O&amp;M Weighting Factor'!$B$26,IF('WP12 Condensed Sch. Level Costs'!C19="Sodium Vapor",'WP10 O&amp;M Weighting Factor'!$B$27,IF('WP12 Condensed Sch. Level Costs'!C19="Metal Halide",'WP10 O&amp;M Weighting Factor'!$B$28,IF('WP12 Condensed Sch. Level Costs'!C19="Mercury Vapor",'WP10 O&amp;M Weighting Factor'!$B$30,IF('WP12 Condensed Sch. Level Costs'!C19="Compact Flourescent",'WP10 O&amp;M Weighting Factor'!$B$29, IF(C19="Incandescent", 'WP10 O&amp;M Weighting Factor'!$B$31, 0))))))</f>
        <v>0.2</v>
      </c>
      <c r="K19" s="282">
        <f t="shared" ref="K19:K28" si="5">IF(I19="Yes",G19*J19,0)</f>
        <v>0</v>
      </c>
      <c r="L19" s="74">
        <f t="shared" ref="L19:L28" si="6">IF(F19="Company", G19*H19,0)</f>
        <v>0</v>
      </c>
      <c r="M19" s="283">
        <f t="shared" ref="M19:M28" si="7">E19*G19/1000</f>
        <v>0</v>
      </c>
      <c r="N19" s="398">
        <f>'WP1 Light Inventory'!L20</f>
        <v>0</v>
      </c>
      <c r="O19" s="284">
        <f t="shared" ref="O19:O28" si="8">E19*4200/1000/12</f>
        <v>5.25</v>
      </c>
      <c r="P19" s="261">
        <f>'BDJ-6 Unitized Lighting Costs'!D$20</f>
        <v>1.0137794003499056E-2</v>
      </c>
      <c r="Q19" s="261">
        <f>'BDJ-6 Unitized Lighting Costs'!$D$43</f>
        <v>2.2529806535397991</v>
      </c>
      <c r="R19" s="261">
        <f>'BDJ-6 Unitized Lighting Costs'!D$69</f>
        <v>1.9131568994526543E-2</v>
      </c>
      <c r="S19" s="261">
        <f>'BDJ-6 Unitized Lighting Costs'!D$100</f>
        <v>3.6511265600435805</v>
      </c>
      <c r="T19" s="261">
        <f>'BDJ-6 Unitized Lighting Costs'!$D$117</f>
        <v>5.4555747529966878E-2</v>
      </c>
      <c r="U19" s="43">
        <f t="shared" ref="U19:U28" si="9">IF(F19="Company", H19*P19, 0)</f>
        <v>0</v>
      </c>
      <c r="V19" s="43">
        <f t="shared" ref="V19:V28" si="10">IF(I19="yes", J19*Q19, 0)</f>
        <v>0</v>
      </c>
      <c r="W19" s="43">
        <f t="shared" ref="W19:W28" si="11">R19*O19</f>
        <v>0.10044073722126434</v>
      </c>
      <c r="X19" s="43">
        <f t="shared" ref="X19:X28" si="12">E19*S19/1000</f>
        <v>5.4766898400653706E-2</v>
      </c>
      <c r="Y19" s="43">
        <f t="shared" ref="Y19:Y28" si="13">O19*T19</f>
        <v>0.28641767453232608</v>
      </c>
      <c r="Z19" s="43">
        <f t="shared" ref="Z19:Z28" si="14">SUM(U19:Y19)</f>
        <v>0.44162531015424411</v>
      </c>
      <c r="AA19" s="220"/>
      <c r="AB19" s="240">
        <f t="shared" ref="AB19:AB28" si="15">IFERROR(U19/O19,0)</f>
        <v>0</v>
      </c>
      <c r="AC19" s="240">
        <f t="shared" ref="AC19:AC28" si="16">IFERROR(V19/O19,0)</f>
        <v>0</v>
      </c>
      <c r="AD19" s="240">
        <f t="shared" ref="AD19:AD28" si="17">IFERROR(W19/O19,0)</f>
        <v>1.9131568994526543E-2</v>
      </c>
      <c r="AE19" s="240">
        <f t="shared" ref="AE19:AE28" si="18">IFERROR(X19/O19,0)</f>
        <v>1.0431790171553088E-2</v>
      </c>
      <c r="AF19" s="240">
        <f t="shared" ref="AF19:AF28" si="19">IFERROR(Y19/O19,0)</f>
        <v>5.4555747529966871E-2</v>
      </c>
      <c r="AG19" s="240">
        <f t="shared" ref="AG19:AG28" si="20">SUM(AB19:AF19)</f>
        <v>8.4119106696046497E-2</v>
      </c>
      <c r="AH19" s="43">
        <f t="shared" ref="AH19:AH28" si="21">(U19*$G19)</f>
        <v>0</v>
      </c>
      <c r="AI19" s="43">
        <f t="shared" ref="AI19:AI28" si="22">(V19*$G19)</f>
        <v>0</v>
      </c>
      <c r="AJ19" s="43">
        <f t="shared" ref="AJ19:AJ28" si="23">(W19*$G19)</f>
        <v>0</v>
      </c>
      <c r="AK19" s="43">
        <f t="shared" ref="AK19:AK28" si="24">(X19*$G19)</f>
        <v>0</v>
      </c>
      <c r="AL19" s="43">
        <f t="shared" ref="AL19:AL28" si="25">(Y19*$G19)</f>
        <v>0</v>
      </c>
      <c r="AM19" s="43">
        <f t="shared" ref="AM19:AM28" si="26">SUM(AH19:AL19)</f>
        <v>0</v>
      </c>
      <c r="AN19" s="43">
        <f t="shared" ref="AN19:AN28" si="27">AH19*12</f>
        <v>0</v>
      </c>
      <c r="AO19" s="43">
        <f t="shared" ref="AO19:AO28" si="28">AI19*12</f>
        <v>0</v>
      </c>
      <c r="AP19" s="43">
        <f t="shared" ref="AP19:AP28" si="29">AJ19*12</f>
        <v>0</v>
      </c>
      <c r="AQ19" s="43">
        <f t="shared" ref="AQ19:AQ28" si="30">AK19*12</f>
        <v>0</v>
      </c>
      <c r="AR19" s="43">
        <f t="shared" ref="AR19:AR28" si="31">AL19*12</f>
        <v>0</v>
      </c>
      <c r="AS19" s="43">
        <f t="shared" ref="AS19:AS28" si="32">AM19*12</f>
        <v>0</v>
      </c>
    </row>
    <row r="20" spans="1:45" x14ac:dyDescent="0.2">
      <c r="A20" s="58" t="s">
        <v>78</v>
      </c>
      <c r="B20" s="22"/>
      <c r="C20" s="21" t="str">
        <f>'WP1 Light Inventory'!D21</f>
        <v>Light Emitting Diode</v>
      </c>
      <c r="D20" s="21" t="str">
        <f>'WP1 Light Inventory'!E21</f>
        <v>LED 030.01-060</v>
      </c>
      <c r="E20" s="21">
        <f>'WP1 Light Inventory'!F21</f>
        <v>45</v>
      </c>
      <c r="F20" s="21" t="str">
        <f>'WP1 Light Inventory'!H21</f>
        <v>Customer</v>
      </c>
      <c r="G20" s="397">
        <f>'WP1 Light Inventory'!J21</f>
        <v>4351</v>
      </c>
      <c r="H20" s="74" t="s">
        <v>600</v>
      </c>
      <c r="I20" s="14" t="s">
        <v>159</v>
      </c>
      <c r="J20" s="19">
        <f>IF(C20="Light Emitting Diode",'WP10 O&amp;M Weighting Factor'!$B$26,IF('WP12 Condensed Sch. Level Costs'!C20="Sodium Vapor",'WP10 O&amp;M Weighting Factor'!$B$27,IF('WP12 Condensed Sch. Level Costs'!C20="Metal Halide",'WP10 O&amp;M Weighting Factor'!$B$28,IF('WP12 Condensed Sch. Level Costs'!C20="Mercury Vapor",'WP10 O&amp;M Weighting Factor'!$B$30,IF('WP12 Condensed Sch. Level Costs'!C20="Compact Flourescent",'WP10 O&amp;M Weighting Factor'!$B$29, IF(C20="Incandescent", 'WP10 O&amp;M Weighting Factor'!$B$31, 0))))))</f>
        <v>0.2</v>
      </c>
      <c r="K20" s="282">
        <f t="shared" si="5"/>
        <v>0</v>
      </c>
      <c r="L20" s="74">
        <f t="shared" si="6"/>
        <v>0</v>
      </c>
      <c r="M20" s="283">
        <f t="shared" si="7"/>
        <v>195.79499999999999</v>
      </c>
      <c r="N20" s="398">
        <f>'WP1 Light Inventory'!L21</f>
        <v>822339</v>
      </c>
      <c r="O20" s="284">
        <f t="shared" si="8"/>
        <v>15.75</v>
      </c>
      <c r="P20" s="261">
        <f>'BDJ-6 Unitized Lighting Costs'!D$20</f>
        <v>1.0137794003499056E-2</v>
      </c>
      <c r="Q20" s="261">
        <f>'BDJ-6 Unitized Lighting Costs'!$D$43</f>
        <v>2.2529806535397991</v>
      </c>
      <c r="R20" s="261">
        <f>'BDJ-6 Unitized Lighting Costs'!D$69</f>
        <v>1.9131568994526543E-2</v>
      </c>
      <c r="S20" s="261">
        <f>'BDJ-6 Unitized Lighting Costs'!D$100</f>
        <v>3.6511265600435805</v>
      </c>
      <c r="T20" s="261">
        <f>'BDJ-6 Unitized Lighting Costs'!$D$117</f>
        <v>5.4555747529966878E-2</v>
      </c>
      <c r="U20" s="43">
        <f t="shared" si="9"/>
        <v>0</v>
      </c>
      <c r="V20" s="43">
        <f t="shared" si="10"/>
        <v>0</v>
      </c>
      <c r="W20" s="43">
        <f t="shared" si="11"/>
        <v>0.30132221166379303</v>
      </c>
      <c r="X20" s="43">
        <f t="shared" si="12"/>
        <v>0.16430069520196114</v>
      </c>
      <c r="Y20" s="43">
        <f t="shared" si="13"/>
        <v>0.8592530235969783</v>
      </c>
      <c r="Z20" s="43">
        <f t="shared" si="14"/>
        <v>1.3248759304627324</v>
      </c>
      <c r="AA20" s="220"/>
      <c r="AB20" s="240">
        <f t="shared" si="15"/>
        <v>0</v>
      </c>
      <c r="AC20" s="240">
        <f t="shared" si="16"/>
        <v>0</v>
      </c>
      <c r="AD20" s="240">
        <f t="shared" si="17"/>
        <v>1.9131568994526543E-2</v>
      </c>
      <c r="AE20" s="240">
        <f t="shared" si="18"/>
        <v>1.0431790171553088E-2</v>
      </c>
      <c r="AF20" s="240">
        <f t="shared" si="19"/>
        <v>5.4555747529966878E-2</v>
      </c>
      <c r="AG20" s="240">
        <f t="shared" si="20"/>
        <v>8.4119106696046511E-2</v>
      </c>
      <c r="AH20" s="43">
        <f t="shared" si="21"/>
        <v>0</v>
      </c>
      <c r="AI20" s="43">
        <f t="shared" si="22"/>
        <v>0</v>
      </c>
      <c r="AJ20" s="43">
        <f t="shared" si="23"/>
        <v>1311.0529429491635</v>
      </c>
      <c r="AK20" s="43">
        <f t="shared" si="24"/>
        <v>714.87232482373292</v>
      </c>
      <c r="AL20" s="43">
        <f t="shared" si="25"/>
        <v>3738.6099056704525</v>
      </c>
      <c r="AM20" s="43">
        <f t="shared" si="26"/>
        <v>5764.5351734433489</v>
      </c>
      <c r="AN20" s="43">
        <f t="shared" si="27"/>
        <v>0</v>
      </c>
      <c r="AO20" s="43">
        <f t="shared" si="28"/>
        <v>0</v>
      </c>
      <c r="AP20" s="43">
        <f t="shared" si="29"/>
        <v>15732.635315389962</v>
      </c>
      <c r="AQ20" s="43">
        <f t="shared" si="30"/>
        <v>8578.4678978847951</v>
      </c>
      <c r="AR20" s="43">
        <f t="shared" si="31"/>
        <v>44863.318868045433</v>
      </c>
      <c r="AS20" s="43">
        <f t="shared" si="32"/>
        <v>69174.422081320183</v>
      </c>
    </row>
    <row r="21" spans="1:45" x14ac:dyDescent="0.2">
      <c r="A21" s="58" t="s">
        <v>78</v>
      </c>
      <c r="B21" s="22"/>
      <c r="C21" s="21" t="str">
        <f>'WP1 Light Inventory'!D22</f>
        <v>Light Emitting Diode</v>
      </c>
      <c r="D21" s="21" t="str">
        <f>'WP1 Light Inventory'!E22</f>
        <v>LED 060.01-090</v>
      </c>
      <c r="E21" s="21">
        <f>'WP1 Light Inventory'!F22</f>
        <v>75</v>
      </c>
      <c r="F21" s="21" t="str">
        <f>'WP1 Light Inventory'!H22</f>
        <v>Customer</v>
      </c>
      <c r="G21" s="397">
        <f>'WP1 Light Inventory'!J22</f>
        <v>2380</v>
      </c>
      <c r="H21" s="74" t="s">
        <v>600</v>
      </c>
      <c r="I21" s="14" t="s">
        <v>159</v>
      </c>
      <c r="J21" s="19">
        <f>IF(C21="Light Emitting Diode",'WP10 O&amp;M Weighting Factor'!$B$26,IF('WP12 Condensed Sch. Level Costs'!C21="Sodium Vapor",'WP10 O&amp;M Weighting Factor'!$B$27,IF('WP12 Condensed Sch. Level Costs'!C21="Metal Halide",'WP10 O&amp;M Weighting Factor'!$B$28,IF('WP12 Condensed Sch. Level Costs'!C21="Mercury Vapor",'WP10 O&amp;M Weighting Factor'!$B$30,IF('WP12 Condensed Sch. Level Costs'!C21="Compact Flourescent",'WP10 O&amp;M Weighting Factor'!$B$29, IF(C21="Incandescent", 'WP10 O&amp;M Weighting Factor'!$B$31, 0))))))</f>
        <v>0.2</v>
      </c>
      <c r="K21" s="282">
        <f t="shared" si="5"/>
        <v>0</v>
      </c>
      <c r="L21" s="74">
        <f t="shared" si="6"/>
        <v>0</v>
      </c>
      <c r="M21" s="283">
        <f t="shared" si="7"/>
        <v>178.5</v>
      </c>
      <c r="N21" s="398">
        <f>'WP1 Light Inventory'!L22</f>
        <v>749700</v>
      </c>
      <c r="O21" s="284">
        <f t="shared" si="8"/>
        <v>26.25</v>
      </c>
      <c r="P21" s="261">
        <f>'BDJ-6 Unitized Lighting Costs'!D$20</f>
        <v>1.0137794003499056E-2</v>
      </c>
      <c r="Q21" s="261">
        <f>'BDJ-6 Unitized Lighting Costs'!$D$43</f>
        <v>2.2529806535397991</v>
      </c>
      <c r="R21" s="261">
        <f>'BDJ-6 Unitized Lighting Costs'!D$69</f>
        <v>1.9131568994526543E-2</v>
      </c>
      <c r="S21" s="261">
        <f>'BDJ-6 Unitized Lighting Costs'!D$100</f>
        <v>3.6511265600435805</v>
      </c>
      <c r="T21" s="261">
        <f>'BDJ-6 Unitized Lighting Costs'!$D$117</f>
        <v>5.4555747529966878E-2</v>
      </c>
      <c r="U21" s="43">
        <f t="shared" si="9"/>
        <v>0</v>
      </c>
      <c r="V21" s="43">
        <f t="shared" si="10"/>
        <v>0</v>
      </c>
      <c r="W21" s="43">
        <f t="shared" si="11"/>
        <v>0.50220368610632171</v>
      </c>
      <c r="X21" s="43">
        <f t="shared" si="12"/>
        <v>0.27383449200326859</v>
      </c>
      <c r="Y21" s="43">
        <f t="shared" si="13"/>
        <v>1.4320883726616305</v>
      </c>
      <c r="Z21" s="43">
        <f t="shared" si="14"/>
        <v>2.2081265507712207</v>
      </c>
      <c r="AA21" s="220"/>
      <c r="AB21" s="240">
        <f t="shared" si="15"/>
        <v>0</v>
      </c>
      <c r="AC21" s="240">
        <f t="shared" si="16"/>
        <v>0</v>
      </c>
      <c r="AD21" s="240">
        <f t="shared" si="17"/>
        <v>1.9131568994526543E-2</v>
      </c>
      <c r="AE21" s="240">
        <f t="shared" si="18"/>
        <v>1.0431790171553089E-2</v>
      </c>
      <c r="AF21" s="240">
        <f t="shared" si="19"/>
        <v>5.4555747529966878E-2</v>
      </c>
      <c r="AG21" s="240">
        <f t="shared" si="20"/>
        <v>8.4119106696046511E-2</v>
      </c>
      <c r="AH21" s="43">
        <f t="shared" si="21"/>
        <v>0</v>
      </c>
      <c r="AI21" s="43">
        <f t="shared" si="22"/>
        <v>0</v>
      </c>
      <c r="AJ21" s="43">
        <f t="shared" si="23"/>
        <v>1195.2447729330456</v>
      </c>
      <c r="AK21" s="43">
        <f t="shared" si="24"/>
        <v>651.72609096777921</v>
      </c>
      <c r="AL21" s="43">
        <f t="shared" si="25"/>
        <v>3408.3703269346806</v>
      </c>
      <c r="AM21" s="43">
        <f t="shared" si="26"/>
        <v>5255.3411908355056</v>
      </c>
      <c r="AN21" s="43">
        <f t="shared" si="27"/>
        <v>0</v>
      </c>
      <c r="AO21" s="43">
        <f t="shared" si="28"/>
        <v>0</v>
      </c>
      <c r="AP21" s="43">
        <f t="shared" si="29"/>
        <v>14342.937275196547</v>
      </c>
      <c r="AQ21" s="43">
        <f t="shared" si="30"/>
        <v>7820.7130916133501</v>
      </c>
      <c r="AR21" s="43">
        <f t="shared" si="31"/>
        <v>40900.443923216168</v>
      </c>
      <c r="AS21" s="43">
        <f t="shared" si="32"/>
        <v>63064.094290026071</v>
      </c>
    </row>
    <row r="22" spans="1:45" x14ac:dyDescent="0.2">
      <c r="A22" s="58" t="s">
        <v>78</v>
      </c>
      <c r="B22" s="22"/>
      <c r="C22" s="21" t="str">
        <f>'WP1 Light Inventory'!D23</f>
        <v>Light Emitting Diode</v>
      </c>
      <c r="D22" s="21" t="str">
        <f>'WP1 Light Inventory'!E23</f>
        <v>LED 090.01-120</v>
      </c>
      <c r="E22" s="21">
        <f>'WP1 Light Inventory'!F23</f>
        <v>105</v>
      </c>
      <c r="F22" s="21" t="str">
        <f>'WP1 Light Inventory'!H23</f>
        <v>Customer</v>
      </c>
      <c r="G22" s="397">
        <f>'WP1 Light Inventory'!J23</f>
        <v>1030</v>
      </c>
      <c r="H22" s="74" t="s">
        <v>600</v>
      </c>
      <c r="I22" s="14" t="s">
        <v>159</v>
      </c>
      <c r="J22" s="19">
        <f>IF(C22="Light Emitting Diode",'WP10 O&amp;M Weighting Factor'!$B$26,IF('WP12 Condensed Sch. Level Costs'!C22="Sodium Vapor",'WP10 O&amp;M Weighting Factor'!$B$27,IF('WP12 Condensed Sch. Level Costs'!C22="Metal Halide",'WP10 O&amp;M Weighting Factor'!$B$28,IF('WP12 Condensed Sch. Level Costs'!C22="Mercury Vapor",'WP10 O&amp;M Weighting Factor'!$B$30,IF('WP12 Condensed Sch. Level Costs'!C22="Compact Flourescent",'WP10 O&amp;M Weighting Factor'!$B$29, IF(C22="Incandescent", 'WP10 O&amp;M Weighting Factor'!$B$31, 0))))))</f>
        <v>0.2</v>
      </c>
      <c r="K22" s="282">
        <f t="shared" si="5"/>
        <v>0</v>
      </c>
      <c r="L22" s="74">
        <f t="shared" si="6"/>
        <v>0</v>
      </c>
      <c r="M22" s="283">
        <f t="shared" si="7"/>
        <v>108.15</v>
      </c>
      <c r="N22" s="398">
        <f>'WP1 Light Inventory'!L23</f>
        <v>454230</v>
      </c>
      <c r="O22" s="284">
        <f t="shared" si="8"/>
        <v>36.75</v>
      </c>
      <c r="P22" s="261">
        <f>'BDJ-6 Unitized Lighting Costs'!D$20</f>
        <v>1.0137794003499056E-2</v>
      </c>
      <c r="Q22" s="261">
        <f>'BDJ-6 Unitized Lighting Costs'!$D$43</f>
        <v>2.2529806535397991</v>
      </c>
      <c r="R22" s="261">
        <f>'BDJ-6 Unitized Lighting Costs'!D$69</f>
        <v>1.9131568994526543E-2</v>
      </c>
      <c r="S22" s="261">
        <f>'BDJ-6 Unitized Lighting Costs'!D$100</f>
        <v>3.6511265600435805</v>
      </c>
      <c r="T22" s="261">
        <f>'BDJ-6 Unitized Lighting Costs'!$D$117</f>
        <v>5.4555747529966878E-2</v>
      </c>
      <c r="U22" s="43">
        <f t="shared" si="9"/>
        <v>0</v>
      </c>
      <c r="V22" s="43">
        <f t="shared" si="10"/>
        <v>0</v>
      </c>
      <c r="W22" s="43">
        <f t="shared" si="11"/>
        <v>0.7030851605488504</v>
      </c>
      <c r="X22" s="43">
        <f t="shared" si="12"/>
        <v>0.38336828880457596</v>
      </c>
      <c r="Y22" s="43">
        <f t="shared" si="13"/>
        <v>2.004923721726283</v>
      </c>
      <c r="Z22" s="43">
        <f t="shared" si="14"/>
        <v>3.0913771710797091</v>
      </c>
      <c r="AA22" s="220"/>
      <c r="AB22" s="240">
        <f t="shared" si="15"/>
        <v>0</v>
      </c>
      <c r="AC22" s="240">
        <f t="shared" si="16"/>
        <v>0</v>
      </c>
      <c r="AD22" s="240">
        <f t="shared" si="17"/>
        <v>1.9131568994526543E-2</v>
      </c>
      <c r="AE22" s="240">
        <f t="shared" si="18"/>
        <v>1.0431790171553088E-2</v>
      </c>
      <c r="AF22" s="240">
        <f t="shared" si="19"/>
        <v>5.4555747529966885E-2</v>
      </c>
      <c r="AG22" s="240">
        <f t="shared" si="20"/>
        <v>8.4119106696046511E-2</v>
      </c>
      <c r="AH22" s="43">
        <f t="shared" si="21"/>
        <v>0</v>
      </c>
      <c r="AI22" s="43">
        <f t="shared" si="22"/>
        <v>0</v>
      </c>
      <c r="AJ22" s="43">
        <f t="shared" si="23"/>
        <v>724.17771536531586</v>
      </c>
      <c r="AK22" s="43">
        <f t="shared" si="24"/>
        <v>394.86933746871324</v>
      </c>
      <c r="AL22" s="43">
        <f t="shared" si="25"/>
        <v>2065.0714333780716</v>
      </c>
      <c r="AM22" s="43">
        <f t="shared" si="26"/>
        <v>3184.1184862121008</v>
      </c>
      <c r="AN22" s="43">
        <f t="shared" si="27"/>
        <v>0</v>
      </c>
      <c r="AO22" s="43">
        <f t="shared" si="28"/>
        <v>0</v>
      </c>
      <c r="AP22" s="43">
        <f t="shared" si="29"/>
        <v>8690.1325843837913</v>
      </c>
      <c r="AQ22" s="43">
        <f t="shared" si="30"/>
        <v>4738.4320496245591</v>
      </c>
      <c r="AR22" s="43">
        <f t="shared" si="31"/>
        <v>24780.857200536859</v>
      </c>
      <c r="AS22" s="43">
        <f t="shared" si="32"/>
        <v>38209.42183454521</v>
      </c>
    </row>
    <row r="23" spans="1:45" x14ac:dyDescent="0.2">
      <c r="A23" s="58" t="s">
        <v>78</v>
      </c>
      <c r="B23" s="22"/>
      <c r="C23" s="21" t="str">
        <f>'WP1 Light Inventory'!D24</f>
        <v>Light Emitting Diode</v>
      </c>
      <c r="D23" s="21" t="str">
        <f>'WP1 Light Inventory'!E24</f>
        <v>LED 120.01-150</v>
      </c>
      <c r="E23" s="21">
        <f>'WP1 Light Inventory'!F24</f>
        <v>135</v>
      </c>
      <c r="F23" s="21" t="str">
        <f>'WP1 Light Inventory'!H24</f>
        <v>Customer</v>
      </c>
      <c r="G23" s="397">
        <f>'WP1 Light Inventory'!J24</f>
        <v>485</v>
      </c>
      <c r="H23" s="74" t="s">
        <v>600</v>
      </c>
      <c r="I23" s="14" t="s">
        <v>159</v>
      </c>
      <c r="J23" s="19">
        <f>IF(C23="Light Emitting Diode",'WP10 O&amp;M Weighting Factor'!$B$26,IF('WP12 Condensed Sch. Level Costs'!C23="Sodium Vapor",'WP10 O&amp;M Weighting Factor'!$B$27,IF('WP12 Condensed Sch. Level Costs'!C23="Metal Halide",'WP10 O&amp;M Weighting Factor'!$B$28,IF('WP12 Condensed Sch. Level Costs'!C23="Mercury Vapor",'WP10 O&amp;M Weighting Factor'!$B$30,IF('WP12 Condensed Sch. Level Costs'!C23="Compact Flourescent",'WP10 O&amp;M Weighting Factor'!$B$29, IF(C23="Incandescent", 'WP10 O&amp;M Weighting Factor'!$B$31, 0))))))</f>
        <v>0.2</v>
      </c>
      <c r="K23" s="282">
        <f t="shared" si="5"/>
        <v>0</v>
      </c>
      <c r="L23" s="74">
        <f t="shared" si="6"/>
        <v>0</v>
      </c>
      <c r="M23" s="283">
        <f t="shared" si="7"/>
        <v>65.474999999999994</v>
      </c>
      <c r="N23" s="398">
        <f>'WP1 Light Inventory'!L24</f>
        <v>274995</v>
      </c>
      <c r="O23" s="284">
        <f t="shared" si="8"/>
        <v>47.25</v>
      </c>
      <c r="P23" s="261">
        <f>'BDJ-6 Unitized Lighting Costs'!D$20</f>
        <v>1.0137794003499056E-2</v>
      </c>
      <c r="Q23" s="261">
        <f>'BDJ-6 Unitized Lighting Costs'!$D$43</f>
        <v>2.2529806535397991</v>
      </c>
      <c r="R23" s="261">
        <f>'BDJ-6 Unitized Lighting Costs'!D$69</f>
        <v>1.9131568994526543E-2</v>
      </c>
      <c r="S23" s="261">
        <f>'BDJ-6 Unitized Lighting Costs'!D$100</f>
        <v>3.6511265600435805</v>
      </c>
      <c r="T23" s="261">
        <f>'BDJ-6 Unitized Lighting Costs'!$D$117</f>
        <v>5.4555747529966878E-2</v>
      </c>
      <c r="U23" s="43">
        <f t="shared" si="9"/>
        <v>0</v>
      </c>
      <c r="V23" s="43">
        <f t="shared" si="10"/>
        <v>0</v>
      </c>
      <c r="W23" s="43">
        <f t="shared" si="11"/>
        <v>0.90396663499137908</v>
      </c>
      <c r="X23" s="43">
        <f t="shared" si="12"/>
        <v>0.49290208560588339</v>
      </c>
      <c r="Y23" s="43">
        <f t="shared" si="13"/>
        <v>2.5777590707909348</v>
      </c>
      <c r="Z23" s="43">
        <f t="shared" si="14"/>
        <v>3.9746277913881976</v>
      </c>
      <c r="AA23" s="220"/>
      <c r="AB23" s="240">
        <f t="shared" si="15"/>
        <v>0</v>
      </c>
      <c r="AC23" s="240">
        <f t="shared" si="16"/>
        <v>0</v>
      </c>
      <c r="AD23" s="240">
        <f t="shared" si="17"/>
        <v>1.9131568994526543E-2</v>
      </c>
      <c r="AE23" s="240">
        <f t="shared" si="18"/>
        <v>1.0431790171553088E-2</v>
      </c>
      <c r="AF23" s="240">
        <f t="shared" si="19"/>
        <v>5.4555747529966878E-2</v>
      </c>
      <c r="AG23" s="240">
        <f t="shared" si="20"/>
        <v>8.4119106696046511E-2</v>
      </c>
      <c r="AH23" s="43">
        <f t="shared" si="21"/>
        <v>0</v>
      </c>
      <c r="AI23" s="43">
        <f t="shared" si="22"/>
        <v>0</v>
      </c>
      <c r="AJ23" s="43">
        <f t="shared" si="23"/>
        <v>438.42381797081885</v>
      </c>
      <c r="AK23" s="43">
        <f t="shared" si="24"/>
        <v>239.05751151885343</v>
      </c>
      <c r="AL23" s="43">
        <f t="shared" si="25"/>
        <v>1250.2131493336033</v>
      </c>
      <c r="AM23" s="43">
        <f t="shared" si="26"/>
        <v>1927.6944788232754</v>
      </c>
      <c r="AN23" s="43">
        <f t="shared" si="27"/>
        <v>0</v>
      </c>
      <c r="AO23" s="43">
        <f t="shared" si="28"/>
        <v>0</v>
      </c>
      <c r="AP23" s="43">
        <f t="shared" si="29"/>
        <v>5261.0858156498261</v>
      </c>
      <c r="AQ23" s="43">
        <f t="shared" si="30"/>
        <v>2868.6901382262413</v>
      </c>
      <c r="AR23" s="43">
        <f t="shared" si="31"/>
        <v>15002.557792003239</v>
      </c>
      <c r="AS23" s="43">
        <f t="shared" si="32"/>
        <v>23132.333745879303</v>
      </c>
    </row>
    <row r="24" spans="1:45" x14ac:dyDescent="0.2">
      <c r="A24" s="58" t="s">
        <v>78</v>
      </c>
      <c r="B24" s="22"/>
      <c r="C24" s="21" t="str">
        <f>'WP1 Light Inventory'!D25</f>
        <v>Light Emitting Diode</v>
      </c>
      <c r="D24" s="21" t="str">
        <f>'WP1 Light Inventory'!E25</f>
        <v>LED 150.01-180</v>
      </c>
      <c r="E24" s="21">
        <f>'WP1 Light Inventory'!F25</f>
        <v>165</v>
      </c>
      <c r="F24" s="21" t="str">
        <f>'WP1 Light Inventory'!H25</f>
        <v>Customer</v>
      </c>
      <c r="G24" s="397">
        <f>'WP1 Light Inventory'!J25</f>
        <v>69</v>
      </c>
      <c r="H24" s="74" t="s">
        <v>600</v>
      </c>
      <c r="I24" s="14" t="s">
        <v>159</v>
      </c>
      <c r="J24" s="19">
        <f>IF(C24="Light Emitting Diode",'WP10 O&amp;M Weighting Factor'!$B$26,IF('WP12 Condensed Sch. Level Costs'!C24="Sodium Vapor",'WP10 O&amp;M Weighting Factor'!$B$27,IF('WP12 Condensed Sch. Level Costs'!C24="Metal Halide",'WP10 O&amp;M Weighting Factor'!$B$28,IF('WP12 Condensed Sch. Level Costs'!C24="Mercury Vapor",'WP10 O&amp;M Weighting Factor'!$B$30,IF('WP12 Condensed Sch. Level Costs'!C24="Compact Flourescent",'WP10 O&amp;M Weighting Factor'!$B$29, IF(C24="Incandescent", 'WP10 O&amp;M Weighting Factor'!$B$31, 0))))))</f>
        <v>0.2</v>
      </c>
      <c r="K24" s="282">
        <f t="shared" si="5"/>
        <v>0</v>
      </c>
      <c r="L24" s="74">
        <f t="shared" si="6"/>
        <v>0</v>
      </c>
      <c r="M24" s="283">
        <f t="shared" si="7"/>
        <v>11.385</v>
      </c>
      <c r="N24" s="398">
        <f>'WP1 Light Inventory'!L25</f>
        <v>47817</v>
      </c>
      <c r="O24" s="284">
        <f t="shared" si="8"/>
        <v>57.75</v>
      </c>
      <c r="P24" s="261">
        <f>'BDJ-6 Unitized Lighting Costs'!D$20</f>
        <v>1.0137794003499056E-2</v>
      </c>
      <c r="Q24" s="261">
        <f>'BDJ-6 Unitized Lighting Costs'!$D$43</f>
        <v>2.2529806535397991</v>
      </c>
      <c r="R24" s="261">
        <f>'BDJ-6 Unitized Lighting Costs'!D$69</f>
        <v>1.9131568994526543E-2</v>
      </c>
      <c r="S24" s="261">
        <f>'BDJ-6 Unitized Lighting Costs'!D$100</f>
        <v>3.6511265600435805</v>
      </c>
      <c r="T24" s="261">
        <f>'BDJ-6 Unitized Lighting Costs'!$D$117</f>
        <v>5.4555747529966878E-2</v>
      </c>
      <c r="U24" s="43">
        <f t="shared" si="9"/>
        <v>0</v>
      </c>
      <c r="V24" s="43">
        <f t="shared" si="10"/>
        <v>0</v>
      </c>
      <c r="W24" s="43">
        <f t="shared" si="11"/>
        <v>1.1048481094339078</v>
      </c>
      <c r="X24" s="43">
        <f t="shared" si="12"/>
        <v>0.60243588240719081</v>
      </c>
      <c r="Y24" s="43">
        <f t="shared" si="13"/>
        <v>3.1505944198555871</v>
      </c>
      <c r="Z24" s="43">
        <f t="shared" si="14"/>
        <v>4.8578784116966851</v>
      </c>
      <c r="AA24" s="220"/>
      <c r="AB24" s="240">
        <f t="shared" si="15"/>
        <v>0</v>
      </c>
      <c r="AC24" s="240">
        <f t="shared" si="16"/>
        <v>0</v>
      </c>
      <c r="AD24" s="240">
        <f t="shared" si="17"/>
        <v>1.9131568994526543E-2</v>
      </c>
      <c r="AE24" s="240">
        <f t="shared" si="18"/>
        <v>1.0431790171553088E-2</v>
      </c>
      <c r="AF24" s="240">
        <f t="shared" si="19"/>
        <v>5.4555747529966878E-2</v>
      </c>
      <c r="AG24" s="240">
        <f t="shared" si="20"/>
        <v>8.4119106696046511E-2</v>
      </c>
      <c r="AH24" s="43">
        <f t="shared" si="21"/>
        <v>0</v>
      </c>
      <c r="AI24" s="43">
        <f t="shared" si="22"/>
        <v>0</v>
      </c>
      <c r="AJ24" s="43">
        <f t="shared" si="23"/>
        <v>76.234519550939638</v>
      </c>
      <c r="AK24" s="43">
        <f t="shared" si="24"/>
        <v>41.568075886096167</v>
      </c>
      <c r="AL24" s="43">
        <f t="shared" si="25"/>
        <v>217.39101497003551</v>
      </c>
      <c r="AM24" s="43">
        <f t="shared" si="26"/>
        <v>335.19361040707133</v>
      </c>
      <c r="AN24" s="43">
        <f t="shared" si="27"/>
        <v>0</v>
      </c>
      <c r="AO24" s="43">
        <f t="shared" si="28"/>
        <v>0</v>
      </c>
      <c r="AP24" s="43">
        <f t="shared" si="29"/>
        <v>914.81423461127565</v>
      </c>
      <c r="AQ24" s="43">
        <f t="shared" si="30"/>
        <v>498.81691063315401</v>
      </c>
      <c r="AR24" s="43">
        <f t="shared" si="31"/>
        <v>2608.6921796404263</v>
      </c>
      <c r="AS24" s="43">
        <f t="shared" si="32"/>
        <v>4022.323324884856</v>
      </c>
    </row>
    <row r="25" spans="1:45" x14ac:dyDescent="0.2">
      <c r="A25" s="58" t="s">
        <v>78</v>
      </c>
      <c r="B25" s="22"/>
      <c r="C25" s="21" t="str">
        <f>'WP1 Light Inventory'!D26</f>
        <v>Light Emitting Diode</v>
      </c>
      <c r="D25" s="21" t="str">
        <f>'WP1 Light Inventory'!E26</f>
        <v>LED 180.01-210</v>
      </c>
      <c r="E25" s="21">
        <f>'WP1 Light Inventory'!F26</f>
        <v>195</v>
      </c>
      <c r="F25" s="21" t="str">
        <f>'WP1 Light Inventory'!H26</f>
        <v>Customer</v>
      </c>
      <c r="G25" s="397">
        <f>'WP1 Light Inventory'!J26</f>
        <v>201</v>
      </c>
      <c r="H25" s="74" t="s">
        <v>600</v>
      </c>
      <c r="I25" s="14" t="s">
        <v>159</v>
      </c>
      <c r="J25" s="19">
        <f>IF(C25="Light Emitting Diode",'WP10 O&amp;M Weighting Factor'!$B$26,IF('WP12 Condensed Sch. Level Costs'!C25="Sodium Vapor",'WP10 O&amp;M Weighting Factor'!$B$27,IF('WP12 Condensed Sch. Level Costs'!C25="Metal Halide",'WP10 O&amp;M Weighting Factor'!$B$28,IF('WP12 Condensed Sch. Level Costs'!C25="Mercury Vapor",'WP10 O&amp;M Weighting Factor'!$B$30,IF('WP12 Condensed Sch. Level Costs'!C25="Compact Flourescent",'WP10 O&amp;M Weighting Factor'!$B$29, IF(C25="Incandescent", 'WP10 O&amp;M Weighting Factor'!$B$31, 0))))))</f>
        <v>0.2</v>
      </c>
      <c r="K25" s="282">
        <f t="shared" si="5"/>
        <v>0</v>
      </c>
      <c r="L25" s="74">
        <f t="shared" si="6"/>
        <v>0</v>
      </c>
      <c r="M25" s="283">
        <f t="shared" si="7"/>
        <v>39.195</v>
      </c>
      <c r="N25" s="398">
        <f>'WP1 Light Inventory'!L26</f>
        <v>164619</v>
      </c>
      <c r="O25" s="284">
        <f t="shared" si="8"/>
        <v>68.25</v>
      </c>
      <c r="P25" s="261">
        <f>'BDJ-6 Unitized Lighting Costs'!D$20</f>
        <v>1.0137794003499056E-2</v>
      </c>
      <c r="Q25" s="261">
        <f>'BDJ-6 Unitized Lighting Costs'!$D$43</f>
        <v>2.2529806535397991</v>
      </c>
      <c r="R25" s="261">
        <f>'BDJ-6 Unitized Lighting Costs'!D$69</f>
        <v>1.9131568994526543E-2</v>
      </c>
      <c r="S25" s="261">
        <f>'BDJ-6 Unitized Lighting Costs'!D$100</f>
        <v>3.6511265600435805</v>
      </c>
      <c r="T25" s="261">
        <f>'BDJ-6 Unitized Lighting Costs'!$D$117</f>
        <v>5.4555747529966878E-2</v>
      </c>
      <c r="U25" s="43">
        <f t="shared" si="9"/>
        <v>0</v>
      </c>
      <c r="V25" s="43">
        <f t="shared" si="10"/>
        <v>0</v>
      </c>
      <c r="W25" s="43">
        <f t="shared" si="11"/>
        <v>1.3057295838764365</v>
      </c>
      <c r="X25" s="43">
        <f t="shared" si="12"/>
        <v>0.71196967920849819</v>
      </c>
      <c r="Y25" s="43">
        <f t="shared" si="13"/>
        <v>3.7234297689202394</v>
      </c>
      <c r="Z25" s="43">
        <f t="shared" si="14"/>
        <v>5.7411290320051744</v>
      </c>
      <c r="AA25" s="220"/>
      <c r="AB25" s="240">
        <f t="shared" si="15"/>
        <v>0</v>
      </c>
      <c r="AC25" s="240">
        <f t="shared" si="16"/>
        <v>0</v>
      </c>
      <c r="AD25" s="240">
        <f t="shared" si="17"/>
        <v>1.9131568994526543E-2</v>
      </c>
      <c r="AE25" s="240">
        <f t="shared" si="18"/>
        <v>1.0431790171553088E-2</v>
      </c>
      <c r="AF25" s="240">
        <f t="shared" si="19"/>
        <v>5.4555747529966878E-2</v>
      </c>
      <c r="AG25" s="240">
        <f t="shared" si="20"/>
        <v>8.4119106696046511E-2</v>
      </c>
      <c r="AH25" s="43">
        <f t="shared" si="21"/>
        <v>0</v>
      </c>
      <c r="AI25" s="43">
        <f t="shared" si="22"/>
        <v>0</v>
      </c>
      <c r="AJ25" s="43">
        <f t="shared" si="23"/>
        <v>262.4516463591637</v>
      </c>
      <c r="AK25" s="43">
        <f t="shared" si="24"/>
        <v>143.10590552090812</v>
      </c>
      <c r="AL25" s="43">
        <f t="shared" si="25"/>
        <v>748.40938355296817</v>
      </c>
      <c r="AM25" s="43">
        <f t="shared" si="26"/>
        <v>1153.9669354330399</v>
      </c>
      <c r="AN25" s="43">
        <f t="shared" si="27"/>
        <v>0</v>
      </c>
      <c r="AO25" s="43">
        <f t="shared" si="28"/>
        <v>0</v>
      </c>
      <c r="AP25" s="43">
        <f t="shared" si="29"/>
        <v>3149.4197563099642</v>
      </c>
      <c r="AQ25" s="43">
        <f t="shared" si="30"/>
        <v>1717.2708662508976</v>
      </c>
      <c r="AR25" s="43">
        <f t="shared" si="31"/>
        <v>8980.9126026356171</v>
      </c>
      <c r="AS25" s="43">
        <f t="shared" si="32"/>
        <v>13847.603225196479</v>
      </c>
    </row>
    <row r="26" spans="1:45" x14ac:dyDescent="0.2">
      <c r="A26" s="58" t="s">
        <v>78</v>
      </c>
      <c r="B26" s="22"/>
      <c r="C26" s="21" t="str">
        <f>'WP1 Light Inventory'!D27</f>
        <v>Light Emitting Diode</v>
      </c>
      <c r="D26" s="21" t="str">
        <f>'WP1 Light Inventory'!E27</f>
        <v>LED 210.01-240</v>
      </c>
      <c r="E26" s="21">
        <f>'WP1 Light Inventory'!F27</f>
        <v>225</v>
      </c>
      <c r="F26" s="21" t="str">
        <f>'WP1 Light Inventory'!H27</f>
        <v>Customer</v>
      </c>
      <c r="G26" s="397">
        <f>'WP1 Light Inventory'!J27</f>
        <v>59</v>
      </c>
      <c r="H26" s="74" t="s">
        <v>600</v>
      </c>
      <c r="I26" s="14" t="s">
        <v>159</v>
      </c>
      <c r="J26" s="19">
        <f>IF(C26="Light Emitting Diode",'WP10 O&amp;M Weighting Factor'!$B$26,IF('WP12 Condensed Sch. Level Costs'!C26="Sodium Vapor",'WP10 O&amp;M Weighting Factor'!$B$27,IF('WP12 Condensed Sch. Level Costs'!C26="Metal Halide",'WP10 O&amp;M Weighting Factor'!$B$28,IF('WP12 Condensed Sch. Level Costs'!C26="Mercury Vapor",'WP10 O&amp;M Weighting Factor'!$B$30,IF('WP12 Condensed Sch. Level Costs'!C26="Compact Flourescent",'WP10 O&amp;M Weighting Factor'!$B$29, IF(C26="Incandescent", 'WP10 O&amp;M Weighting Factor'!$B$31, 0))))))</f>
        <v>0.2</v>
      </c>
      <c r="K26" s="282">
        <f t="shared" si="5"/>
        <v>0</v>
      </c>
      <c r="L26" s="74">
        <f t="shared" si="6"/>
        <v>0</v>
      </c>
      <c r="M26" s="283">
        <f t="shared" si="7"/>
        <v>13.275</v>
      </c>
      <c r="N26" s="398">
        <f>'WP1 Light Inventory'!L27</f>
        <v>55755</v>
      </c>
      <c r="O26" s="284">
        <f t="shared" si="8"/>
        <v>78.75</v>
      </c>
      <c r="P26" s="261">
        <f>'BDJ-6 Unitized Lighting Costs'!D$20</f>
        <v>1.0137794003499056E-2</v>
      </c>
      <c r="Q26" s="261">
        <f>'BDJ-6 Unitized Lighting Costs'!$D$43</f>
        <v>2.2529806535397991</v>
      </c>
      <c r="R26" s="261">
        <f>'BDJ-6 Unitized Lighting Costs'!D$69</f>
        <v>1.9131568994526543E-2</v>
      </c>
      <c r="S26" s="261">
        <f>'BDJ-6 Unitized Lighting Costs'!D$100</f>
        <v>3.6511265600435805</v>
      </c>
      <c r="T26" s="261">
        <f>'BDJ-6 Unitized Lighting Costs'!$D$117</f>
        <v>5.4555747529966878E-2</v>
      </c>
      <c r="U26" s="43">
        <f t="shared" si="9"/>
        <v>0</v>
      </c>
      <c r="V26" s="43">
        <f t="shared" si="10"/>
        <v>0</v>
      </c>
      <c r="W26" s="43">
        <f t="shared" si="11"/>
        <v>1.5066110583189651</v>
      </c>
      <c r="X26" s="43">
        <f t="shared" si="12"/>
        <v>0.82150347600980556</v>
      </c>
      <c r="Y26" s="43">
        <f t="shared" si="13"/>
        <v>4.2962651179848912</v>
      </c>
      <c r="Z26" s="43">
        <f t="shared" si="14"/>
        <v>6.624379652313662</v>
      </c>
      <c r="AA26" s="220"/>
      <c r="AB26" s="240">
        <f t="shared" si="15"/>
        <v>0</v>
      </c>
      <c r="AC26" s="240">
        <f t="shared" si="16"/>
        <v>0</v>
      </c>
      <c r="AD26" s="240">
        <f t="shared" si="17"/>
        <v>1.9131568994526543E-2</v>
      </c>
      <c r="AE26" s="240">
        <f t="shared" si="18"/>
        <v>1.0431790171553086E-2</v>
      </c>
      <c r="AF26" s="240">
        <f t="shared" si="19"/>
        <v>5.4555747529966871E-2</v>
      </c>
      <c r="AG26" s="240">
        <f t="shared" si="20"/>
        <v>8.4119106696046497E-2</v>
      </c>
      <c r="AH26" s="43">
        <f t="shared" si="21"/>
        <v>0</v>
      </c>
      <c r="AI26" s="43">
        <f t="shared" si="22"/>
        <v>0</v>
      </c>
      <c r="AJ26" s="43">
        <f t="shared" si="23"/>
        <v>88.890052440818948</v>
      </c>
      <c r="AK26" s="43">
        <f t="shared" si="24"/>
        <v>48.468705084578531</v>
      </c>
      <c r="AL26" s="43">
        <f t="shared" si="25"/>
        <v>253.47964196110857</v>
      </c>
      <c r="AM26" s="43">
        <f t="shared" si="26"/>
        <v>390.83839948650609</v>
      </c>
      <c r="AN26" s="43">
        <f t="shared" si="27"/>
        <v>0</v>
      </c>
      <c r="AO26" s="43">
        <f t="shared" si="28"/>
        <v>0</v>
      </c>
      <c r="AP26" s="43">
        <f t="shared" si="29"/>
        <v>1066.6806292898273</v>
      </c>
      <c r="AQ26" s="43">
        <f t="shared" si="30"/>
        <v>581.62446101494243</v>
      </c>
      <c r="AR26" s="43">
        <f t="shared" si="31"/>
        <v>3041.7557035333029</v>
      </c>
      <c r="AS26" s="43">
        <f t="shared" si="32"/>
        <v>4690.0607938380726</v>
      </c>
    </row>
    <row r="27" spans="1:45" x14ac:dyDescent="0.2">
      <c r="A27" s="58" t="s">
        <v>78</v>
      </c>
      <c r="B27" s="22"/>
      <c r="C27" s="21" t="str">
        <f>'WP1 Light Inventory'!D28</f>
        <v>Light Emitting Diode</v>
      </c>
      <c r="D27" s="21" t="str">
        <f>'WP1 Light Inventory'!E28</f>
        <v>LED 240.01-270</v>
      </c>
      <c r="E27" s="21">
        <f>'WP1 Light Inventory'!F28</f>
        <v>255</v>
      </c>
      <c r="F27" s="21" t="str">
        <f>'WP1 Light Inventory'!H28</f>
        <v>Customer</v>
      </c>
      <c r="G27" s="397">
        <f>'WP1 Light Inventory'!J28</f>
        <v>8</v>
      </c>
      <c r="H27" s="74" t="s">
        <v>600</v>
      </c>
      <c r="I27" s="14" t="s">
        <v>159</v>
      </c>
      <c r="J27" s="19">
        <f>IF(C27="Light Emitting Diode",'WP10 O&amp;M Weighting Factor'!$B$26,IF('WP12 Condensed Sch. Level Costs'!C27="Sodium Vapor",'WP10 O&amp;M Weighting Factor'!$B$27,IF('WP12 Condensed Sch. Level Costs'!C27="Metal Halide",'WP10 O&amp;M Weighting Factor'!$B$28,IF('WP12 Condensed Sch. Level Costs'!C27="Mercury Vapor",'WP10 O&amp;M Weighting Factor'!$B$30,IF('WP12 Condensed Sch. Level Costs'!C27="Compact Flourescent",'WP10 O&amp;M Weighting Factor'!$B$29, IF(C27="Incandescent", 'WP10 O&amp;M Weighting Factor'!$B$31, 0))))))</f>
        <v>0.2</v>
      </c>
      <c r="K27" s="282">
        <f t="shared" si="5"/>
        <v>0</v>
      </c>
      <c r="L27" s="74">
        <f t="shared" si="6"/>
        <v>0</v>
      </c>
      <c r="M27" s="283">
        <f t="shared" si="7"/>
        <v>2.04</v>
      </c>
      <c r="N27" s="398">
        <f>'WP1 Light Inventory'!L28</f>
        <v>8568</v>
      </c>
      <c r="O27" s="284">
        <f t="shared" si="8"/>
        <v>89.25</v>
      </c>
      <c r="P27" s="261">
        <f>'BDJ-6 Unitized Lighting Costs'!D$20</f>
        <v>1.0137794003499056E-2</v>
      </c>
      <c r="Q27" s="261">
        <f>'BDJ-6 Unitized Lighting Costs'!$D$43</f>
        <v>2.2529806535397991</v>
      </c>
      <c r="R27" s="261">
        <f>'BDJ-6 Unitized Lighting Costs'!D$69</f>
        <v>1.9131568994526543E-2</v>
      </c>
      <c r="S27" s="261">
        <f>'BDJ-6 Unitized Lighting Costs'!D$100</f>
        <v>3.6511265600435805</v>
      </c>
      <c r="T27" s="261">
        <f>'BDJ-6 Unitized Lighting Costs'!$D$117</f>
        <v>5.4555747529966878E-2</v>
      </c>
      <c r="U27" s="43">
        <f t="shared" si="9"/>
        <v>0</v>
      </c>
      <c r="V27" s="43">
        <f t="shared" si="10"/>
        <v>0</v>
      </c>
      <c r="W27" s="43">
        <f t="shared" si="11"/>
        <v>1.7074925327614938</v>
      </c>
      <c r="X27" s="43">
        <f t="shared" si="12"/>
        <v>0.93103727281111304</v>
      </c>
      <c r="Y27" s="43">
        <f t="shared" si="13"/>
        <v>4.8691004670495435</v>
      </c>
      <c r="Z27" s="43">
        <f t="shared" si="14"/>
        <v>7.5076302726221504</v>
      </c>
      <c r="AA27" s="220"/>
      <c r="AB27" s="240">
        <f t="shared" si="15"/>
        <v>0</v>
      </c>
      <c r="AC27" s="240">
        <f t="shared" si="16"/>
        <v>0</v>
      </c>
      <c r="AD27" s="240">
        <f t="shared" si="17"/>
        <v>1.9131568994526543E-2</v>
      </c>
      <c r="AE27" s="240">
        <f t="shared" si="18"/>
        <v>1.0431790171553088E-2</v>
      </c>
      <c r="AF27" s="240">
        <f t="shared" si="19"/>
        <v>5.4555747529966871E-2</v>
      </c>
      <c r="AG27" s="240">
        <f t="shared" si="20"/>
        <v>8.4119106696046497E-2</v>
      </c>
      <c r="AH27" s="43">
        <f t="shared" si="21"/>
        <v>0</v>
      </c>
      <c r="AI27" s="43">
        <f t="shared" si="22"/>
        <v>0</v>
      </c>
      <c r="AJ27" s="43">
        <f t="shared" si="23"/>
        <v>13.659940262091951</v>
      </c>
      <c r="AK27" s="43">
        <f t="shared" si="24"/>
        <v>7.4482981824889043</v>
      </c>
      <c r="AL27" s="43">
        <f t="shared" si="25"/>
        <v>38.952803736396348</v>
      </c>
      <c r="AM27" s="43">
        <f t="shared" si="26"/>
        <v>60.061042180977203</v>
      </c>
      <c r="AN27" s="43">
        <f t="shared" si="27"/>
        <v>0</v>
      </c>
      <c r="AO27" s="43">
        <f t="shared" si="28"/>
        <v>0</v>
      </c>
      <c r="AP27" s="43">
        <f t="shared" si="29"/>
        <v>163.91928314510341</v>
      </c>
      <c r="AQ27" s="43">
        <f t="shared" si="30"/>
        <v>89.379578189866848</v>
      </c>
      <c r="AR27" s="43">
        <f t="shared" si="31"/>
        <v>467.43364483675617</v>
      </c>
      <c r="AS27" s="43">
        <f t="shared" si="32"/>
        <v>720.73250617172641</v>
      </c>
    </row>
    <row r="28" spans="1:45" x14ac:dyDescent="0.2">
      <c r="A28" s="58" t="s">
        <v>78</v>
      </c>
      <c r="B28" s="22"/>
      <c r="C28" s="21" t="str">
        <f>'WP1 Light Inventory'!D29</f>
        <v>Light Emitting Diode</v>
      </c>
      <c r="D28" s="21" t="str">
        <f>'WP1 Light Inventory'!E29</f>
        <v>LED 270.01-300</v>
      </c>
      <c r="E28" s="21">
        <f>'WP1 Light Inventory'!F29</f>
        <v>285</v>
      </c>
      <c r="F28" s="21" t="str">
        <f>'WP1 Light Inventory'!H29</f>
        <v>Customer</v>
      </c>
      <c r="G28" s="397">
        <f>'WP1 Light Inventory'!J29</f>
        <v>79</v>
      </c>
      <c r="H28" s="74" t="s">
        <v>600</v>
      </c>
      <c r="I28" s="14" t="s">
        <v>159</v>
      </c>
      <c r="J28" s="19">
        <f>IF(C28="Light Emitting Diode",'WP10 O&amp;M Weighting Factor'!$B$26,IF('WP12 Condensed Sch. Level Costs'!C28="Sodium Vapor",'WP10 O&amp;M Weighting Factor'!$B$27,IF('WP12 Condensed Sch. Level Costs'!C28="Metal Halide",'WP10 O&amp;M Weighting Factor'!$B$28,IF('WP12 Condensed Sch. Level Costs'!C28="Mercury Vapor",'WP10 O&amp;M Weighting Factor'!$B$30,IF('WP12 Condensed Sch. Level Costs'!C28="Compact Flourescent",'WP10 O&amp;M Weighting Factor'!$B$29, IF(C28="Incandescent", 'WP10 O&amp;M Weighting Factor'!$B$31, 0))))))</f>
        <v>0.2</v>
      </c>
      <c r="K28" s="282">
        <f t="shared" si="5"/>
        <v>0</v>
      </c>
      <c r="L28" s="74">
        <f t="shared" si="6"/>
        <v>0</v>
      </c>
      <c r="M28" s="283">
        <f t="shared" si="7"/>
        <v>22.515000000000001</v>
      </c>
      <c r="N28" s="398">
        <f>'WP1 Light Inventory'!L29</f>
        <v>94562.999999999985</v>
      </c>
      <c r="O28" s="284">
        <f t="shared" si="8"/>
        <v>99.75</v>
      </c>
      <c r="P28" s="261">
        <f>'BDJ-6 Unitized Lighting Costs'!D$20</f>
        <v>1.0137794003499056E-2</v>
      </c>
      <c r="Q28" s="261">
        <f>'BDJ-6 Unitized Lighting Costs'!$D$43</f>
        <v>2.2529806535397991</v>
      </c>
      <c r="R28" s="261">
        <f>'BDJ-6 Unitized Lighting Costs'!D$69</f>
        <v>1.9131568994526543E-2</v>
      </c>
      <c r="S28" s="261">
        <f>'BDJ-6 Unitized Lighting Costs'!D$100</f>
        <v>3.6511265600435805</v>
      </c>
      <c r="T28" s="261">
        <f>'BDJ-6 Unitized Lighting Costs'!$D$117</f>
        <v>5.4555747529966878E-2</v>
      </c>
      <c r="U28" s="43">
        <f t="shared" si="9"/>
        <v>0</v>
      </c>
      <c r="V28" s="43">
        <f t="shared" si="10"/>
        <v>0</v>
      </c>
      <c r="W28" s="43">
        <f t="shared" si="11"/>
        <v>1.9083740072040227</v>
      </c>
      <c r="X28" s="43">
        <f t="shared" si="12"/>
        <v>1.0405710696124204</v>
      </c>
      <c r="Y28" s="43">
        <f t="shared" si="13"/>
        <v>5.4419358161141957</v>
      </c>
      <c r="Z28" s="43">
        <f t="shared" si="14"/>
        <v>8.3908808929306389</v>
      </c>
      <c r="AA28" s="220"/>
      <c r="AB28" s="240">
        <f t="shared" si="15"/>
        <v>0</v>
      </c>
      <c r="AC28" s="240">
        <f t="shared" si="16"/>
        <v>0</v>
      </c>
      <c r="AD28" s="240">
        <f t="shared" si="17"/>
        <v>1.9131568994526543E-2</v>
      </c>
      <c r="AE28" s="240">
        <f t="shared" si="18"/>
        <v>1.0431790171553088E-2</v>
      </c>
      <c r="AF28" s="240">
        <f t="shared" si="19"/>
        <v>5.4555747529966878E-2</v>
      </c>
      <c r="AG28" s="240">
        <f t="shared" si="20"/>
        <v>8.4119106696046511E-2</v>
      </c>
      <c r="AH28" s="43">
        <f t="shared" si="21"/>
        <v>0</v>
      </c>
      <c r="AI28" s="43">
        <f t="shared" si="22"/>
        <v>0</v>
      </c>
      <c r="AJ28" s="43">
        <f t="shared" si="23"/>
        <v>150.7615465691178</v>
      </c>
      <c r="AK28" s="43">
        <f t="shared" si="24"/>
        <v>82.20511449938121</v>
      </c>
      <c r="AL28" s="43">
        <f t="shared" si="25"/>
        <v>429.91292947302145</v>
      </c>
      <c r="AM28" s="43">
        <f t="shared" si="26"/>
        <v>662.87959054152043</v>
      </c>
      <c r="AN28" s="43">
        <f t="shared" si="27"/>
        <v>0</v>
      </c>
      <c r="AO28" s="43">
        <f t="shared" si="28"/>
        <v>0</v>
      </c>
      <c r="AP28" s="43">
        <f t="shared" si="29"/>
        <v>1809.1385588294136</v>
      </c>
      <c r="AQ28" s="43">
        <f t="shared" si="30"/>
        <v>986.46137399257452</v>
      </c>
      <c r="AR28" s="43">
        <f t="shared" si="31"/>
        <v>5158.9551536762574</v>
      </c>
      <c r="AS28" s="43">
        <f t="shared" si="32"/>
        <v>7954.5550864982451</v>
      </c>
    </row>
    <row r="29" spans="1:45" x14ac:dyDescent="0.2">
      <c r="A29" s="58"/>
      <c r="B29" s="22"/>
      <c r="C29" s="21"/>
      <c r="D29" s="21"/>
      <c r="E29" s="21"/>
      <c r="F29" s="21"/>
      <c r="G29" s="397"/>
      <c r="K29" s="282"/>
      <c r="L29" s="74"/>
      <c r="O29" s="284"/>
      <c r="AA29" s="220"/>
      <c r="AB29" s="240"/>
      <c r="AC29" s="240"/>
      <c r="AD29" s="240"/>
      <c r="AE29" s="240"/>
      <c r="AF29" s="240"/>
      <c r="AG29" s="240"/>
    </row>
    <row r="30" spans="1:45" x14ac:dyDescent="0.2">
      <c r="A30" s="58" t="s">
        <v>78</v>
      </c>
      <c r="B30" s="21" t="str">
        <f>'WP1 Light Inventory'!C31</f>
        <v>SMART LIGHT</v>
      </c>
      <c r="C30" s="21" t="str">
        <f>'WP1 Light Inventory'!D31</f>
        <v>Light Emitting Diode</v>
      </c>
      <c r="D30" s="21" t="str">
        <f>'WP1 Light Inventory'!E31</f>
        <v>LED 0-030</v>
      </c>
      <c r="E30" s="21">
        <f>'WP1 Light Inventory'!F31</f>
        <v>15</v>
      </c>
      <c r="F30" s="21" t="str">
        <f>'WP1 Light Inventory'!H31</f>
        <v>Customer</v>
      </c>
      <c r="G30" s="397">
        <f>'WP1 Light Inventory'!J31</f>
        <v>0</v>
      </c>
      <c r="H30" s="74" t="s">
        <v>600</v>
      </c>
      <c r="I30" s="14" t="s">
        <v>159</v>
      </c>
      <c r="J30" s="19">
        <f>IF(C30="Light Emitting Diode",'WP10 O&amp;M Weighting Factor'!$B$26,IF('WP12 Condensed Sch. Level Costs'!C30="Sodium Vapor",'WP10 O&amp;M Weighting Factor'!$B$27,IF('WP12 Condensed Sch. Level Costs'!C30="Metal Halide",'WP10 O&amp;M Weighting Factor'!$B$28,IF('WP12 Condensed Sch. Level Costs'!C30="Mercury Vapor",'WP10 O&amp;M Weighting Factor'!$B$30,IF('WP12 Condensed Sch. Level Costs'!C30="Compact Flourescent",'WP10 O&amp;M Weighting Factor'!$B$29, IF(C30="Incandescent", 'WP10 O&amp;M Weighting Factor'!$B$31, 0))))))</f>
        <v>0.2</v>
      </c>
      <c r="K30" s="282">
        <f t="shared" ref="K30:K39" si="33">IF(I30="Yes",G30*J30,0)</f>
        <v>0</v>
      </c>
      <c r="L30" s="74">
        <f t="shared" ref="L30:L39" si="34">IF(F30="Company", G30*H30,0)</f>
        <v>0</v>
      </c>
      <c r="M30" s="283">
        <f t="shared" ref="M30:M39" si="35">E30*G30/1000</f>
        <v>0</v>
      </c>
      <c r="N30" s="398">
        <f>'WP1 Light Inventory'!L31</f>
        <v>0</v>
      </c>
      <c r="O30" s="284">
        <f t="shared" ref="O30:O39" si="36">E30*4200/1000/12</f>
        <v>5.25</v>
      </c>
      <c r="P30" s="261">
        <f>'BDJ-6 Unitized Lighting Costs'!D$20</f>
        <v>1.0137794003499056E-2</v>
      </c>
      <c r="Q30" s="261">
        <f>'BDJ-6 Unitized Lighting Costs'!$D$43</f>
        <v>2.2529806535397991</v>
      </c>
      <c r="R30" s="261">
        <f>'BDJ-6 Unitized Lighting Costs'!D$69</f>
        <v>1.9131568994526543E-2</v>
      </c>
      <c r="S30" s="261">
        <f>'BDJ-6 Unitized Lighting Costs'!D$100</f>
        <v>3.6511265600435805</v>
      </c>
      <c r="T30" s="261">
        <f>'BDJ-6 Unitized Lighting Costs'!$D$117</f>
        <v>5.4555747529966878E-2</v>
      </c>
      <c r="U30" s="43">
        <f t="shared" ref="U30:U39" si="37">IF(F30="Company", H30*P30, 0)</f>
        <v>0</v>
      </c>
      <c r="V30" s="43">
        <f t="shared" ref="V30:V39" si="38">IF(I30="yes", J30*Q30, 0)</f>
        <v>0</v>
      </c>
      <c r="W30" s="43">
        <f t="shared" ref="W30:W39" si="39">R30*O30</f>
        <v>0.10044073722126434</v>
      </c>
      <c r="X30" s="43">
        <f t="shared" ref="X30:X39" si="40">E30*S30/1000</f>
        <v>5.4766898400653706E-2</v>
      </c>
      <c r="Y30" s="43">
        <f t="shared" ref="Y30:Y39" si="41">O30*T30</f>
        <v>0.28641767453232608</v>
      </c>
      <c r="Z30" s="43">
        <f t="shared" ref="Z30:Z39" si="42">SUM(U30:Y30)</f>
        <v>0.44162531015424411</v>
      </c>
      <c r="AA30" s="220"/>
      <c r="AB30" s="240">
        <f t="shared" ref="AB30:AB39" si="43">IFERROR(U30/O30,0)</f>
        <v>0</v>
      </c>
      <c r="AC30" s="240">
        <f t="shared" ref="AC30:AC39" si="44">IFERROR(V30/O30,0)</f>
        <v>0</v>
      </c>
      <c r="AD30" s="240">
        <f t="shared" ref="AD30:AD39" si="45">IFERROR(W30/O30,0)</f>
        <v>1.9131568994526543E-2</v>
      </c>
      <c r="AE30" s="240">
        <f t="shared" ref="AE30:AE39" si="46">IFERROR(X30/O30,0)</f>
        <v>1.0431790171553088E-2</v>
      </c>
      <c r="AF30" s="240">
        <f t="shared" ref="AF30:AF39" si="47">IFERROR(Y30/O30,0)</f>
        <v>5.4555747529966871E-2</v>
      </c>
      <c r="AG30" s="240">
        <f t="shared" ref="AG30:AG39" si="48">SUM(AB30:AF30)</f>
        <v>8.4119106696046497E-2</v>
      </c>
      <c r="AH30" s="43">
        <f t="shared" ref="AH30:AH39" si="49">(U30*$G30)</f>
        <v>0</v>
      </c>
      <c r="AI30" s="43">
        <f t="shared" ref="AI30:AI39" si="50">(V30*$G30)</f>
        <v>0</v>
      </c>
      <c r="AJ30" s="43">
        <f t="shared" ref="AJ30:AJ39" si="51">(W30*$G30)</f>
        <v>0</v>
      </c>
      <c r="AK30" s="43">
        <f t="shared" ref="AK30:AK39" si="52">(X30*$G30)</f>
        <v>0</v>
      </c>
      <c r="AL30" s="43">
        <f t="shared" ref="AL30:AL39" si="53">(Y30*$G30)</f>
        <v>0</v>
      </c>
      <c r="AM30" s="43">
        <f t="shared" ref="AM30:AM39" si="54">SUM(AH30:AL30)</f>
        <v>0</v>
      </c>
      <c r="AN30" s="43">
        <f t="shared" ref="AN30:AN39" si="55">AH30*12</f>
        <v>0</v>
      </c>
      <c r="AO30" s="43">
        <f t="shared" ref="AO30:AO39" si="56">AI30*12</f>
        <v>0</v>
      </c>
      <c r="AP30" s="43">
        <f t="shared" ref="AP30:AP39" si="57">AJ30*12</f>
        <v>0</v>
      </c>
      <c r="AQ30" s="43">
        <f t="shared" ref="AQ30:AQ39" si="58">AK30*12</f>
        <v>0</v>
      </c>
      <c r="AR30" s="43">
        <f t="shared" ref="AR30:AR39" si="59">AL30*12</f>
        <v>0</v>
      </c>
      <c r="AS30" s="43">
        <f t="shared" ref="AS30:AS39" si="60">AM30*12</f>
        <v>0</v>
      </c>
    </row>
    <row r="31" spans="1:45" x14ac:dyDescent="0.2">
      <c r="A31" s="58" t="s">
        <v>78</v>
      </c>
      <c r="B31" s="21" t="str">
        <f>'WP1 Light Inventory'!C32</f>
        <v>SMART LIGHT</v>
      </c>
      <c r="C31" s="21" t="str">
        <f>'WP1 Light Inventory'!D32</f>
        <v>Light Emitting Diode</v>
      </c>
      <c r="D31" s="21" t="str">
        <f>'WP1 Light Inventory'!E32</f>
        <v>LED 030.01-060</v>
      </c>
      <c r="E31" s="21">
        <f>'WP1 Light Inventory'!F32</f>
        <v>45</v>
      </c>
      <c r="F31" s="21" t="str">
        <f>'WP1 Light Inventory'!H32</f>
        <v>Customer</v>
      </c>
      <c r="G31" s="397">
        <f>'WP1 Light Inventory'!J32</f>
        <v>0</v>
      </c>
      <c r="H31" s="74" t="s">
        <v>600</v>
      </c>
      <c r="I31" s="14" t="s">
        <v>159</v>
      </c>
      <c r="J31" s="19">
        <f>IF(C31="Light Emitting Diode",'WP10 O&amp;M Weighting Factor'!$B$26,IF('WP12 Condensed Sch. Level Costs'!C31="Sodium Vapor",'WP10 O&amp;M Weighting Factor'!$B$27,IF('WP12 Condensed Sch. Level Costs'!C31="Metal Halide",'WP10 O&amp;M Weighting Factor'!$B$28,IF('WP12 Condensed Sch. Level Costs'!C31="Mercury Vapor",'WP10 O&amp;M Weighting Factor'!$B$30,IF('WP12 Condensed Sch. Level Costs'!C31="Compact Flourescent",'WP10 O&amp;M Weighting Factor'!$B$29, IF(C31="Incandescent", 'WP10 O&amp;M Weighting Factor'!$B$31, 0))))))</f>
        <v>0.2</v>
      </c>
      <c r="K31" s="282">
        <f t="shared" si="33"/>
        <v>0</v>
      </c>
      <c r="L31" s="74">
        <f t="shared" si="34"/>
        <v>0</v>
      </c>
      <c r="M31" s="283">
        <f t="shared" si="35"/>
        <v>0</v>
      </c>
      <c r="N31" s="398">
        <f>'WP1 Light Inventory'!L32</f>
        <v>0</v>
      </c>
      <c r="O31" s="284">
        <f t="shared" si="36"/>
        <v>15.75</v>
      </c>
      <c r="P31" s="261">
        <f>'BDJ-6 Unitized Lighting Costs'!D$20</f>
        <v>1.0137794003499056E-2</v>
      </c>
      <c r="Q31" s="261">
        <f>'BDJ-6 Unitized Lighting Costs'!$D$43</f>
        <v>2.2529806535397991</v>
      </c>
      <c r="R31" s="261">
        <f>'BDJ-6 Unitized Lighting Costs'!D$69</f>
        <v>1.9131568994526543E-2</v>
      </c>
      <c r="S31" s="261">
        <f>'BDJ-6 Unitized Lighting Costs'!D$100</f>
        <v>3.6511265600435805</v>
      </c>
      <c r="T31" s="261">
        <f>'BDJ-6 Unitized Lighting Costs'!$D$117</f>
        <v>5.4555747529966878E-2</v>
      </c>
      <c r="U31" s="43">
        <f t="shared" si="37"/>
        <v>0</v>
      </c>
      <c r="V31" s="43">
        <f t="shared" si="38"/>
        <v>0</v>
      </c>
      <c r="W31" s="43">
        <f t="shared" si="39"/>
        <v>0.30132221166379303</v>
      </c>
      <c r="X31" s="43">
        <f t="shared" si="40"/>
        <v>0.16430069520196114</v>
      </c>
      <c r="Y31" s="43">
        <f t="shared" si="41"/>
        <v>0.8592530235969783</v>
      </c>
      <c r="Z31" s="43">
        <f t="shared" si="42"/>
        <v>1.3248759304627324</v>
      </c>
      <c r="AA31" s="220"/>
      <c r="AB31" s="240">
        <f t="shared" si="43"/>
        <v>0</v>
      </c>
      <c r="AC31" s="240">
        <f t="shared" si="44"/>
        <v>0</v>
      </c>
      <c r="AD31" s="240">
        <f t="shared" si="45"/>
        <v>1.9131568994526543E-2</v>
      </c>
      <c r="AE31" s="240">
        <f t="shared" si="46"/>
        <v>1.0431790171553088E-2</v>
      </c>
      <c r="AF31" s="240">
        <f t="shared" si="47"/>
        <v>5.4555747529966878E-2</v>
      </c>
      <c r="AG31" s="240">
        <f t="shared" si="48"/>
        <v>8.4119106696046511E-2</v>
      </c>
      <c r="AH31" s="43">
        <f t="shared" si="49"/>
        <v>0</v>
      </c>
      <c r="AI31" s="43">
        <f t="shared" si="50"/>
        <v>0</v>
      </c>
      <c r="AJ31" s="43">
        <f t="shared" si="51"/>
        <v>0</v>
      </c>
      <c r="AK31" s="43">
        <f t="shared" si="52"/>
        <v>0</v>
      </c>
      <c r="AL31" s="43">
        <f t="shared" si="53"/>
        <v>0</v>
      </c>
      <c r="AM31" s="43">
        <f t="shared" si="54"/>
        <v>0</v>
      </c>
      <c r="AN31" s="43">
        <f t="shared" si="55"/>
        <v>0</v>
      </c>
      <c r="AO31" s="43">
        <f t="shared" si="56"/>
        <v>0</v>
      </c>
      <c r="AP31" s="43">
        <f t="shared" si="57"/>
        <v>0</v>
      </c>
      <c r="AQ31" s="43">
        <f t="shared" si="58"/>
        <v>0</v>
      </c>
      <c r="AR31" s="43">
        <f t="shared" si="59"/>
        <v>0</v>
      </c>
      <c r="AS31" s="43">
        <f t="shared" si="60"/>
        <v>0</v>
      </c>
    </row>
    <row r="32" spans="1:45" x14ac:dyDescent="0.2">
      <c r="A32" s="58" t="s">
        <v>78</v>
      </c>
      <c r="B32" s="21" t="str">
        <f>'WP1 Light Inventory'!C33</f>
        <v>SMART LIGHT</v>
      </c>
      <c r="C32" s="21" t="str">
        <f>'WP1 Light Inventory'!D33</f>
        <v>Light Emitting Diode</v>
      </c>
      <c r="D32" s="21" t="str">
        <f>'WP1 Light Inventory'!E33</f>
        <v>LED 060.01-090</v>
      </c>
      <c r="E32" s="21">
        <f>'WP1 Light Inventory'!F33</f>
        <v>75</v>
      </c>
      <c r="F32" s="21" t="str">
        <f>'WP1 Light Inventory'!H33</f>
        <v>Customer</v>
      </c>
      <c r="G32" s="397">
        <f>'WP1 Light Inventory'!J33</f>
        <v>0</v>
      </c>
      <c r="H32" s="74" t="s">
        <v>600</v>
      </c>
      <c r="I32" s="14" t="s">
        <v>159</v>
      </c>
      <c r="J32" s="19">
        <f>IF(C32="Light Emitting Diode",'WP10 O&amp;M Weighting Factor'!$B$26,IF('WP12 Condensed Sch. Level Costs'!C32="Sodium Vapor",'WP10 O&amp;M Weighting Factor'!$B$27,IF('WP12 Condensed Sch. Level Costs'!C32="Metal Halide",'WP10 O&amp;M Weighting Factor'!$B$28,IF('WP12 Condensed Sch. Level Costs'!C32="Mercury Vapor",'WP10 O&amp;M Weighting Factor'!$B$30,IF('WP12 Condensed Sch. Level Costs'!C32="Compact Flourescent",'WP10 O&amp;M Weighting Factor'!$B$29, IF(C32="Incandescent", 'WP10 O&amp;M Weighting Factor'!$B$31, 0))))))</f>
        <v>0.2</v>
      </c>
      <c r="K32" s="282">
        <f t="shared" si="33"/>
        <v>0</v>
      </c>
      <c r="L32" s="74">
        <f t="shared" si="34"/>
        <v>0</v>
      </c>
      <c r="M32" s="283">
        <f t="shared" si="35"/>
        <v>0</v>
      </c>
      <c r="N32" s="398">
        <f>'WP1 Light Inventory'!L33</f>
        <v>0</v>
      </c>
      <c r="O32" s="284">
        <f t="shared" si="36"/>
        <v>26.25</v>
      </c>
      <c r="P32" s="261">
        <f>'BDJ-6 Unitized Lighting Costs'!D$20</f>
        <v>1.0137794003499056E-2</v>
      </c>
      <c r="Q32" s="261">
        <f>'BDJ-6 Unitized Lighting Costs'!$D$43</f>
        <v>2.2529806535397991</v>
      </c>
      <c r="R32" s="261">
        <f>'BDJ-6 Unitized Lighting Costs'!D$69</f>
        <v>1.9131568994526543E-2</v>
      </c>
      <c r="S32" s="261">
        <f>'BDJ-6 Unitized Lighting Costs'!D$100</f>
        <v>3.6511265600435805</v>
      </c>
      <c r="T32" s="261">
        <f>'BDJ-6 Unitized Lighting Costs'!$D$117</f>
        <v>5.4555747529966878E-2</v>
      </c>
      <c r="U32" s="43">
        <f t="shared" si="37"/>
        <v>0</v>
      </c>
      <c r="V32" s="43">
        <f t="shared" si="38"/>
        <v>0</v>
      </c>
      <c r="W32" s="43">
        <f t="shared" si="39"/>
        <v>0.50220368610632171</v>
      </c>
      <c r="X32" s="43">
        <f t="shared" si="40"/>
        <v>0.27383449200326859</v>
      </c>
      <c r="Y32" s="43">
        <f t="shared" si="41"/>
        <v>1.4320883726616305</v>
      </c>
      <c r="Z32" s="43">
        <f t="shared" si="42"/>
        <v>2.2081265507712207</v>
      </c>
      <c r="AA32" s="220"/>
      <c r="AB32" s="240">
        <f t="shared" si="43"/>
        <v>0</v>
      </c>
      <c r="AC32" s="240">
        <f t="shared" si="44"/>
        <v>0</v>
      </c>
      <c r="AD32" s="240">
        <f t="shared" si="45"/>
        <v>1.9131568994526543E-2</v>
      </c>
      <c r="AE32" s="240">
        <f t="shared" si="46"/>
        <v>1.0431790171553089E-2</v>
      </c>
      <c r="AF32" s="240">
        <f t="shared" si="47"/>
        <v>5.4555747529966878E-2</v>
      </c>
      <c r="AG32" s="240">
        <f t="shared" si="48"/>
        <v>8.4119106696046511E-2</v>
      </c>
      <c r="AH32" s="43">
        <f t="shared" si="49"/>
        <v>0</v>
      </c>
      <c r="AI32" s="43">
        <f t="shared" si="50"/>
        <v>0</v>
      </c>
      <c r="AJ32" s="43">
        <f t="shared" si="51"/>
        <v>0</v>
      </c>
      <c r="AK32" s="43">
        <f t="shared" si="52"/>
        <v>0</v>
      </c>
      <c r="AL32" s="43">
        <f t="shared" si="53"/>
        <v>0</v>
      </c>
      <c r="AM32" s="43">
        <f t="shared" si="54"/>
        <v>0</v>
      </c>
      <c r="AN32" s="43">
        <f t="shared" si="55"/>
        <v>0</v>
      </c>
      <c r="AO32" s="43">
        <f t="shared" si="56"/>
        <v>0</v>
      </c>
      <c r="AP32" s="43">
        <f t="shared" si="57"/>
        <v>0</v>
      </c>
      <c r="AQ32" s="43">
        <f t="shared" si="58"/>
        <v>0</v>
      </c>
      <c r="AR32" s="43">
        <f t="shared" si="59"/>
        <v>0</v>
      </c>
      <c r="AS32" s="43">
        <f t="shared" si="60"/>
        <v>0</v>
      </c>
    </row>
    <row r="33" spans="1:45" x14ac:dyDescent="0.2">
      <c r="A33" s="58" t="s">
        <v>78</v>
      </c>
      <c r="B33" s="21" t="str">
        <f>'WP1 Light Inventory'!C34</f>
        <v>SMART LIGHT</v>
      </c>
      <c r="C33" s="21" t="str">
        <f>'WP1 Light Inventory'!D34</f>
        <v>Light Emitting Diode</v>
      </c>
      <c r="D33" s="21" t="str">
        <f>'WP1 Light Inventory'!E34</f>
        <v>LED 090.01-120</v>
      </c>
      <c r="E33" s="21">
        <f>'WP1 Light Inventory'!F34</f>
        <v>105</v>
      </c>
      <c r="F33" s="21" t="str">
        <f>'WP1 Light Inventory'!H34</f>
        <v>Customer</v>
      </c>
      <c r="G33" s="397">
        <f>'WP1 Light Inventory'!J34</f>
        <v>0</v>
      </c>
      <c r="H33" s="74" t="s">
        <v>600</v>
      </c>
      <c r="I33" s="14" t="s">
        <v>159</v>
      </c>
      <c r="J33" s="19">
        <f>IF(C33="Light Emitting Diode",'WP10 O&amp;M Weighting Factor'!$B$26,IF('WP12 Condensed Sch. Level Costs'!C33="Sodium Vapor",'WP10 O&amp;M Weighting Factor'!$B$27,IF('WP12 Condensed Sch. Level Costs'!C33="Metal Halide",'WP10 O&amp;M Weighting Factor'!$B$28,IF('WP12 Condensed Sch. Level Costs'!C33="Mercury Vapor",'WP10 O&amp;M Weighting Factor'!$B$30,IF('WP12 Condensed Sch. Level Costs'!C33="Compact Flourescent",'WP10 O&amp;M Weighting Factor'!$B$29, IF(C33="Incandescent", 'WP10 O&amp;M Weighting Factor'!$B$31, 0))))))</f>
        <v>0.2</v>
      </c>
      <c r="K33" s="282">
        <f t="shared" si="33"/>
        <v>0</v>
      </c>
      <c r="L33" s="74">
        <f t="shared" si="34"/>
        <v>0</v>
      </c>
      <c r="M33" s="283">
        <f t="shared" si="35"/>
        <v>0</v>
      </c>
      <c r="N33" s="398">
        <f>'WP1 Light Inventory'!L34</f>
        <v>0</v>
      </c>
      <c r="O33" s="284">
        <f t="shared" si="36"/>
        <v>36.75</v>
      </c>
      <c r="P33" s="261">
        <f>'BDJ-6 Unitized Lighting Costs'!D$20</f>
        <v>1.0137794003499056E-2</v>
      </c>
      <c r="Q33" s="261">
        <f>'BDJ-6 Unitized Lighting Costs'!$D$43</f>
        <v>2.2529806535397991</v>
      </c>
      <c r="R33" s="261">
        <f>'BDJ-6 Unitized Lighting Costs'!D$69</f>
        <v>1.9131568994526543E-2</v>
      </c>
      <c r="S33" s="261">
        <f>'BDJ-6 Unitized Lighting Costs'!D$100</f>
        <v>3.6511265600435805</v>
      </c>
      <c r="T33" s="261">
        <f>'BDJ-6 Unitized Lighting Costs'!$D$117</f>
        <v>5.4555747529966878E-2</v>
      </c>
      <c r="U33" s="43">
        <f t="shared" si="37"/>
        <v>0</v>
      </c>
      <c r="V33" s="43">
        <f t="shared" si="38"/>
        <v>0</v>
      </c>
      <c r="W33" s="43">
        <f t="shared" si="39"/>
        <v>0.7030851605488504</v>
      </c>
      <c r="X33" s="43">
        <f t="shared" si="40"/>
        <v>0.38336828880457596</v>
      </c>
      <c r="Y33" s="43">
        <f t="shared" si="41"/>
        <v>2.004923721726283</v>
      </c>
      <c r="Z33" s="43">
        <f t="shared" si="42"/>
        <v>3.0913771710797091</v>
      </c>
      <c r="AA33" s="220"/>
      <c r="AB33" s="240">
        <f t="shared" si="43"/>
        <v>0</v>
      </c>
      <c r="AC33" s="240">
        <f t="shared" si="44"/>
        <v>0</v>
      </c>
      <c r="AD33" s="240">
        <f t="shared" si="45"/>
        <v>1.9131568994526543E-2</v>
      </c>
      <c r="AE33" s="240">
        <f t="shared" si="46"/>
        <v>1.0431790171553088E-2</v>
      </c>
      <c r="AF33" s="240">
        <f t="shared" si="47"/>
        <v>5.4555747529966885E-2</v>
      </c>
      <c r="AG33" s="240">
        <f t="shared" si="48"/>
        <v>8.4119106696046511E-2</v>
      </c>
      <c r="AH33" s="43">
        <f t="shared" si="49"/>
        <v>0</v>
      </c>
      <c r="AI33" s="43">
        <f t="shared" si="50"/>
        <v>0</v>
      </c>
      <c r="AJ33" s="43">
        <f t="shared" si="51"/>
        <v>0</v>
      </c>
      <c r="AK33" s="43">
        <f t="shared" si="52"/>
        <v>0</v>
      </c>
      <c r="AL33" s="43">
        <f t="shared" si="53"/>
        <v>0</v>
      </c>
      <c r="AM33" s="43">
        <f t="shared" si="54"/>
        <v>0</v>
      </c>
      <c r="AN33" s="43">
        <f t="shared" si="55"/>
        <v>0</v>
      </c>
      <c r="AO33" s="43">
        <f t="shared" si="56"/>
        <v>0</v>
      </c>
      <c r="AP33" s="43">
        <f t="shared" si="57"/>
        <v>0</v>
      </c>
      <c r="AQ33" s="43">
        <f t="shared" si="58"/>
        <v>0</v>
      </c>
      <c r="AR33" s="43">
        <f t="shared" si="59"/>
        <v>0</v>
      </c>
      <c r="AS33" s="43">
        <f t="shared" si="60"/>
        <v>0</v>
      </c>
    </row>
    <row r="34" spans="1:45" x14ac:dyDescent="0.2">
      <c r="A34" s="58" t="s">
        <v>78</v>
      </c>
      <c r="B34" s="21" t="str">
        <f>'WP1 Light Inventory'!C35</f>
        <v>SMART LIGHT</v>
      </c>
      <c r="C34" s="21" t="str">
        <f>'WP1 Light Inventory'!D35</f>
        <v>Light Emitting Diode</v>
      </c>
      <c r="D34" s="21" t="str">
        <f>'WP1 Light Inventory'!E35</f>
        <v>LED 120.01-150</v>
      </c>
      <c r="E34" s="21">
        <f>'WP1 Light Inventory'!F35</f>
        <v>135</v>
      </c>
      <c r="F34" s="21" t="str">
        <f>'WP1 Light Inventory'!H35</f>
        <v>Customer</v>
      </c>
      <c r="G34" s="397">
        <f>'WP1 Light Inventory'!J35</f>
        <v>0</v>
      </c>
      <c r="H34" s="74" t="s">
        <v>600</v>
      </c>
      <c r="I34" s="14" t="s">
        <v>159</v>
      </c>
      <c r="J34" s="19">
        <f>IF(C34="Light Emitting Diode",'WP10 O&amp;M Weighting Factor'!$B$26,IF('WP12 Condensed Sch. Level Costs'!C34="Sodium Vapor",'WP10 O&amp;M Weighting Factor'!$B$27,IF('WP12 Condensed Sch. Level Costs'!C34="Metal Halide",'WP10 O&amp;M Weighting Factor'!$B$28,IF('WP12 Condensed Sch. Level Costs'!C34="Mercury Vapor",'WP10 O&amp;M Weighting Factor'!$B$30,IF('WP12 Condensed Sch. Level Costs'!C34="Compact Flourescent",'WP10 O&amp;M Weighting Factor'!$B$29, IF(C34="Incandescent", 'WP10 O&amp;M Weighting Factor'!$B$31, 0))))))</f>
        <v>0.2</v>
      </c>
      <c r="K34" s="282">
        <f t="shared" si="33"/>
        <v>0</v>
      </c>
      <c r="L34" s="74">
        <f t="shared" si="34"/>
        <v>0</v>
      </c>
      <c r="M34" s="283">
        <f t="shared" si="35"/>
        <v>0</v>
      </c>
      <c r="N34" s="398">
        <f>'WP1 Light Inventory'!L35</f>
        <v>0</v>
      </c>
      <c r="O34" s="284">
        <f t="shared" si="36"/>
        <v>47.25</v>
      </c>
      <c r="P34" s="261">
        <f>'BDJ-6 Unitized Lighting Costs'!D$20</f>
        <v>1.0137794003499056E-2</v>
      </c>
      <c r="Q34" s="261">
        <f>'BDJ-6 Unitized Lighting Costs'!$D$43</f>
        <v>2.2529806535397991</v>
      </c>
      <c r="R34" s="261">
        <f>'BDJ-6 Unitized Lighting Costs'!D$69</f>
        <v>1.9131568994526543E-2</v>
      </c>
      <c r="S34" s="261">
        <f>'BDJ-6 Unitized Lighting Costs'!D$100</f>
        <v>3.6511265600435805</v>
      </c>
      <c r="T34" s="261">
        <f>'BDJ-6 Unitized Lighting Costs'!$D$117</f>
        <v>5.4555747529966878E-2</v>
      </c>
      <c r="U34" s="43">
        <f t="shared" si="37"/>
        <v>0</v>
      </c>
      <c r="V34" s="43">
        <f t="shared" si="38"/>
        <v>0</v>
      </c>
      <c r="W34" s="43">
        <f t="shared" si="39"/>
        <v>0.90396663499137908</v>
      </c>
      <c r="X34" s="43">
        <f t="shared" si="40"/>
        <v>0.49290208560588339</v>
      </c>
      <c r="Y34" s="43">
        <f t="shared" si="41"/>
        <v>2.5777590707909348</v>
      </c>
      <c r="Z34" s="43">
        <f t="shared" si="42"/>
        <v>3.9746277913881976</v>
      </c>
      <c r="AA34" s="220"/>
      <c r="AB34" s="240">
        <f t="shared" si="43"/>
        <v>0</v>
      </c>
      <c r="AC34" s="240">
        <f t="shared" si="44"/>
        <v>0</v>
      </c>
      <c r="AD34" s="240">
        <f t="shared" si="45"/>
        <v>1.9131568994526543E-2</v>
      </c>
      <c r="AE34" s="240">
        <f t="shared" si="46"/>
        <v>1.0431790171553088E-2</v>
      </c>
      <c r="AF34" s="240">
        <f t="shared" si="47"/>
        <v>5.4555747529966878E-2</v>
      </c>
      <c r="AG34" s="240">
        <f t="shared" si="48"/>
        <v>8.4119106696046511E-2</v>
      </c>
      <c r="AH34" s="43">
        <f t="shared" si="49"/>
        <v>0</v>
      </c>
      <c r="AI34" s="43">
        <f t="shared" si="50"/>
        <v>0</v>
      </c>
      <c r="AJ34" s="43">
        <f t="shared" si="51"/>
        <v>0</v>
      </c>
      <c r="AK34" s="43">
        <f t="shared" si="52"/>
        <v>0</v>
      </c>
      <c r="AL34" s="43">
        <f t="shared" si="53"/>
        <v>0</v>
      </c>
      <c r="AM34" s="43">
        <f t="shared" si="54"/>
        <v>0</v>
      </c>
      <c r="AN34" s="43">
        <f t="shared" si="55"/>
        <v>0</v>
      </c>
      <c r="AO34" s="43">
        <f t="shared" si="56"/>
        <v>0</v>
      </c>
      <c r="AP34" s="43">
        <f t="shared" si="57"/>
        <v>0</v>
      </c>
      <c r="AQ34" s="43">
        <f t="shared" si="58"/>
        <v>0</v>
      </c>
      <c r="AR34" s="43">
        <f t="shared" si="59"/>
        <v>0</v>
      </c>
      <c r="AS34" s="43">
        <f t="shared" si="60"/>
        <v>0</v>
      </c>
    </row>
    <row r="35" spans="1:45" x14ac:dyDescent="0.2">
      <c r="A35" s="58" t="s">
        <v>78</v>
      </c>
      <c r="B35" s="21" t="str">
        <f>'WP1 Light Inventory'!C36</f>
        <v>SMART LIGHT</v>
      </c>
      <c r="C35" s="21" t="str">
        <f>'WP1 Light Inventory'!D36</f>
        <v>Light Emitting Diode</v>
      </c>
      <c r="D35" s="21" t="str">
        <f>'WP1 Light Inventory'!E36</f>
        <v>LED 150.01-180</v>
      </c>
      <c r="E35" s="21">
        <f>'WP1 Light Inventory'!F36</f>
        <v>165</v>
      </c>
      <c r="F35" s="21" t="str">
        <f>'WP1 Light Inventory'!H36</f>
        <v>Customer</v>
      </c>
      <c r="G35" s="397">
        <f>'WP1 Light Inventory'!J36</f>
        <v>0</v>
      </c>
      <c r="H35" s="74" t="s">
        <v>600</v>
      </c>
      <c r="I35" s="14" t="s">
        <v>159</v>
      </c>
      <c r="J35" s="19">
        <f>IF(C35="Light Emitting Diode",'WP10 O&amp;M Weighting Factor'!$B$26,IF('WP12 Condensed Sch. Level Costs'!C35="Sodium Vapor",'WP10 O&amp;M Weighting Factor'!$B$27,IF('WP12 Condensed Sch. Level Costs'!C35="Metal Halide",'WP10 O&amp;M Weighting Factor'!$B$28,IF('WP12 Condensed Sch. Level Costs'!C35="Mercury Vapor",'WP10 O&amp;M Weighting Factor'!$B$30,IF('WP12 Condensed Sch. Level Costs'!C35="Compact Flourescent",'WP10 O&amp;M Weighting Factor'!$B$29, IF(C35="Incandescent", 'WP10 O&amp;M Weighting Factor'!$B$31, 0))))))</f>
        <v>0.2</v>
      </c>
      <c r="K35" s="282">
        <f t="shared" si="33"/>
        <v>0</v>
      </c>
      <c r="L35" s="74">
        <f t="shared" si="34"/>
        <v>0</v>
      </c>
      <c r="M35" s="283">
        <f t="shared" si="35"/>
        <v>0</v>
      </c>
      <c r="N35" s="398">
        <f>'WP1 Light Inventory'!L36</f>
        <v>0</v>
      </c>
      <c r="O35" s="284">
        <f t="shared" si="36"/>
        <v>57.75</v>
      </c>
      <c r="P35" s="261">
        <f>'BDJ-6 Unitized Lighting Costs'!D$20</f>
        <v>1.0137794003499056E-2</v>
      </c>
      <c r="Q35" s="261">
        <f>'BDJ-6 Unitized Lighting Costs'!$D$43</f>
        <v>2.2529806535397991</v>
      </c>
      <c r="R35" s="261">
        <f>'BDJ-6 Unitized Lighting Costs'!D$69</f>
        <v>1.9131568994526543E-2</v>
      </c>
      <c r="S35" s="261">
        <f>'BDJ-6 Unitized Lighting Costs'!D$100</f>
        <v>3.6511265600435805</v>
      </c>
      <c r="T35" s="261">
        <f>'BDJ-6 Unitized Lighting Costs'!$D$117</f>
        <v>5.4555747529966878E-2</v>
      </c>
      <c r="U35" s="43">
        <f t="shared" si="37"/>
        <v>0</v>
      </c>
      <c r="V35" s="43">
        <f t="shared" si="38"/>
        <v>0</v>
      </c>
      <c r="W35" s="43">
        <f t="shared" si="39"/>
        <v>1.1048481094339078</v>
      </c>
      <c r="X35" s="43">
        <f t="shared" si="40"/>
        <v>0.60243588240719081</v>
      </c>
      <c r="Y35" s="43">
        <f t="shared" si="41"/>
        <v>3.1505944198555871</v>
      </c>
      <c r="Z35" s="43">
        <f t="shared" si="42"/>
        <v>4.8578784116966851</v>
      </c>
      <c r="AA35" s="220"/>
      <c r="AB35" s="240">
        <f t="shared" si="43"/>
        <v>0</v>
      </c>
      <c r="AC35" s="240">
        <f t="shared" si="44"/>
        <v>0</v>
      </c>
      <c r="AD35" s="240">
        <f t="shared" si="45"/>
        <v>1.9131568994526543E-2</v>
      </c>
      <c r="AE35" s="240">
        <f t="shared" si="46"/>
        <v>1.0431790171553088E-2</v>
      </c>
      <c r="AF35" s="240">
        <f t="shared" si="47"/>
        <v>5.4555747529966878E-2</v>
      </c>
      <c r="AG35" s="240">
        <f t="shared" si="48"/>
        <v>8.4119106696046511E-2</v>
      </c>
      <c r="AH35" s="43">
        <f t="shared" si="49"/>
        <v>0</v>
      </c>
      <c r="AI35" s="43">
        <f t="shared" si="50"/>
        <v>0</v>
      </c>
      <c r="AJ35" s="43">
        <f t="shared" si="51"/>
        <v>0</v>
      </c>
      <c r="AK35" s="43">
        <f t="shared" si="52"/>
        <v>0</v>
      </c>
      <c r="AL35" s="43">
        <f t="shared" si="53"/>
        <v>0</v>
      </c>
      <c r="AM35" s="43">
        <f t="shared" si="54"/>
        <v>0</v>
      </c>
      <c r="AN35" s="43">
        <f t="shared" si="55"/>
        <v>0</v>
      </c>
      <c r="AO35" s="43">
        <f t="shared" si="56"/>
        <v>0</v>
      </c>
      <c r="AP35" s="43">
        <f t="shared" si="57"/>
        <v>0</v>
      </c>
      <c r="AQ35" s="43">
        <f t="shared" si="58"/>
        <v>0</v>
      </c>
      <c r="AR35" s="43">
        <f t="shared" si="59"/>
        <v>0</v>
      </c>
      <c r="AS35" s="43">
        <f t="shared" si="60"/>
        <v>0</v>
      </c>
    </row>
    <row r="36" spans="1:45" x14ac:dyDescent="0.2">
      <c r="A36" s="58" t="s">
        <v>78</v>
      </c>
      <c r="B36" s="21" t="str">
        <f>'WP1 Light Inventory'!C37</f>
        <v>SMART LIGHT</v>
      </c>
      <c r="C36" s="21" t="str">
        <f>'WP1 Light Inventory'!D37</f>
        <v>Light Emitting Diode</v>
      </c>
      <c r="D36" s="21" t="str">
        <f>'WP1 Light Inventory'!E37</f>
        <v>LED 180.01-210</v>
      </c>
      <c r="E36" s="21">
        <f>'WP1 Light Inventory'!F37</f>
        <v>195</v>
      </c>
      <c r="F36" s="21" t="str">
        <f>'WP1 Light Inventory'!H37</f>
        <v>Customer</v>
      </c>
      <c r="G36" s="397">
        <f>'WP1 Light Inventory'!J37</f>
        <v>0</v>
      </c>
      <c r="H36" s="74" t="s">
        <v>600</v>
      </c>
      <c r="I36" s="14" t="s">
        <v>159</v>
      </c>
      <c r="J36" s="19">
        <f>IF(C36="Light Emitting Diode",'WP10 O&amp;M Weighting Factor'!$B$26,IF('WP12 Condensed Sch. Level Costs'!C36="Sodium Vapor",'WP10 O&amp;M Weighting Factor'!$B$27,IF('WP12 Condensed Sch. Level Costs'!C36="Metal Halide",'WP10 O&amp;M Weighting Factor'!$B$28,IF('WP12 Condensed Sch. Level Costs'!C36="Mercury Vapor",'WP10 O&amp;M Weighting Factor'!$B$30,IF('WP12 Condensed Sch. Level Costs'!C36="Compact Flourescent",'WP10 O&amp;M Weighting Factor'!$B$29, IF(C36="Incandescent", 'WP10 O&amp;M Weighting Factor'!$B$31, 0))))))</f>
        <v>0.2</v>
      </c>
      <c r="K36" s="282">
        <f t="shared" si="33"/>
        <v>0</v>
      </c>
      <c r="L36" s="74">
        <f t="shared" si="34"/>
        <v>0</v>
      </c>
      <c r="M36" s="283">
        <f t="shared" si="35"/>
        <v>0</v>
      </c>
      <c r="N36" s="398">
        <f>'WP1 Light Inventory'!L37</f>
        <v>0</v>
      </c>
      <c r="O36" s="284">
        <f t="shared" si="36"/>
        <v>68.25</v>
      </c>
      <c r="P36" s="261">
        <f>'BDJ-6 Unitized Lighting Costs'!D$20</f>
        <v>1.0137794003499056E-2</v>
      </c>
      <c r="Q36" s="261">
        <f>'BDJ-6 Unitized Lighting Costs'!$D$43</f>
        <v>2.2529806535397991</v>
      </c>
      <c r="R36" s="261">
        <f>'BDJ-6 Unitized Lighting Costs'!D$69</f>
        <v>1.9131568994526543E-2</v>
      </c>
      <c r="S36" s="261">
        <f>'BDJ-6 Unitized Lighting Costs'!D$100</f>
        <v>3.6511265600435805</v>
      </c>
      <c r="T36" s="261">
        <f>'BDJ-6 Unitized Lighting Costs'!$D$117</f>
        <v>5.4555747529966878E-2</v>
      </c>
      <c r="U36" s="43">
        <f t="shared" si="37"/>
        <v>0</v>
      </c>
      <c r="V36" s="43">
        <f t="shared" si="38"/>
        <v>0</v>
      </c>
      <c r="W36" s="43">
        <f t="shared" si="39"/>
        <v>1.3057295838764365</v>
      </c>
      <c r="X36" s="43">
        <f t="shared" si="40"/>
        <v>0.71196967920849819</v>
      </c>
      <c r="Y36" s="43">
        <f t="shared" si="41"/>
        <v>3.7234297689202394</v>
      </c>
      <c r="Z36" s="43">
        <f t="shared" si="42"/>
        <v>5.7411290320051744</v>
      </c>
      <c r="AA36" s="220"/>
      <c r="AB36" s="240">
        <f t="shared" si="43"/>
        <v>0</v>
      </c>
      <c r="AC36" s="240">
        <f t="shared" si="44"/>
        <v>0</v>
      </c>
      <c r="AD36" s="240">
        <f t="shared" si="45"/>
        <v>1.9131568994526543E-2</v>
      </c>
      <c r="AE36" s="240">
        <f t="shared" si="46"/>
        <v>1.0431790171553088E-2</v>
      </c>
      <c r="AF36" s="240">
        <f t="shared" si="47"/>
        <v>5.4555747529966878E-2</v>
      </c>
      <c r="AG36" s="240">
        <f t="shared" si="48"/>
        <v>8.4119106696046511E-2</v>
      </c>
      <c r="AH36" s="43">
        <f t="shared" si="49"/>
        <v>0</v>
      </c>
      <c r="AI36" s="43">
        <f t="shared" si="50"/>
        <v>0</v>
      </c>
      <c r="AJ36" s="43">
        <f t="shared" si="51"/>
        <v>0</v>
      </c>
      <c r="AK36" s="43">
        <f t="shared" si="52"/>
        <v>0</v>
      </c>
      <c r="AL36" s="43">
        <f t="shared" si="53"/>
        <v>0</v>
      </c>
      <c r="AM36" s="43">
        <f t="shared" si="54"/>
        <v>0</v>
      </c>
      <c r="AN36" s="43">
        <f t="shared" si="55"/>
        <v>0</v>
      </c>
      <c r="AO36" s="43">
        <f t="shared" si="56"/>
        <v>0</v>
      </c>
      <c r="AP36" s="43">
        <f t="shared" si="57"/>
        <v>0</v>
      </c>
      <c r="AQ36" s="43">
        <f t="shared" si="58"/>
        <v>0</v>
      </c>
      <c r="AR36" s="43">
        <f t="shared" si="59"/>
        <v>0</v>
      </c>
      <c r="AS36" s="43">
        <f t="shared" si="60"/>
        <v>0</v>
      </c>
    </row>
    <row r="37" spans="1:45" x14ac:dyDescent="0.2">
      <c r="A37" s="58" t="s">
        <v>78</v>
      </c>
      <c r="B37" s="21" t="str">
        <f>'WP1 Light Inventory'!C38</f>
        <v>SMART LIGHT</v>
      </c>
      <c r="C37" s="21" t="str">
        <f>'WP1 Light Inventory'!D38</f>
        <v>Light Emitting Diode</v>
      </c>
      <c r="D37" s="21" t="str">
        <f>'WP1 Light Inventory'!E38</f>
        <v>LED 210.01-240</v>
      </c>
      <c r="E37" s="21">
        <f>'WP1 Light Inventory'!F38</f>
        <v>225</v>
      </c>
      <c r="F37" s="21" t="str">
        <f>'WP1 Light Inventory'!H38</f>
        <v>Customer</v>
      </c>
      <c r="G37" s="397">
        <f>'WP1 Light Inventory'!J38</f>
        <v>0</v>
      </c>
      <c r="H37" s="74" t="s">
        <v>600</v>
      </c>
      <c r="I37" s="14" t="s">
        <v>159</v>
      </c>
      <c r="J37" s="19">
        <f>IF(C37="Light Emitting Diode",'WP10 O&amp;M Weighting Factor'!$B$26,IF('WP12 Condensed Sch. Level Costs'!C37="Sodium Vapor",'WP10 O&amp;M Weighting Factor'!$B$27,IF('WP12 Condensed Sch. Level Costs'!C37="Metal Halide",'WP10 O&amp;M Weighting Factor'!$B$28,IF('WP12 Condensed Sch. Level Costs'!C37="Mercury Vapor",'WP10 O&amp;M Weighting Factor'!$B$30,IF('WP12 Condensed Sch. Level Costs'!C37="Compact Flourescent",'WP10 O&amp;M Weighting Factor'!$B$29, IF(C37="Incandescent", 'WP10 O&amp;M Weighting Factor'!$B$31, 0))))))</f>
        <v>0.2</v>
      </c>
      <c r="K37" s="282">
        <f t="shared" si="33"/>
        <v>0</v>
      </c>
      <c r="L37" s="74">
        <f t="shared" si="34"/>
        <v>0</v>
      </c>
      <c r="M37" s="283">
        <f t="shared" si="35"/>
        <v>0</v>
      </c>
      <c r="N37" s="398">
        <f>'WP1 Light Inventory'!L38</f>
        <v>0</v>
      </c>
      <c r="O37" s="284">
        <f t="shared" si="36"/>
        <v>78.75</v>
      </c>
      <c r="P37" s="261">
        <f>'BDJ-6 Unitized Lighting Costs'!D$20</f>
        <v>1.0137794003499056E-2</v>
      </c>
      <c r="Q37" s="261">
        <f>'BDJ-6 Unitized Lighting Costs'!$D$43</f>
        <v>2.2529806535397991</v>
      </c>
      <c r="R37" s="261">
        <f>'BDJ-6 Unitized Lighting Costs'!D$69</f>
        <v>1.9131568994526543E-2</v>
      </c>
      <c r="S37" s="261">
        <f>'BDJ-6 Unitized Lighting Costs'!D$100</f>
        <v>3.6511265600435805</v>
      </c>
      <c r="T37" s="261">
        <f>'BDJ-6 Unitized Lighting Costs'!$D$117</f>
        <v>5.4555747529966878E-2</v>
      </c>
      <c r="U37" s="43">
        <f t="shared" si="37"/>
        <v>0</v>
      </c>
      <c r="V37" s="43">
        <f t="shared" si="38"/>
        <v>0</v>
      </c>
      <c r="W37" s="43">
        <f t="shared" si="39"/>
        <v>1.5066110583189651</v>
      </c>
      <c r="X37" s="43">
        <f t="shared" si="40"/>
        <v>0.82150347600980556</v>
      </c>
      <c r="Y37" s="43">
        <f t="shared" si="41"/>
        <v>4.2962651179848912</v>
      </c>
      <c r="Z37" s="43">
        <f t="shared" si="42"/>
        <v>6.624379652313662</v>
      </c>
      <c r="AA37" s="220"/>
      <c r="AB37" s="240">
        <f t="shared" si="43"/>
        <v>0</v>
      </c>
      <c r="AC37" s="240">
        <f t="shared" si="44"/>
        <v>0</v>
      </c>
      <c r="AD37" s="240">
        <f t="shared" si="45"/>
        <v>1.9131568994526543E-2</v>
      </c>
      <c r="AE37" s="240">
        <f t="shared" si="46"/>
        <v>1.0431790171553086E-2</v>
      </c>
      <c r="AF37" s="240">
        <f t="shared" si="47"/>
        <v>5.4555747529966871E-2</v>
      </c>
      <c r="AG37" s="240">
        <f t="shared" si="48"/>
        <v>8.4119106696046497E-2</v>
      </c>
      <c r="AH37" s="43">
        <f t="shared" si="49"/>
        <v>0</v>
      </c>
      <c r="AI37" s="43">
        <f t="shared" si="50"/>
        <v>0</v>
      </c>
      <c r="AJ37" s="43">
        <f t="shared" si="51"/>
        <v>0</v>
      </c>
      <c r="AK37" s="43">
        <f t="shared" si="52"/>
        <v>0</v>
      </c>
      <c r="AL37" s="43">
        <f t="shared" si="53"/>
        <v>0</v>
      </c>
      <c r="AM37" s="43">
        <f t="shared" si="54"/>
        <v>0</v>
      </c>
      <c r="AN37" s="43">
        <f t="shared" si="55"/>
        <v>0</v>
      </c>
      <c r="AO37" s="43">
        <f t="shared" si="56"/>
        <v>0</v>
      </c>
      <c r="AP37" s="43">
        <f t="shared" si="57"/>
        <v>0</v>
      </c>
      <c r="AQ37" s="43">
        <f t="shared" si="58"/>
        <v>0</v>
      </c>
      <c r="AR37" s="43">
        <f t="shared" si="59"/>
        <v>0</v>
      </c>
      <c r="AS37" s="43">
        <f t="shared" si="60"/>
        <v>0</v>
      </c>
    </row>
    <row r="38" spans="1:45" x14ac:dyDescent="0.2">
      <c r="A38" s="58" t="s">
        <v>78</v>
      </c>
      <c r="B38" s="21" t="str">
        <f>'WP1 Light Inventory'!C39</f>
        <v>SMART LIGHT</v>
      </c>
      <c r="C38" s="21" t="str">
        <f>'WP1 Light Inventory'!D39</f>
        <v>Light Emitting Diode</v>
      </c>
      <c r="D38" s="21" t="str">
        <f>'WP1 Light Inventory'!E39</f>
        <v>LED 240.01-270</v>
      </c>
      <c r="E38" s="21">
        <f>'WP1 Light Inventory'!F39</f>
        <v>255</v>
      </c>
      <c r="F38" s="21" t="str">
        <f>'WP1 Light Inventory'!H39</f>
        <v>Customer</v>
      </c>
      <c r="G38" s="397">
        <f>'WP1 Light Inventory'!J39</f>
        <v>0</v>
      </c>
      <c r="H38" s="74" t="s">
        <v>600</v>
      </c>
      <c r="I38" s="14" t="s">
        <v>159</v>
      </c>
      <c r="J38" s="19">
        <f>IF(C38="Light Emitting Diode",'WP10 O&amp;M Weighting Factor'!$B$26,IF('WP12 Condensed Sch. Level Costs'!C38="Sodium Vapor",'WP10 O&amp;M Weighting Factor'!$B$27,IF('WP12 Condensed Sch. Level Costs'!C38="Metal Halide",'WP10 O&amp;M Weighting Factor'!$B$28,IF('WP12 Condensed Sch. Level Costs'!C38="Mercury Vapor",'WP10 O&amp;M Weighting Factor'!$B$30,IF('WP12 Condensed Sch. Level Costs'!C38="Compact Flourescent",'WP10 O&amp;M Weighting Factor'!$B$29, IF(C38="Incandescent", 'WP10 O&amp;M Weighting Factor'!$B$31, 0))))))</f>
        <v>0.2</v>
      </c>
      <c r="K38" s="282">
        <f t="shared" si="33"/>
        <v>0</v>
      </c>
      <c r="L38" s="74">
        <f t="shared" si="34"/>
        <v>0</v>
      </c>
      <c r="M38" s="283">
        <f t="shared" si="35"/>
        <v>0</v>
      </c>
      <c r="N38" s="398">
        <f>'WP1 Light Inventory'!L39</f>
        <v>0</v>
      </c>
      <c r="O38" s="284">
        <f t="shared" si="36"/>
        <v>89.25</v>
      </c>
      <c r="P38" s="261">
        <f>'BDJ-6 Unitized Lighting Costs'!D$20</f>
        <v>1.0137794003499056E-2</v>
      </c>
      <c r="Q38" s="261">
        <f>'BDJ-6 Unitized Lighting Costs'!$D$43</f>
        <v>2.2529806535397991</v>
      </c>
      <c r="R38" s="261">
        <f>'BDJ-6 Unitized Lighting Costs'!D$69</f>
        <v>1.9131568994526543E-2</v>
      </c>
      <c r="S38" s="261">
        <f>'BDJ-6 Unitized Lighting Costs'!D$100</f>
        <v>3.6511265600435805</v>
      </c>
      <c r="T38" s="261">
        <f>'BDJ-6 Unitized Lighting Costs'!$D$117</f>
        <v>5.4555747529966878E-2</v>
      </c>
      <c r="U38" s="43">
        <f t="shared" si="37"/>
        <v>0</v>
      </c>
      <c r="V38" s="43">
        <f t="shared" si="38"/>
        <v>0</v>
      </c>
      <c r="W38" s="43">
        <f t="shared" si="39"/>
        <v>1.7074925327614938</v>
      </c>
      <c r="X38" s="43">
        <f t="shared" si="40"/>
        <v>0.93103727281111304</v>
      </c>
      <c r="Y38" s="43">
        <f t="shared" si="41"/>
        <v>4.8691004670495435</v>
      </c>
      <c r="Z38" s="43">
        <f t="shared" si="42"/>
        <v>7.5076302726221504</v>
      </c>
      <c r="AA38" s="220"/>
      <c r="AB38" s="240">
        <f t="shared" si="43"/>
        <v>0</v>
      </c>
      <c r="AC38" s="240">
        <f t="shared" si="44"/>
        <v>0</v>
      </c>
      <c r="AD38" s="240">
        <f t="shared" si="45"/>
        <v>1.9131568994526543E-2</v>
      </c>
      <c r="AE38" s="240">
        <f t="shared" si="46"/>
        <v>1.0431790171553088E-2</v>
      </c>
      <c r="AF38" s="240">
        <f t="shared" si="47"/>
        <v>5.4555747529966871E-2</v>
      </c>
      <c r="AG38" s="240">
        <f t="shared" si="48"/>
        <v>8.4119106696046497E-2</v>
      </c>
      <c r="AH38" s="43">
        <f t="shared" si="49"/>
        <v>0</v>
      </c>
      <c r="AI38" s="43">
        <f t="shared" si="50"/>
        <v>0</v>
      </c>
      <c r="AJ38" s="43">
        <f t="shared" si="51"/>
        <v>0</v>
      </c>
      <c r="AK38" s="43">
        <f t="shared" si="52"/>
        <v>0</v>
      </c>
      <c r="AL38" s="43">
        <f t="shared" si="53"/>
        <v>0</v>
      </c>
      <c r="AM38" s="43">
        <f t="shared" si="54"/>
        <v>0</v>
      </c>
      <c r="AN38" s="43">
        <f t="shared" si="55"/>
        <v>0</v>
      </c>
      <c r="AO38" s="43">
        <f t="shared" si="56"/>
        <v>0</v>
      </c>
      <c r="AP38" s="43">
        <f t="shared" si="57"/>
        <v>0</v>
      </c>
      <c r="AQ38" s="43">
        <f t="shared" si="58"/>
        <v>0</v>
      </c>
      <c r="AR38" s="43">
        <f t="shared" si="59"/>
        <v>0</v>
      </c>
      <c r="AS38" s="43">
        <f t="shared" si="60"/>
        <v>0</v>
      </c>
    </row>
    <row r="39" spans="1:45" x14ac:dyDescent="0.2">
      <c r="A39" s="58" t="s">
        <v>78</v>
      </c>
      <c r="B39" s="21" t="str">
        <f>'WP1 Light Inventory'!C40</f>
        <v>SMART LIGHT</v>
      </c>
      <c r="C39" s="21" t="str">
        <f>'WP1 Light Inventory'!D40</f>
        <v>Light Emitting Diode</v>
      </c>
      <c r="D39" s="21" t="str">
        <f>'WP1 Light Inventory'!E40</f>
        <v>LED 270.01-300</v>
      </c>
      <c r="E39" s="21">
        <f>'WP1 Light Inventory'!F40</f>
        <v>285</v>
      </c>
      <c r="F39" s="21" t="str">
        <f>'WP1 Light Inventory'!H40</f>
        <v>Customer</v>
      </c>
      <c r="G39" s="397">
        <f>'WP1 Light Inventory'!J40</f>
        <v>0</v>
      </c>
      <c r="H39" s="74" t="s">
        <v>600</v>
      </c>
      <c r="I39" s="14" t="s">
        <v>159</v>
      </c>
      <c r="J39" s="19">
        <f>IF(C39="Light Emitting Diode",'WP10 O&amp;M Weighting Factor'!$B$26,IF('WP12 Condensed Sch. Level Costs'!C39="Sodium Vapor",'WP10 O&amp;M Weighting Factor'!$B$27,IF('WP12 Condensed Sch. Level Costs'!C39="Metal Halide",'WP10 O&amp;M Weighting Factor'!$B$28,IF('WP12 Condensed Sch. Level Costs'!C39="Mercury Vapor",'WP10 O&amp;M Weighting Factor'!$B$30,IF('WP12 Condensed Sch. Level Costs'!C39="Compact Flourescent",'WP10 O&amp;M Weighting Factor'!$B$29, IF(C39="Incandescent", 'WP10 O&amp;M Weighting Factor'!$B$31, 0))))))</f>
        <v>0.2</v>
      </c>
      <c r="K39" s="282">
        <f t="shared" si="33"/>
        <v>0</v>
      </c>
      <c r="L39" s="74">
        <f t="shared" si="34"/>
        <v>0</v>
      </c>
      <c r="M39" s="283">
        <f t="shared" si="35"/>
        <v>0</v>
      </c>
      <c r="N39" s="398">
        <f>'WP1 Light Inventory'!L40</f>
        <v>0</v>
      </c>
      <c r="O39" s="284">
        <f t="shared" si="36"/>
        <v>99.75</v>
      </c>
      <c r="P39" s="261">
        <f>'BDJ-6 Unitized Lighting Costs'!D$20</f>
        <v>1.0137794003499056E-2</v>
      </c>
      <c r="Q39" s="261">
        <f>'BDJ-6 Unitized Lighting Costs'!$D$43</f>
        <v>2.2529806535397991</v>
      </c>
      <c r="R39" s="261">
        <f>'BDJ-6 Unitized Lighting Costs'!D$69</f>
        <v>1.9131568994526543E-2</v>
      </c>
      <c r="S39" s="261">
        <f>'BDJ-6 Unitized Lighting Costs'!D$100</f>
        <v>3.6511265600435805</v>
      </c>
      <c r="T39" s="261">
        <f>'BDJ-6 Unitized Lighting Costs'!$D$117</f>
        <v>5.4555747529966878E-2</v>
      </c>
      <c r="U39" s="43">
        <f t="shared" si="37"/>
        <v>0</v>
      </c>
      <c r="V39" s="43">
        <f t="shared" si="38"/>
        <v>0</v>
      </c>
      <c r="W39" s="43">
        <f t="shared" si="39"/>
        <v>1.9083740072040227</v>
      </c>
      <c r="X39" s="43">
        <f t="shared" si="40"/>
        <v>1.0405710696124204</v>
      </c>
      <c r="Y39" s="43">
        <f t="shared" si="41"/>
        <v>5.4419358161141957</v>
      </c>
      <c r="Z39" s="43">
        <f t="shared" si="42"/>
        <v>8.3908808929306389</v>
      </c>
      <c r="AA39" s="220"/>
      <c r="AB39" s="240">
        <f t="shared" si="43"/>
        <v>0</v>
      </c>
      <c r="AC39" s="240">
        <f t="shared" si="44"/>
        <v>0</v>
      </c>
      <c r="AD39" s="240">
        <f t="shared" si="45"/>
        <v>1.9131568994526543E-2</v>
      </c>
      <c r="AE39" s="240">
        <f t="shared" si="46"/>
        <v>1.0431790171553088E-2</v>
      </c>
      <c r="AF39" s="240">
        <f t="shared" si="47"/>
        <v>5.4555747529966878E-2</v>
      </c>
      <c r="AG39" s="240">
        <f t="shared" si="48"/>
        <v>8.4119106696046511E-2</v>
      </c>
      <c r="AH39" s="43">
        <f t="shared" si="49"/>
        <v>0</v>
      </c>
      <c r="AI39" s="43">
        <f t="shared" si="50"/>
        <v>0</v>
      </c>
      <c r="AJ39" s="43">
        <f t="shared" si="51"/>
        <v>0</v>
      </c>
      <c r="AK39" s="43">
        <f t="shared" si="52"/>
        <v>0</v>
      </c>
      <c r="AL39" s="43">
        <f t="shared" si="53"/>
        <v>0</v>
      </c>
      <c r="AM39" s="43">
        <f t="shared" si="54"/>
        <v>0</v>
      </c>
      <c r="AN39" s="43">
        <f t="shared" si="55"/>
        <v>0</v>
      </c>
      <c r="AO39" s="43">
        <f t="shared" si="56"/>
        <v>0</v>
      </c>
      <c r="AP39" s="43">
        <f t="shared" si="57"/>
        <v>0</v>
      </c>
      <c r="AQ39" s="43">
        <f t="shared" si="58"/>
        <v>0</v>
      </c>
      <c r="AR39" s="43">
        <f t="shared" si="59"/>
        <v>0</v>
      </c>
      <c r="AS39" s="43">
        <f t="shared" si="60"/>
        <v>0</v>
      </c>
    </row>
    <row r="40" spans="1:45" x14ac:dyDescent="0.2">
      <c r="A40" s="388" t="s">
        <v>136</v>
      </c>
      <c r="B40" s="389"/>
      <c r="C40" s="15"/>
      <c r="D40" s="390"/>
      <c r="E40" s="391"/>
      <c r="F40" s="390"/>
      <c r="G40" s="392"/>
      <c r="H40" s="378"/>
      <c r="I40" s="15"/>
      <c r="J40" s="390"/>
      <c r="K40" s="377"/>
      <c r="L40" s="378"/>
      <c r="M40" s="379"/>
      <c r="N40" s="394"/>
      <c r="O40" s="395"/>
      <c r="P40" s="396"/>
      <c r="Q40" s="396"/>
      <c r="R40" s="396"/>
      <c r="S40" s="396"/>
      <c r="T40" s="396"/>
      <c r="U40" s="274"/>
      <c r="V40" s="274"/>
      <c r="W40" s="274"/>
      <c r="X40" s="274"/>
      <c r="Y40" s="274"/>
      <c r="Z40" s="274"/>
      <c r="AA40" s="220"/>
      <c r="AB40" s="240"/>
      <c r="AC40" s="240"/>
      <c r="AD40" s="240"/>
      <c r="AE40" s="240"/>
      <c r="AF40" s="240"/>
      <c r="AG40" s="240"/>
    </row>
    <row r="41" spans="1:45" x14ac:dyDescent="0.2">
      <c r="A41" s="58" t="s">
        <v>79</v>
      </c>
      <c r="B41" s="21" t="s">
        <v>605</v>
      </c>
      <c r="C41" s="21" t="str">
        <f>'WP1 Light Inventory'!D42</f>
        <v>Sodium Vapor</v>
      </c>
      <c r="D41" s="21" t="str">
        <f>'WP1 Light Inventory'!E42</f>
        <v>SV 50</v>
      </c>
      <c r="E41" s="21">
        <f>'WP1 Light Inventory'!F42</f>
        <v>50</v>
      </c>
      <c r="F41" s="21" t="str">
        <f>'WP1 Light Inventory'!H42</f>
        <v>Customer</v>
      </c>
      <c r="G41" s="397">
        <f>'WP1 Light Inventory'!J42</f>
        <v>0</v>
      </c>
      <c r="H41" s="74" t="s">
        <v>600</v>
      </c>
      <c r="I41" s="14" t="s">
        <v>159</v>
      </c>
      <c r="J41" s="19">
        <f>IF(C41="Light Emitting Diode",'WP10 O&amp;M Weighting Factor'!$B$26,IF('WP12 Condensed Sch. Level Costs'!C41="Sodium Vapor",'WP10 O&amp;M Weighting Factor'!$B$27,IF('WP12 Condensed Sch. Level Costs'!C41="Metal Halide",'WP10 O&amp;M Weighting Factor'!$B$28,IF('WP12 Condensed Sch. Level Costs'!C41="Mercury Vapor",'WP10 O&amp;M Weighting Factor'!$B$30,IF('WP12 Condensed Sch. Level Costs'!C41="Compact Flourescent",'WP10 O&amp;M Weighting Factor'!$B$29, IF(C41="Incandescent", 'WP10 O&amp;M Weighting Factor'!$B$31, 0))))))</f>
        <v>1</v>
      </c>
      <c r="K41" s="282">
        <f t="shared" ref="K41:K48" si="61">IF(I41="Yes",G41*J41,0)</f>
        <v>0</v>
      </c>
      <c r="L41" s="74">
        <f t="shared" ref="L41:L48" si="62">IF(F41="Company", G41*H41,0)</f>
        <v>0</v>
      </c>
      <c r="M41" s="283">
        <f t="shared" ref="M41:M48" si="63">E41*G41/1000</f>
        <v>0</v>
      </c>
      <c r="N41" s="398">
        <f>E41*4200*G41/1000</f>
        <v>0</v>
      </c>
      <c r="O41" s="284">
        <f t="shared" ref="O41:O48" si="64">E41*4200/1000/12</f>
        <v>17.5</v>
      </c>
      <c r="P41" s="261">
        <f>'BDJ-6 Unitized Lighting Costs'!D$20</f>
        <v>1.0137794003499056E-2</v>
      </c>
      <c r="Q41" s="261">
        <f>'BDJ-6 Unitized Lighting Costs'!$D$43</f>
        <v>2.2529806535397991</v>
      </c>
      <c r="R41" s="261">
        <f>'BDJ-6 Unitized Lighting Costs'!D$69</f>
        <v>1.9131568994526543E-2</v>
      </c>
      <c r="S41" s="261">
        <f>'BDJ-6 Unitized Lighting Costs'!D$100</f>
        <v>3.6511265600435805</v>
      </c>
      <c r="T41" s="261">
        <f>'BDJ-6 Unitized Lighting Costs'!$D$117</f>
        <v>5.4555747529966878E-2</v>
      </c>
      <c r="U41" s="43">
        <f t="shared" ref="U41:U48" si="65">IF(F41="Company", H41*P41, 0)</f>
        <v>0</v>
      </c>
      <c r="V41" s="43">
        <f t="shared" ref="V41:V48" si="66">IF(I41="yes", J41*Q41, 0)</f>
        <v>0</v>
      </c>
      <c r="W41" s="43">
        <f t="shared" ref="W41:W48" si="67">R41*O41</f>
        <v>0.33480245740421449</v>
      </c>
      <c r="X41" s="43">
        <f t="shared" ref="X41:X48" si="68">E41*S41/1000</f>
        <v>0.18255632800217902</v>
      </c>
      <c r="Y41" s="43">
        <f t="shared" ref="Y41:Y48" si="69">O41*T41</f>
        <v>0.95472558177442035</v>
      </c>
      <c r="Z41" s="43">
        <f t="shared" ref="Z41:Z48" si="70">SUM(U41:Y41)</f>
        <v>1.4720843671808139</v>
      </c>
      <c r="AA41" s="220"/>
      <c r="AB41" s="240">
        <f t="shared" ref="AB41:AB48" si="71">IFERROR(U41/O41,0)</f>
        <v>0</v>
      </c>
      <c r="AC41" s="240">
        <f t="shared" ref="AC41:AC48" si="72">IFERROR(V41/O41,0)</f>
        <v>0</v>
      </c>
      <c r="AD41" s="240">
        <f t="shared" ref="AD41:AD48" si="73">IFERROR(W41/O41,0)</f>
        <v>1.9131568994526543E-2</v>
      </c>
      <c r="AE41" s="240">
        <f t="shared" ref="AE41:AE48" si="74">IFERROR(X41/O41,0)</f>
        <v>1.0431790171553088E-2</v>
      </c>
      <c r="AF41" s="240">
        <f t="shared" ref="AF41:AF48" si="75">IFERROR(Y41/O41,0)</f>
        <v>5.4555747529966878E-2</v>
      </c>
      <c r="AG41" s="240">
        <f t="shared" ref="AG41:AG48" si="76">SUM(AB41:AF41)</f>
        <v>8.4119106696046511E-2</v>
      </c>
      <c r="AH41" s="43">
        <f t="shared" ref="AH41:AL48" si="77">(U41*$G41)</f>
        <v>0</v>
      </c>
      <c r="AI41" s="43">
        <f t="shared" si="77"/>
        <v>0</v>
      </c>
      <c r="AJ41" s="43">
        <f t="shared" si="77"/>
        <v>0</v>
      </c>
      <c r="AK41" s="43">
        <f t="shared" si="77"/>
        <v>0</v>
      </c>
      <c r="AL41" s="43">
        <f t="shared" si="77"/>
        <v>0</v>
      </c>
      <c r="AM41" s="43">
        <f t="shared" ref="AM41:AM48" si="78">SUM(AH41:AL41)</f>
        <v>0</v>
      </c>
      <c r="AN41" s="43">
        <f t="shared" ref="AN41:AS48" si="79">AH41*12</f>
        <v>0</v>
      </c>
      <c r="AO41" s="43">
        <f t="shared" si="79"/>
        <v>0</v>
      </c>
      <c r="AP41" s="43">
        <f t="shared" si="79"/>
        <v>0</v>
      </c>
      <c r="AQ41" s="43">
        <f t="shared" si="79"/>
        <v>0</v>
      </c>
      <c r="AR41" s="43">
        <f t="shared" si="79"/>
        <v>0</v>
      </c>
      <c r="AS41" s="43">
        <f t="shared" si="79"/>
        <v>0</v>
      </c>
    </row>
    <row r="42" spans="1:45" x14ac:dyDescent="0.2">
      <c r="A42" s="58" t="s">
        <v>79</v>
      </c>
      <c r="B42" s="21" t="s">
        <v>605</v>
      </c>
      <c r="C42" s="21" t="str">
        <f>'WP1 Light Inventory'!D43</f>
        <v>Sodium Vapor</v>
      </c>
      <c r="D42" s="21" t="str">
        <f>'WP1 Light Inventory'!E43</f>
        <v>SV 070</v>
      </c>
      <c r="E42" s="21">
        <f>'WP1 Light Inventory'!F43</f>
        <v>70</v>
      </c>
      <c r="F42" s="21" t="str">
        <f>'WP1 Light Inventory'!H43</f>
        <v>Customer</v>
      </c>
      <c r="G42" s="397">
        <f>'WP1 Light Inventory'!J43</f>
        <v>670</v>
      </c>
      <c r="H42" s="74" t="s">
        <v>600</v>
      </c>
      <c r="I42" s="14" t="s">
        <v>159</v>
      </c>
      <c r="J42" s="19">
        <f>IF(C42="Light Emitting Diode",'WP10 O&amp;M Weighting Factor'!$B$26,IF('WP12 Condensed Sch. Level Costs'!C42="Sodium Vapor",'WP10 O&amp;M Weighting Factor'!$B$27,IF('WP12 Condensed Sch. Level Costs'!C42="Metal Halide",'WP10 O&amp;M Weighting Factor'!$B$28,IF('WP12 Condensed Sch. Level Costs'!C42="Mercury Vapor",'WP10 O&amp;M Weighting Factor'!$B$30,IF('WP12 Condensed Sch. Level Costs'!C42="Compact Flourescent",'WP10 O&amp;M Weighting Factor'!$B$29, IF(C42="Incandescent", 'WP10 O&amp;M Weighting Factor'!$B$31, 0))))))</f>
        <v>1</v>
      </c>
      <c r="K42" s="282">
        <f t="shared" si="61"/>
        <v>0</v>
      </c>
      <c r="L42" s="74">
        <f t="shared" si="62"/>
        <v>0</v>
      </c>
      <c r="M42" s="283">
        <f t="shared" si="63"/>
        <v>46.9</v>
      </c>
      <c r="N42" s="398">
        <f>'WP1 Light Inventory'!L43</f>
        <v>196980.00000000003</v>
      </c>
      <c r="O42" s="284">
        <f t="shared" si="64"/>
        <v>24.5</v>
      </c>
      <c r="P42" s="261">
        <f>'BDJ-6 Unitized Lighting Costs'!D$20</f>
        <v>1.0137794003499056E-2</v>
      </c>
      <c r="Q42" s="261">
        <f>'BDJ-6 Unitized Lighting Costs'!$D$43</f>
        <v>2.2529806535397991</v>
      </c>
      <c r="R42" s="261">
        <f>'BDJ-6 Unitized Lighting Costs'!D$69</f>
        <v>1.9131568994526543E-2</v>
      </c>
      <c r="S42" s="261">
        <f>'BDJ-6 Unitized Lighting Costs'!D$100</f>
        <v>3.6511265600435805</v>
      </c>
      <c r="T42" s="261">
        <f>'BDJ-6 Unitized Lighting Costs'!$D$117</f>
        <v>5.4555747529966878E-2</v>
      </c>
      <c r="U42" s="43">
        <f t="shared" si="65"/>
        <v>0</v>
      </c>
      <c r="V42" s="43">
        <f t="shared" si="66"/>
        <v>0</v>
      </c>
      <c r="W42" s="43">
        <f t="shared" si="67"/>
        <v>0.4687234403659003</v>
      </c>
      <c r="X42" s="43">
        <f t="shared" si="68"/>
        <v>0.25557885920305062</v>
      </c>
      <c r="Y42" s="43">
        <f t="shared" si="69"/>
        <v>1.3366158144841884</v>
      </c>
      <c r="Z42" s="43">
        <f t="shared" si="70"/>
        <v>2.0609181140531394</v>
      </c>
      <c r="AA42" s="220"/>
      <c r="AB42" s="240">
        <f t="shared" si="71"/>
        <v>0</v>
      </c>
      <c r="AC42" s="240">
        <f t="shared" si="72"/>
        <v>0</v>
      </c>
      <c r="AD42" s="240">
        <f t="shared" si="73"/>
        <v>1.9131568994526543E-2</v>
      </c>
      <c r="AE42" s="240">
        <f t="shared" si="74"/>
        <v>1.0431790171553088E-2</v>
      </c>
      <c r="AF42" s="240">
        <f t="shared" si="75"/>
        <v>5.4555747529966878E-2</v>
      </c>
      <c r="AG42" s="240">
        <f t="shared" si="76"/>
        <v>8.4119106696046511E-2</v>
      </c>
      <c r="AH42" s="43">
        <f t="shared" si="77"/>
        <v>0</v>
      </c>
      <c r="AI42" s="43">
        <f t="shared" si="77"/>
        <v>0</v>
      </c>
      <c r="AJ42" s="43">
        <f t="shared" si="77"/>
        <v>314.04470504515319</v>
      </c>
      <c r="AK42" s="43">
        <f t="shared" si="77"/>
        <v>171.23783566604391</v>
      </c>
      <c r="AL42" s="43">
        <f t="shared" si="77"/>
        <v>895.53259570440628</v>
      </c>
      <c r="AM42" s="43">
        <f t="shared" si="78"/>
        <v>1380.8151364156033</v>
      </c>
      <c r="AN42" s="43">
        <f t="shared" si="79"/>
        <v>0</v>
      </c>
      <c r="AO42" s="43">
        <f t="shared" si="79"/>
        <v>0</v>
      </c>
      <c r="AP42" s="43">
        <f t="shared" si="79"/>
        <v>3768.5364605418381</v>
      </c>
      <c r="AQ42" s="43">
        <f t="shared" si="79"/>
        <v>2054.8540279925269</v>
      </c>
      <c r="AR42" s="43">
        <f t="shared" si="79"/>
        <v>10746.391148452876</v>
      </c>
      <c r="AS42" s="43">
        <f t="shared" si="79"/>
        <v>16569.781636987238</v>
      </c>
    </row>
    <row r="43" spans="1:45" x14ac:dyDescent="0.2">
      <c r="A43" s="58" t="str">
        <f t="shared" ref="A43:A48" si="80">+A42</f>
        <v xml:space="preserve">52E </v>
      </c>
      <c r="B43" s="21" t="s">
        <v>605</v>
      </c>
      <c r="C43" s="21" t="str">
        <f>'WP1 Light Inventory'!D44</f>
        <v>Sodium Vapor</v>
      </c>
      <c r="D43" s="21" t="str">
        <f>'WP1 Light Inventory'!E44</f>
        <v>SV 100</v>
      </c>
      <c r="E43" s="21">
        <f>'WP1 Light Inventory'!F44</f>
        <v>100</v>
      </c>
      <c r="F43" s="21" t="str">
        <f>'WP1 Light Inventory'!H44</f>
        <v>Customer</v>
      </c>
      <c r="G43" s="397">
        <f>'WP1 Light Inventory'!J44</f>
        <v>9604</v>
      </c>
      <c r="H43" s="74" t="s">
        <v>600</v>
      </c>
      <c r="I43" s="14" t="s">
        <v>159</v>
      </c>
      <c r="J43" s="19">
        <f>IF(C43="Light Emitting Diode",'WP10 O&amp;M Weighting Factor'!$B$26,IF('WP12 Condensed Sch. Level Costs'!C43="Sodium Vapor",'WP10 O&amp;M Weighting Factor'!$B$27,IF('WP12 Condensed Sch. Level Costs'!C43="Metal Halide",'WP10 O&amp;M Weighting Factor'!$B$28,IF('WP12 Condensed Sch. Level Costs'!C43="Mercury Vapor",'WP10 O&amp;M Weighting Factor'!$B$30,IF('WP12 Condensed Sch. Level Costs'!C43="Compact Flourescent",'WP10 O&amp;M Weighting Factor'!$B$29, IF(C43="Incandescent", 'WP10 O&amp;M Weighting Factor'!$B$31, 0))))))</f>
        <v>1</v>
      </c>
      <c r="K43" s="282">
        <f t="shared" si="61"/>
        <v>0</v>
      </c>
      <c r="L43" s="74">
        <f t="shared" si="62"/>
        <v>0</v>
      </c>
      <c r="M43" s="283">
        <f t="shared" si="63"/>
        <v>960.4</v>
      </c>
      <c r="N43" s="398">
        <f>'WP1 Light Inventory'!L44</f>
        <v>4033680</v>
      </c>
      <c r="O43" s="284">
        <f t="shared" si="64"/>
        <v>35</v>
      </c>
      <c r="P43" s="261">
        <f>'BDJ-6 Unitized Lighting Costs'!D$20</f>
        <v>1.0137794003499056E-2</v>
      </c>
      <c r="Q43" s="261">
        <f>'BDJ-6 Unitized Lighting Costs'!$D$43</f>
        <v>2.2529806535397991</v>
      </c>
      <c r="R43" s="261">
        <f>'BDJ-6 Unitized Lighting Costs'!D$69</f>
        <v>1.9131568994526543E-2</v>
      </c>
      <c r="S43" s="261">
        <f>'BDJ-6 Unitized Lighting Costs'!D$100</f>
        <v>3.6511265600435805</v>
      </c>
      <c r="T43" s="261">
        <f>'BDJ-6 Unitized Lighting Costs'!$D$117</f>
        <v>5.4555747529966878E-2</v>
      </c>
      <c r="U43" s="43">
        <f t="shared" si="65"/>
        <v>0</v>
      </c>
      <c r="V43" s="43">
        <f t="shared" si="66"/>
        <v>0</v>
      </c>
      <c r="W43" s="43">
        <f t="shared" si="67"/>
        <v>0.66960491480842899</v>
      </c>
      <c r="X43" s="43">
        <f t="shared" si="68"/>
        <v>0.36511265600435805</v>
      </c>
      <c r="Y43" s="43">
        <f t="shared" si="69"/>
        <v>1.9094511635488407</v>
      </c>
      <c r="Z43" s="43">
        <f t="shared" si="70"/>
        <v>2.9441687343616278</v>
      </c>
      <c r="AA43" s="220"/>
      <c r="AB43" s="240">
        <f t="shared" si="71"/>
        <v>0</v>
      </c>
      <c r="AC43" s="240">
        <f t="shared" si="72"/>
        <v>0</v>
      </c>
      <c r="AD43" s="240">
        <f t="shared" si="73"/>
        <v>1.9131568994526543E-2</v>
      </c>
      <c r="AE43" s="240">
        <f t="shared" si="74"/>
        <v>1.0431790171553088E-2</v>
      </c>
      <c r="AF43" s="240">
        <f t="shared" si="75"/>
        <v>5.4555747529966878E-2</v>
      </c>
      <c r="AG43" s="240">
        <f t="shared" si="76"/>
        <v>8.4119106696046511E-2</v>
      </c>
      <c r="AH43" s="43">
        <f t="shared" si="77"/>
        <v>0</v>
      </c>
      <c r="AI43" s="43">
        <f t="shared" si="77"/>
        <v>0</v>
      </c>
      <c r="AJ43" s="43">
        <f t="shared" si="77"/>
        <v>6430.8856018201523</v>
      </c>
      <c r="AK43" s="43">
        <f t="shared" si="77"/>
        <v>3506.5419482658549</v>
      </c>
      <c r="AL43" s="43">
        <f t="shared" si="77"/>
        <v>18338.368974723067</v>
      </c>
      <c r="AM43" s="43">
        <f t="shared" si="78"/>
        <v>28275.796524809077</v>
      </c>
      <c r="AN43" s="43">
        <f t="shared" si="79"/>
        <v>0</v>
      </c>
      <c r="AO43" s="43">
        <f t="shared" si="79"/>
        <v>0</v>
      </c>
      <c r="AP43" s="43">
        <f t="shared" si="79"/>
        <v>77170.627221841831</v>
      </c>
      <c r="AQ43" s="43">
        <f t="shared" si="79"/>
        <v>42078.503379190261</v>
      </c>
      <c r="AR43" s="43">
        <f t="shared" si="79"/>
        <v>220060.42769667681</v>
      </c>
      <c r="AS43" s="43">
        <f t="shared" si="79"/>
        <v>339309.55829770892</v>
      </c>
    </row>
    <row r="44" spans="1:45" x14ac:dyDescent="0.2">
      <c r="A44" s="58" t="str">
        <f t="shared" si="80"/>
        <v xml:space="preserve">52E </v>
      </c>
      <c r="B44" s="21" t="s">
        <v>605</v>
      </c>
      <c r="C44" s="21" t="str">
        <f>'WP1 Light Inventory'!D45</f>
        <v>Sodium Vapor</v>
      </c>
      <c r="D44" s="21" t="str">
        <f>'WP1 Light Inventory'!E45</f>
        <v>SV 150</v>
      </c>
      <c r="E44" s="21">
        <f>'WP1 Light Inventory'!F45</f>
        <v>150</v>
      </c>
      <c r="F44" s="21" t="str">
        <f>'WP1 Light Inventory'!H45</f>
        <v>Customer</v>
      </c>
      <c r="G44" s="397">
        <f>'WP1 Light Inventory'!J45</f>
        <v>4470</v>
      </c>
      <c r="H44" s="74" t="s">
        <v>600</v>
      </c>
      <c r="I44" s="14" t="s">
        <v>159</v>
      </c>
      <c r="J44" s="19">
        <f>IF(C44="Light Emitting Diode",'WP10 O&amp;M Weighting Factor'!$B$26,IF('WP12 Condensed Sch. Level Costs'!C44="Sodium Vapor",'WP10 O&amp;M Weighting Factor'!$B$27,IF('WP12 Condensed Sch. Level Costs'!C44="Metal Halide",'WP10 O&amp;M Weighting Factor'!$B$28,IF('WP12 Condensed Sch. Level Costs'!C44="Mercury Vapor",'WP10 O&amp;M Weighting Factor'!$B$30,IF('WP12 Condensed Sch. Level Costs'!C44="Compact Flourescent",'WP10 O&amp;M Weighting Factor'!$B$29, IF(C44="Incandescent", 'WP10 O&amp;M Weighting Factor'!$B$31, 0))))))</f>
        <v>1</v>
      </c>
      <c r="K44" s="282">
        <f t="shared" si="61"/>
        <v>0</v>
      </c>
      <c r="L44" s="74">
        <f t="shared" si="62"/>
        <v>0</v>
      </c>
      <c r="M44" s="283">
        <f t="shared" si="63"/>
        <v>670.5</v>
      </c>
      <c r="N44" s="398">
        <f>'WP1 Light Inventory'!L45</f>
        <v>2816100</v>
      </c>
      <c r="O44" s="284">
        <f t="shared" si="64"/>
        <v>52.5</v>
      </c>
      <c r="P44" s="261">
        <f>'BDJ-6 Unitized Lighting Costs'!D$20</f>
        <v>1.0137794003499056E-2</v>
      </c>
      <c r="Q44" s="261">
        <f>'BDJ-6 Unitized Lighting Costs'!$D$43</f>
        <v>2.2529806535397991</v>
      </c>
      <c r="R44" s="261">
        <f>'BDJ-6 Unitized Lighting Costs'!D$69</f>
        <v>1.9131568994526543E-2</v>
      </c>
      <c r="S44" s="261">
        <f>'BDJ-6 Unitized Lighting Costs'!D$100</f>
        <v>3.6511265600435805</v>
      </c>
      <c r="T44" s="261">
        <f>'BDJ-6 Unitized Lighting Costs'!$D$117</f>
        <v>5.4555747529966878E-2</v>
      </c>
      <c r="U44" s="43">
        <f t="shared" si="65"/>
        <v>0</v>
      </c>
      <c r="V44" s="43">
        <f t="shared" si="66"/>
        <v>0</v>
      </c>
      <c r="W44" s="43">
        <f t="shared" si="67"/>
        <v>1.0044073722126434</v>
      </c>
      <c r="X44" s="43">
        <f t="shared" si="68"/>
        <v>0.54766898400653719</v>
      </c>
      <c r="Y44" s="43">
        <f t="shared" si="69"/>
        <v>2.8641767453232609</v>
      </c>
      <c r="Z44" s="43">
        <f t="shared" si="70"/>
        <v>4.4162531015424413</v>
      </c>
      <c r="AA44" s="220"/>
      <c r="AB44" s="240">
        <f t="shared" si="71"/>
        <v>0</v>
      </c>
      <c r="AC44" s="240">
        <f t="shared" si="72"/>
        <v>0</v>
      </c>
      <c r="AD44" s="240">
        <f t="shared" si="73"/>
        <v>1.9131568994526543E-2</v>
      </c>
      <c r="AE44" s="240">
        <f t="shared" si="74"/>
        <v>1.0431790171553089E-2</v>
      </c>
      <c r="AF44" s="240">
        <f t="shared" si="75"/>
        <v>5.4555747529966878E-2</v>
      </c>
      <c r="AG44" s="240">
        <f t="shared" si="76"/>
        <v>8.4119106696046511E-2</v>
      </c>
      <c r="AH44" s="43">
        <f t="shared" si="77"/>
        <v>0</v>
      </c>
      <c r="AI44" s="43">
        <f t="shared" si="77"/>
        <v>0</v>
      </c>
      <c r="AJ44" s="43">
        <f t="shared" si="77"/>
        <v>4489.700953790516</v>
      </c>
      <c r="AK44" s="43">
        <f t="shared" si="77"/>
        <v>2448.0803585092212</v>
      </c>
      <c r="AL44" s="43">
        <f t="shared" si="77"/>
        <v>12802.870051594977</v>
      </c>
      <c r="AM44" s="43">
        <f t="shared" si="78"/>
        <v>19740.651363894714</v>
      </c>
      <c r="AN44" s="43">
        <f t="shared" si="79"/>
        <v>0</v>
      </c>
      <c r="AO44" s="43">
        <f t="shared" si="79"/>
        <v>0</v>
      </c>
      <c r="AP44" s="43">
        <f t="shared" si="79"/>
        <v>53876.411445486192</v>
      </c>
      <c r="AQ44" s="43">
        <f t="shared" si="79"/>
        <v>29376.964302110653</v>
      </c>
      <c r="AR44" s="43">
        <f t="shared" si="79"/>
        <v>153634.44061913973</v>
      </c>
      <c r="AS44" s="43">
        <f t="shared" si="79"/>
        <v>236887.81636673657</v>
      </c>
    </row>
    <row r="45" spans="1:45" x14ac:dyDescent="0.2">
      <c r="A45" s="58" t="str">
        <f t="shared" si="80"/>
        <v xml:space="preserve">52E </v>
      </c>
      <c r="B45" s="21" t="s">
        <v>605</v>
      </c>
      <c r="C45" s="21" t="str">
        <f>'WP1 Light Inventory'!D46</f>
        <v>Sodium Vapor</v>
      </c>
      <c r="D45" s="21" t="str">
        <f>'WP1 Light Inventory'!E46</f>
        <v>SV 200</v>
      </c>
      <c r="E45" s="21">
        <f>'WP1 Light Inventory'!F46</f>
        <v>200</v>
      </c>
      <c r="F45" s="21" t="str">
        <f>'WP1 Light Inventory'!H46</f>
        <v>Customer</v>
      </c>
      <c r="G45" s="397">
        <f>'WP1 Light Inventory'!J46</f>
        <v>948</v>
      </c>
      <c r="H45" s="74" t="s">
        <v>600</v>
      </c>
      <c r="I45" s="14" t="s">
        <v>159</v>
      </c>
      <c r="J45" s="19">
        <f>IF(C45="Light Emitting Diode",'WP10 O&amp;M Weighting Factor'!$B$26,IF('WP12 Condensed Sch. Level Costs'!C45="Sodium Vapor",'WP10 O&amp;M Weighting Factor'!$B$27,IF('WP12 Condensed Sch. Level Costs'!C45="Metal Halide",'WP10 O&amp;M Weighting Factor'!$B$28,IF('WP12 Condensed Sch. Level Costs'!C45="Mercury Vapor",'WP10 O&amp;M Weighting Factor'!$B$30,IF('WP12 Condensed Sch. Level Costs'!C45="Compact Flourescent",'WP10 O&amp;M Weighting Factor'!$B$29, IF(C45="Incandescent", 'WP10 O&amp;M Weighting Factor'!$B$31, 0))))))</f>
        <v>1</v>
      </c>
      <c r="K45" s="282">
        <f t="shared" si="61"/>
        <v>0</v>
      </c>
      <c r="L45" s="74">
        <f t="shared" si="62"/>
        <v>0</v>
      </c>
      <c r="M45" s="283">
        <f t="shared" si="63"/>
        <v>189.6</v>
      </c>
      <c r="N45" s="398">
        <f>'WP1 Light Inventory'!L46</f>
        <v>796320</v>
      </c>
      <c r="O45" s="284">
        <f t="shared" si="64"/>
        <v>70</v>
      </c>
      <c r="P45" s="261">
        <f>'BDJ-6 Unitized Lighting Costs'!D$20</f>
        <v>1.0137794003499056E-2</v>
      </c>
      <c r="Q45" s="261">
        <f>'BDJ-6 Unitized Lighting Costs'!$D$43</f>
        <v>2.2529806535397991</v>
      </c>
      <c r="R45" s="261">
        <f>'BDJ-6 Unitized Lighting Costs'!D$69</f>
        <v>1.9131568994526543E-2</v>
      </c>
      <c r="S45" s="261">
        <f>'BDJ-6 Unitized Lighting Costs'!D$100</f>
        <v>3.6511265600435805</v>
      </c>
      <c r="T45" s="261">
        <f>'BDJ-6 Unitized Lighting Costs'!$D$117</f>
        <v>5.4555747529966878E-2</v>
      </c>
      <c r="U45" s="43">
        <f t="shared" si="65"/>
        <v>0</v>
      </c>
      <c r="V45" s="43">
        <f t="shared" si="66"/>
        <v>0</v>
      </c>
      <c r="W45" s="43">
        <f t="shared" si="67"/>
        <v>1.339209829616858</v>
      </c>
      <c r="X45" s="43">
        <f t="shared" si="68"/>
        <v>0.7302253120087161</v>
      </c>
      <c r="Y45" s="43">
        <f t="shared" si="69"/>
        <v>3.8189023270976814</v>
      </c>
      <c r="Z45" s="43">
        <f t="shared" si="70"/>
        <v>5.8883374687232557</v>
      </c>
      <c r="AA45" s="220"/>
      <c r="AB45" s="240">
        <f t="shared" si="71"/>
        <v>0</v>
      </c>
      <c r="AC45" s="240">
        <f t="shared" si="72"/>
        <v>0</v>
      </c>
      <c r="AD45" s="240">
        <f t="shared" si="73"/>
        <v>1.9131568994526543E-2</v>
      </c>
      <c r="AE45" s="240">
        <f t="shared" si="74"/>
        <v>1.0431790171553088E-2</v>
      </c>
      <c r="AF45" s="240">
        <f t="shared" si="75"/>
        <v>5.4555747529966878E-2</v>
      </c>
      <c r="AG45" s="240">
        <f t="shared" si="76"/>
        <v>8.4119106696046511E-2</v>
      </c>
      <c r="AH45" s="43">
        <f t="shared" si="77"/>
        <v>0</v>
      </c>
      <c r="AI45" s="43">
        <f t="shared" si="77"/>
        <v>0</v>
      </c>
      <c r="AJ45" s="43">
        <f t="shared" si="77"/>
        <v>1269.5709184767813</v>
      </c>
      <c r="AK45" s="43">
        <f t="shared" si="77"/>
        <v>692.25359578426287</v>
      </c>
      <c r="AL45" s="43">
        <f t="shared" si="77"/>
        <v>3620.3194060886021</v>
      </c>
      <c r="AM45" s="43">
        <f t="shared" si="78"/>
        <v>5582.1439203496466</v>
      </c>
      <c r="AN45" s="43">
        <f t="shared" si="79"/>
        <v>0</v>
      </c>
      <c r="AO45" s="43">
        <f t="shared" si="79"/>
        <v>0</v>
      </c>
      <c r="AP45" s="43">
        <f t="shared" si="79"/>
        <v>15234.851021721377</v>
      </c>
      <c r="AQ45" s="43">
        <f t="shared" si="79"/>
        <v>8307.0431494111544</v>
      </c>
      <c r="AR45" s="43">
        <f t="shared" si="79"/>
        <v>43443.832873063227</v>
      </c>
      <c r="AS45" s="43">
        <f t="shared" si="79"/>
        <v>66985.727044195752</v>
      </c>
    </row>
    <row r="46" spans="1:45" x14ac:dyDescent="0.2">
      <c r="A46" s="58" t="str">
        <f t="shared" si="80"/>
        <v xml:space="preserve">52E </v>
      </c>
      <c r="B46" s="21" t="s">
        <v>605</v>
      </c>
      <c r="C46" s="21" t="str">
        <f>'WP1 Light Inventory'!D47</f>
        <v>Sodium Vapor</v>
      </c>
      <c r="D46" s="21" t="str">
        <f>'WP1 Light Inventory'!E47</f>
        <v>SV 250</v>
      </c>
      <c r="E46" s="21">
        <f>'WP1 Light Inventory'!F47</f>
        <v>250</v>
      </c>
      <c r="F46" s="21" t="str">
        <f>'WP1 Light Inventory'!H47</f>
        <v>Customer</v>
      </c>
      <c r="G46" s="397">
        <f>'WP1 Light Inventory'!J47</f>
        <v>1399</v>
      </c>
      <c r="H46" s="74" t="s">
        <v>600</v>
      </c>
      <c r="I46" s="14" t="s">
        <v>159</v>
      </c>
      <c r="J46" s="19">
        <f>IF(C46="Light Emitting Diode",'WP10 O&amp;M Weighting Factor'!$B$26,IF('WP12 Condensed Sch. Level Costs'!C46="Sodium Vapor",'WP10 O&amp;M Weighting Factor'!$B$27,IF('WP12 Condensed Sch. Level Costs'!C46="Metal Halide",'WP10 O&amp;M Weighting Factor'!$B$28,IF('WP12 Condensed Sch. Level Costs'!C46="Mercury Vapor",'WP10 O&amp;M Weighting Factor'!$B$30,IF('WP12 Condensed Sch. Level Costs'!C46="Compact Flourescent",'WP10 O&amp;M Weighting Factor'!$B$29, IF(C46="Incandescent", 'WP10 O&amp;M Weighting Factor'!$B$31, 0))))))</f>
        <v>1</v>
      </c>
      <c r="K46" s="282">
        <f t="shared" si="61"/>
        <v>0</v>
      </c>
      <c r="L46" s="74">
        <f t="shared" si="62"/>
        <v>0</v>
      </c>
      <c r="M46" s="283">
        <f t="shared" si="63"/>
        <v>349.75</v>
      </c>
      <c r="N46" s="398">
        <f>'WP1 Light Inventory'!L47</f>
        <v>1468950</v>
      </c>
      <c r="O46" s="284">
        <f t="shared" si="64"/>
        <v>87.5</v>
      </c>
      <c r="P46" s="261">
        <f>'BDJ-6 Unitized Lighting Costs'!D$20</f>
        <v>1.0137794003499056E-2</v>
      </c>
      <c r="Q46" s="261">
        <f>'BDJ-6 Unitized Lighting Costs'!$D$43</f>
        <v>2.2529806535397991</v>
      </c>
      <c r="R46" s="261">
        <f>'BDJ-6 Unitized Lighting Costs'!D$69</f>
        <v>1.9131568994526543E-2</v>
      </c>
      <c r="S46" s="261">
        <f>'BDJ-6 Unitized Lighting Costs'!D$100</f>
        <v>3.6511265600435805</v>
      </c>
      <c r="T46" s="261">
        <f>'BDJ-6 Unitized Lighting Costs'!$D$117</f>
        <v>5.4555747529966878E-2</v>
      </c>
      <c r="U46" s="43">
        <f t="shared" si="65"/>
        <v>0</v>
      </c>
      <c r="V46" s="43">
        <f t="shared" si="66"/>
        <v>0</v>
      </c>
      <c r="W46" s="43">
        <f t="shared" si="67"/>
        <v>1.6740122870210725</v>
      </c>
      <c r="X46" s="43">
        <f t="shared" si="68"/>
        <v>0.91278164001089512</v>
      </c>
      <c r="Y46" s="43">
        <f t="shared" si="69"/>
        <v>4.7736279088721014</v>
      </c>
      <c r="Z46" s="43">
        <f t="shared" si="70"/>
        <v>7.3604218359040692</v>
      </c>
      <c r="AA46" s="220"/>
      <c r="AB46" s="240">
        <f t="shared" si="71"/>
        <v>0</v>
      </c>
      <c r="AC46" s="240">
        <f t="shared" si="72"/>
        <v>0</v>
      </c>
      <c r="AD46" s="240">
        <f t="shared" si="73"/>
        <v>1.9131568994526543E-2</v>
      </c>
      <c r="AE46" s="240">
        <f t="shared" si="74"/>
        <v>1.0431790171553088E-2</v>
      </c>
      <c r="AF46" s="240">
        <f t="shared" si="75"/>
        <v>5.4555747529966871E-2</v>
      </c>
      <c r="AG46" s="240">
        <f t="shared" si="76"/>
        <v>8.4119106696046497E-2</v>
      </c>
      <c r="AH46" s="43">
        <f t="shared" si="77"/>
        <v>0</v>
      </c>
      <c r="AI46" s="43">
        <f t="shared" si="77"/>
        <v>0</v>
      </c>
      <c r="AJ46" s="43">
        <f t="shared" si="77"/>
        <v>2341.9431895424805</v>
      </c>
      <c r="AK46" s="43">
        <f t="shared" si="77"/>
        <v>1276.9815143752423</v>
      </c>
      <c r="AL46" s="43">
        <f t="shared" si="77"/>
        <v>6678.3054445120697</v>
      </c>
      <c r="AM46" s="43">
        <f t="shared" si="78"/>
        <v>10297.230148429793</v>
      </c>
      <c r="AN46" s="43">
        <f t="shared" si="79"/>
        <v>0</v>
      </c>
      <c r="AO46" s="43">
        <f t="shared" si="79"/>
        <v>0</v>
      </c>
      <c r="AP46" s="43">
        <f t="shared" si="79"/>
        <v>28103.318274509766</v>
      </c>
      <c r="AQ46" s="43">
        <f t="shared" si="79"/>
        <v>15323.778172502909</v>
      </c>
      <c r="AR46" s="43">
        <f t="shared" si="79"/>
        <v>80139.66533414484</v>
      </c>
      <c r="AS46" s="43">
        <f t="shared" si="79"/>
        <v>123566.76178115752</v>
      </c>
    </row>
    <row r="47" spans="1:45" x14ac:dyDescent="0.2">
      <c r="A47" s="58" t="str">
        <f t="shared" si="80"/>
        <v xml:space="preserve">52E </v>
      </c>
      <c r="B47" s="21" t="s">
        <v>605</v>
      </c>
      <c r="C47" s="21" t="str">
        <f>'WP1 Light Inventory'!D48</f>
        <v>Sodium Vapor</v>
      </c>
      <c r="D47" s="21" t="str">
        <f>'WP1 Light Inventory'!E48</f>
        <v>SV 310</v>
      </c>
      <c r="E47" s="21">
        <f>'WP1 Light Inventory'!F48</f>
        <v>310</v>
      </c>
      <c r="F47" s="21" t="str">
        <f>'WP1 Light Inventory'!H48</f>
        <v>Customer</v>
      </c>
      <c r="G47" s="397">
        <f>'WP1 Light Inventory'!J48</f>
        <v>141</v>
      </c>
      <c r="H47" s="74" t="s">
        <v>600</v>
      </c>
      <c r="I47" s="14" t="s">
        <v>159</v>
      </c>
      <c r="J47" s="19">
        <f>IF(C47="Light Emitting Diode",'WP10 O&amp;M Weighting Factor'!$B$26,IF('WP12 Condensed Sch. Level Costs'!C47="Sodium Vapor",'WP10 O&amp;M Weighting Factor'!$B$27,IF('WP12 Condensed Sch. Level Costs'!C47="Metal Halide",'WP10 O&amp;M Weighting Factor'!$B$28,IF('WP12 Condensed Sch. Level Costs'!C47="Mercury Vapor",'WP10 O&amp;M Weighting Factor'!$B$30,IF('WP12 Condensed Sch. Level Costs'!C47="Compact Flourescent",'WP10 O&amp;M Weighting Factor'!$B$29, IF(C47="Incandescent", 'WP10 O&amp;M Weighting Factor'!$B$31, 0))))))</f>
        <v>1</v>
      </c>
      <c r="K47" s="282">
        <f t="shared" si="61"/>
        <v>0</v>
      </c>
      <c r="L47" s="74">
        <f t="shared" si="62"/>
        <v>0</v>
      </c>
      <c r="M47" s="283">
        <f t="shared" si="63"/>
        <v>43.71</v>
      </c>
      <c r="N47" s="398">
        <f>'WP1 Light Inventory'!L48</f>
        <v>183582</v>
      </c>
      <c r="O47" s="284">
        <f t="shared" si="64"/>
        <v>108.5</v>
      </c>
      <c r="P47" s="261">
        <f>'BDJ-6 Unitized Lighting Costs'!D$20</f>
        <v>1.0137794003499056E-2</v>
      </c>
      <c r="Q47" s="261">
        <f>'BDJ-6 Unitized Lighting Costs'!$D$43</f>
        <v>2.2529806535397991</v>
      </c>
      <c r="R47" s="261">
        <f>'BDJ-6 Unitized Lighting Costs'!D$69</f>
        <v>1.9131568994526543E-2</v>
      </c>
      <c r="S47" s="261">
        <f>'BDJ-6 Unitized Lighting Costs'!D$100</f>
        <v>3.6511265600435805</v>
      </c>
      <c r="T47" s="261">
        <f>'BDJ-6 Unitized Lighting Costs'!$D$117</f>
        <v>5.4555747529966878E-2</v>
      </c>
      <c r="U47" s="43">
        <f t="shared" si="65"/>
        <v>0</v>
      </c>
      <c r="V47" s="43">
        <f t="shared" si="66"/>
        <v>0</v>
      </c>
      <c r="W47" s="43">
        <f t="shared" si="67"/>
        <v>2.0757752359061299</v>
      </c>
      <c r="X47" s="43">
        <f t="shared" si="68"/>
        <v>1.13184923361351</v>
      </c>
      <c r="Y47" s="43">
        <f t="shared" si="69"/>
        <v>5.919298607001406</v>
      </c>
      <c r="Z47" s="43">
        <f t="shared" si="70"/>
        <v>9.1269230765210452</v>
      </c>
      <c r="AA47" s="220"/>
      <c r="AB47" s="240">
        <f t="shared" si="71"/>
        <v>0</v>
      </c>
      <c r="AC47" s="240">
        <f t="shared" si="72"/>
        <v>0</v>
      </c>
      <c r="AD47" s="240">
        <f t="shared" si="73"/>
        <v>1.9131568994526543E-2</v>
      </c>
      <c r="AE47" s="240">
        <f t="shared" si="74"/>
        <v>1.0431790171553088E-2</v>
      </c>
      <c r="AF47" s="240">
        <f t="shared" si="75"/>
        <v>5.4555747529966878E-2</v>
      </c>
      <c r="AG47" s="240">
        <f t="shared" si="76"/>
        <v>8.4119106696046511E-2</v>
      </c>
      <c r="AH47" s="43">
        <f t="shared" si="77"/>
        <v>0</v>
      </c>
      <c r="AI47" s="43">
        <f t="shared" si="77"/>
        <v>0</v>
      </c>
      <c r="AJ47" s="43">
        <f t="shared" si="77"/>
        <v>292.68430826276432</v>
      </c>
      <c r="AK47" s="43">
        <f t="shared" si="77"/>
        <v>159.59074193950491</v>
      </c>
      <c r="AL47" s="43">
        <f t="shared" si="77"/>
        <v>834.62110358719826</v>
      </c>
      <c r="AM47" s="43">
        <f t="shared" si="78"/>
        <v>1286.8961537894675</v>
      </c>
      <c r="AN47" s="43">
        <f t="shared" si="79"/>
        <v>0</v>
      </c>
      <c r="AO47" s="43">
        <f t="shared" si="79"/>
        <v>0</v>
      </c>
      <c r="AP47" s="43">
        <f t="shared" si="79"/>
        <v>3512.211699153172</v>
      </c>
      <c r="AQ47" s="43">
        <f t="shared" si="79"/>
        <v>1915.0889032740588</v>
      </c>
      <c r="AR47" s="43">
        <f t="shared" si="79"/>
        <v>10015.453243046379</v>
      </c>
      <c r="AS47" s="43">
        <f t="shared" si="79"/>
        <v>15442.75384547361</v>
      </c>
    </row>
    <row r="48" spans="1:45" x14ac:dyDescent="0.2">
      <c r="A48" s="58" t="str">
        <f t="shared" si="80"/>
        <v xml:space="preserve">52E </v>
      </c>
      <c r="B48" s="21" t="s">
        <v>605</v>
      </c>
      <c r="C48" s="21" t="str">
        <f>'WP1 Light Inventory'!D49</f>
        <v>Sodium Vapor</v>
      </c>
      <c r="D48" s="21" t="str">
        <f>'WP1 Light Inventory'!E49</f>
        <v>SV 400</v>
      </c>
      <c r="E48" s="21">
        <f>'WP1 Light Inventory'!F49</f>
        <v>400</v>
      </c>
      <c r="F48" s="21" t="str">
        <f>'WP1 Light Inventory'!H49</f>
        <v>Customer</v>
      </c>
      <c r="G48" s="397">
        <f>'WP1 Light Inventory'!J49</f>
        <v>589</v>
      </c>
      <c r="H48" s="74" t="s">
        <v>600</v>
      </c>
      <c r="I48" s="14" t="s">
        <v>159</v>
      </c>
      <c r="J48" s="19">
        <f>IF(C48="Light Emitting Diode",'WP10 O&amp;M Weighting Factor'!$B$26,IF('WP12 Condensed Sch. Level Costs'!C48="Sodium Vapor",'WP10 O&amp;M Weighting Factor'!$B$27,IF('WP12 Condensed Sch. Level Costs'!C48="Metal Halide",'WP10 O&amp;M Weighting Factor'!$B$28,IF('WP12 Condensed Sch. Level Costs'!C48="Mercury Vapor",'WP10 O&amp;M Weighting Factor'!$B$30,IF('WP12 Condensed Sch. Level Costs'!C48="Compact Flourescent",'WP10 O&amp;M Weighting Factor'!$B$29, IF(C48="Incandescent", 'WP10 O&amp;M Weighting Factor'!$B$31, 0))))))</f>
        <v>1</v>
      </c>
      <c r="K48" s="282">
        <f t="shared" si="61"/>
        <v>0</v>
      </c>
      <c r="L48" s="74">
        <f t="shared" si="62"/>
        <v>0</v>
      </c>
      <c r="M48" s="283">
        <f t="shared" si="63"/>
        <v>235.6</v>
      </c>
      <c r="N48" s="398">
        <f>'WP1 Light Inventory'!L49</f>
        <v>989520</v>
      </c>
      <c r="O48" s="284">
        <f t="shared" si="64"/>
        <v>140</v>
      </c>
      <c r="P48" s="261">
        <f>'BDJ-6 Unitized Lighting Costs'!D$20</f>
        <v>1.0137794003499056E-2</v>
      </c>
      <c r="Q48" s="261">
        <f>'BDJ-6 Unitized Lighting Costs'!$D$43</f>
        <v>2.2529806535397991</v>
      </c>
      <c r="R48" s="261">
        <f>'BDJ-6 Unitized Lighting Costs'!D$69</f>
        <v>1.9131568994526543E-2</v>
      </c>
      <c r="S48" s="261">
        <f>'BDJ-6 Unitized Lighting Costs'!D$100</f>
        <v>3.6511265600435805</v>
      </c>
      <c r="T48" s="261">
        <f>'BDJ-6 Unitized Lighting Costs'!$D$117</f>
        <v>5.4555747529966878E-2</v>
      </c>
      <c r="U48" s="43">
        <f t="shared" si="65"/>
        <v>0</v>
      </c>
      <c r="V48" s="43">
        <f t="shared" si="66"/>
        <v>0</v>
      </c>
      <c r="W48" s="43">
        <f t="shared" si="67"/>
        <v>2.6784196592337159</v>
      </c>
      <c r="X48" s="43">
        <f t="shared" si="68"/>
        <v>1.4604506240174322</v>
      </c>
      <c r="Y48" s="43">
        <f t="shared" si="69"/>
        <v>7.6378046541953628</v>
      </c>
      <c r="Z48" s="43">
        <f t="shared" si="70"/>
        <v>11.776674937446511</v>
      </c>
      <c r="AA48" s="220"/>
      <c r="AB48" s="240">
        <f t="shared" si="71"/>
        <v>0</v>
      </c>
      <c r="AC48" s="240">
        <f t="shared" si="72"/>
        <v>0</v>
      </c>
      <c r="AD48" s="240">
        <f t="shared" si="73"/>
        <v>1.9131568994526543E-2</v>
      </c>
      <c r="AE48" s="240">
        <f t="shared" si="74"/>
        <v>1.0431790171553088E-2</v>
      </c>
      <c r="AF48" s="240">
        <f t="shared" si="75"/>
        <v>5.4555747529966878E-2</v>
      </c>
      <c r="AG48" s="240">
        <f t="shared" si="76"/>
        <v>8.4119106696046511E-2</v>
      </c>
      <c r="AH48" s="43">
        <f t="shared" si="77"/>
        <v>0</v>
      </c>
      <c r="AI48" s="43">
        <f t="shared" si="77"/>
        <v>0</v>
      </c>
      <c r="AJ48" s="43">
        <f t="shared" si="77"/>
        <v>1577.5891792886587</v>
      </c>
      <c r="AK48" s="43">
        <f t="shared" si="77"/>
        <v>860.20541754626754</v>
      </c>
      <c r="AL48" s="43">
        <f t="shared" si="77"/>
        <v>4498.6669413210684</v>
      </c>
      <c r="AM48" s="43">
        <f t="shared" si="78"/>
        <v>6936.4615381559943</v>
      </c>
      <c r="AN48" s="43">
        <f t="shared" si="79"/>
        <v>0</v>
      </c>
      <c r="AO48" s="43">
        <f t="shared" si="79"/>
        <v>0</v>
      </c>
      <c r="AP48" s="43">
        <f t="shared" si="79"/>
        <v>18931.070151463904</v>
      </c>
      <c r="AQ48" s="43">
        <f t="shared" si="79"/>
        <v>10322.46501055521</v>
      </c>
      <c r="AR48" s="43">
        <f t="shared" si="79"/>
        <v>53984.003295852817</v>
      </c>
      <c r="AS48" s="43">
        <f t="shared" si="79"/>
        <v>83237.538457871939</v>
      </c>
    </row>
    <row r="49" spans="1:45" x14ac:dyDescent="0.2">
      <c r="A49" s="58"/>
      <c r="B49" s="22"/>
      <c r="C49" s="47"/>
      <c r="D49" s="47"/>
      <c r="E49" s="47"/>
      <c r="F49" s="14"/>
      <c r="G49" s="399"/>
      <c r="K49" s="282"/>
      <c r="L49" s="74"/>
      <c r="AA49" s="220"/>
      <c r="AB49" s="240"/>
      <c r="AC49" s="240"/>
      <c r="AD49" s="240"/>
      <c r="AE49" s="240"/>
      <c r="AF49" s="240"/>
      <c r="AG49" s="240"/>
    </row>
    <row r="50" spans="1:45" x14ac:dyDescent="0.2">
      <c r="A50" s="58" t="str">
        <f>+A46</f>
        <v xml:space="preserve">52E </v>
      </c>
      <c r="B50" s="20"/>
      <c r="C50" s="21" t="str">
        <f>'WP1 Light Inventory'!D51</f>
        <v>Metal Halide</v>
      </c>
      <c r="D50" s="21" t="str">
        <f>'WP1 Light Inventory'!E51</f>
        <v>MH 070</v>
      </c>
      <c r="E50" s="21">
        <f>'WP1 Light Inventory'!F51</f>
        <v>70</v>
      </c>
      <c r="F50" s="21" t="str">
        <f>'WP1 Light Inventory'!H51</f>
        <v>Customer</v>
      </c>
      <c r="G50" s="397">
        <f>'WP1 Light Inventory'!J51</f>
        <v>70</v>
      </c>
      <c r="H50" s="74" t="s">
        <v>600</v>
      </c>
      <c r="I50" s="14" t="s">
        <v>159</v>
      </c>
      <c r="J50" s="19">
        <f>IF(C50="Light Emitting Diode",'WP10 O&amp;M Weighting Factor'!$B$26,IF('WP12 Condensed Sch. Level Costs'!C50="Sodium Vapor",'WP10 O&amp;M Weighting Factor'!$B$27,IF('WP12 Condensed Sch. Level Costs'!C50="Metal Halide",'WP10 O&amp;M Weighting Factor'!$B$28,IF('WP12 Condensed Sch. Level Costs'!C50="Mercury Vapor",'WP10 O&amp;M Weighting Factor'!$B$30,IF('WP12 Condensed Sch. Level Costs'!C50="Compact Flourescent",'WP10 O&amp;M Weighting Factor'!$B$29, IF(C50="Incandescent", 'WP10 O&amp;M Weighting Factor'!$B$31, 0))))))</f>
        <v>2</v>
      </c>
      <c r="K50" s="282">
        <f t="shared" ref="K50:K56" si="81">IF(I50="Yes",G50*J50,0)</f>
        <v>0</v>
      </c>
      <c r="L50" s="74">
        <f t="shared" ref="L50:L56" si="82">IF(F50="Company", G50*H50,0)</f>
        <v>0</v>
      </c>
      <c r="M50" s="283">
        <f t="shared" ref="M50:M56" si="83">E50*G50/1000</f>
        <v>4.9000000000000004</v>
      </c>
      <c r="N50" s="398">
        <f>'WP1 Light Inventory'!L51</f>
        <v>20580.000000000004</v>
      </c>
      <c r="O50" s="284">
        <f t="shared" ref="O50:O56" si="84">E50*4200/1000/12</f>
        <v>24.5</v>
      </c>
      <c r="P50" s="261">
        <f>'BDJ-6 Unitized Lighting Costs'!D$20</f>
        <v>1.0137794003499056E-2</v>
      </c>
      <c r="Q50" s="261">
        <f>'BDJ-6 Unitized Lighting Costs'!$D$43</f>
        <v>2.2529806535397991</v>
      </c>
      <c r="R50" s="261">
        <f>'BDJ-6 Unitized Lighting Costs'!D$69</f>
        <v>1.9131568994526543E-2</v>
      </c>
      <c r="S50" s="261">
        <f>'BDJ-6 Unitized Lighting Costs'!D$100</f>
        <v>3.6511265600435805</v>
      </c>
      <c r="T50" s="261">
        <f>'BDJ-6 Unitized Lighting Costs'!$D$117</f>
        <v>5.4555747529966878E-2</v>
      </c>
      <c r="U50" s="43">
        <f t="shared" ref="U50:U56" si="85">IF(F50="Company", H50*P50, 0)</f>
        <v>0</v>
      </c>
      <c r="V50" s="43">
        <f t="shared" ref="V50:V56" si="86">IF(I50="yes", J50*Q50, 0)</f>
        <v>0</v>
      </c>
      <c r="W50" s="43">
        <f t="shared" ref="W50:W56" si="87">R50*O50</f>
        <v>0.4687234403659003</v>
      </c>
      <c r="X50" s="43">
        <f t="shared" ref="X50:X56" si="88">E50*S50/1000</f>
        <v>0.25557885920305062</v>
      </c>
      <c r="Y50" s="43">
        <f t="shared" ref="Y50:Y56" si="89">O50*T50</f>
        <v>1.3366158144841884</v>
      </c>
      <c r="Z50" s="43">
        <f t="shared" ref="Z50:Z56" si="90">SUM(U50:Y50)</f>
        <v>2.0609181140531394</v>
      </c>
      <c r="AA50" s="220"/>
      <c r="AB50" s="240">
        <f t="shared" ref="AB50:AB56" si="91">IFERROR(U50/O50,0)</f>
        <v>0</v>
      </c>
      <c r="AC50" s="240">
        <f t="shared" ref="AC50:AC56" si="92">IFERROR(V50/O50,0)</f>
        <v>0</v>
      </c>
      <c r="AD50" s="240">
        <f t="shared" ref="AD50:AD56" si="93">IFERROR(W50/O50,0)</f>
        <v>1.9131568994526543E-2</v>
      </c>
      <c r="AE50" s="240">
        <f t="shared" ref="AE50:AE56" si="94">IFERROR(X50/O50,0)</f>
        <v>1.0431790171553088E-2</v>
      </c>
      <c r="AF50" s="240">
        <f t="shared" ref="AF50:AF56" si="95">IFERROR(Y50/O50,0)</f>
        <v>5.4555747529966878E-2</v>
      </c>
      <c r="AG50" s="240">
        <f t="shared" ref="AG50:AG56" si="96">SUM(AB50:AF50)</f>
        <v>8.4119106696046511E-2</v>
      </c>
      <c r="AH50" s="43">
        <f t="shared" ref="AH50:AL56" si="97">(U50*$G50)</f>
        <v>0</v>
      </c>
      <c r="AI50" s="43">
        <f t="shared" si="97"/>
        <v>0</v>
      </c>
      <c r="AJ50" s="43">
        <f t="shared" si="97"/>
        <v>32.810640825613021</v>
      </c>
      <c r="AK50" s="43">
        <f t="shared" si="97"/>
        <v>17.890520144213543</v>
      </c>
      <c r="AL50" s="43">
        <f t="shared" si="97"/>
        <v>93.563107013893188</v>
      </c>
      <c r="AM50" s="43">
        <f t="shared" ref="AM50:AM56" si="98">SUM(AH50:AL50)</f>
        <v>144.26426798371975</v>
      </c>
      <c r="AN50" s="43">
        <f t="shared" ref="AN50:AS56" si="99">AH50*12</f>
        <v>0</v>
      </c>
      <c r="AO50" s="43">
        <f t="shared" si="99"/>
        <v>0</v>
      </c>
      <c r="AP50" s="43">
        <f t="shared" si="99"/>
        <v>393.72768990735625</v>
      </c>
      <c r="AQ50" s="43">
        <f t="shared" si="99"/>
        <v>214.68624173056253</v>
      </c>
      <c r="AR50" s="43">
        <f t="shared" si="99"/>
        <v>1122.7572841667184</v>
      </c>
      <c r="AS50" s="43">
        <f t="shared" si="99"/>
        <v>1731.1712158046371</v>
      </c>
    </row>
    <row r="51" spans="1:45" x14ac:dyDescent="0.2">
      <c r="A51" s="58" t="str">
        <f>+A47</f>
        <v xml:space="preserve">52E </v>
      </c>
      <c r="B51" s="20"/>
      <c r="C51" s="21" t="str">
        <f>'WP1 Light Inventory'!D52</f>
        <v>Metal Halide</v>
      </c>
      <c r="D51" s="21" t="str">
        <f>'WP1 Light Inventory'!E52</f>
        <v>MH 100</v>
      </c>
      <c r="E51" s="21">
        <f>'WP1 Light Inventory'!F52</f>
        <v>100</v>
      </c>
      <c r="F51" s="21" t="str">
        <f>'WP1 Light Inventory'!H52</f>
        <v>Customer</v>
      </c>
      <c r="G51" s="397">
        <f>'WP1 Light Inventory'!J52</f>
        <v>4</v>
      </c>
      <c r="H51" s="74" t="s">
        <v>600</v>
      </c>
      <c r="I51" s="14" t="s">
        <v>159</v>
      </c>
      <c r="J51" s="19">
        <f>IF(C51="Light Emitting Diode",'WP10 O&amp;M Weighting Factor'!$B$26,IF('WP12 Condensed Sch. Level Costs'!C51="Sodium Vapor",'WP10 O&amp;M Weighting Factor'!$B$27,IF('WP12 Condensed Sch. Level Costs'!C51="Metal Halide",'WP10 O&amp;M Weighting Factor'!$B$28,IF('WP12 Condensed Sch. Level Costs'!C51="Mercury Vapor",'WP10 O&amp;M Weighting Factor'!$B$30,IF('WP12 Condensed Sch. Level Costs'!C51="Compact Flourescent",'WP10 O&amp;M Weighting Factor'!$B$29, IF(C51="Incandescent", 'WP10 O&amp;M Weighting Factor'!$B$31, 0))))))</f>
        <v>2</v>
      </c>
      <c r="K51" s="282">
        <f t="shared" si="81"/>
        <v>0</v>
      </c>
      <c r="L51" s="74">
        <f t="shared" si="82"/>
        <v>0</v>
      </c>
      <c r="M51" s="283">
        <f t="shared" si="83"/>
        <v>0.4</v>
      </c>
      <c r="N51" s="398">
        <f>'WP1 Light Inventory'!L52</f>
        <v>1680</v>
      </c>
      <c r="O51" s="284">
        <f t="shared" si="84"/>
        <v>35</v>
      </c>
      <c r="P51" s="261">
        <f>'BDJ-6 Unitized Lighting Costs'!D$20</f>
        <v>1.0137794003499056E-2</v>
      </c>
      <c r="Q51" s="261">
        <f>'BDJ-6 Unitized Lighting Costs'!$D$43</f>
        <v>2.2529806535397991</v>
      </c>
      <c r="R51" s="261">
        <f>'BDJ-6 Unitized Lighting Costs'!D$69</f>
        <v>1.9131568994526543E-2</v>
      </c>
      <c r="S51" s="261">
        <f>'BDJ-6 Unitized Lighting Costs'!D$100</f>
        <v>3.6511265600435805</v>
      </c>
      <c r="T51" s="261">
        <f>'BDJ-6 Unitized Lighting Costs'!$D$117</f>
        <v>5.4555747529966878E-2</v>
      </c>
      <c r="U51" s="43">
        <f t="shared" si="85"/>
        <v>0</v>
      </c>
      <c r="V51" s="43">
        <f t="shared" si="86"/>
        <v>0</v>
      </c>
      <c r="W51" s="43">
        <f t="shared" si="87"/>
        <v>0.66960491480842899</v>
      </c>
      <c r="X51" s="43">
        <f t="shared" si="88"/>
        <v>0.36511265600435805</v>
      </c>
      <c r="Y51" s="43">
        <f t="shared" si="89"/>
        <v>1.9094511635488407</v>
      </c>
      <c r="Z51" s="43">
        <f t="shared" si="90"/>
        <v>2.9441687343616278</v>
      </c>
      <c r="AA51" s="220"/>
      <c r="AB51" s="240">
        <f t="shared" si="91"/>
        <v>0</v>
      </c>
      <c r="AC51" s="240">
        <f t="shared" si="92"/>
        <v>0</v>
      </c>
      <c r="AD51" s="240">
        <f t="shared" si="93"/>
        <v>1.9131568994526543E-2</v>
      </c>
      <c r="AE51" s="240">
        <f t="shared" si="94"/>
        <v>1.0431790171553088E-2</v>
      </c>
      <c r="AF51" s="240">
        <f t="shared" si="95"/>
        <v>5.4555747529966878E-2</v>
      </c>
      <c r="AG51" s="240">
        <f t="shared" si="96"/>
        <v>8.4119106696046511E-2</v>
      </c>
      <c r="AH51" s="43">
        <f t="shared" si="97"/>
        <v>0</v>
      </c>
      <c r="AI51" s="43">
        <f t="shared" si="97"/>
        <v>0</v>
      </c>
      <c r="AJ51" s="43">
        <f t="shared" si="97"/>
        <v>2.6784196592337159</v>
      </c>
      <c r="AK51" s="43">
        <f t="shared" si="97"/>
        <v>1.4604506240174322</v>
      </c>
      <c r="AL51" s="43">
        <f t="shared" si="97"/>
        <v>7.6378046541953628</v>
      </c>
      <c r="AM51" s="43">
        <f t="shared" si="98"/>
        <v>11.776674937446511</v>
      </c>
      <c r="AN51" s="43">
        <f t="shared" si="99"/>
        <v>0</v>
      </c>
      <c r="AO51" s="43">
        <f t="shared" si="99"/>
        <v>0</v>
      </c>
      <c r="AP51" s="43">
        <f t="shared" si="99"/>
        <v>32.14103591080459</v>
      </c>
      <c r="AQ51" s="43">
        <f t="shared" si="99"/>
        <v>17.525407488209186</v>
      </c>
      <c r="AR51" s="43">
        <f t="shared" si="99"/>
        <v>91.65365585034435</v>
      </c>
      <c r="AS51" s="43">
        <f t="shared" si="99"/>
        <v>141.32009924935812</v>
      </c>
    </row>
    <row r="52" spans="1:45" x14ac:dyDescent="0.2">
      <c r="A52" s="58" t="str">
        <f>+A48</f>
        <v xml:space="preserve">52E </v>
      </c>
      <c r="B52" s="20"/>
      <c r="C52" s="21" t="str">
        <f>'WP1 Light Inventory'!D53</f>
        <v>Metal Halide</v>
      </c>
      <c r="D52" s="21" t="str">
        <f>'WP1 Light Inventory'!E53</f>
        <v>MH 150</v>
      </c>
      <c r="E52" s="21">
        <f>'WP1 Light Inventory'!F53</f>
        <v>150</v>
      </c>
      <c r="F52" s="21" t="str">
        <f>'WP1 Light Inventory'!H53</f>
        <v>Customer</v>
      </c>
      <c r="G52" s="397">
        <f>'WP1 Light Inventory'!J53</f>
        <v>201</v>
      </c>
      <c r="H52" s="74" t="s">
        <v>600</v>
      </c>
      <c r="I52" s="14" t="s">
        <v>159</v>
      </c>
      <c r="J52" s="19">
        <f>IF(C52="Light Emitting Diode",'WP10 O&amp;M Weighting Factor'!$B$26,IF('WP12 Condensed Sch. Level Costs'!C52="Sodium Vapor",'WP10 O&amp;M Weighting Factor'!$B$27,IF('WP12 Condensed Sch. Level Costs'!C52="Metal Halide",'WP10 O&amp;M Weighting Factor'!$B$28,IF('WP12 Condensed Sch. Level Costs'!C52="Mercury Vapor",'WP10 O&amp;M Weighting Factor'!$B$30,IF('WP12 Condensed Sch. Level Costs'!C52="Compact Flourescent",'WP10 O&amp;M Weighting Factor'!$B$29, IF(C52="Incandescent", 'WP10 O&amp;M Weighting Factor'!$B$31, 0))))))</f>
        <v>2</v>
      </c>
      <c r="K52" s="282">
        <f t="shared" si="81"/>
        <v>0</v>
      </c>
      <c r="L52" s="74">
        <f t="shared" si="82"/>
        <v>0</v>
      </c>
      <c r="M52" s="283">
        <f t="shared" si="83"/>
        <v>30.15</v>
      </c>
      <c r="N52" s="398">
        <f>'WP1 Light Inventory'!L53</f>
        <v>126630</v>
      </c>
      <c r="O52" s="284">
        <f t="shared" si="84"/>
        <v>52.5</v>
      </c>
      <c r="P52" s="261">
        <f>'BDJ-6 Unitized Lighting Costs'!D$20</f>
        <v>1.0137794003499056E-2</v>
      </c>
      <c r="Q52" s="261">
        <f>'BDJ-6 Unitized Lighting Costs'!$D$43</f>
        <v>2.2529806535397991</v>
      </c>
      <c r="R52" s="261">
        <f>'BDJ-6 Unitized Lighting Costs'!D$69</f>
        <v>1.9131568994526543E-2</v>
      </c>
      <c r="S52" s="261">
        <f>'BDJ-6 Unitized Lighting Costs'!D$100</f>
        <v>3.6511265600435805</v>
      </c>
      <c r="T52" s="261">
        <f>'BDJ-6 Unitized Lighting Costs'!$D$117</f>
        <v>5.4555747529966878E-2</v>
      </c>
      <c r="U52" s="43">
        <f t="shared" si="85"/>
        <v>0</v>
      </c>
      <c r="V52" s="43">
        <f t="shared" si="86"/>
        <v>0</v>
      </c>
      <c r="W52" s="43">
        <f t="shared" si="87"/>
        <v>1.0044073722126434</v>
      </c>
      <c r="X52" s="43">
        <f t="shared" si="88"/>
        <v>0.54766898400653719</v>
      </c>
      <c r="Y52" s="43">
        <f t="shared" si="89"/>
        <v>2.8641767453232609</v>
      </c>
      <c r="Z52" s="43">
        <f t="shared" si="90"/>
        <v>4.4162531015424413</v>
      </c>
      <c r="AA52" s="220"/>
      <c r="AB52" s="240">
        <f t="shared" si="91"/>
        <v>0</v>
      </c>
      <c r="AC52" s="240">
        <f t="shared" si="92"/>
        <v>0</v>
      </c>
      <c r="AD52" s="240">
        <f t="shared" si="93"/>
        <v>1.9131568994526543E-2</v>
      </c>
      <c r="AE52" s="240">
        <f t="shared" si="94"/>
        <v>1.0431790171553089E-2</v>
      </c>
      <c r="AF52" s="240">
        <f t="shared" si="95"/>
        <v>5.4555747529966878E-2</v>
      </c>
      <c r="AG52" s="240">
        <f t="shared" si="96"/>
        <v>8.4119106696046511E-2</v>
      </c>
      <c r="AH52" s="43">
        <f t="shared" si="97"/>
        <v>0</v>
      </c>
      <c r="AI52" s="43">
        <f t="shared" si="97"/>
        <v>0</v>
      </c>
      <c r="AJ52" s="43">
        <f t="shared" si="97"/>
        <v>201.88588181474134</v>
      </c>
      <c r="AK52" s="43">
        <f t="shared" si="97"/>
        <v>110.08146578531398</v>
      </c>
      <c r="AL52" s="43">
        <f t="shared" si="97"/>
        <v>575.6995258099754</v>
      </c>
      <c r="AM52" s="43">
        <f t="shared" si="98"/>
        <v>887.66687341003069</v>
      </c>
      <c r="AN52" s="43">
        <f t="shared" si="99"/>
        <v>0</v>
      </c>
      <c r="AO52" s="43">
        <f t="shared" si="99"/>
        <v>0</v>
      </c>
      <c r="AP52" s="43">
        <f t="shared" si="99"/>
        <v>2422.6305817768962</v>
      </c>
      <c r="AQ52" s="43">
        <f t="shared" si="99"/>
        <v>1320.9775894237678</v>
      </c>
      <c r="AR52" s="43">
        <f t="shared" si="99"/>
        <v>6908.3943097197043</v>
      </c>
      <c r="AS52" s="43">
        <f t="shared" si="99"/>
        <v>10652.002480920368</v>
      </c>
    </row>
    <row r="53" spans="1:45" x14ac:dyDescent="0.2">
      <c r="A53" s="58" t="str">
        <f>A52</f>
        <v xml:space="preserve">52E </v>
      </c>
      <c r="B53" s="20"/>
      <c r="C53" s="21" t="str">
        <f>'WP1 Light Inventory'!D54</f>
        <v>Metal Halide</v>
      </c>
      <c r="D53" s="21" t="str">
        <f>'WP1 Light Inventory'!E54</f>
        <v>MH 175</v>
      </c>
      <c r="E53" s="21">
        <f>'WP1 Light Inventory'!F54</f>
        <v>175</v>
      </c>
      <c r="F53" s="21" t="str">
        <f>'WP1 Light Inventory'!H54</f>
        <v>Customer</v>
      </c>
      <c r="G53" s="397">
        <f>'WP1 Light Inventory'!J54</f>
        <v>212</v>
      </c>
      <c r="H53" s="74" t="s">
        <v>600</v>
      </c>
      <c r="I53" s="14" t="s">
        <v>159</v>
      </c>
      <c r="J53" s="19">
        <f>IF(C53="Light Emitting Diode",'WP10 O&amp;M Weighting Factor'!$B$26,IF('WP12 Condensed Sch. Level Costs'!C53="Sodium Vapor",'WP10 O&amp;M Weighting Factor'!$B$27,IF('WP12 Condensed Sch. Level Costs'!C53="Metal Halide",'WP10 O&amp;M Weighting Factor'!$B$28,IF('WP12 Condensed Sch. Level Costs'!C53="Mercury Vapor",'WP10 O&amp;M Weighting Factor'!$B$30,IF('WP12 Condensed Sch. Level Costs'!C53="Compact Flourescent",'WP10 O&amp;M Weighting Factor'!$B$29, IF(C53="Incandescent", 'WP10 O&amp;M Weighting Factor'!$B$31, 0))))))</f>
        <v>2</v>
      </c>
      <c r="K53" s="282">
        <f t="shared" si="81"/>
        <v>0</v>
      </c>
      <c r="L53" s="74">
        <f t="shared" si="82"/>
        <v>0</v>
      </c>
      <c r="M53" s="283">
        <f t="shared" si="83"/>
        <v>37.1</v>
      </c>
      <c r="N53" s="398">
        <f>'WP1 Light Inventory'!L54</f>
        <v>155820</v>
      </c>
      <c r="O53" s="284">
        <f t="shared" si="84"/>
        <v>61.25</v>
      </c>
      <c r="P53" s="261">
        <f>'BDJ-6 Unitized Lighting Costs'!D$20</f>
        <v>1.0137794003499056E-2</v>
      </c>
      <c r="Q53" s="261">
        <f>'BDJ-6 Unitized Lighting Costs'!$D$43</f>
        <v>2.2529806535397991</v>
      </c>
      <c r="R53" s="261">
        <f>'BDJ-6 Unitized Lighting Costs'!D$69</f>
        <v>1.9131568994526543E-2</v>
      </c>
      <c r="S53" s="261">
        <f>'BDJ-6 Unitized Lighting Costs'!D$100</f>
        <v>3.6511265600435805</v>
      </c>
      <c r="T53" s="261">
        <f>'BDJ-6 Unitized Lighting Costs'!$D$117</f>
        <v>5.4555747529966878E-2</v>
      </c>
      <c r="U53" s="43">
        <f t="shared" si="85"/>
        <v>0</v>
      </c>
      <c r="V53" s="43">
        <f t="shared" si="86"/>
        <v>0</v>
      </c>
      <c r="W53" s="43">
        <f t="shared" si="87"/>
        <v>1.1718086009147508</v>
      </c>
      <c r="X53" s="43">
        <f t="shared" si="88"/>
        <v>0.63894714800762653</v>
      </c>
      <c r="Y53" s="43">
        <f t="shared" si="89"/>
        <v>3.3415395362104712</v>
      </c>
      <c r="Z53" s="43">
        <f t="shared" si="90"/>
        <v>5.1522952851328485</v>
      </c>
      <c r="AA53" s="220"/>
      <c r="AB53" s="240">
        <f t="shared" si="91"/>
        <v>0</v>
      </c>
      <c r="AC53" s="240">
        <f t="shared" si="92"/>
        <v>0</v>
      </c>
      <c r="AD53" s="240">
        <f t="shared" si="93"/>
        <v>1.9131568994526543E-2</v>
      </c>
      <c r="AE53" s="240">
        <f t="shared" si="94"/>
        <v>1.0431790171553086E-2</v>
      </c>
      <c r="AF53" s="240">
        <f t="shared" si="95"/>
        <v>5.4555747529966878E-2</v>
      </c>
      <c r="AG53" s="240">
        <f t="shared" si="96"/>
        <v>8.4119106696046497E-2</v>
      </c>
      <c r="AH53" s="43">
        <f t="shared" si="97"/>
        <v>0</v>
      </c>
      <c r="AI53" s="43">
        <f t="shared" si="97"/>
        <v>0</v>
      </c>
      <c r="AJ53" s="43">
        <f t="shared" si="97"/>
        <v>248.42342339392718</v>
      </c>
      <c r="AK53" s="43">
        <f t="shared" si="97"/>
        <v>135.45679537761683</v>
      </c>
      <c r="AL53" s="43">
        <f t="shared" si="97"/>
        <v>708.40638167661984</v>
      </c>
      <c r="AM53" s="43">
        <f t="shared" si="98"/>
        <v>1092.2866004481639</v>
      </c>
      <c r="AN53" s="43">
        <f t="shared" si="99"/>
        <v>0</v>
      </c>
      <c r="AO53" s="43">
        <f t="shared" si="99"/>
        <v>0</v>
      </c>
      <c r="AP53" s="43">
        <f t="shared" si="99"/>
        <v>2981.0810807271264</v>
      </c>
      <c r="AQ53" s="43">
        <f t="shared" si="99"/>
        <v>1625.4815445314021</v>
      </c>
      <c r="AR53" s="43">
        <f t="shared" si="99"/>
        <v>8500.8765801194386</v>
      </c>
      <c r="AS53" s="43">
        <f t="shared" si="99"/>
        <v>13107.439205377967</v>
      </c>
    </row>
    <row r="54" spans="1:45" x14ac:dyDescent="0.2">
      <c r="A54" s="58" t="str">
        <f>+A53</f>
        <v xml:space="preserve">52E </v>
      </c>
      <c r="B54" s="22"/>
      <c r="C54" s="21" t="str">
        <f>'WP1 Light Inventory'!D55</f>
        <v>Metal Halide</v>
      </c>
      <c r="D54" s="21" t="str">
        <f>'WP1 Light Inventory'!E55</f>
        <v>MH 250</v>
      </c>
      <c r="E54" s="21">
        <f>'WP1 Light Inventory'!F55</f>
        <v>250</v>
      </c>
      <c r="F54" s="21" t="str">
        <f>'WP1 Light Inventory'!H55</f>
        <v>Customer</v>
      </c>
      <c r="G54" s="397">
        <f>'WP1 Light Inventory'!J55</f>
        <v>36</v>
      </c>
      <c r="H54" s="74" t="s">
        <v>600</v>
      </c>
      <c r="I54" s="14" t="s">
        <v>159</v>
      </c>
      <c r="J54" s="19">
        <f>IF(C54="Light Emitting Diode",'WP10 O&amp;M Weighting Factor'!$B$26,IF('WP12 Condensed Sch. Level Costs'!C54="Sodium Vapor",'WP10 O&amp;M Weighting Factor'!$B$27,IF('WP12 Condensed Sch. Level Costs'!C54="Metal Halide",'WP10 O&amp;M Weighting Factor'!$B$28,IF('WP12 Condensed Sch. Level Costs'!C54="Mercury Vapor",'WP10 O&amp;M Weighting Factor'!$B$30,IF('WP12 Condensed Sch. Level Costs'!C54="Compact Flourescent",'WP10 O&amp;M Weighting Factor'!$B$29, IF(C54="Incandescent", 'WP10 O&amp;M Weighting Factor'!$B$31, 0))))))</f>
        <v>2</v>
      </c>
      <c r="K54" s="282">
        <f t="shared" si="81"/>
        <v>0</v>
      </c>
      <c r="L54" s="74">
        <f t="shared" si="82"/>
        <v>0</v>
      </c>
      <c r="M54" s="283">
        <f t="shared" si="83"/>
        <v>9</v>
      </c>
      <c r="N54" s="398">
        <f>'WP1 Light Inventory'!L55</f>
        <v>37800</v>
      </c>
      <c r="O54" s="284">
        <f t="shared" si="84"/>
        <v>87.5</v>
      </c>
      <c r="P54" s="261">
        <f>'BDJ-6 Unitized Lighting Costs'!D$20</f>
        <v>1.0137794003499056E-2</v>
      </c>
      <c r="Q54" s="261">
        <f>'BDJ-6 Unitized Lighting Costs'!$D$43</f>
        <v>2.2529806535397991</v>
      </c>
      <c r="R54" s="261">
        <f>'BDJ-6 Unitized Lighting Costs'!D$69</f>
        <v>1.9131568994526543E-2</v>
      </c>
      <c r="S54" s="261">
        <f>'BDJ-6 Unitized Lighting Costs'!D$100</f>
        <v>3.6511265600435805</v>
      </c>
      <c r="T54" s="261">
        <f>'BDJ-6 Unitized Lighting Costs'!$D$117</f>
        <v>5.4555747529966878E-2</v>
      </c>
      <c r="U54" s="43">
        <f t="shared" si="85"/>
        <v>0</v>
      </c>
      <c r="V54" s="43">
        <f t="shared" si="86"/>
        <v>0</v>
      </c>
      <c r="W54" s="43">
        <f t="shared" si="87"/>
        <v>1.6740122870210725</v>
      </c>
      <c r="X54" s="43">
        <f t="shared" si="88"/>
        <v>0.91278164001089512</v>
      </c>
      <c r="Y54" s="43">
        <f t="shared" si="89"/>
        <v>4.7736279088721014</v>
      </c>
      <c r="Z54" s="43">
        <f t="shared" si="90"/>
        <v>7.3604218359040692</v>
      </c>
      <c r="AA54" s="220"/>
      <c r="AB54" s="240">
        <f t="shared" si="91"/>
        <v>0</v>
      </c>
      <c r="AC54" s="240">
        <f t="shared" si="92"/>
        <v>0</v>
      </c>
      <c r="AD54" s="240">
        <f t="shared" si="93"/>
        <v>1.9131568994526543E-2</v>
      </c>
      <c r="AE54" s="240">
        <f t="shared" si="94"/>
        <v>1.0431790171553088E-2</v>
      </c>
      <c r="AF54" s="240">
        <f t="shared" si="95"/>
        <v>5.4555747529966871E-2</v>
      </c>
      <c r="AG54" s="240">
        <f t="shared" si="96"/>
        <v>8.4119106696046497E-2</v>
      </c>
      <c r="AH54" s="43">
        <f t="shared" si="97"/>
        <v>0</v>
      </c>
      <c r="AI54" s="43">
        <f t="shared" si="97"/>
        <v>0</v>
      </c>
      <c r="AJ54" s="43">
        <f t="shared" si="97"/>
        <v>60.264442332758613</v>
      </c>
      <c r="AK54" s="43">
        <f t="shared" si="97"/>
        <v>32.860139040392227</v>
      </c>
      <c r="AL54" s="43">
        <f t="shared" si="97"/>
        <v>171.85060471939565</v>
      </c>
      <c r="AM54" s="43">
        <f t="shared" si="98"/>
        <v>264.97518609254649</v>
      </c>
      <c r="AN54" s="43">
        <f t="shared" si="99"/>
        <v>0</v>
      </c>
      <c r="AO54" s="43">
        <f t="shared" si="99"/>
        <v>0</v>
      </c>
      <c r="AP54" s="43">
        <f t="shared" si="99"/>
        <v>723.17330799310332</v>
      </c>
      <c r="AQ54" s="43">
        <f t="shared" si="99"/>
        <v>394.32166848470672</v>
      </c>
      <c r="AR54" s="43">
        <f t="shared" si="99"/>
        <v>2062.2072566327479</v>
      </c>
      <c r="AS54" s="43">
        <f t="shared" si="99"/>
        <v>3179.7022331105582</v>
      </c>
    </row>
    <row r="55" spans="1:45" x14ac:dyDescent="0.2">
      <c r="A55" s="58" t="str">
        <f>+A54</f>
        <v xml:space="preserve">52E </v>
      </c>
      <c r="B55" s="22"/>
      <c r="C55" s="21" t="str">
        <f>'WP1 Light Inventory'!D56</f>
        <v>Metal Halide</v>
      </c>
      <c r="D55" s="21" t="str">
        <f>'WP1 Light Inventory'!E56</f>
        <v>MH 400</v>
      </c>
      <c r="E55" s="21">
        <f>'WP1 Light Inventory'!F56</f>
        <v>400</v>
      </c>
      <c r="F55" s="21" t="str">
        <f>'WP1 Light Inventory'!H56</f>
        <v>Customer</v>
      </c>
      <c r="G55" s="397">
        <f>'WP1 Light Inventory'!J56</f>
        <v>57</v>
      </c>
      <c r="H55" s="74" t="s">
        <v>600</v>
      </c>
      <c r="I55" s="14" t="s">
        <v>159</v>
      </c>
      <c r="J55" s="19">
        <f>IF(C55="Light Emitting Diode",'WP10 O&amp;M Weighting Factor'!$B$26,IF('WP12 Condensed Sch. Level Costs'!C55="Sodium Vapor",'WP10 O&amp;M Weighting Factor'!$B$27,IF('WP12 Condensed Sch. Level Costs'!C55="Metal Halide",'WP10 O&amp;M Weighting Factor'!$B$28,IF('WP12 Condensed Sch. Level Costs'!C55="Mercury Vapor",'WP10 O&amp;M Weighting Factor'!$B$30,IF('WP12 Condensed Sch. Level Costs'!C55="Compact Flourescent",'WP10 O&amp;M Weighting Factor'!$B$29, IF(C55="Incandescent", 'WP10 O&amp;M Weighting Factor'!$B$31, 0))))))</f>
        <v>2</v>
      </c>
      <c r="K55" s="282">
        <f t="shared" si="81"/>
        <v>0</v>
      </c>
      <c r="L55" s="74">
        <f t="shared" si="82"/>
        <v>0</v>
      </c>
      <c r="M55" s="283">
        <f t="shared" si="83"/>
        <v>22.8</v>
      </c>
      <c r="N55" s="398">
        <f>'WP1 Light Inventory'!L56</f>
        <v>95760</v>
      </c>
      <c r="O55" s="284">
        <f t="shared" si="84"/>
        <v>140</v>
      </c>
      <c r="P55" s="261">
        <f>'BDJ-6 Unitized Lighting Costs'!D$20</f>
        <v>1.0137794003499056E-2</v>
      </c>
      <c r="Q55" s="261">
        <f>'BDJ-6 Unitized Lighting Costs'!$D$43</f>
        <v>2.2529806535397991</v>
      </c>
      <c r="R55" s="261">
        <f>'BDJ-6 Unitized Lighting Costs'!D$69</f>
        <v>1.9131568994526543E-2</v>
      </c>
      <c r="S55" s="261">
        <f>'BDJ-6 Unitized Lighting Costs'!D$100</f>
        <v>3.6511265600435805</v>
      </c>
      <c r="T55" s="261">
        <f>'BDJ-6 Unitized Lighting Costs'!$D$117</f>
        <v>5.4555747529966878E-2</v>
      </c>
      <c r="U55" s="43">
        <f t="shared" si="85"/>
        <v>0</v>
      </c>
      <c r="V55" s="43">
        <f t="shared" si="86"/>
        <v>0</v>
      </c>
      <c r="W55" s="43">
        <f t="shared" si="87"/>
        <v>2.6784196592337159</v>
      </c>
      <c r="X55" s="43">
        <f t="shared" si="88"/>
        <v>1.4604506240174322</v>
      </c>
      <c r="Y55" s="43">
        <f t="shared" si="89"/>
        <v>7.6378046541953628</v>
      </c>
      <c r="Z55" s="43">
        <f t="shared" si="90"/>
        <v>11.776674937446511</v>
      </c>
      <c r="AA55" s="220"/>
      <c r="AB55" s="240">
        <f t="shared" si="91"/>
        <v>0</v>
      </c>
      <c r="AC55" s="240">
        <f t="shared" si="92"/>
        <v>0</v>
      </c>
      <c r="AD55" s="240">
        <f t="shared" si="93"/>
        <v>1.9131568994526543E-2</v>
      </c>
      <c r="AE55" s="240">
        <f t="shared" si="94"/>
        <v>1.0431790171553088E-2</v>
      </c>
      <c r="AF55" s="240">
        <f t="shared" si="95"/>
        <v>5.4555747529966878E-2</v>
      </c>
      <c r="AG55" s="240">
        <f t="shared" si="96"/>
        <v>8.4119106696046511E-2</v>
      </c>
      <c r="AH55" s="43">
        <f t="shared" si="97"/>
        <v>0</v>
      </c>
      <c r="AI55" s="43">
        <f t="shared" si="97"/>
        <v>0</v>
      </c>
      <c r="AJ55" s="43">
        <f t="shared" si="97"/>
        <v>152.6699205763218</v>
      </c>
      <c r="AK55" s="43">
        <f t="shared" si="97"/>
        <v>83.245685568993636</v>
      </c>
      <c r="AL55" s="43">
        <f t="shared" si="97"/>
        <v>435.35486528913566</v>
      </c>
      <c r="AM55" s="43">
        <f t="shared" si="98"/>
        <v>671.27047143445111</v>
      </c>
      <c r="AN55" s="43">
        <f t="shared" si="99"/>
        <v>0</v>
      </c>
      <c r="AO55" s="43">
        <f t="shared" si="99"/>
        <v>0</v>
      </c>
      <c r="AP55" s="43">
        <f t="shared" si="99"/>
        <v>1832.0390469158615</v>
      </c>
      <c r="AQ55" s="43">
        <f t="shared" si="99"/>
        <v>998.94822682792369</v>
      </c>
      <c r="AR55" s="43">
        <f t="shared" si="99"/>
        <v>5224.2583834696279</v>
      </c>
      <c r="AS55" s="43">
        <f t="shared" si="99"/>
        <v>8055.2456572134133</v>
      </c>
    </row>
    <row r="56" spans="1:45" x14ac:dyDescent="0.2">
      <c r="A56" s="58" t="str">
        <f>+A55</f>
        <v xml:space="preserve">52E </v>
      </c>
      <c r="B56" s="54"/>
      <c r="C56" s="21" t="str">
        <f>'WP1 Light Inventory'!D57</f>
        <v>Metal Halide</v>
      </c>
      <c r="D56" s="21" t="str">
        <f>'WP1 Light Inventory'!E57</f>
        <v>MH 1000</v>
      </c>
      <c r="E56" s="21">
        <f>'WP1 Light Inventory'!F57</f>
        <v>1000</v>
      </c>
      <c r="F56" s="21" t="str">
        <f>'WP1 Light Inventory'!H57</f>
        <v>Customer</v>
      </c>
      <c r="G56" s="397">
        <f>'WP1 Light Inventory'!J57</f>
        <v>18</v>
      </c>
      <c r="H56" s="74" t="s">
        <v>600</v>
      </c>
      <c r="I56" s="14" t="s">
        <v>159</v>
      </c>
      <c r="J56" s="300">
        <f>IF(C56="Light Emitting Diode",'WP10 O&amp;M Weighting Factor'!$B$26,IF('WP12 Condensed Sch. Level Costs'!C56="Sodium Vapor",'WP10 O&amp;M Weighting Factor'!$B$27,IF('WP12 Condensed Sch. Level Costs'!C56="Metal Halide",'WP10 O&amp;M Weighting Factor'!$B$28,IF('WP12 Condensed Sch. Level Costs'!C56="Mercury Vapor",'WP10 O&amp;M Weighting Factor'!$B$30,IF('WP12 Condensed Sch. Level Costs'!C56="Compact Flourescent",'WP10 O&amp;M Weighting Factor'!$B$29, IF(C56="Incandescent", 'WP10 O&amp;M Weighting Factor'!$B$31, 0))))))</f>
        <v>2</v>
      </c>
      <c r="K56" s="282">
        <f t="shared" si="81"/>
        <v>0</v>
      </c>
      <c r="L56" s="375">
        <f t="shared" si="82"/>
        <v>0</v>
      </c>
      <c r="M56" s="376">
        <f t="shared" si="83"/>
        <v>18</v>
      </c>
      <c r="N56" s="398">
        <f>'WP1 Light Inventory'!L57</f>
        <v>75600</v>
      </c>
      <c r="O56" s="284">
        <f t="shared" si="84"/>
        <v>350</v>
      </c>
      <c r="P56" s="261">
        <f>'BDJ-6 Unitized Lighting Costs'!D$20</f>
        <v>1.0137794003499056E-2</v>
      </c>
      <c r="Q56" s="261">
        <f>'BDJ-6 Unitized Lighting Costs'!$D$43</f>
        <v>2.2529806535397991</v>
      </c>
      <c r="R56" s="261">
        <f>'BDJ-6 Unitized Lighting Costs'!D$69</f>
        <v>1.9131568994526543E-2</v>
      </c>
      <c r="S56" s="261">
        <f>'BDJ-6 Unitized Lighting Costs'!D$100</f>
        <v>3.6511265600435805</v>
      </c>
      <c r="T56" s="261">
        <f>'BDJ-6 Unitized Lighting Costs'!$D$117</f>
        <v>5.4555747529966878E-2</v>
      </c>
      <c r="U56" s="43">
        <f t="shared" si="85"/>
        <v>0</v>
      </c>
      <c r="V56" s="43">
        <f t="shared" si="86"/>
        <v>0</v>
      </c>
      <c r="W56" s="43">
        <f t="shared" si="87"/>
        <v>6.6960491480842901</v>
      </c>
      <c r="X56" s="43">
        <f t="shared" si="88"/>
        <v>3.6511265600435805</v>
      </c>
      <c r="Y56" s="43">
        <f t="shared" si="89"/>
        <v>19.094511635488406</v>
      </c>
      <c r="Z56" s="43">
        <f t="shared" si="90"/>
        <v>29.441687343616277</v>
      </c>
      <c r="AA56" s="220"/>
      <c r="AB56" s="240">
        <f t="shared" si="91"/>
        <v>0</v>
      </c>
      <c r="AC56" s="240">
        <f t="shared" si="92"/>
        <v>0</v>
      </c>
      <c r="AD56" s="240">
        <f t="shared" si="93"/>
        <v>1.9131568994526543E-2</v>
      </c>
      <c r="AE56" s="240">
        <f t="shared" si="94"/>
        <v>1.0431790171553088E-2</v>
      </c>
      <c r="AF56" s="240">
        <f t="shared" si="95"/>
        <v>5.4555747529966871E-2</v>
      </c>
      <c r="AG56" s="240">
        <f t="shared" si="96"/>
        <v>8.4119106696046497E-2</v>
      </c>
      <c r="AH56" s="43">
        <f t="shared" si="97"/>
        <v>0</v>
      </c>
      <c r="AI56" s="43">
        <f t="shared" si="97"/>
        <v>0</v>
      </c>
      <c r="AJ56" s="43">
        <f t="shared" si="97"/>
        <v>120.52888466551723</v>
      </c>
      <c r="AK56" s="43">
        <f t="shared" si="97"/>
        <v>65.720278080784453</v>
      </c>
      <c r="AL56" s="43">
        <f t="shared" si="97"/>
        <v>343.7012094387913</v>
      </c>
      <c r="AM56" s="43">
        <f t="shared" si="98"/>
        <v>529.95037218509299</v>
      </c>
      <c r="AN56" s="43">
        <f t="shared" si="99"/>
        <v>0</v>
      </c>
      <c r="AO56" s="43">
        <f t="shared" si="99"/>
        <v>0</v>
      </c>
      <c r="AP56" s="43">
        <f t="shared" si="99"/>
        <v>1446.3466159862066</v>
      </c>
      <c r="AQ56" s="43">
        <f t="shared" si="99"/>
        <v>788.64333696941344</v>
      </c>
      <c r="AR56" s="43">
        <f t="shared" si="99"/>
        <v>4124.4145132654958</v>
      </c>
      <c r="AS56" s="43">
        <f t="shared" si="99"/>
        <v>6359.4044662211163</v>
      </c>
    </row>
    <row r="57" spans="1:45" x14ac:dyDescent="0.2">
      <c r="A57" s="388" t="s">
        <v>137</v>
      </c>
      <c r="B57" s="389"/>
      <c r="C57" s="15"/>
      <c r="D57" s="390"/>
      <c r="E57" s="391"/>
      <c r="F57" s="390"/>
      <c r="G57" s="392"/>
      <c r="H57" s="378"/>
      <c r="I57" s="15"/>
      <c r="J57" s="390"/>
      <c r="K57" s="377"/>
      <c r="L57" s="378"/>
      <c r="M57" s="379"/>
      <c r="N57" s="394"/>
      <c r="O57" s="395"/>
      <c r="P57" s="396"/>
      <c r="Q57" s="396"/>
      <c r="R57" s="396"/>
      <c r="S57" s="396"/>
      <c r="T57" s="396"/>
      <c r="U57" s="274"/>
      <c r="V57" s="274"/>
      <c r="W57" s="274"/>
      <c r="X57" s="274"/>
      <c r="Y57" s="274"/>
      <c r="Z57" s="274"/>
      <c r="AA57" s="220"/>
      <c r="AB57" s="240"/>
      <c r="AC57" s="240"/>
      <c r="AD57" s="240"/>
      <c r="AE57" s="240"/>
      <c r="AF57" s="240"/>
      <c r="AG57" s="240"/>
    </row>
    <row r="58" spans="1:45" x14ac:dyDescent="0.2">
      <c r="A58" s="58" t="s">
        <v>68</v>
      </c>
      <c r="B58" s="21" t="s">
        <v>605</v>
      </c>
      <c r="C58" s="21" t="str">
        <f>'WP1 Light Inventory'!D59</f>
        <v>Sodium Vapor</v>
      </c>
      <c r="D58" s="21" t="str">
        <f>'WP1 Light Inventory'!E59</f>
        <v>SV 050</v>
      </c>
      <c r="E58" s="21">
        <f>'WP1 Light Inventory'!F59</f>
        <v>50</v>
      </c>
      <c r="F58" s="21" t="str">
        <f>'WP1 Light Inventory'!H59</f>
        <v>Company</v>
      </c>
      <c r="G58" s="397">
        <f>'WP1 Light Inventory'!J59</f>
        <v>0</v>
      </c>
      <c r="H58" s="74">
        <f>'WP9 Sodium Vapor Cost Est.'!$D$19</f>
        <v>847.10701856946366</v>
      </c>
      <c r="I58" s="14" t="s">
        <v>133</v>
      </c>
      <c r="J58" s="19">
        <f>IF(C58="Light Emitting Diode",'WP10 O&amp;M Weighting Factor'!$B$26,IF('WP12 Condensed Sch. Level Costs'!C58="Sodium Vapor",'WP10 O&amp;M Weighting Factor'!$B$27,IF('WP12 Condensed Sch. Level Costs'!C58="Metal Halide",'WP10 O&amp;M Weighting Factor'!$B$28,IF('WP12 Condensed Sch. Level Costs'!C58="Mercury Vapor",'WP10 O&amp;M Weighting Factor'!$B$30,IF('WP12 Condensed Sch. Level Costs'!C58="Compact Flourescent",'WP10 O&amp;M Weighting Factor'!$B$29, IF(C58="Incandescent", 'WP10 O&amp;M Weighting Factor'!$B$31, 0))))))</f>
        <v>1</v>
      </c>
      <c r="K58" s="282">
        <f t="shared" ref="K58:K66" si="100">IF(I58="Yes",G58*J58,0)</f>
        <v>0</v>
      </c>
      <c r="L58" s="74">
        <f t="shared" ref="L58:L66" si="101">IF(F58="Company", G58*H58,0)</f>
        <v>0</v>
      </c>
      <c r="M58" s="283">
        <f t="shared" ref="M58:M66" si="102">E58*G58/1000</f>
        <v>0</v>
      </c>
      <c r="N58" s="398">
        <f>E58*4200*G58/1000</f>
        <v>0</v>
      </c>
      <c r="O58" s="284">
        <f t="shared" ref="O58:O66" si="103">E58*4200/1000/12</f>
        <v>17.5</v>
      </c>
      <c r="P58" s="261">
        <f>'BDJ-6 Unitized Lighting Costs'!D$20</f>
        <v>1.0137794003499056E-2</v>
      </c>
      <c r="Q58" s="261">
        <f>'BDJ-6 Unitized Lighting Costs'!$D$43</f>
        <v>2.2529806535397991</v>
      </c>
      <c r="R58" s="261">
        <f>'BDJ-6 Unitized Lighting Costs'!D$69</f>
        <v>1.9131568994526543E-2</v>
      </c>
      <c r="S58" s="261">
        <f>'BDJ-6 Unitized Lighting Costs'!D$100</f>
        <v>3.6511265600435805</v>
      </c>
      <c r="T58" s="261">
        <f>'BDJ-6 Unitized Lighting Costs'!$D$117</f>
        <v>5.4555747529966878E-2</v>
      </c>
      <c r="U58" s="43">
        <f t="shared" ref="U58:U66" si="104">IF(F58="Company", H58*P58, 0)</f>
        <v>8.5877964531754714</v>
      </c>
      <c r="V58" s="43">
        <f t="shared" ref="V58:V66" si="105">IF(I58="yes", J58*Q58, 0)</f>
        <v>2.2529806535397991</v>
      </c>
      <c r="W58" s="43">
        <f t="shared" ref="W58:W66" si="106">R58*O58</f>
        <v>0.33480245740421449</v>
      </c>
      <c r="X58" s="43">
        <f t="shared" ref="X58:X66" si="107">E58*S58/1000</f>
        <v>0.18255632800217902</v>
      </c>
      <c r="Y58" s="43">
        <f t="shared" ref="Y58:Y66" si="108">O58*T58</f>
        <v>0.95472558177442035</v>
      </c>
      <c r="Z58" s="43">
        <f t="shared" ref="Z58:Z66" si="109">SUM(U58:Y58)</f>
        <v>12.312861473896083</v>
      </c>
      <c r="AA58" s="220"/>
      <c r="AB58" s="240">
        <f t="shared" ref="AB58:AB66" si="110">IFERROR(U58/O58,0)</f>
        <v>0.4907312258957412</v>
      </c>
      <c r="AC58" s="240">
        <f t="shared" ref="AC58:AC66" si="111">IFERROR(V58/O58,0)</f>
        <v>0.12874175163084567</v>
      </c>
      <c r="AD58" s="240">
        <f t="shared" ref="AD58:AD66" si="112">IFERROR(W58/O58,0)</f>
        <v>1.9131568994526543E-2</v>
      </c>
      <c r="AE58" s="240">
        <f t="shared" ref="AE58:AE66" si="113">IFERROR(X58/O58,0)</f>
        <v>1.0431790171553088E-2</v>
      </c>
      <c r="AF58" s="240">
        <f t="shared" ref="AF58:AF66" si="114">IFERROR(Y58/O58,0)</f>
        <v>5.4555747529966878E-2</v>
      </c>
      <c r="AG58" s="240">
        <f t="shared" ref="AG58:AG66" si="115">SUM(AB58:AF58)</f>
        <v>0.7035920842226332</v>
      </c>
      <c r="AH58" s="43">
        <f t="shared" ref="AH58:AH66" si="116">(U58*$G58)</f>
        <v>0</v>
      </c>
      <c r="AI58" s="43">
        <f t="shared" ref="AI58:AI66" si="117">(V58*$G58)</f>
        <v>0</v>
      </c>
      <c r="AJ58" s="43">
        <f t="shared" ref="AJ58:AJ66" si="118">(W58*$G58)</f>
        <v>0</v>
      </c>
      <c r="AK58" s="43">
        <f t="shared" ref="AK58:AK66" si="119">(X58*$G58)</f>
        <v>0</v>
      </c>
      <c r="AL58" s="43">
        <f t="shared" ref="AL58:AL66" si="120">(Y58*$G58)</f>
        <v>0</v>
      </c>
      <c r="AM58" s="43">
        <f t="shared" ref="AM58:AM66" si="121">SUM(AH58:AL58)</f>
        <v>0</v>
      </c>
      <c r="AN58" s="43">
        <f t="shared" ref="AN58:AN66" si="122">AH58*12</f>
        <v>0</v>
      </c>
      <c r="AO58" s="43">
        <f t="shared" ref="AO58:AO66" si="123">AI58*12</f>
        <v>0</v>
      </c>
      <c r="AP58" s="43">
        <f t="shared" ref="AP58:AP66" si="124">AJ58*12</f>
        <v>0</v>
      </c>
      <c r="AQ58" s="43">
        <f t="shared" ref="AQ58:AQ66" si="125">AK58*12</f>
        <v>0</v>
      </c>
      <c r="AR58" s="43">
        <f t="shared" ref="AR58:AR66" si="126">AL58*12</f>
        <v>0</v>
      </c>
      <c r="AS58" s="43">
        <f t="shared" ref="AS58:AS66" si="127">AM58*12</f>
        <v>0</v>
      </c>
    </row>
    <row r="59" spans="1:45" x14ac:dyDescent="0.2">
      <c r="A59" s="58" t="str">
        <f t="shared" ref="A59:A66" si="128">+A58</f>
        <v>53E - Company Owned</v>
      </c>
      <c r="B59" s="21" t="s">
        <v>605</v>
      </c>
      <c r="C59" s="21" t="str">
        <f>'WP1 Light Inventory'!D60</f>
        <v>Sodium Vapor</v>
      </c>
      <c r="D59" s="21" t="str">
        <f>'WP1 Light Inventory'!E60</f>
        <v>SV 070</v>
      </c>
      <c r="E59" s="21">
        <f>'WP1 Light Inventory'!F60</f>
        <v>70</v>
      </c>
      <c r="F59" s="21" t="str">
        <f>'WP1 Light Inventory'!H60</f>
        <v>Company</v>
      </c>
      <c r="G59" s="397">
        <f>'WP1 Light Inventory'!J60</f>
        <v>3836</v>
      </c>
      <c r="H59" s="74">
        <f>'WP9 Sodium Vapor Cost Est.'!$D$20</f>
        <v>908.27</v>
      </c>
      <c r="I59" s="14" t="s">
        <v>133</v>
      </c>
      <c r="J59" s="19">
        <f>IF(C59="Light Emitting Diode",'WP10 O&amp;M Weighting Factor'!$B$26,IF('WP12 Condensed Sch. Level Costs'!C59="Sodium Vapor",'WP10 O&amp;M Weighting Factor'!$B$27,IF('WP12 Condensed Sch. Level Costs'!C59="Metal Halide",'WP10 O&amp;M Weighting Factor'!$B$28,IF('WP12 Condensed Sch. Level Costs'!C59="Mercury Vapor",'WP10 O&amp;M Weighting Factor'!$B$30,IF('WP12 Condensed Sch. Level Costs'!C59="Compact Flourescent",'WP10 O&amp;M Weighting Factor'!$B$29, IF(C59="Incandescent", 'WP10 O&amp;M Weighting Factor'!$B$31, 0))))))</f>
        <v>1</v>
      </c>
      <c r="K59" s="282">
        <f t="shared" si="100"/>
        <v>3836</v>
      </c>
      <c r="L59" s="74">
        <f t="shared" si="101"/>
        <v>3484123.7199999997</v>
      </c>
      <c r="M59" s="283">
        <f t="shared" si="102"/>
        <v>268.52</v>
      </c>
      <c r="N59" s="398">
        <f>'WP1 Light Inventory'!L60</f>
        <v>1127784</v>
      </c>
      <c r="O59" s="284">
        <f t="shared" si="103"/>
        <v>24.5</v>
      </c>
      <c r="P59" s="261">
        <f>'BDJ-6 Unitized Lighting Costs'!D$20</f>
        <v>1.0137794003499056E-2</v>
      </c>
      <c r="Q59" s="261">
        <f>'BDJ-6 Unitized Lighting Costs'!$D$43</f>
        <v>2.2529806535397991</v>
      </c>
      <c r="R59" s="261">
        <f>'BDJ-6 Unitized Lighting Costs'!D$69</f>
        <v>1.9131568994526543E-2</v>
      </c>
      <c r="S59" s="261">
        <f>'BDJ-6 Unitized Lighting Costs'!D$100</f>
        <v>3.6511265600435805</v>
      </c>
      <c r="T59" s="261">
        <f>'BDJ-6 Unitized Lighting Costs'!$D$117</f>
        <v>5.4555747529966878E-2</v>
      </c>
      <c r="U59" s="43">
        <f t="shared" si="104"/>
        <v>9.2078541595580869</v>
      </c>
      <c r="V59" s="43">
        <f t="shared" si="105"/>
        <v>2.2529806535397991</v>
      </c>
      <c r="W59" s="43">
        <f t="shared" si="106"/>
        <v>0.4687234403659003</v>
      </c>
      <c r="X59" s="43">
        <f t="shared" si="107"/>
        <v>0.25557885920305062</v>
      </c>
      <c r="Y59" s="43">
        <f t="shared" si="108"/>
        <v>1.3366158144841884</v>
      </c>
      <c r="Z59" s="43">
        <f t="shared" si="109"/>
        <v>13.521752927151026</v>
      </c>
      <c r="AA59" s="220"/>
      <c r="AB59" s="240">
        <f t="shared" si="110"/>
        <v>0.37583078202277909</v>
      </c>
      <c r="AC59" s="240">
        <f t="shared" si="111"/>
        <v>9.1958394022032625E-2</v>
      </c>
      <c r="AD59" s="240">
        <f t="shared" si="112"/>
        <v>1.9131568994526543E-2</v>
      </c>
      <c r="AE59" s="240">
        <f t="shared" si="113"/>
        <v>1.0431790171553088E-2</v>
      </c>
      <c r="AF59" s="240">
        <f t="shared" si="114"/>
        <v>5.4555747529966878E-2</v>
      </c>
      <c r="AG59" s="240">
        <f t="shared" si="115"/>
        <v>0.55190828274085824</v>
      </c>
      <c r="AH59" s="43">
        <f t="shared" si="116"/>
        <v>35321.328556064822</v>
      </c>
      <c r="AI59" s="43">
        <f t="shared" si="117"/>
        <v>8642.4337869786686</v>
      </c>
      <c r="AJ59" s="43">
        <f t="shared" si="118"/>
        <v>1798.0231172435936</v>
      </c>
      <c r="AK59" s="43">
        <f t="shared" si="119"/>
        <v>980.40050390290219</v>
      </c>
      <c r="AL59" s="43">
        <f t="shared" si="120"/>
        <v>5127.2582643613468</v>
      </c>
      <c r="AM59" s="43">
        <f t="shared" si="121"/>
        <v>51869.444228551336</v>
      </c>
      <c r="AN59" s="43">
        <f t="shared" si="122"/>
        <v>423855.94267277786</v>
      </c>
      <c r="AO59" s="43">
        <f t="shared" si="123"/>
        <v>103709.20544374402</v>
      </c>
      <c r="AP59" s="43">
        <f t="shared" si="124"/>
        <v>21576.277406923124</v>
      </c>
      <c r="AQ59" s="43">
        <f t="shared" si="125"/>
        <v>11764.806046834827</v>
      </c>
      <c r="AR59" s="43">
        <f t="shared" si="126"/>
        <v>61527.099172336166</v>
      </c>
      <c r="AS59" s="43">
        <f t="shared" si="127"/>
        <v>622433.33074261597</v>
      </c>
    </row>
    <row r="60" spans="1:45" x14ac:dyDescent="0.2">
      <c r="A60" s="58" t="str">
        <f t="shared" si="128"/>
        <v>53E - Company Owned</v>
      </c>
      <c r="B60" s="21" t="s">
        <v>605</v>
      </c>
      <c r="C60" s="21" t="str">
        <f>'WP1 Light Inventory'!D61</f>
        <v>Sodium Vapor</v>
      </c>
      <c r="D60" s="21" t="str">
        <f>'WP1 Light Inventory'!E61</f>
        <v>SV 100</v>
      </c>
      <c r="E60" s="21">
        <f>'WP1 Light Inventory'!F61</f>
        <v>100</v>
      </c>
      <c r="F60" s="21" t="str">
        <f>'WP1 Light Inventory'!H61</f>
        <v>Company</v>
      </c>
      <c r="G60" s="397">
        <f>'WP1 Light Inventory'!J61</f>
        <v>28412</v>
      </c>
      <c r="H60" s="74">
        <f>'WP9 Sodium Vapor Cost Est.'!$D$22</f>
        <v>855.82</v>
      </c>
      <c r="I60" s="14" t="s">
        <v>133</v>
      </c>
      <c r="J60" s="19">
        <f>IF(C60="Light Emitting Diode",'WP10 O&amp;M Weighting Factor'!$B$26,IF('WP12 Condensed Sch. Level Costs'!C60="Sodium Vapor",'WP10 O&amp;M Weighting Factor'!$B$27,IF('WP12 Condensed Sch. Level Costs'!C60="Metal Halide",'WP10 O&amp;M Weighting Factor'!$B$28,IF('WP12 Condensed Sch. Level Costs'!C60="Mercury Vapor",'WP10 O&amp;M Weighting Factor'!$B$30,IF('WP12 Condensed Sch. Level Costs'!C60="Compact Flourescent",'WP10 O&amp;M Weighting Factor'!$B$29, IF(C60="Incandescent", 'WP10 O&amp;M Weighting Factor'!$B$31, 0))))))</f>
        <v>1</v>
      </c>
      <c r="K60" s="282">
        <f t="shared" si="100"/>
        <v>28412</v>
      </c>
      <c r="L60" s="74">
        <f t="shared" si="101"/>
        <v>24315557.84</v>
      </c>
      <c r="M60" s="283">
        <f t="shared" si="102"/>
        <v>2841.2</v>
      </c>
      <c r="N60" s="398">
        <f>'WP1 Light Inventory'!L61</f>
        <v>11933040</v>
      </c>
      <c r="O60" s="284">
        <f t="shared" si="103"/>
        <v>35</v>
      </c>
      <c r="P60" s="261">
        <f>'BDJ-6 Unitized Lighting Costs'!D$20</f>
        <v>1.0137794003499056E-2</v>
      </c>
      <c r="Q60" s="261">
        <f>'BDJ-6 Unitized Lighting Costs'!$D$43</f>
        <v>2.2529806535397991</v>
      </c>
      <c r="R60" s="261">
        <f>'BDJ-6 Unitized Lighting Costs'!D$69</f>
        <v>1.9131568994526543E-2</v>
      </c>
      <c r="S60" s="261">
        <f>'BDJ-6 Unitized Lighting Costs'!D$100</f>
        <v>3.6511265600435805</v>
      </c>
      <c r="T60" s="261">
        <f>'BDJ-6 Unitized Lighting Costs'!$D$117</f>
        <v>5.4555747529966878E-2</v>
      </c>
      <c r="U60" s="43">
        <f t="shared" si="104"/>
        <v>8.676126864074563</v>
      </c>
      <c r="V60" s="43">
        <f t="shared" si="105"/>
        <v>2.2529806535397991</v>
      </c>
      <c r="W60" s="43">
        <f t="shared" si="106"/>
        <v>0.66960491480842899</v>
      </c>
      <c r="X60" s="43">
        <f t="shared" si="107"/>
        <v>0.36511265600435805</v>
      </c>
      <c r="Y60" s="43">
        <f t="shared" si="108"/>
        <v>1.9094511635488407</v>
      </c>
      <c r="Z60" s="43">
        <f t="shared" si="109"/>
        <v>13.873276251975991</v>
      </c>
      <c r="AA60" s="220"/>
      <c r="AB60" s="240">
        <f t="shared" si="110"/>
        <v>0.24788933897355894</v>
      </c>
      <c r="AC60" s="240">
        <f t="shared" si="111"/>
        <v>6.4370875815422834E-2</v>
      </c>
      <c r="AD60" s="240">
        <f t="shared" si="112"/>
        <v>1.9131568994526543E-2</v>
      </c>
      <c r="AE60" s="240">
        <f t="shared" si="113"/>
        <v>1.0431790171553088E-2</v>
      </c>
      <c r="AF60" s="240">
        <f t="shared" si="114"/>
        <v>5.4555747529966878E-2</v>
      </c>
      <c r="AG60" s="240">
        <f t="shared" si="115"/>
        <v>0.39637932148502836</v>
      </c>
      <c r="AH60" s="43">
        <f t="shared" si="116"/>
        <v>246506.11646208647</v>
      </c>
      <c r="AI60" s="43">
        <f t="shared" si="117"/>
        <v>64011.686328372773</v>
      </c>
      <c r="AJ60" s="43">
        <f t="shared" si="118"/>
        <v>19024.814839537084</v>
      </c>
      <c r="AK60" s="43">
        <f t="shared" si="119"/>
        <v>10373.58078239582</v>
      </c>
      <c r="AL60" s="43">
        <f t="shared" si="120"/>
        <v>54251.32645874966</v>
      </c>
      <c r="AM60" s="43">
        <f t="shared" si="121"/>
        <v>394167.52487114182</v>
      </c>
      <c r="AN60" s="43">
        <f t="shared" si="122"/>
        <v>2958073.3975450378</v>
      </c>
      <c r="AO60" s="43">
        <f t="shared" si="123"/>
        <v>768140.23594047327</v>
      </c>
      <c r="AP60" s="43">
        <f t="shared" si="124"/>
        <v>228297.77807444503</v>
      </c>
      <c r="AQ60" s="43">
        <f t="shared" si="125"/>
        <v>124482.96938874984</v>
      </c>
      <c r="AR60" s="43">
        <f t="shared" si="126"/>
        <v>651015.91750499594</v>
      </c>
      <c r="AS60" s="43">
        <f t="shared" si="127"/>
        <v>4730010.2984537017</v>
      </c>
    </row>
    <row r="61" spans="1:45" x14ac:dyDescent="0.2">
      <c r="A61" s="58" t="str">
        <f t="shared" si="128"/>
        <v>53E - Company Owned</v>
      </c>
      <c r="B61" s="21" t="s">
        <v>605</v>
      </c>
      <c r="C61" s="21" t="str">
        <f>'WP1 Light Inventory'!D62</f>
        <v>Sodium Vapor</v>
      </c>
      <c r="D61" s="21" t="str">
        <f>'WP1 Light Inventory'!E62</f>
        <v>SV 150</v>
      </c>
      <c r="E61" s="21">
        <f>'WP1 Light Inventory'!F62</f>
        <v>150</v>
      </c>
      <c r="F61" s="21" t="str">
        <f>'WP1 Light Inventory'!H62</f>
        <v>Company</v>
      </c>
      <c r="G61" s="397">
        <f>'WP1 Light Inventory'!J62</f>
        <v>3485</v>
      </c>
      <c r="H61" s="74">
        <f>'WP9 Sodium Vapor Cost Est.'!$D$23</f>
        <v>857.29</v>
      </c>
      <c r="I61" s="14" t="s">
        <v>133</v>
      </c>
      <c r="J61" s="19">
        <f>IF(C61="Light Emitting Diode",'WP10 O&amp;M Weighting Factor'!$B$26,IF('WP12 Condensed Sch. Level Costs'!C61="Sodium Vapor",'WP10 O&amp;M Weighting Factor'!$B$27,IF('WP12 Condensed Sch. Level Costs'!C61="Metal Halide",'WP10 O&amp;M Weighting Factor'!$B$28,IF('WP12 Condensed Sch. Level Costs'!C61="Mercury Vapor",'WP10 O&amp;M Weighting Factor'!$B$30,IF('WP12 Condensed Sch. Level Costs'!C61="Compact Flourescent",'WP10 O&amp;M Weighting Factor'!$B$29, IF(C61="Incandescent", 'WP10 O&amp;M Weighting Factor'!$B$31, 0))))))</f>
        <v>1</v>
      </c>
      <c r="K61" s="282">
        <f t="shared" si="100"/>
        <v>3485</v>
      </c>
      <c r="L61" s="74">
        <f t="shared" si="101"/>
        <v>2987655.65</v>
      </c>
      <c r="M61" s="283">
        <f t="shared" si="102"/>
        <v>522.75</v>
      </c>
      <c r="N61" s="398">
        <f>'WP1 Light Inventory'!L62</f>
        <v>2195550</v>
      </c>
      <c r="O61" s="284">
        <f t="shared" si="103"/>
        <v>52.5</v>
      </c>
      <c r="P61" s="261">
        <f>'BDJ-6 Unitized Lighting Costs'!D$20</f>
        <v>1.0137794003499056E-2</v>
      </c>
      <c r="Q61" s="261">
        <f>'BDJ-6 Unitized Lighting Costs'!$D$43</f>
        <v>2.2529806535397991</v>
      </c>
      <c r="R61" s="261">
        <f>'BDJ-6 Unitized Lighting Costs'!D$69</f>
        <v>1.9131568994526543E-2</v>
      </c>
      <c r="S61" s="261">
        <f>'BDJ-6 Unitized Lighting Costs'!D$100</f>
        <v>3.6511265600435805</v>
      </c>
      <c r="T61" s="261">
        <f>'BDJ-6 Unitized Lighting Costs'!$D$117</f>
        <v>5.4555747529966878E-2</v>
      </c>
      <c r="U61" s="43">
        <f t="shared" si="104"/>
        <v>8.6910294212597048</v>
      </c>
      <c r="V61" s="43">
        <f t="shared" si="105"/>
        <v>2.2529806535397991</v>
      </c>
      <c r="W61" s="43">
        <f t="shared" si="106"/>
        <v>1.0044073722126434</v>
      </c>
      <c r="X61" s="43">
        <f t="shared" si="107"/>
        <v>0.54766898400653719</v>
      </c>
      <c r="Y61" s="43">
        <f t="shared" si="108"/>
        <v>2.8641767453232609</v>
      </c>
      <c r="Z61" s="43">
        <f t="shared" si="109"/>
        <v>15.360263176341945</v>
      </c>
      <c r="AA61" s="220"/>
      <c r="AB61" s="240">
        <f t="shared" si="110"/>
        <v>0.16554341754780391</v>
      </c>
      <c r="AC61" s="240">
        <f t="shared" si="111"/>
        <v>4.2913917210281892E-2</v>
      </c>
      <c r="AD61" s="240">
        <f t="shared" si="112"/>
        <v>1.9131568994526543E-2</v>
      </c>
      <c r="AE61" s="240">
        <f t="shared" si="113"/>
        <v>1.0431790171553089E-2</v>
      </c>
      <c r="AF61" s="240">
        <f t="shared" si="114"/>
        <v>5.4555747529966878E-2</v>
      </c>
      <c r="AG61" s="240">
        <f t="shared" si="115"/>
        <v>0.29257644145413231</v>
      </c>
      <c r="AH61" s="43">
        <f t="shared" si="116"/>
        <v>30288.237533090072</v>
      </c>
      <c r="AI61" s="43">
        <f t="shared" si="117"/>
        <v>7851.6375775861998</v>
      </c>
      <c r="AJ61" s="43">
        <f t="shared" si="118"/>
        <v>3500.3596921610624</v>
      </c>
      <c r="AK61" s="43">
        <f t="shared" si="119"/>
        <v>1908.6264092627821</v>
      </c>
      <c r="AL61" s="43">
        <f t="shared" si="120"/>
        <v>9981.655957451565</v>
      </c>
      <c r="AM61" s="43">
        <f t="shared" si="121"/>
        <v>53530.517169551684</v>
      </c>
      <c r="AN61" s="43">
        <f t="shared" si="122"/>
        <v>363458.85039708088</v>
      </c>
      <c r="AO61" s="43">
        <f t="shared" si="123"/>
        <v>94219.650931034397</v>
      </c>
      <c r="AP61" s="43">
        <f t="shared" si="124"/>
        <v>42004.316305932749</v>
      </c>
      <c r="AQ61" s="43">
        <f t="shared" si="125"/>
        <v>22903.516911153383</v>
      </c>
      <c r="AR61" s="43">
        <f t="shared" si="126"/>
        <v>119779.87148941879</v>
      </c>
      <c r="AS61" s="43">
        <f t="shared" si="127"/>
        <v>642366.20603462018</v>
      </c>
    </row>
    <row r="62" spans="1:45" x14ac:dyDescent="0.2">
      <c r="A62" s="58" t="str">
        <f t="shared" si="128"/>
        <v>53E - Company Owned</v>
      </c>
      <c r="B62" s="21" t="s">
        <v>605</v>
      </c>
      <c r="C62" s="21" t="str">
        <f>'WP1 Light Inventory'!D63</f>
        <v>Sodium Vapor</v>
      </c>
      <c r="D62" s="21" t="str">
        <f>'WP1 Light Inventory'!E63</f>
        <v>SV 200</v>
      </c>
      <c r="E62" s="21">
        <f>'WP1 Light Inventory'!F63</f>
        <v>200</v>
      </c>
      <c r="F62" s="21" t="str">
        <f>'WP1 Light Inventory'!H63</f>
        <v>Company</v>
      </c>
      <c r="G62" s="397">
        <f>'WP1 Light Inventory'!J63</f>
        <v>4408</v>
      </c>
      <c r="H62" s="74">
        <f>'WP9 Sodium Vapor Cost Est.'!$D$25</f>
        <v>906.86</v>
      </c>
      <c r="I62" s="14" t="s">
        <v>133</v>
      </c>
      <c r="J62" s="19">
        <f>IF(C62="Light Emitting Diode",'WP10 O&amp;M Weighting Factor'!$B$26,IF('WP12 Condensed Sch. Level Costs'!C62="Sodium Vapor",'WP10 O&amp;M Weighting Factor'!$B$27,IF('WP12 Condensed Sch. Level Costs'!C62="Metal Halide",'WP10 O&amp;M Weighting Factor'!$B$28,IF('WP12 Condensed Sch. Level Costs'!C62="Mercury Vapor",'WP10 O&amp;M Weighting Factor'!$B$30,IF('WP12 Condensed Sch. Level Costs'!C62="Compact Flourescent",'WP10 O&amp;M Weighting Factor'!$B$29, IF(C62="Incandescent", 'WP10 O&amp;M Weighting Factor'!$B$31, 0))))))</f>
        <v>1</v>
      </c>
      <c r="K62" s="282">
        <f t="shared" si="100"/>
        <v>4408</v>
      </c>
      <c r="L62" s="74">
        <f t="shared" si="101"/>
        <v>3997438.88</v>
      </c>
      <c r="M62" s="283">
        <f t="shared" si="102"/>
        <v>881.6</v>
      </c>
      <c r="N62" s="398">
        <f>'WP1 Light Inventory'!L63</f>
        <v>3702720</v>
      </c>
      <c r="O62" s="284">
        <f t="shared" si="103"/>
        <v>70</v>
      </c>
      <c r="P62" s="261">
        <f>'BDJ-6 Unitized Lighting Costs'!D$20</f>
        <v>1.0137794003499056E-2</v>
      </c>
      <c r="Q62" s="261">
        <f>'BDJ-6 Unitized Lighting Costs'!$D$43</f>
        <v>2.2529806535397991</v>
      </c>
      <c r="R62" s="261">
        <f>'BDJ-6 Unitized Lighting Costs'!D$69</f>
        <v>1.9131568994526543E-2</v>
      </c>
      <c r="S62" s="261">
        <f>'BDJ-6 Unitized Lighting Costs'!D$100</f>
        <v>3.6511265600435805</v>
      </c>
      <c r="T62" s="261">
        <f>'BDJ-6 Unitized Lighting Costs'!$D$117</f>
        <v>5.4555747529966878E-2</v>
      </c>
      <c r="U62" s="43">
        <f t="shared" si="104"/>
        <v>9.1935598700131536</v>
      </c>
      <c r="V62" s="43">
        <f t="shared" si="105"/>
        <v>2.2529806535397991</v>
      </c>
      <c r="W62" s="43">
        <f t="shared" si="106"/>
        <v>1.339209829616858</v>
      </c>
      <c r="X62" s="43">
        <f t="shared" si="107"/>
        <v>0.7302253120087161</v>
      </c>
      <c r="Y62" s="43">
        <f t="shared" si="108"/>
        <v>3.8189023270976814</v>
      </c>
      <c r="Z62" s="43">
        <f t="shared" si="109"/>
        <v>17.334877992276208</v>
      </c>
      <c r="AA62" s="220"/>
      <c r="AB62" s="240">
        <f t="shared" si="110"/>
        <v>0.13133656957161649</v>
      </c>
      <c r="AC62" s="240">
        <f t="shared" si="111"/>
        <v>3.2185437907711417E-2</v>
      </c>
      <c r="AD62" s="240">
        <f t="shared" si="112"/>
        <v>1.9131568994526543E-2</v>
      </c>
      <c r="AE62" s="240">
        <f t="shared" si="113"/>
        <v>1.0431790171553088E-2</v>
      </c>
      <c r="AF62" s="240">
        <f t="shared" si="114"/>
        <v>5.4555747529966878E-2</v>
      </c>
      <c r="AG62" s="240">
        <f t="shared" si="115"/>
        <v>0.24764111417537443</v>
      </c>
      <c r="AH62" s="43">
        <f t="shared" si="116"/>
        <v>40525.211907017983</v>
      </c>
      <c r="AI62" s="43">
        <f t="shared" si="117"/>
        <v>9931.1387208034339</v>
      </c>
      <c r="AJ62" s="43">
        <f t="shared" si="118"/>
        <v>5903.2369289511098</v>
      </c>
      <c r="AK62" s="43">
        <f t="shared" si="119"/>
        <v>3218.8331753344205</v>
      </c>
      <c r="AL62" s="43">
        <f t="shared" si="120"/>
        <v>16833.721457846579</v>
      </c>
      <c r="AM62" s="43">
        <f t="shared" si="121"/>
        <v>76412.142189953534</v>
      </c>
      <c r="AN62" s="43">
        <f t="shared" si="122"/>
        <v>486302.54288421583</v>
      </c>
      <c r="AO62" s="43">
        <f t="shared" si="123"/>
        <v>119173.6646496412</v>
      </c>
      <c r="AP62" s="43">
        <f t="shared" si="124"/>
        <v>70838.84314741331</v>
      </c>
      <c r="AQ62" s="43">
        <f t="shared" si="125"/>
        <v>38625.998104013044</v>
      </c>
      <c r="AR62" s="43">
        <f t="shared" si="126"/>
        <v>202004.65749415895</v>
      </c>
      <c r="AS62" s="43">
        <f t="shared" si="127"/>
        <v>916945.70627944241</v>
      </c>
    </row>
    <row r="63" spans="1:45" x14ac:dyDescent="0.2">
      <c r="A63" s="58" t="str">
        <f t="shared" si="128"/>
        <v>53E - Company Owned</v>
      </c>
      <c r="B63" s="21" t="s">
        <v>605</v>
      </c>
      <c r="C63" s="21" t="str">
        <f>'WP1 Light Inventory'!D64</f>
        <v>Sodium Vapor</v>
      </c>
      <c r="D63" s="21" t="str">
        <f>'WP1 Light Inventory'!E64</f>
        <v>SV 250</v>
      </c>
      <c r="E63" s="21">
        <f>'WP1 Light Inventory'!F64</f>
        <v>250</v>
      </c>
      <c r="F63" s="21" t="str">
        <f>'WP1 Light Inventory'!H64</f>
        <v>Company</v>
      </c>
      <c r="G63" s="397">
        <f>'WP1 Light Inventory'!J64</f>
        <v>1615</v>
      </c>
      <c r="H63" s="74">
        <f>'WP9 Sodium Vapor Cost Est.'!$D$26</f>
        <v>922.99</v>
      </c>
      <c r="I63" s="14" t="s">
        <v>133</v>
      </c>
      <c r="J63" s="19">
        <f>IF(C63="Light Emitting Diode",'WP10 O&amp;M Weighting Factor'!$B$26,IF('WP12 Condensed Sch. Level Costs'!C63="Sodium Vapor",'WP10 O&amp;M Weighting Factor'!$B$27,IF('WP12 Condensed Sch. Level Costs'!C63="Metal Halide",'WP10 O&amp;M Weighting Factor'!$B$28,IF('WP12 Condensed Sch. Level Costs'!C63="Mercury Vapor",'WP10 O&amp;M Weighting Factor'!$B$30,IF('WP12 Condensed Sch. Level Costs'!C63="Compact Flourescent",'WP10 O&amp;M Weighting Factor'!$B$29, IF(C63="Incandescent", 'WP10 O&amp;M Weighting Factor'!$B$31, 0))))))</f>
        <v>1</v>
      </c>
      <c r="K63" s="282">
        <f t="shared" si="100"/>
        <v>1615</v>
      </c>
      <c r="L63" s="74">
        <f t="shared" si="101"/>
        <v>1490628.85</v>
      </c>
      <c r="M63" s="283">
        <f t="shared" si="102"/>
        <v>403.75</v>
      </c>
      <c r="N63" s="398">
        <f>'WP1 Light Inventory'!L64</f>
        <v>1695750</v>
      </c>
      <c r="O63" s="284">
        <f t="shared" si="103"/>
        <v>87.5</v>
      </c>
      <c r="P63" s="261">
        <f>'BDJ-6 Unitized Lighting Costs'!D$20</f>
        <v>1.0137794003499056E-2</v>
      </c>
      <c r="Q63" s="261">
        <f>'BDJ-6 Unitized Lighting Costs'!$D$43</f>
        <v>2.2529806535397991</v>
      </c>
      <c r="R63" s="261">
        <f>'BDJ-6 Unitized Lighting Costs'!D$69</f>
        <v>1.9131568994526543E-2</v>
      </c>
      <c r="S63" s="261">
        <f>'BDJ-6 Unitized Lighting Costs'!D$100</f>
        <v>3.6511265600435805</v>
      </c>
      <c r="T63" s="261">
        <f>'BDJ-6 Unitized Lighting Costs'!$D$117</f>
        <v>5.4555747529966878E-2</v>
      </c>
      <c r="U63" s="43">
        <f t="shared" si="104"/>
        <v>9.3570824872895937</v>
      </c>
      <c r="V63" s="43">
        <f t="shared" si="105"/>
        <v>2.2529806535397991</v>
      </c>
      <c r="W63" s="43">
        <f t="shared" si="106"/>
        <v>1.6740122870210725</v>
      </c>
      <c r="X63" s="43">
        <f t="shared" si="107"/>
        <v>0.91278164001089512</v>
      </c>
      <c r="Y63" s="43">
        <f t="shared" si="108"/>
        <v>4.7736279088721014</v>
      </c>
      <c r="Z63" s="43">
        <f t="shared" si="109"/>
        <v>18.970484976733463</v>
      </c>
      <c r="AA63" s="220"/>
      <c r="AB63" s="240">
        <f t="shared" si="110"/>
        <v>0.10693808556902393</v>
      </c>
      <c r="AC63" s="240">
        <f t="shared" si="111"/>
        <v>2.5748350326169133E-2</v>
      </c>
      <c r="AD63" s="240">
        <f t="shared" si="112"/>
        <v>1.9131568994526543E-2</v>
      </c>
      <c r="AE63" s="240">
        <f t="shared" si="113"/>
        <v>1.0431790171553088E-2</v>
      </c>
      <c r="AF63" s="240">
        <f t="shared" si="114"/>
        <v>5.4555747529966871E-2</v>
      </c>
      <c r="AG63" s="240">
        <f t="shared" si="115"/>
        <v>0.21680554259123955</v>
      </c>
      <c r="AH63" s="43">
        <f t="shared" si="116"/>
        <v>15111.688216972694</v>
      </c>
      <c r="AI63" s="43">
        <f t="shared" si="117"/>
        <v>3638.5637554667755</v>
      </c>
      <c r="AJ63" s="43">
        <f t="shared" si="118"/>
        <v>2703.5298435390323</v>
      </c>
      <c r="AK63" s="43">
        <f t="shared" si="119"/>
        <v>1474.1423486175956</v>
      </c>
      <c r="AL63" s="43">
        <f t="shared" si="120"/>
        <v>7709.4090728284436</v>
      </c>
      <c r="AM63" s="43">
        <f t="shared" si="121"/>
        <v>30637.33323742454</v>
      </c>
      <c r="AN63" s="43">
        <f t="shared" si="122"/>
        <v>181340.25860367232</v>
      </c>
      <c r="AO63" s="43">
        <f t="shared" si="123"/>
        <v>43662.765065601307</v>
      </c>
      <c r="AP63" s="43">
        <f t="shared" si="124"/>
        <v>32442.358122468388</v>
      </c>
      <c r="AQ63" s="43">
        <f t="shared" si="125"/>
        <v>17689.708183411149</v>
      </c>
      <c r="AR63" s="43">
        <f t="shared" si="126"/>
        <v>92512.908873941327</v>
      </c>
      <c r="AS63" s="43">
        <f t="shared" si="127"/>
        <v>367647.9988490945</v>
      </c>
    </row>
    <row r="64" spans="1:45" x14ac:dyDescent="0.2">
      <c r="A64" s="58" t="str">
        <f t="shared" si="128"/>
        <v>53E - Company Owned</v>
      </c>
      <c r="B64" s="21" t="s">
        <v>605</v>
      </c>
      <c r="C64" s="21" t="str">
        <f>'WP1 Light Inventory'!D65</f>
        <v>Sodium Vapor</v>
      </c>
      <c r="D64" s="21" t="str">
        <f>'WP1 Light Inventory'!E65</f>
        <v>SV 310</v>
      </c>
      <c r="E64" s="21">
        <f>'WP1 Light Inventory'!F65</f>
        <v>310</v>
      </c>
      <c r="F64" s="21" t="str">
        <f>'WP1 Light Inventory'!H65</f>
        <v>Company</v>
      </c>
      <c r="G64" s="397">
        <f>'WP1 Light Inventory'!J65</f>
        <v>15</v>
      </c>
      <c r="H64" s="74">
        <f>'WP9 Sodium Vapor Cost Est.'!$D$27</f>
        <v>960.17</v>
      </c>
      <c r="I64" s="14" t="s">
        <v>133</v>
      </c>
      <c r="J64" s="19">
        <f>IF(C64="Light Emitting Diode",'WP10 O&amp;M Weighting Factor'!$B$26,IF('WP12 Condensed Sch. Level Costs'!C64="Sodium Vapor",'WP10 O&amp;M Weighting Factor'!$B$27,IF('WP12 Condensed Sch. Level Costs'!C64="Metal Halide",'WP10 O&amp;M Weighting Factor'!$B$28,IF('WP12 Condensed Sch. Level Costs'!C64="Mercury Vapor",'WP10 O&amp;M Weighting Factor'!$B$30,IF('WP12 Condensed Sch. Level Costs'!C64="Compact Flourescent",'WP10 O&amp;M Weighting Factor'!$B$29, IF(C64="Incandescent", 'WP10 O&amp;M Weighting Factor'!$B$31, 0))))))</f>
        <v>1</v>
      </c>
      <c r="K64" s="282">
        <f t="shared" si="100"/>
        <v>15</v>
      </c>
      <c r="L64" s="74">
        <f t="shared" si="101"/>
        <v>14402.55</v>
      </c>
      <c r="M64" s="283">
        <f t="shared" si="102"/>
        <v>4.6500000000000004</v>
      </c>
      <c r="N64" s="398">
        <f>'WP1 Light Inventory'!L65</f>
        <v>19530</v>
      </c>
      <c r="O64" s="284">
        <f t="shared" si="103"/>
        <v>108.5</v>
      </c>
      <c r="P64" s="261">
        <f>'BDJ-6 Unitized Lighting Costs'!D$20</f>
        <v>1.0137794003499056E-2</v>
      </c>
      <c r="Q64" s="261">
        <f>'BDJ-6 Unitized Lighting Costs'!$D$43</f>
        <v>2.2529806535397991</v>
      </c>
      <c r="R64" s="261">
        <f>'BDJ-6 Unitized Lighting Costs'!D$69</f>
        <v>1.9131568994526543E-2</v>
      </c>
      <c r="S64" s="261">
        <f>'BDJ-6 Unitized Lighting Costs'!D$100</f>
        <v>3.6511265600435805</v>
      </c>
      <c r="T64" s="261">
        <f>'BDJ-6 Unitized Lighting Costs'!$D$117</f>
        <v>5.4555747529966878E-2</v>
      </c>
      <c r="U64" s="43">
        <f t="shared" si="104"/>
        <v>9.7340056683396874</v>
      </c>
      <c r="V64" s="43">
        <f t="shared" si="105"/>
        <v>2.2529806535397991</v>
      </c>
      <c r="W64" s="43">
        <f t="shared" si="106"/>
        <v>2.0757752359061299</v>
      </c>
      <c r="X64" s="43">
        <f t="shared" si="107"/>
        <v>1.13184923361351</v>
      </c>
      <c r="Y64" s="43">
        <f t="shared" si="108"/>
        <v>5.919298607001406</v>
      </c>
      <c r="Z64" s="43">
        <f t="shared" si="109"/>
        <v>21.113909398400533</v>
      </c>
      <c r="AA64" s="220"/>
      <c r="AB64" s="240">
        <f t="shared" si="110"/>
        <v>8.9714337957047807E-2</v>
      </c>
      <c r="AC64" s="240">
        <f t="shared" si="111"/>
        <v>2.0764798650136397E-2</v>
      </c>
      <c r="AD64" s="240">
        <f t="shared" si="112"/>
        <v>1.9131568994526543E-2</v>
      </c>
      <c r="AE64" s="240">
        <f t="shared" si="113"/>
        <v>1.0431790171553088E-2</v>
      </c>
      <c r="AF64" s="240">
        <f t="shared" si="114"/>
        <v>5.4555747529966878E-2</v>
      </c>
      <c r="AG64" s="240">
        <f t="shared" si="115"/>
        <v>0.19459824330323072</v>
      </c>
      <c r="AH64" s="43">
        <f t="shared" si="116"/>
        <v>146.01008502509532</v>
      </c>
      <c r="AI64" s="43">
        <f t="shared" si="117"/>
        <v>33.794709803096985</v>
      </c>
      <c r="AJ64" s="43">
        <f t="shared" si="118"/>
        <v>31.13662853859195</v>
      </c>
      <c r="AK64" s="43">
        <f t="shared" si="119"/>
        <v>16.977738504202648</v>
      </c>
      <c r="AL64" s="43">
        <f t="shared" si="120"/>
        <v>88.789479105021087</v>
      </c>
      <c r="AM64" s="43">
        <f t="shared" si="121"/>
        <v>316.70864097600798</v>
      </c>
      <c r="AN64" s="43">
        <f t="shared" si="122"/>
        <v>1752.1210203011437</v>
      </c>
      <c r="AO64" s="43">
        <f t="shared" si="123"/>
        <v>405.5365176371638</v>
      </c>
      <c r="AP64" s="43">
        <f t="shared" si="124"/>
        <v>373.6395424631034</v>
      </c>
      <c r="AQ64" s="43">
        <f t="shared" si="125"/>
        <v>203.73286205043178</v>
      </c>
      <c r="AR64" s="43">
        <f t="shared" si="126"/>
        <v>1065.473749260253</v>
      </c>
      <c r="AS64" s="43">
        <f t="shared" si="127"/>
        <v>3800.503691712096</v>
      </c>
    </row>
    <row r="65" spans="1:45" x14ac:dyDescent="0.2">
      <c r="A65" s="58" t="str">
        <f t="shared" si="128"/>
        <v>53E - Company Owned</v>
      </c>
      <c r="B65" s="21" t="s">
        <v>605</v>
      </c>
      <c r="C65" s="21" t="str">
        <f>'WP1 Light Inventory'!D66</f>
        <v>Sodium Vapor</v>
      </c>
      <c r="D65" s="21" t="str">
        <f>'WP1 Light Inventory'!E66</f>
        <v>SV 400</v>
      </c>
      <c r="E65" s="21">
        <f>'WP1 Light Inventory'!F66</f>
        <v>400</v>
      </c>
      <c r="F65" s="21" t="str">
        <f>'WP1 Light Inventory'!H66</f>
        <v>Company</v>
      </c>
      <c r="G65" s="397">
        <f>'WP1 Light Inventory'!J66</f>
        <v>884</v>
      </c>
      <c r="H65" s="74">
        <f>'WP9 Sodium Vapor Cost Est.'!$D$28</f>
        <v>1029.9100000000001</v>
      </c>
      <c r="I65" s="14" t="s">
        <v>133</v>
      </c>
      <c r="J65" s="19">
        <f>IF(C65="Light Emitting Diode",'WP10 O&amp;M Weighting Factor'!$B$26,IF('WP12 Condensed Sch. Level Costs'!C65="Sodium Vapor",'WP10 O&amp;M Weighting Factor'!$B$27,IF('WP12 Condensed Sch. Level Costs'!C65="Metal Halide",'WP10 O&amp;M Weighting Factor'!$B$28,IF('WP12 Condensed Sch. Level Costs'!C65="Mercury Vapor",'WP10 O&amp;M Weighting Factor'!$B$30,IF('WP12 Condensed Sch. Level Costs'!C65="Compact Flourescent",'WP10 O&amp;M Weighting Factor'!$B$29, IF(C65="Incandescent", 'WP10 O&amp;M Weighting Factor'!$B$31, 0))))))</f>
        <v>1</v>
      </c>
      <c r="K65" s="282">
        <f t="shared" si="100"/>
        <v>884</v>
      </c>
      <c r="L65" s="74">
        <f t="shared" si="101"/>
        <v>910440.44000000006</v>
      </c>
      <c r="M65" s="283">
        <f t="shared" si="102"/>
        <v>353.6</v>
      </c>
      <c r="N65" s="398">
        <f>'WP1 Light Inventory'!L66</f>
        <v>1485120</v>
      </c>
      <c r="O65" s="284">
        <f t="shared" si="103"/>
        <v>140</v>
      </c>
      <c r="P65" s="261">
        <f>'BDJ-6 Unitized Lighting Costs'!D$20</f>
        <v>1.0137794003499056E-2</v>
      </c>
      <c r="Q65" s="261">
        <f>'BDJ-6 Unitized Lighting Costs'!$D$43</f>
        <v>2.2529806535397991</v>
      </c>
      <c r="R65" s="261">
        <f>'BDJ-6 Unitized Lighting Costs'!D$69</f>
        <v>1.9131568994526543E-2</v>
      </c>
      <c r="S65" s="261">
        <f>'BDJ-6 Unitized Lighting Costs'!D$100</f>
        <v>3.6511265600435805</v>
      </c>
      <c r="T65" s="261">
        <f>'BDJ-6 Unitized Lighting Costs'!$D$117</f>
        <v>5.4555747529966878E-2</v>
      </c>
      <c r="U65" s="43">
        <f t="shared" si="104"/>
        <v>10.441015422143714</v>
      </c>
      <c r="V65" s="43">
        <f t="shared" si="105"/>
        <v>2.2529806535397991</v>
      </c>
      <c r="W65" s="43">
        <f t="shared" si="106"/>
        <v>2.6784196592337159</v>
      </c>
      <c r="X65" s="43">
        <f t="shared" si="107"/>
        <v>1.4604506240174322</v>
      </c>
      <c r="Y65" s="43">
        <f t="shared" si="108"/>
        <v>7.6378046541953628</v>
      </c>
      <c r="Z65" s="43">
        <f t="shared" si="109"/>
        <v>24.470671013130026</v>
      </c>
      <c r="AA65" s="220"/>
      <c r="AB65" s="240">
        <f t="shared" si="110"/>
        <v>7.4578681586740816E-2</v>
      </c>
      <c r="AC65" s="240">
        <f t="shared" si="111"/>
        <v>1.6092718953855709E-2</v>
      </c>
      <c r="AD65" s="240">
        <f t="shared" si="112"/>
        <v>1.9131568994526543E-2</v>
      </c>
      <c r="AE65" s="240">
        <f t="shared" si="113"/>
        <v>1.0431790171553088E-2</v>
      </c>
      <c r="AF65" s="240">
        <f t="shared" si="114"/>
        <v>5.4555747529966878E-2</v>
      </c>
      <c r="AG65" s="240">
        <f t="shared" si="115"/>
        <v>0.17479050723664302</v>
      </c>
      <c r="AH65" s="43">
        <f t="shared" si="116"/>
        <v>9229.8576331750428</v>
      </c>
      <c r="AI65" s="43">
        <f t="shared" si="117"/>
        <v>1991.6348977291825</v>
      </c>
      <c r="AJ65" s="43">
        <f t="shared" si="118"/>
        <v>2367.7229787626047</v>
      </c>
      <c r="AK65" s="43">
        <f t="shared" si="119"/>
        <v>1291.03835163141</v>
      </c>
      <c r="AL65" s="43">
        <f t="shared" si="120"/>
        <v>6751.819314308701</v>
      </c>
      <c r="AM65" s="43">
        <f t="shared" si="121"/>
        <v>21632.07317560694</v>
      </c>
      <c r="AN65" s="43">
        <f t="shared" si="122"/>
        <v>110758.29159810051</v>
      </c>
      <c r="AO65" s="43">
        <f t="shared" si="123"/>
        <v>23899.618772750189</v>
      </c>
      <c r="AP65" s="43">
        <f t="shared" si="124"/>
        <v>28412.675745151257</v>
      </c>
      <c r="AQ65" s="43">
        <f t="shared" si="125"/>
        <v>15492.46021957692</v>
      </c>
      <c r="AR65" s="43">
        <f t="shared" si="126"/>
        <v>81021.831771704412</v>
      </c>
      <c r="AS65" s="43">
        <f t="shared" si="127"/>
        <v>259584.87810728326</v>
      </c>
    </row>
    <row r="66" spans="1:45" x14ac:dyDescent="0.2">
      <c r="A66" s="58" t="str">
        <f t="shared" si="128"/>
        <v>53E - Company Owned</v>
      </c>
      <c r="B66" s="21" t="s">
        <v>605</v>
      </c>
      <c r="C66" s="21" t="str">
        <f>'WP1 Light Inventory'!D67</f>
        <v>Sodium Vapor</v>
      </c>
      <c r="D66" s="21" t="str">
        <f>'WP1 Light Inventory'!E67</f>
        <v>SV 1000</v>
      </c>
      <c r="E66" s="21">
        <f>'WP1 Light Inventory'!F67</f>
        <v>1000</v>
      </c>
      <c r="F66" s="21" t="str">
        <f>'WP1 Light Inventory'!H67</f>
        <v>Company</v>
      </c>
      <c r="G66" s="397">
        <f>'WP1 Light Inventory'!J67</f>
        <v>0</v>
      </c>
      <c r="H66" s="74">
        <f>'WP9 Sodium Vapor Cost Est.'!$D$29</f>
        <v>1277.1803163686384</v>
      </c>
      <c r="I66" s="14" t="s">
        <v>133</v>
      </c>
      <c r="J66" s="19">
        <f>IF(C66="Light Emitting Diode",'WP10 O&amp;M Weighting Factor'!$B$26,IF('WP12 Condensed Sch. Level Costs'!C66="Sodium Vapor",'WP10 O&amp;M Weighting Factor'!$B$27,IF('WP12 Condensed Sch. Level Costs'!C66="Metal Halide",'WP10 O&amp;M Weighting Factor'!$B$28,IF('WP12 Condensed Sch. Level Costs'!C66="Mercury Vapor",'WP10 O&amp;M Weighting Factor'!$B$30,IF('WP12 Condensed Sch. Level Costs'!C66="Compact Flourescent",'WP10 O&amp;M Weighting Factor'!$B$29, IF(C66="Incandescent", 'WP10 O&amp;M Weighting Factor'!$B$31, 0))))))</f>
        <v>1</v>
      </c>
      <c r="K66" s="282">
        <f t="shared" si="100"/>
        <v>0</v>
      </c>
      <c r="L66" s="74">
        <f t="shared" si="101"/>
        <v>0</v>
      </c>
      <c r="M66" s="283">
        <f t="shared" si="102"/>
        <v>0</v>
      </c>
      <c r="N66" s="398">
        <f>'WP1 Light Inventory'!L67</f>
        <v>0</v>
      </c>
      <c r="O66" s="284">
        <f t="shared" si="103"/>
        <v>350</v>
      </c>
      <c r="P66" s="261">
        <f>'BDJ-6 Unitized Lighting Costs'!D$20</f>
        <v>1.0137794003499056E-2</v>
      </c>
      <c r="Q66" s="261">
        <f>'BDJ-6 Unitized Lighting Costs'!$D$43</f>
        <v>2.2529806535397991</v>
      </c>
      <c r="R66" s="261">
        <f>'BDJ-6 Unitized Lighting Costs'!D$69</f>
        <v>1.9131568994526543E-2</v>
      </c>
      <c r="S66" s="261">
        <f>'BDJ-6 Unitized Lighting Costs'!D$100</f>
        <v>3.6511265600435805</v>
      </c>
      <c r="T66" s="261">
        <f>'BDJ-6 Unitized Lighting Costs'!$D$117</f>
        <v>5.4555747529966878E-2</v>
      </c>
      <c r="U66" s="43">
        <f t="shared" si="104"/>
        <v>12.947790952669008</v>
      </c>
      <c r="V66" s="43">
        <f t="shared" si="105"/>
        <v>2.2529806535397991</v>
      </c>
      <c r="W66" s="43">
        <f t="shared" si="106"/>
        <v>6.6960491480842901</v>
      </c>
      <c r="X66" s="43">
        <f t="shared" si="107"/>
        <v>3.6511265600435805</v>
      </c>
      <c r="Y66" s="43">
        <f t="shared" si="108"/>
        <v>19.094511635488406</v>
      </c>
      <c r="Z66" s="43">
        <f t="shared" si="109"/>
        <v>44.642458949825084</v>
      </c>
      <c r="AA66" s="220"/>
      <c r="AB66" s="240">
        <f t="shared" si="110"/>
        <v>3.6993688436197165E-2</v>
      </c>
      <c r="AC66" s="240">
        <f t="shared" si="111"/>
        <v>6.4370875815422833E-3</v>
      </c>
      <c r="AD66" s="240">
        <f t="shared" si="112"/>
        <v>1.9131568994526543E-2</v>
      </c>
      <c r="AE66" s="240">
        <f t="shared" si="113"/>
        <v>1.0431790171553088E-2</v>
      </c>
      <c r="AF66" s="240">
        <f t="shared" si="114"/>
        <v>5.4555747529966871E-2</v>
      </c>
      <c r="AG66" s="240">
        <f t="shared" si="115"/>
        <v>0.12754988271378595</v>
      </c>
      <c r="AH66" s="43">
        <f t="shared" si="116"/>
        <v>0</v>
      </c>
      <c r="AI66" s="43">
        <f t="shared" si="117"/>
        <v>0</v>
      </c>
      <c r="AJ66" s="43">
        <f t="shared" si="118"/>
        <v>0</v>
      </c>
      <c r="AK66" s="43">
        <f t="shared" si="119"/>
        <v>0</v>
      </c>
      <c r="AL66" s="43">
        <f t="shared" si="120"/>
        <v>0</v>
      </c>
      <c r="AM66" s="43">
        <f t="shared" si="121"/>
        <v>0</v>
      </c>
      <c r="AN66" s="43">
        <f t="shared" si="122"/>
        <v>0</v>
      </c>
      <c r="AO66" s="43">
        <f t="shared" si="123"/>
        <v>0</v>
      </c>
      <c r="AP66" s="43">
        <f t="shared" si="124"/>
        <v>0</v>
      </c>
      <c r="AQ66" s="43">
        <f t="shared" si="125"/>
        <v>0</v>
      </c>
      <c r="AR66" s="43">
        <f t="shared" si="126"/>
        <v>0</v>
      </c>
      <c r="AS66" s="43">
        <f t="shared" si="127"/>
        <v>0</v>
      </c>
    </row>
    <row r="67" spans="1:45" x14ac:dyDescent="0.2">
      <c r="A67" s="58"/>
      <c r="B67" s="22"/>
      <c r="C67" s="21"/>
      <c r="D67" s="18"/>
      <c r="E67" s="401"/>
      <c r="G67" s="399"/>
      <c r="K67" s="282"/>
      <c r="L67" s="74"/>
      <c r="AA67" s="220"/>
      <c r="AB67" s="240"/>
      <c r="AC67" s="240"/>
      <c r="AD67" s="240"/>
      <c r="AE67" s="240"/>
      <c r="AF67" s="240"/>
      <c r="AG67" s="240"/>
    </row>
    <row r="68" spans="1:45" x14ac:dyDescent="0.2">
      <c r="A68" s="58" t="str">
        <f>A65</f>
        <v>53E - Company Owned</v>
      </c>
      <c r="B68" s="22"/>
      <c r="C68" s="21" t="str">
        <f>'WP1 Light Inventory'!D69</f>
        <v>Metal Halide</v>
      </c>
      <c r="D68" s="21" t="str">
        <f>'WP1 Light Inventory'!E69</f>
        <v>MH 070</v>
      </c>
      <c r="E68" s="21">
        <f>'WP1 Light Inventory'!F69</f>
        <v>70</v>
      </c>
      <c r="F68" s="21" t="str">
        <f>'WP1 Light Inventory'!H69</f>
        <v>Company</v>
      </c>
      <c r="G68" s="397">
        <f>'WP1 Light Inventory'!J69</f>
        <v>0</v>
      </c>
      <c r="H68" s="74">
        <f>'WP8 Metal Halide Cost Est.'!$D$16</f>
        <v>804.13942857142865</v>
      </c>
      <c r="I68" s="14" t="s">
        <v>133</v>
      </c>
      <c r="J68" s="19">
        <f>IF(C68="Light Emitting Diode",'WP10 O&amp;M Weighting Factor'!$B$26,IF('WP12 Condensed Sch. Level Costs'!C68="Sodium Vapor",'WP10 O&amp;M Weighting Factor'!$B$27,IF('WP12 Condensed Sch. Level Costs'!C68="Metal Halide",'WP10 O&amp;M Weighting Factor'!$B$28,IF('WP12 Condensed Sch. Level Costs'!C68="Mercury Vapor",'WP10 O&amp;M Weighting Factor'!$B$30,IF('WP12 Condensed Sch. Level Costs'!C68="Compact Flourescent",'WP10 O&amp;M Weighting Factor'!$B$29, IF(C68="Incandescent", 'WP10 O&amp;M Weighting Factor'!$B$31, 0))))))</f>
        <v>2</v>
      </c>
      <c r="K68" s="282">
        <f>IF(I68="Yes",G68*J68,0)</f>
        <v>0</v>
      </c>
      <c r="L68" s="74">
        <f>IF(F68="Company", G68*H68,0)</f>
        <v>0</v>
      </c>
      <c r="M68" s="283">
        <f>E68*G68/1000</f>
        <v>0</v>
      </c>
      <c r="N68" s="398">
        <f>'WP1 Light Inventory'!L69</f>
        <v>0</v>
      </c>
      <c r="O68" s="284">
        <f>E68*4200/1000/12</f>
        <v>24.5</v>
      </c>
      <c r="P68" s="261">
        <f>'BDJ-6 Unitized Lighting Costs'!D$20</f>
        <v>1.0137794003499056E-2</v>
      </c>
      <c r="Q68" s="261">
        <f>'BDJ-6 Unitized Lighting Costs'!$D$43</f>
        <v>2.2529806535397991</v>
      </c>
      <c r="R68" s="261">
        <f>'BDJ-6 Unitized Lighting Costs'!D$69</f>
        <v>1.9131568994526543E-2</v>
      </c>
      <c r="S68" s="261">
        <f>'BDJ-6 Unitized Lighting Costs'!D$100</f>
        <v>3.6511265600435805</v>
      </c>
      <c r="T68" s="261">
        <f>'BDJ-6 Unitized Lighting Costs'!$D$117</f>
        <v>5.4555747529966878E-2</v>
      </c>
      <c r="U68" s="43">
        <f>IF(F68="Company", H68*P68, 0)</f>
        <v>8.1521998769485862</v>
      </c>
      <c r="V68" s="43">
        <f>IF(I68="yes", J68*Q68, 0)</f>
        <v>4.5059613070795983</v>
      </c>
      <c r="W68" s="43">
        <f>R68*O68</f>
        <v>0.4687234403659003</v>
      </c>
      <c r="X68" s="43">
        <f>E68*S68/1000</f>
        <v>0.25557885920305062</v>
      </c>
      <c r="Y68" s="43">
        <f>O68*T68</f>
        <v>1.3366158144841884</v>
      </c>
      <c r="Z68" s="43">
        <f>SUM(U68:Y68)</f>
        <v>14.719079298081324</v>
      </c>
      <c r="AA68" s="220"/>
      <c r="AB68" s="240">
        <f>IFERROR(U68/O68,0)</f>
        <v>0.33274285212035043</v>
      </c>
      <c r="AC68" s="240">
        <f>IFERROR(V68/O68,0)</f>
        <v>0.18391678804406525</v>
      </c>
      <c r="AD68" s="240">
        <f>IFERROR(W68/O68,0)</f>
        <v>1.9131568994526543E-2</v>
      </c>
      <c r="AE68" s="240">
        <f>IFERROR(X68/O68,0)</f>
        <v>1.0431790171553088E-2</v>
      </c>
      <c r="AF68" s="240">
        <f>IFERROR(Y68/O68,0)</f>
        <v>5.4555747529966878E-2</v>
      </c>
      <c r="AG68" s="240">
        <f>SUM(AB68:AF68)</f>
        <v>0.60077874686046207</v>
      </c>
      <c r="AH68" s="43">
        <f t="shared" ref="AH68:AL72" si="129">(U68*$G68)</f>
        <v>0</v>
      </c>
      <c r="AI68" s="43">
        <f t="shared" si="129"/>
        <v>0</v>
      </c>
      <c r="AJ68" s="43">
        <f t="shared" si="129"/>
        <v>0</v>
      </c>
      <c r="AK68" s="43">
        <f t="shared" si="129"/>
        <v>0</v>
      </c>
      <c r="AL68" s="43">
        <f t="shared" si="129"/>
        <v>0</v>
      </c>
      <c r="AM68" s="43">
        <f>SUM(AH68:AL68)</f>
        <v>0</v>
      </c>
      <c r="AN68" s="43">
        <f t="shared" ref="AN68:AS72" si="130">AH68*12</f>
        <v>0</v>
      </c>
      <c r="AO68" s="43">
        <f t="shared" si="130"/>
        <v>0</v>
      </c>
      <c r="AP68" s="43">
        <f t="shared" si="130"/>
        <v>0</v>
      </c>
      <c r="AQ68" s="43">
        <f t="shared" si="130"/>
        <v>0</v>
      </c>
      <c r="AR68" s="43">
        <f t="shared" si="130"/>
        <v>0</v>
      </c>
      <c r="AS68" s="43">
        <f t="shared" si="130"/>
        <v>0</v>
      </c>
    </row>
    <row r="69" spans="1:45" x14ac:dyDescent="0.2">
      <c r="A69" s="58" t="str">
        <f>+A68</f>
        <v>53E - Company Owned</v>
      </c>
      <c r="B69" s="22"/>
      <c r="C69" s="21" t="str">
        <f>'WP1 Light Inventory'!D70</f>
        <v>Metal Halide</v>
      </c>
      <c r="D69" s="21" t="str">
        <f>'WP1 Light Inventory'!E70</f>
        <v>MH 100</v>
      </c>
      <c r="E69" s="21">
        <f>'WP1 Light Inventory'!F70</f>
        <v>100</v>
      </c>
      <c r="F69" s="21" t="str">
        <f>'WP1 Light Inventory'!H70</f>
        <v>Company</v>
      </c>
      <c r="G69" s="397">
        <f>'WP1 Light Inventory'!J70</f>
        <v>0</v>
      </c>
      <c r="H69" s="74">
        <f>'WP8 Metal Halide Cost Est.'!$D$17</f>
        <v>817.88071428571436</v>
      </c>
      <c r="I69" s="14" t="s">
        <v>133</v>
      </c>
      <c r="J69" s="19">
        <f>IF(C69="Light Emitting Diode",'WP10 O&amp;M Weighting Factor'!$B$26,IF('WP12 Condensed Sch. Level Costs'!C69="Sodium Vapor",'WP10 O&amp;M Weighting Factor'!$B$27,IF('WP12 Condensed Sch. Level Costs'!C69="Metal Halide",'WP10 O&amp;M Weighting Factor'!$B$28,IF('WP12 Condensed Sch. Level Costs'!C69="Mercury Vapor",'WP10 O&amp;M Weighting Factor'!$B$30,IF('WP12 Condensed Sch. Level Costs'!C69="Compact Flourescent",'WP10 O&amp;M Weighting Factor'!$B$29, IF(C69="Incandescent", 'WP10 O&amp;M Weighting Factor'!$B$31, 0))))))</f>
        <v>2</v>
      </c>
      <c r="K69" s="282">
        <f>IF(I69="Yes",G69*J69,0)</f>
        <v>0</v>
      </c>
      <c r="L69" s="74">
        <f>IF(F69="Company", G69*H69,0)</f>
        <v>0</v>
      </c>
      <c r="M69" s="283">
        <f>E69*G69/1000</f>
        <v>0</v>
      </c>
      <c r="N69" s="398">
        <f>'WP1 Light Inventory'!L70</f>
        <v>0</v>
      </c>
      <c r="O69" s="284">
        <f>E69*4200/1000/12</f>
        <v>35</v>
      </c>
      <c r="P69" s="261">
        <f>'BDJ-6 Unitized Lighting Costs'!D$20</f>
        <v>1.0137794003499056E-2</v>
      </c>
      <c r="Q69" s="261">
        <f>'BDJ-6 Unitized Lighting Costs'!$D$43</f>
        <v>2.2529806535397991</v>
      </c>
      <c r="R69" s="261">
        <f>'BDJ-6 Unitized Lighting Costs'!D$69</f>
        <v>1.9131568994526543E-2</v>
      </c>
      <c r="S69" s="261">
        <f>'BDJ-6 Unitized Lighting Costs'!D$100</f>
        <v>3.6511265600435805</v>
      </c>
      <c r="T69" s="261">
        <f>'BDJ-6 Unitized Lighting Costs'!$D$117</f>
        <v>5.4555747529966878E-2</v>
      </c>
      <c r="U69" s="43">
        <f>IF(F69="Company", H69*P69, 0)</f>
        <v>8.291506200863239</v>
      </c>
      <c r="V69" s="43">
        <f>IF(I69="yes", J69*Q69, 0)</f>
        <v>4.5059613070795983</v>
      </c>
      <c r="W69" s="43">
        <f>R69*O69</f>
        <v>0.66960491480842899</v>
      </c>
      <c r="X69" s="43">
        <f>E69*S69/1000</f>
        <v>0.36511265600435805</v>
      </c>
      <c r="Y69" s="43">
        <f>O69*T69</f>
        <v>1.9094511635488407</v>
      </c>
      <c r="Z69" s="43">
        <f>SUM(U69:Y69)</f>
        <v>15.741636242304466</v>
      </c>
      <c r="AA69" s="220"/>
      <c r="AB69" s="240">
        <f>IFERROR(U69/O69,0)</f>
        <v>0.23690017716752113</v>
      </c>
      <c r="AC69" s="240">
        <f>IFERROR(V69/O69,0)</f>
        <v>0.12874175163084567</v>
      </c>
      <c r="AD69" s="240">
        <f>IFERROR(W69/O69,0)</f>
        <v>1.9131568994526543E-2</v>
      </c>
      <c r="AE69" s="240">
        <f>IFERROR(X69/O69,0)</f>
        <v>1.0431790171553088E-2</v>
      </c>
      <c r="AF69" s="240">
        <f>IFERROR(Y69/O69,0)</f>
        <v>5.4555747529966878E-2</v>
      </c>
      <c r="AG69" s="240">
        <f>SUM(AB69:AF69)</f>
        <v>0.44976103549441332</v>
      </c>
      <c r="AH69" s="43">
        <f t="shared" si="129"/>
        <v>0</v>
      </c>
      <c r="AI69" s="43">
        <f t="shared" si="129"/>
        <v>0</v>
      </c>
      <c r="AJ69" s="43">
        <f t="shared" si="129"/>
        <v>0</v>
      </c>
      <c r="AK69" s="43">
        <f t="shared" si="129"/>
        <v>0</v>
      </c>
      <c r="AL69" s="43">
        <f t="shared" si="129"/>
        <v>0</v>
      </c>
      <c r="AM69" s="43">
        <f>SUM(AH69:AL69)</f>
        <v>0</v>
      </c>
      <c r="AN69" s="43">
        <f t="shared" si="130"/>
        <v>0</v>
      </c>
      <c r="AO69" s="43">
        <f t="shared" si="130"/>
        <v>0</v>
      </c>
      <c r="AP69" s="43">
        <f t="shared" si="130"/>
        <v>0</v>
      </c>
      <c r="AQ69" s="43">
        <f t="shared" si="130"/>
        <v>0</v>
      </c>
      <c r="AR69" s="43">
        <f t="shared" si="130"/>
        <v>0</v>
      </c>
      <c r="AS69" s="43">
        <f t="shared" si="130"/>
        <v>0</v>
      </c>
    </row>
    <row r="70" spans="1:45" x14ac:dyDescent="0.2">
      <c r="A70" s="58" t="str">
        <f>+A69</f>
        <v>53E - Company Owned</v>
      </c>
      <c r="B70" s="22"/>
      <c r="C70" s="21" t="str">
        <f>'WP1 Light Inventory'!D71</f>
        <v>Metal Halide</v>
      </c>
      <c r="D70" s="21" t="str">
        <f>'WP1 Light Inventory'!E71</f>
        <v>MH 150</v>
      </c>
      <c r="E70" s="21">
        <f>'WP1 Light Inventory'!F71</f>
        <v>150</v>
      </c>
      <c r="F70" s="21" t="str">
        <f>'WP1 Light Inventory'!H71</f>
        <v>Company</v>
      </c>
      <c r="G70" s="397">
        <f>'WP1 Light Inventory'!J71</f>
        <v>0</v>
      </c>
      <c r="H70" s="74">
        <f>'WP8 Metal Halide Cost Est.'!$D$18</f>
        <v>840.78285714285721</v>
      </c>
      <c r="I70" s="14" t="s">
        <v>133</v>
      </c>
      <c r="J70" s="19">
        <f>IF(C70="Light Emitting Diode",'WP10 O&amp;M Weighting Factor'!$B$26,IF('WP12 Condensed Sch. Level Costs'!C70="Sodium Vapor",'WP10 O&amp;M Weighting Factor'!$B$27,IF('WP12 Condensed Sch. Level Costs'!C70="Metal Halide",'WP10 O&amp;M Weighting Factor'!$B$28,IF('WP12 Condensed Sch. Level Costs'!C70="Mercury Vapor",'WP10 O&amp;M Weighting Factor'!$B$30,IF('WP12 Condensed Sch. Level Costs'!C70="Compact Flourescent",'WP10 O&amp;M Weighting Factor'!$B$29, IF(C70="Incandescent", 'WP10 O&amp;M Weighting Factor'!$B$31, 0))))))</f>
        <v>2</v>
      </c>
      <c r="K70" s="282">
        <f>IF(I70="Yes",G70*J70,0)</f>
        <v>0</v>
      </c>
      <c r="L70" s="74">
        <f>IF(F70="Company", G70*H70,0)</f>
        <v>0</v>
      </c>
      <c r="M70" s="283">
        <f>E70*G70/1000</f>
        <v>0</v>
      </c>
      <c r="N70" s="398">
        <f>'WP1 Light Inventory'!L71</f>
        <v>0</v>
      </c>
      <c r="O70" s="284">
        <f>E70*4200/1000/12</f>
        <v>52.5</v>
      </c>
      <c r="P70" s="261">
        <f>'BDJ-6 Unitized Lighting Costs'!D$20</f>
        <v>1.0137794003499056E-2</v>
      </c>
      <c r="Q70" s="261">
        <f>'BDJ-6 Unitized Lighting Costs'!$D$43</f>
        <v>2.2529806535397991</v>
      </c>
      <c r="R70" s="261">
        <f>'BDJ-6 Unitized Lighting Costs'!D$69</f>
        <v>1.9131568994526543E-2</v>
      </c>
      <c r="S70" s="261">
        <f>'BDJ-6 Unitized Lighting Costs'!D$100</f>
        <v>3.6511265600435805</v>
      </c>
      <c r="T70" s="261">
        <f>'BDJ-6 Unitized Lighting Costs'!$D$117</f>
        <v>5.4555747529966878E-2</v>
      </c>
      <c r="U70" s="43">
        <f>IF(F70="Company", H70*P70, 0)</f>
        <v>8.5236834073876615</v>
      </c>
      <c r="V70" s="43">
        <f>IF(I70="yes", J70*Q70, 0)</f>
        <v>4.5059613070795983</v>
      </c>
      <c r="W70" s="43">
        <f>R70*O70</f>
        <v>1.0044073722126434</v>
      </c>
      <c r="X70" s="43">
        <f>E70*S70/1000</f>
        <v>0.54766898400653719</v>
      </c>
      <c r="Y70" s="43">
        <f>O70*T70</f>
        <v>2.8641767453232609</v>
      </c>
      <c r="Z70" s="43">
        <f>SUM(U70:Y70)</f>
        <v>17.445897816009701</v>
      </c>
      <c r="AA70" s="220"/>
      <c r="AB70" s="240">
        <f>IFERROR(U70/O70,0)</f>
        <v>0.16235587442643165</v>
      </c>
      <c r="AC70" s="240">
        <f>IFERROR(V70/O70,0)</f>
        <v>8.5827834420563784E-2</v>
      </c>
      <c r="AD70" s="240">
        <f>IFERROR(W70/O70,0)</f>
        <v>1.9131568994526543E-2</v>
      </c>
      <c r="AE70" s="240">
        <f>IFERROR(X70/O70,0)</f>
        <v>1.0431790171553089E-2</v>
      </c>
      <c r="AF70" s="240">
        <f>IFERROR(Y70/O70,0)</f>
        <v>5.4555747529966878E-2</v>
      </c>
      <c r="AG70" s="240">
        <f>SUM(AB70:AF70)</f>
        <v>0.33230281554304197</v>
      </c>
      <c r="AH70" s="43">
        <f t="shared" si="129"/>
        <v>0</v>
      </c>
      <c r="AI70" s="43">
        <f t="shared" si="129"/>
        <v>0</v>
      </c>
      <c r="AJ70" s="43">
        <f t="shared" si="129"/>
        <v>0</v>
      </c>
      <c r="AK70" s="43">
        <f t="shared" si="129"/>
        <v>0</v>
      </c>
      <c r="AL70" s="43">
        <f t="shared" si="129"/>
        <v>0</v>
      </c>
      <c r="AM70" s="43">
        <f>SUM(AH70:AL70)</f>
        <v>0</v>
      </c>
      <c r="AN70" s="43">
        <f t="shared" si="130"/>
        <v>0</v>
      </c>
      <c r="AO70" s="43">
        <f t="shared" si="130"/>
        <v>0</v>
      </c>
      <c r="AP70" s="43">
        <f t="shared" si="130"/>
        <v>0</v>
      </c>
      <c r="AQ70" s="43">
        <f t="shared" si="130"/>
        <v>0</v>
      </c>
      <c r="AR70" s="43">
        <f t="shared" si="130"/>
        <v>0</v>
      </c>
      <c r="AS70" s="43">
        <f t="shared" si="130"/>
        <v>0</v>
      </c>
    </row>
    <row r="71" spans="1:45" x14ac:dyDescent="0.2">
      <c r="A71" s="58" t="str">
        <f>A70</f>
        <v>53E - Company Owned</v>
      </c>
      <c r="B71" s="22"/>
      <c r="C71" s="21" t="str">
        <f>'WP1 Light Inventory'!D72</f>
        <v>Metal Halide</v>
      </c>
      <c r="D71" s="21" t="str">
        <f>'WP1 Light Inventory'!E72</f>
        <v>MH 250</v>
      </c>
      <c r="E71" s="21">
        <f>'WP1 Light Inventory'!F72</f>
        <v>250</v>
      </c>
      <c r="F71" s="21" t="str">
        <f>'WP1 Light Inventory'!H72</f>
        <v>Company</v>
      </c>
      <c r="G71" s="397">
        <f>'WP1 Light Inventory'!J72</f>
        <v>0</v>
      </c>
      <c r="H71" s="74">
        <f>'WP8 Metal Halide Cost Est.'!$D$20</f>
        <v>915.43</v>
      </c>
      <c r="I71" s="14" t="s">
        <v>133</v>
      </c>
      <c r="J71" s="19">
        <f>IF(C71="Light Emitting Diode",'WP10 O&amp;M Weighting Factor'!$B$26,IF('WP12 Condensed Sch. Level Costs'!C71="Sodium Vapor",'WP10 O&amp;M Weighting Factor'!$B$27,IF('WP12 Condensed Sch. Level Costs'!C71="Metal Halide",'WP10 O&amp;M Weighting Factor'!$B$28,IF('WP12 Condensed Sch. Level Costs'!C71="Mercury Vapor",'WP10 O&amp;M Weighting Factor'!$B$30,IF('WP12 Condensed Sch. Level Costs'!C71="Compact Flourescent",'WP10 O&amp;M Weighting Factor'!$B$29, IF(C71="Incandescent", 'WP10 O&amp;M Weighting Factor'!$B$31, 0))))))</f>
        <v>2</v>
      </c>
      <c r="K71" s="282">
        <f>IF(I71="Yes",G71*J71,0)</f>
        <v>0</v>
      </c>
      <c r="L71" s="74">
        <f>IF(F71="Company", G71*H71,0)</f>
        <v>0</v>
      </c>
      <c r="M71" s="283">
        <f>E71*G71/1000</f>
        <v>0</v>
      </c>
      <c r="N71" s="398">
        <f>'WP1 Light Inventory'!L72</f>
        <v>0</v>
      </c>
      <c r="O71" s="284">
        <f>E71*4200/1000/12</f>
        <v>87.5</v>
      </c>
      <c r="P71" s="261">
        <f>'BDJ-6 Unitized Lighting Costs'!D$20</f>
        <v>1.0137794003499056E-2</v>
      </c>
      <c r="Q71" s="261">
        <f>'BDJ-6 Unitized Lighting Costs'!$D$43</f>
        <v>2.2529806535397991</v>
      </c>
      <c r="R71" s="261">
        <f>'BDJ-6 Unitized Lighting Costs'!D$69</f>
        <v>1.9131568994526543E-2</v>
      </c>
      <c r="S71" s="261">
        <f>'BDJ-6 Unitized Lighting Costs'!D$100</f>
        <v>3.6511265600435805</v>
      </c>
      <c r="T71" s="261">
        <f>'BDJ-6 Unitized Lighting Costs'!$D$117</f>
        <v>5.4555747529966878E-2</v>
      </c>
      <c r="U71" s="43">
        <f>IF(F71="Company", H71*P71, 0)</f>
        <v>9.2804407646231404</v>
      </c>
      <c r="V71" s="43">
        <f>IF(I71="yes", J71*Q71, 0)</f>
        <v>4.5059613070795983</v>
      </c>
      <c r="W71" s="43">
        <f>R71*O71</f>
        <v>1.6740122870210725</v>
      </c>
      <c r="X71" s="43">
        <f>E71*S71/1000</f>
        <v>0.91278164001089512</v>
      </c>
      <c r="Y71" s="43">
        <f>O71*T71</f>
        <v>4.7736279088721014</v>
      </c>
      <c r="Z71" s="43">
        <f>SUM(U71:Y71)</f>
        <v>21.146823907606809</v>
      </c>
      <c r="AA71" s="220"/>
      <c r="AB71" s="240">
        <f>IFERROR(U71/O71,0)</f>
        <v>0.1060621801671216</v>
      </c>
      <c r="AC71" s="240">
        <f>IFERROR(V71/O71,0)</f>
        <v>5.1496700652338266E-2</v>
      </c>
      <c r="AD71" s="240">
        <f>IFERROR(W71/O71,0)</f>
        <v>1.9131568994526543E-2</v>
      </c>
      <c r="AE71" s="240">
        <f>IFERROR(X71/O71,0)</f>
        <v>1.0431790171553088E-2</v>
      </c>
      <c r="AF71" s="240">
        <f>IFERROR(Y71/O71,0)</f>
        <v>5.4555747529966871E-2</v>
      </c>
      <c r="AG71" s="240">
        <f>SUM(AB71:AF71)</f>
        <v>0.24167798751550637</v>
      </c>
      <c r="AH71" s="43">
        <f t="shared" si="129"/>
        <v>0</v>
      </c>
      <c r="AI71" s="43">
        <f t="shared" si="129"/>
        <v>0</v>
      </c>
      <c r="AJ71" s="43">
        <f t="shared" si="129"/>
        <v>0</v>
      </c>
      <c r="AK71" s="43">
        <f t="shared" si="129"/>
        <v>0</v>
      </c>
      <c r="AL71" s="43">
        <f t="shared" si="129"/>
        <v>0</v>
      </c>
      <c r="AM71" s="43">
        <f>SUM(AH71:AL71)</f>
        <v>0</v>
      </c>
      <c r="AN71" s="43">
        <f t="shared" si="130"/>
        <v>0</v>
      </c>
      <c r="AO71" s="43">
        <f t="shared" si="130"/>
        <v>0</v>
      </c>
      <c r="AP71" s="43">
        <f t="shared" si="130"/>
        <v>0</v>
      </c>
      <c r="AQ71" s="43">
        <f t="shared" si="130"/>
        <v>0</v>
      </c>
      <c r="AR71" s="43">
        <f t="shared" si="130"/>
        <v>0</v>
      </c>
      <c r="AS71" s="43">
        <f t="shared" si="130"/>
        <v>0</v>
      </c>
    </row>
    <row r="72" spans="1:45" x14ac:dyDescent="0.2">
      <c r="A72" s="58" t="str">
        <f>A71</f>
        <v>53E - Company Owned</v>
      </c>
      <c r="B72" s="22"/>
      <c r="C72" s="21" t="str">
        <f>'WP1 Light Inventory'!D72</f>
        <v>Metal Halide</v>
      </c>
      <c r="D72" s="21" t="str">
        <f>'WP1 Light Inventory'!E73</f>
        <v>MH 400</v>
      </c>
      <c r="E72" s="21">
        <f>'WP1 Light Inventory'!F73</f>
        <v>400</v>
      </c>
      <c r="F72" s="21" t="str">
        <f>'WP1 Light Inventory'!H73</f>
        <v>Company</v>
      </c>
      <c r="G72" s="397">
        <f>'WP1 Light Inventory'!J73</f>
        <v>0</v>
      </c>
      <c r="H72" s="74">
        <f>'WP8 Metal Halide Cost Est.'!$D$21</f>
        <v>919.24</v>
      </c>
      <c r="I72" s="14" t="s">
        <v>133</v>
      </c>
      <c r="J72" s="19">
        <f>IF(C72="Light Emitting Diode",'WP10 O&amp;M Weighting Factor'!$B$26,IF('WP12 Condensed Sch. Level Costs'!C72="Sodium Vapor",'WP10 O&amp;M Weighting Factor'!$B$27,IF('WP12 Condensed Sch. Level Costs'!C72="Metal Halide",'WP10 O&amp;M Weighting Factor'!$B$28,IF('WP12 Condensed Sch. Level Costs'!C72="Mercury Vapor",'WP10 O&amp;M Weighting Factor'!$B$30,IF('WP12 Condensed Sch. Level Costs'!C72="Compact Flourescent",'WP10 O&amp;M Weighting Factor'!$B$29, IF(C72="Incandescent", 'WP10 O&amp;M Weighting Factor'!$B$31, 0))))))</f>
        <v>2</v>
      </c>
      <c r="K72" s="282">
        <f>IF(I72="Yes",G72*J72,0)</f>
        <v>0</v>
      </c>
      <c r="L72" s="74">
        <f>IF(F72="Company", G72*H72,0)</f>
        <v>0</v>
      </c>
      <c r="M72" s="283">
        <f>E72*G72/1000</f>
        <v>0</v>
      </c>
      <c r="N72" s="398">
        <f>'WP1 Light Inventory'!L73</f>
        <v>0</v>
      </c>
      <c r="O72" s="284">
        <f>E72*4200/1000/12</f>
        <v>140</v>
      </c>
      <c r="P72" s="261">
        <f>'BDJ-6 Unitized Lighting Costs'!D$20</f>
        <v>1.0137794003499056E-2</v>
      </c>
      <c r="Q72" s="261">
        <f>'BDJ-6 Unitized Lighting Costs'!$D$43</f>
        <v>2.2529806535397991</v>
      </c>
      <c r="R72" s="261">
        <f>'BDJ-6 Unitized Lighting Costs'!D$69</f>
        <v>1.9131568994526543E-2</v>
      </c>
      <c r="S72" s="261">
        <f>'BDJ-6 Unitized Lighting Costs'!D$100</f>
        <v>3.6511265600435805</v>
      </c>
      <c r="T72" s="261">
        <f>'BDJ-6 Unitized Lighting Costs'!$D$117</f>
        <v>5.4555747529966878E-2</v>
      </c>
      <c r="U72" s="43">
        <f>IF(F72="Company", H72*P72, 0)</f>
        <v>9.3190657597764712</v>
      </c>
      <c r="V72" s="43">
        <f>IF(I72="yes", J72*Q72, 0)</f>
        <v>4.5059613070795983</v>
      </c>
      <c r="W72" s="43">
        <f>R72*O72</f>
        <v>2.6784196592337159</v>
      </c>
      <c r="X72" s="43">
        <f>E72*S72/1000</f>
        <v>1.4604506240174322</v>
      </c>
      <c r="Y72" s="43">
        <f>O72*T72</f>
        <v>7.6378046541953628</v>
      </c>
      <c r="Z72" s="43">
        <f>SUM(U72:Y72)</f>
        <v>25.601702004302581</v>
      </c>
      <c r="AA72" s="220"/>
      <c r="AB72" s="240">
        <f>IFERROR(U72/O72,0)</f>
        <v>6.6564755426974792E-2</v>
      </c>
      <c r="AC72" s="240">
        <f>IFERROR(V72/O72,0)</f>
        <v>3.2185437907711417E-2</v>
      </c>
      <c r="AD72" s="240">
        <f>IFERROR(W72/O72,0)</f>
        <v>1.9131568994526543E-2</v>
      </c>
      <c r="AE72" s="240">
        <f>IFERROR(X72/O72,0)</f>
        <v>1.0431790171553088E-2</v>
      </c>
      <c r="AF72" s="240">
        <f>IFERROR(Y72/O72,0)</f>
        <v>5.4555747529966878E-2</v>
      </c>
      <c r="AG72" s="240">
        <f>SUM(AB72:AF72)</f>
        <v>0.18286930003073271</v>
      </c>
      <c r="AH72" s="43">
        <f t="shared" si="129"/>
        <v>0</v>
      </c>
      <c r="AI72" s="43">
        <f t="shared" si="129"/>
        <v>0</v>
      </c>
      <c r="AJ72" s="43">
        <f t="shared" si="129"/>
        <v>0</v>
      </c>
      <c r="AK72" s="43">
        <f t="shared" si="129"/>
        <v>0</v>
      </c>
      <c r="AL72" s="43">
        <f t="shared" si="129"/>
        <v>0</v>
      </c>
      <c r="AM72" s="43">
        <f>SUM(AH72:AL72)</f>
        <v>0</v>
      </c>
      <c r="AN72" s="43">
        <f t="shared" si="130"/>
        <v>0</v>
      </c>
      <c r="AO72" s="43">
        <f t="shared" si="130"/>
        <v>0</v>
      </c>
      <c r="AP72" s="43">
        <f t="shared" si="130"/>
        <v>0</v>
      </c>
      <c r="AQ72" s="43">
        <f t="shared" si="130"/>
        <v>0</v>
      </c>
      <c r="AR72" s="43">
        <f t="shared" si="130"/>
        <v>0</v>
      </c>
      <c r="AS72" s="43">
        <f t="shared" si="130"/>
        <v>0</v>
      </c>
    </row>
    <row r="73" spans="1:45" x14ac:dyDescent="0.2">
      <c r="A73" s="58"/>
      <c r="B73" s="22"/>
      <c r="C73" s="47"/>
      <c r="D73" s="18"/>
      <c r="E73" s="401"/>
      <c r="G73" s="399"/>
      <c r="K73" s="282"/>
      <c r="L73" s="74"/>
      <c r="AA73" s="220"/>
      <c r="AB73" s="240"/>
      <c r="AC73" s="240"/>
      <c r="AD73" s="240"/>
      <c r="AE73" s="240"/>
      <c r="AF73" s="240"/>
      <c r="AG73" s="240"/>
    </row>
    <row r="74" spans="1:45" x14ac:dyDescent="0.2">
      <c r="A74" s="58" t="s">
        <v>68</v>
      </c>
      <c r="B74" s="22" t="s">
        <v>925</v>
      </c>
      <c r="C74" s="21" t="str">
        <f>'WP1 Light Inventory'!D75</f>
        <v>Light Emitting Diode</v>
      </c>
      <c r="D74" s="21" t="str">
        <f>'WP1 Light Inventory'!E75</f>
        <v>LED 0-030</v>
      </c>
      <c r="E74" s="21">
        <f>'WP1 Light Inventory'!F75</f>
        <v>15</v>
      </c>
      <c r="F74" s="21" t="str">
        <f>'WP1 Light Inventory'!H75</f>
        <v>Company</v>
      </c>
      <c r="G74" s="397">
        <f>'WP1 Light Inventory'!J75</f>
        <v>0</v>
      </c>
      <c r="H74" s="74">
        <f>'WP7 Condensed LED Cost Est.'!$C10</f>
        <v>875.41268444011189</v>
      </c>
      <c r="I74" s="14" t="s">
        <v>133</v>
      </c>
      <c r="J74" s="19">
        <f>IF(C74="Light Emitting Diode",'WP10 O&amp;M Weighting Factor'!$B$26,IF('WP12 Condensed Sch. Level Costs'!C74="Sodium Vapor",'WP10 O&amp;M Weighting Factor'!$B$27,IF('WP12 Condensed Sch. Level Costs'!C74="Metal Halide",'WP10 O&amp;M Weighting Factor'!$B$28,IF('WP12 Condensed Sch. Level Costs'!C74="Mercury Vapor",'WP10 O&amp;M Weighting Factor'!$B$30,IF('WP12 Condensed Sch. Level Costs'!C74="Compact Flourescent",'WP10 O&amp;M Weighting Factor'!$B$29, IF(C74="Incandescent", 'WP10 O&amp;M Weighting Factor'!$B$31, 0))))))</f>
        <v>0.2</v>
      </c>
      <c r="K74" s="282">
        <f t="shared" ref="K74:K83" si="131">IF(I74="Yes",G74*J74,0)</f>
        <v>0</v>
      </c>
      <c r="L74" s="74">
        <f t="shared" ref="L74:L83" si="132">IF(F74="Company", G74*H74,0)</f>
        <v>0</v>
      </c>
      <c r="M74" s="283">
        <f t="shared" ref="M74:M83" si="133">E74*G74/1000</f>
        <v>0</v>
      </c>
      <c r="N74" s="398">
        <f>'WP1 Light Inventory'!L75</f>
        <v>0</v>
      </c>
      <c r="O74" s="284">
        <f t="shared" ref="O74:O83" si="134">E74*4200/1000/12</f>
        <v>5.25</v>
      </c>
      <c r="P74" s="261">
        <f>'BDJ-6 Unitized Lighting Costs'!D$20</f>
        <v>1.0137794003499056E-2</v>
      </c>
      <c r="Q74" s="261">
        <f>'BDJ-6 Unitized Lighting Costs'!$D$43</f>
        <v>2.2529806535397991</v>
      </c>
      <c r="R74" s="261">
        <f>'BDJ-6 Unitized Lighting Costs'!D$69</f>
        <v>1.9131568994526543E-2</v>
      </c>
      <c r="S74" s="261">
        <f>'BDJ-6 Unitized Lighting Costs'!D$100</f>
        <v>3.6511265600435805</v>
      </c>
      <c r="T74" s="261">
        <f>'BDJ-6 Unitized Lighting Costs'!$D$117</f>
        <v>5.4555747529966878E-2</v>
      </c>
      <c r="U74" s="43">
        <f t="shared" ref="U74:U83" si="135">IF(F74="Company", H74*P74, 0)</f>
        <v>8.8747534629039766</v>
      </c>
      <c r="V74" s="43">
        <f t="shared" ref="V74:V83" si="136">IF(I74="yes", J74*Q74, 0)</f>
        <v>0.45059613070795984</v>
      </c>
      <c r="W74" s="43">
        <f t="shared" ref="W74:W83" si="137">R74*O74</f>
        <v>0.10044073722126434</v>
      </c>
      <c r="X74" s="43">
        <f t="shared" ref="X74:X83" si="138">E74*S74/1000</f>
        <v>5.4766898400653706E-2</v>
      </c>
      <c r="Y74" s="43">
        <f t="shared" ref="Y74:Y83" si="139">O74*T74</f>
        <v>0.28641767453232608</v>
      </c>
      <c r="Z74" s="43">
        <f t="shared" ref="Z74:Z83" si="140">SUM(U74:Y74)</f>
        <v>9.7669749037661795</v>
      </c>
      <c r="AA74" s="220"/>
      <c r="AB74" s="240">
        <f t="shared" ref="AB74:AB83" si="141">IFERROR(U74/O74,0)</f>
        <v>1.690429231029329</v>
      </c>
      <c r="AC74" s="240">
        <f t="shared" ref="AC74:AC83" si="142">IFERROR(V74/O74,0)</f>
        <v>8.5827834420563784E-2</v>
      </c>
      <c r="AD74" s="240">
        <f t="shared" ref="AD74:AD83" si="143">IFERROR(W74/O74,0)</f>
        <v>1.9131568994526543E-2</v>
      </c>
      <c r="AE74" s="240">
        <f t="shared" ref="AE74:AE83" si="144">IFERROR(X74/O74,0)</f>
        <v>1.0431790171553088E-2</v>
      </c>
      <c r="AF74" s="240">
        <f t="shared" ref="AF74:AF83" si="145">IFERROR(Y74/O74,0)</f>
        <v>5.4555747529966871E-2</v>
      </c>
      <c r="AG74" s="240">
        <f t="shared" ref="AG74:AG83" si="146">SUM(AB74:AF74)</f>
        <v>1.8603761721459395</v>
      </c>
      <c r="AH74" s="43">
        <f t="shared" ref="AH74:AH83" si="147">(U74*$G74)</f>
        <v>0</v>
      </c>
      <c r="AI74" s="43">
        <f t="shared" ref="AI74:AI83" si="148">(V74*$G74)</f>
        <v>0</v>
      </c>
      <c r="AJ74" s="43">
        <f t="shared" ref="AJ74:AJ83" si="149">(W74*$G74)</f>
        <v>0</v>
      </c>
      <c r="AK74" s="43">
        <f t="shared" ref="AK74:AK83" si="150">(X74*$G74)</f>
        <v>0</v>
      </c>
      <c r="AL74" s="43">
        <f t="shared" ref="AL74:AL83" si="151">(Y74*$G74)</f>
        <v>0</v>
      </c>
      <c r="AM74" s="43">
        <f t="shared" ref="AM74:AM83" si="152">SUM(AH74:AL74)</f>
        <v>0</v>
      </c>
      <c r="AN74" s="43">
        <f t="shared" ref="AN74:AN83" si="153">AH74*12</f>
        <v>0</v>
      </c>
      <c r="AO74" s="43">
        <f t="shared" ref="AO74:AO83" si="154">AI74*12</f>
        <v>0</v>
      </c>
      <c r="AP74" s="43">
        <f t="shared" ref="AP74:AP83" si="155">AJ74*12</f>
        <v>0</v>
      </c>
      <c r="AQ74" s="43">
        <f t="shared" ref="AQ74:AQ83" si="156">AK74*12</f>
        <v>0</v>
      </c>
      <c r="AR74" s="43">
        <f t="shared" ref="AR74:AR83" si="157">AL74*12</f>
        <v>0</v>
      </c>
      <c r="AS74" s="43">
        <f t="shared" ref="AS74:AS83" si="158">AM74*12</f>
        <v>0</v>
      </c>
    </row>
    <row r="75" spans="1:45" x14ac:dyDescent="0.2">
      <c r="A75" s="58" t="str">
        <f>A72</f>
        <v>53E - Company Owned</v>
      </c>
      <c r="B75" s="22"/>
      <c r="C75" s="21" t="str">
        <f>'WP1 Light Inventory'!D76</f>
        <v>Light Emitting Diode</v>
      </c>
      <c r="D75" s="21" t="str">
        <f>'WP1 Light Inventory'!E76</f>
        <v>LED 030.01-060</v>
      </c>
      <c r="E75" s="21">
        <f>'WP1 Light Inventory'!F76</f>
        <v>45</v>
      </c>
      <c r="F75" s="21" t="str">
        <f>'WP1 Light Inventory'!H76</f>
        <v>Company</v>
      </c>
      <c r="G75" s="397">
        <f>'WP1 Light Inventory'!J76</f>
        <v>21897</v>
      </c>
      <c r="H75" s="74">
        <f>'WP7 Condensed LED Cost Est.'!$C11</f>
        <v>870.45377419354838</v>
      </c>
      <c r="I75" s="14" t="s">
        <v>133</v>
      </c>
      <c r="J75" s="19">
        <f>IF(C75="Light Emitting Diode",'WP10 O&amp;M Weighting Factor'!$B$26,IF('WP12 Condensed Sch. Level Costs'!C75="Sodium Vapor",'WP10 O&amp;M Weighting Factor'!$B$27,IF('WP12 Condensed Sch. Level Costs'!C75="Metal Halide",'WP10 O&amp;M Weighting Factor'!$B$28,IF('WP12 Condensed Sch. Level Costs'!C75="Mercury Vapor",'WP10 O&amp;M Weighting Factor'!$B$30,IF('WP12 Condensed Sch. Level Costs'!C75="Compact Flourescent",'WP10 O&amp;M Weighting Factor'!$B$29, IF(C75="Incandescent", 'WP10 O&amp;M Weighting Factor'!$B$31, 0))))))</f>
        <v>0.2</v>
      </c>
      <c r="K75" s="282">
        <f t="shared" si="131"/>
        <v>4379.4000000000005</v>
      </c>
      <c r="L75" s="74">
        <f t="shared" si="132"/>
        <v>19060326.293516129</v>
      </c>
      <c r="M75" s="283">
        <f t="shared" si="133"/>
        <v>985.36500000000001</v>
      </c>
      <c r="N75" s="398">
        <f>'WP1 Light Inventory'!L76</f>
        <v>4138533</v>
      </c>
      <c r="O75" s="284">
        <f t="shared" si="134"/>
        <v>15.75</v>
      </c>
      <c r="P75" s="261">
        <f>'BDJ-6 Unitized Lighting Costs'!D$20</f>
        <v>1.0137794003499056E-2</v>
      </c>
      <c r="Q75" s="261">
        <f>'BDJ-6 Unitized Lighting Costs'!$D$43</f>
        <v>2.2529806535397991</v>
      </c>
      <c r="R75" s="261">
        <f>'BDJ-6 Unitized Lighting Costs'!D$69</f>
        <v>1.9131568994526543E-2</v>
      </c>
      <c r="S75" s="261">
        <f>'BDJ-6 Unitized Lighting Costs'!D$100</f>
        <v>3.6511265600435805</v>
      </c>
      <c r="T75" s="261">
        <f>'BDJ-6 Unitized Lighting Costs'!$D$117</f>
        <v>5.4555747529966878E-2</v>
      </c>
      <c r="U75" s="43">
        <f t="shared" si="135"/>
        <v>8.8244810523424757</v>
      </c>
      <c r="V75" s="43">
        <f t="shared" si="136"/>
        <v>0.45059613070795984</v>
      </c>
      <c r="W75" s="43">
        <f t="shared" si="137"/>
        <v>0.30132221166379303</v>
      </c>
      <c r="X75" s="43">
        <f t="shared" si="138"/>
        <v>0.16430069520196114</v>
      </c>
      <c r="Y75" s="43">
        <f t="shared" si="139"/>
        <v>0.8592530235969783</v>
      </c>
      <c r="Z75" s="43">
        <f t="shared" si="140"/>
        <v>10.599953113513166</v>
      </c>
      <c r="AA75" s="220"/>
      <c r="AB75" s="240">
        <f t="shared" si="141"/>
        <v>0.56028451125983969</v>
      </c>
      <c r="AC75" s="240">
        <f t="shared" si="142"/>
        <v>2.8609278140187926E-2</v>
      </c>
      <c r="AD75" s="240">
        <f t="shared" si="143"/>
        <v>1.9131568994526543E-2</v>
      </c>
      <c r="AE75" s="240">
        <f t="shared" si="144"/>
        <v>1.0431790171553088E-2</v>
      </c>
      <c r="AF75" s="240">
        <f t="shared" si="145"/>
        <v>5.4555747529966878E-2</v>
      </c>
      <c r="AG75" s="240">
        <f t="shared" si="146"/>
        <v>0.67301289609607395</v>
      </c>
      <c r="AH75" s="43">
        <f t="shared" si="147"/>
        <v>193229.66160314318</v>
      </c>
      <c r="AI75" s="43">
        <f t="shared" si="148"/>
        <v>9866.703474112197</v>
      </c>
      <c r="AJ75" s="43">
        <f t="shared" si="149"/>
        <v>6598.052468802076</v>
      </c>
      <c r="AK75" s="43">
        <f t="shared" si="150"/>
        <v>3597.692322837343</v>
      </c>
      <c r="AL75" s="43">
        <f t="shared" si="151"/>
        <v>18815.063457703032</v>
      </c>
      <c r="AM75" s="43">
        <f t="shared" si="152"/>
        <v>232107.17332659784</v>
      </c>
      <c r="AN75" s="43">
        <f t="shared" si="153"/>
        <v>2318755.939237718</v>
      </c>
      <c r="AO75" s="43">
        <f t="shared" si="154"/>
        <v>118400.44168934636</v>
      </c>
      <c r="AP75" s="43">
        <f t="shared" si="155"/>
        <v>79176.629625624919</v>
      </c>
      <c r="AQ75" s="43">
        <f t="shared" si="156"/>
        <v>43172.307874048114</v>
      </c>
      <c r="AR75" s="43">
        <f t="shared" si="157"/>
        <v>225780.7614924364</v>
      </c>
      <c r="AS75" s="43">
        <f t="shared" si="158"/>
        <v>2785286.0799191743</v>
      </c>
    </row>
    <row r="76" spans="1:45" x14ac:dyDescent="0.2">
      <c r="A76" s="58" t="str">
        <f t="shared" ref="A76:A83" si="159">A75</f>
        <v>53E - Company Owned</v>
      </c>
      <c r="B76" s="22"/>
      <c r="C76" s="21" t="str">
        <f>'WP1 Light Inventory'!D77</f>
        <v>Light Emitting Diode</v>
      </c>
      <c r="D76" s="21" t="str">
        <f>'WP1 Light Inventory'!E77</f>
        <v>LED 060.01-090</v>
      </c>
      <c r="E76" s="21">
        <f>'WP1 Light Inventory'!F77</f>
        <v>75</v>
      </c>
      <c r="F76" s="21" t="str">
        <f>'WP1 Light Inventory'!H77</f>
        <v>Company</v>
      </c>
      <c r="G76" s="397">
        <f>'WP1 Light Inventory'!J77</f>
        <v>430</v>
      </c>
      <c r="H76" s="74">
        <f>'WP7 Condensed LED Cost Est.'!$C12</f>
        <v>851.13228571428579</v>
      </c>
      <c r="I76" s="14" t="s">
        <v>133</v>
      </c>
      <c r="J76" s="19">
        <f>IF(C76="Light Emitting Diode",'WP10 O&amp;M Weighting Factor'!$B$26,IF('WP12 Condensed Sch. Level Costs'!C76="Sodium Vapor",'WP10 O&amp;M Weighting Factor'!$B$27,IF('WP12 Condensed Sch. Level Costs'!C76="Metal Halide",'WP10 O&amp;M Weighting Factor'!$B$28,IF('WP12 Condensed Sch. Level Costs'!C76="Mercury Vapor",'WP10 O&amp;M Weighting Factor'!$B$30,IF('WP12 Condensed Sch. Level Costs'!C76="Compact Flourescent",'WP10 O&amp;M Weighting Factor'!$B$29, IF(C76="Incandescent", 'WP10 O&amp;M Weighting Factor'!$B$31, 0))))))</f>
        <v>0.2</v>
      </c>
      <c r="K76" s="282">
        <f t="shared" si="131"/>
        <v>86</v>
      </c>
      <c r="L76" s="74">
        <f t="shared" si="132"/>
        <v>365986.88285714289</v>
      </c>
      <c r="M76" s="283">
        <f t="shared" si="133"/>
        <v>32.25</v>
      </c>
      <c r="N76" s="398">
        <f>'WP1 Light Inventory'!L77</f>
        <v>135450</v>
      </c>
      <c r="O76" s="284">
        <f t="shared" si="134"/>
        <v>26.25</v>
      </c>
      <c r="P76" s="261">
        <f>'BDJ-6 Unitized Lighting Costs'!D$20</f>
        <v>1.0137794003499056E-2</v>
      </c>
      <c r="Q76" s="261">
        <f>'BDJ-6 Unitized Lighting Costs'!$D$43</f>
        <v>2.2529806535397991</v>
      </c>
      <c r="R76" s="261">
        <f>'BDJ-6 Unitized Lighting Costs'!D$69</f>
        <v>1.9131568994526543E-2</v>
      </c>
      <c r="S76" s="261">
        <f>'BDJ-6 Unitized Lighting Costs'!D$100</f>
        <v>3.6511265600435805</v>
      </c>
      <c r="T76" s="261">
        <f>'BDJ-6 Unitized Lighting Costs'!$D$117</f>
        <v>5.4555747529966878E-2</v>
      </c>
      <c r="U76" s="43">
        <f t="shared" si="135"/>
        <v>8.6286037822987307</v>
      </c>
      <c r="V76" s="43">
        <f t="shared" si="136"/>
        <v>0.45059613070795984</v>
      </c>
      <c r="W76" s="43">
        <f t="shared" si="137"/>
        <v>0.50220368610632171</v>
      </c>
      <c r="X76" s="43">
        <f t="shared" si="138"/>
        <v>0.27383449200326859</v>
      </c>
      <c r="Y76" s="43">
        <f t="shared" si="139"/>
        <v>1.4320883726616305</v>
      </c>
      <c r="Z76" s="43">
        <f t="shared" si="140"/>
        <v>11.28732646377791</v>
      </c>
      <c r="AA76" s="220"/>
      <c r="AB76" s="240">
        <f t="shared" si="141"/>
        <v>0.32870871551614211</v>
      </c>
      <c r="AC76" s="240">
        <f t="shared" si="142"/>
        <v>1.7165566884112755E-2</v>
      </c>
      <c r="AD76" s="240">
        <f t="shared" si="143"/>
        <v>1.9131568994526543E-2</v>
      </c>
      <c r="AE76" s="240">
        <f t="shared" si="144"/>
        <v>1.0431790171553089E-2</v>
      </c>
      <c r="AF76" s="240">
        <f t="shared" si="145"/>
        <v>5.4555747529966878E-2</v>
      </c>
      <c r="AG76" s="240">
        <f t="shared" si="146"/>
        <v>0.42999338909630141</v>
      </c>
      <c r="AH76" s="43">
        <f t="shared" si="147"/>
        <v>3710.2996263884543</v>
      </c>
      <c r="AI76" s="43">
        <f t="shared" si="148"/>
        <v>193.75633620442272</v>
      </c>
      <c r="AJ76" s="43">
        <f t="shared" si="149"/>
        <v>215.94758502571833</v>
      </c>
      <c r="AK76" s="43">
        <f t="shared" si="150"/>
        <v>117.7488315614055</v>
      </c>
      <c r="AL76" s="43">
        <f t="shared" si="151"/>
        <v>615.79800024450105</v>
      </c>
      <c r="AM76" s="43">
        <f t="shared" si="152"/>
        <v>4853.5503794245024</v>
      </c>
      <c r="AN76" s="43">
        <f t="shared" si="153"/>
        <v>44523.595516661451</v>
      </c>
      <c r="AO76" s="43">
        <f t="shared" si="154"/>
        <v>2325.0760344530727</v>
      </c>
      <c r="AP76" s="43">
        <f t="shared" si="155"/>
        <v>2591.3710203086198</v>
      </c>
      <c r="AQ76" s="43">
        <f t="shared" si="156"/>
        <v>1412.9859787368659</v>
      </c>
      <c r="AR76" s="43">
        <f t="shared" si="157"/>
        <v>7389.5760029340126</v>
      </c>
      <c r="AS76" s="43">
        <f t="shared" si="158"/>
        <v>58242.604553094032</v>
      </c>
    </row>
    <row r="77" spans="1:45" x14ac:dyDescent="0.2">
      <c r="A77" s="58" t="str">
        <f t="shared" si="159"/>
        <v>53E - Company Owned</v>
      </c>
      <c r="B77" s="22"/>
      <c r="C77" s="21" t="str">
        <f>'WP1 Light Inventory'!D78</f>
        <v>Light Emitting Diode</v>
      </c>
      <c r="D77" s="21" t="str">
        <f>'WP1 Light Inventory'!E78</f>
        <v>LED 090.01-120</v>
      </c>
      <c r="E77" s="21">
        <f>'WP1 Light Inventory'!F78</f>
        <v>105</v>
      </c>
      <c r="F77" s="21" t="str">
        <f>'WP1 Light Inventory'!H78</f>
        <v>Company</v>
      </c>
      <c r="G77" s="397">
        <f>'WP1 Light Inventory'!J78</f>
        <v>2478</v>
      </c>
      <c r="H77" s="74">
        <f>'WP7 Condensed LED Cost Est.'!$C13</f>
        <v>910.30015384615376</v>
      </c>
      <c r="I77" s="14" t="s">
        <v>133</v>
      </c>
      <c r="J77" s="19">
        <f>IF(C77="Light Emitting Diode",'WP10 O&amp;M Weighting Factor'!$B$26,IF('WP12 Condensed Sch. Level Costs'!C77="Sodium Vapor",'WP10 O&amp;M Weighting Factor'!$B$27,IF('WP12 Condensed Sch. Level Costs'!C77="Metal Halide",'WP10 O&amp;M Weighting Factor'!$B$28,IF('WP12 Condensed Sch. Level Costs'!C77="Mercury Vapor",'WP10 O&amp;M Weighting Factor'!$B$30,IF('WP12 Condensed Sch. Level Costs'!C77="Compact Flourescent",'WP10 O&amp;M Weighting Factor'!$B$29, IF(C77="Incandescent", 'WP10 O&amp;M Weighting Factor'!$B$31, 0))))))</f>
        <v>0.2</v>
      </c>
      <c r="K77" s="282">
        <f t="shared" si="131"/>
        <v>495.6</v>
      </c>
      <c r="L77" s="74">
        <f t="shared" si="132"/>
        <v>2255723.7812307691</v>
      </c>
      <c r="M77" s="283">
        <f t="shared" si="133"/>
        <v>260.19</v>
      </c>
      <c r="N77" s="398">
        <f>'WP1 Light Inventory'!L78</f>
        <v>1092798</v>
      </c>
      <c r="O77" s="284">
        <f t="shared" si="134"/>
        <v>36.75</v>
      </c>
      <c r="P77" s="261">
        <f>'BDJ-6 Unitized Lighting Costs'!D$20</f>
        <v>1.0137794003499056E-2</v>
      </c>
      <c r="Q77" s="261">
        <f>'BDJ-6 Unitized Lighting Costs'!$D$43</f>
        <v>2.2529806535397991</v>
      </c>
      <c r="R77" s="261">
        <f>'BDJ-6 Unitized Lighting Costs'!D$69</f>
        <v>1.9131568994526543E-2</v>
      </c>
      <c r="S77" s="261">
        <f>'BDJ-6 Unitized Lighting Costs'!D$100</f>
        <v>3.6511265600435805</v>
      </c>
      <c r="T77" s="261">
        <f>'BDJ-6 Unitized Lighting Costs'!$D$117</f>
        <v>5.4555747529966878E-2</v>
      </c>
      <c r="U77" s="43">
        <f t="shared" si="135"/>
        <v>9.2284354410458054</v>
      </c>
      <c r="V77" s="43">
        <f t="shared" si="136"/>
        <v>0.45059613070795984</v>
      </c>
      <c r="W77" s="43">
        <f t="shared" si="137"/>
        <v>0.7030851605488504</v>
      </c>
      <c r="X77" s="43">
        <f t="shared" si="138"/>
        <v>0.38336828880457596</v>
      </c>
      <c r="Y77" s="43">
        <f t="shared" si="139"/>
        <v>2.004923721726283</v>
      </c>
      <c r="Z77" s="43">
        <f t="shared" si="140"/>
        <v>12.770408742833474</v>
      </c>
      <c r="AA77" s="220"/>
      <c r="AB77" s="240">
        <f t="shared" si="141"/>
        <v>0.25111388955226682</v>
      </c>
      <c r="AC77" s="240">
        <f t="shared" si="142"/>
        <v>1.2261119202937683E-2</v>
      </c>
      <c r="AD77" s="240">
        <f t="shared" si="143"/>
        <v>1.9131568994526543E-2</v>
      </c>
      <c r="AE77" s="240">
        <f t="shared" si="144"/>
        <v>1.0431790171553088E-2</v>
      </c>
      <c r="AF77" s="240">
        <f t="shared" si="145"/>
        <v>5.4555747529966885E-2</v>
      </c>
      <c r="AG77" s="240">
        <f t="shared" si="146"/>
        <v>0.34749411545125108</v>
      </c>
      <c r="AH77" s="43">
        <f t="shared" si="147"/>
        <v>22868.063022911505</v>
      </c>
      <c r="AI77" s="43">
        <f t="shared" si="148"/>
        <v>1116.5772118943246</v>
      </c>
      <c r="AJ77" s="43">
        <f t="shared" si="149"/>
        <v>1742.2450278400513</v>
      </c>
      <c r="AK77" s="43">
        <f t="shared" si="150"/>
        <v>949.9866196577392</v>
      </c>
      <c r="AL77" s="43">
        <f t="shared" si="151"/>
        <v>4968.2009824377292</v>
      </c>
      <c r="AM77" s="43">
        <f t="shared" si="152"/>
        <v>31645.072864741349</v>
      </c>
      <c r="AN77" s="43">
        <f t="shared" si="153"/>
        <v>274416.75627493806</v>
      </c>
      <c r="AO77" s="43">
        <f t="shared" si="154"/>
        <v>13398.926542731895</v>
      </c>
      <c r="AP77" s="43">
        <f t="shared" si="155"/>
        <v>20906.940334080617</v>
      </c>
      <c r="AQ77" s="43">
        <f t="shared" si="156"/>
        <v>11399.839435892871</v>
      </c>
      <c r="AR77" s="43">
        <f t="shared" si="157"/>
        <v>59618.41178925275</v>
      </c>
      <c r="AS77" s="43">
        <f t="shared" si="158"/>
        <v>379740.87437689619</v>
      </c>
    </row>
    <row r="78" spans="1:45" x14ac:dyDescent="0.2">
      <c r="A78" s="58" t="str">
        <f t="shared" si="159"/>
        <v>53E - Company Owned</v>
      </c>
      <c r="B78" s="22"/>
      <c r="C78" s="21" t="str">
        <f>'WP1 Light Inventory'!D79</f>
        <v>Light Emitting Diode</v>
      </c>
      <c r="D78" s="21" t="str">
        <f>'WP1 Light Inventory'!E79</f>
        <v>LED 120.01-150</v>
      </c>
      <c r="E78" s="21">
        <f>'WP1 Light Inventory'!F79</f>
        <v>135</v>
      </c>
      <c r="F78" s="21" t="str">
        <f>'WP1 Light Inventory'!H79</f>
        <v>Company</v>
      </c>
      <c r="G78" s="397">
        <f>'WP1 Light Inventory'!J79</f>
        <v>1833</v>
      </c>
      <c r="H78" s="74">
        <f>'WP7 Condensed LED Cost Est.'!$C14</f>
        <v>939.25</v>
      </c>
      <c r="I78" s="14" t="s">
        <v>133</v>
      </c>
      <c r="J78" s="19">
        <f>IF(C78="Light Emitting Diode",'WP10 O&amp;M Weighting Factor'!$B$26,IF('WP12 Condensed Sch. Level Costs'!C78="Sodium Vapor",'WP10 O&amp;M Weighting Factor'!$B$27,IF('WP12 Condensed Sch. Level Costs'!C78="Metal Halide",'WP10 O&amp;M Weighting Factor'!$B$28,IF('WP12 Condensed Sch. Level Costs'!C78="Mercury Vapor",'WP10 O&amp;M Weighting Factor'!$B$30,IF('WP12 Condensed Sch. Level Costs'!C78="Compact Flourescent",'WP10 O&amp;M Weighting Factor'!$B$29, IF(C78="Incandescent", 'WP10 O&amp;M Weighting Factor'!$B$31, 0))))))</f>
        <v>0.2</v>
      </c>
      <c r="K78" s="282">
        <f t="shared" si="131"/>
        <v>366.6</v>
      </c>
      <c r="L78" s="74">
        <f t="shared" si="132"/>
        <v>1721645.25</v>
      </c>
      <c r="M78" s="283">
        <f t="shared" si="133"/>
        <v>247.45500000000001</v>
      </c>
      <c r="N78" s="398">
        <f>'WP1 Light Inventory'!L79</f>
        <v>1039311.0000000001</v>
      </c>
      <c r="O78" s="284">
        <f t="shared" si="134"/>
        <v>47.25</v>
      </c>
      <c r="P78" s="261">
        <f>'BDJ-6 Unitized Lighting Costs'!D$20</f>
        <v>1.0137794003499056E-2</v>
      </c>
      <c r="Q78" s="261">
        <f>'BDJ-6 Unitized Lighting Costs'!$D$43</f>
        <v>2.2529806535397991</v>
      </c>
      <c r="R78" s="261">
        <f>'BDJ-6 Unitized Lighting Costs'!D$69</f>
        <v>1.9131568994526543E-2</v>
      </c>
      <c r="S78" s="261">
        <f>'BDJ-6 Unitized Lighting Costs'!D$100</f>
        <v>3.6511265600435805</v>
      </c>
      <c r="T78" s="261">
        <f>'BDJ-6 Unitized Lighting Costs'!$D$117</f>
        <v>5.4555747529966878E-2</v>
      </c>
      <c r="U78" s="43">
        <f t="shared" si="135"/>
        <v>9.521923017786488</v>
      </c>
      <c r="V78" s="43">
        <f t="shared" si="136"/>
        <v>0.45059613070795984</v>
      </c>
      <c r="W78" s="43">
        <f t="shared" si="137"/>
        <v>0.90396663499137908</v>
      </c>
      <c r="X78" s="43">
        <f t="shared" si="138"/>
        <v>0.49290208560588339</v>
      </c>
      <c r="Y78" s="43">
        <f t="shared" si="139"/>
        <v>2.5777590707909348</v>
      </c>
      <c r="Z78" s="43">
        <f t="shared" si="140"/>
        <v>13.947146939882645</v>
      </c>
      <c r="AA78" s="220"/>
      <c r="AB78" s="240">
        <f t="shared" si="141"/>
        <v>0.2015221802706135</v>
      </c>
      <c r="AC78" s="240">
        <f t="shared" si="142"/>
        <v>9.5364260467293085E-3</v>
      </c>
      <c r="AD78" s="240">
        <f t="shared" si="143"/>
        <v>1.9131568994526543E-2</v>
      </c>
      <c r="AE78" s="240">
        <f t="shared" si="144"/>
        <v>1.0431790171553088E-2</v>
      </c>
      <c r="AF78" s="240">
        <f t="shared" si="145"/>
        <v>5.4555747529966878E-2</v>
      </c>
      <c r="AG78" s="240">
        <f t="shared" si="146"/>
        <v>0.2951777130133893</v>
      </c>
      <c r="AH78" s="43">
        <f t="shared" si="147"/>
        <v>17453.684891602632</v>
      </c>
      <c r="AI78" s="43">
        <f t="shared" si="148"/>
        <v>825.94270758769039</v>
      </c>
      <c r="AJ78" s="43">
        <f t="shared" si="149"/>
        <v>1656.970841939198</v>
      </c>
      <c r="AK78" s="43">
        <f t="shared" si="150"/>
        <v>903.4895229155843</v>
      </c>
      <c r="AL78" s="43">
        <f t="shared" si="151"/>
        <v>4725.0323767597838</v>
      </c>
      <c r="AM78" s="43">
        <f t="shared" si="152"/>
        <v>25565.12034080489</v>
      </c>
      <c r="AN78" s="43">
        <f t="shared" si="153"/>
        <v>209444.21869923157</v>
      </c>
      <c r="AO78" s="43">
        <f t="shared" si="154"/>
        <v>9911.3124910522856</v>
      </c>
      <c r="AP78" s="43">
        <f t="shared" si="155"/>
        <v>19883.650103270375</v>
      </c>
      <c r="AQ78" s="43">
        <f t="shared" si="156"/>
        <v>10841.874274987011</v>
      </c>
      <c r="AR78" s="43">
        <f t="shared" si="157"/>
        <v>56700.388521117406</v>
      </c>
      <c r="AS78" s="43">
        <f t="shared" si="158"/>
        <v>306781.44408965867</v>
      </c>
    </row>
    <row r="79" spans="1:45" x14ac:dyDescent="0.2">
      <c r="A79" s="58" t="str">
        <f t="shared" si="159"/>
        <v>53E - Company Owned</v>
      </c>
      <c r="B79" s="22"/>
      <c r="C79" s="21" t="str">
        <f>'WP1 Light Inventory'!D80</f>
        <v>Light Emitting Diode</v>
      </c>
      <c r="D79" s="21" t="str">
        <f>'WP1 Light Inventory'!E80</f>
        <v>LED 150.01-180</v>
      </c>
      <c r="E79" s="21">
        <f>'WP1 Light Inventory'!F80</f>
        <v>165</v>
      </c>
      <c r="F79" s="21" t="str">
        <f>'WP1 Light Inventory'!H80</f>
        <v>Company</v>
      </c>
      <c r="G79" s="397">
        <f>'WP1 Light Inventory'!J80</f>
        <v>105</v>
      </c>
      <c r="H79" s="74">
        <f>'WP7 Condensed LED Cost Est.'!$C15</f>
        <v>908.3504999999999</v>
      </c>
      <c r="I79" s="14" t="s">
        <v>133</v>
      </c>
      <c r="J79" s="19">
        <f>IF(C79="Light Emitting Diode",'WP10 O&amp;M Weighting Factor'!$B$26,IF('WP12 Condensed Sch. Level Costs'!C79="Sodium Vapor",'WP10 O&amp;M Weighting Factor'!$B$27,IF('WP12 Condensed Sch. Level Costs'!C79="Metal Halide",'WP10 O&amp;M Weighting Factor'!$B$28,IF('WP12 Condensed Sch. Level Costs'!C79="Mercury Vapor",'WP10 O&amp;M Weighting Factor'!$B$30,IF('WP12 Condensed Sch. Level Costs'!C79="Compact Flourescent",'WP10 O&amp;M Weighting Factor'!$B$29, IF(C79="Incandescent", 'WP10 O&amp;M Weighting Factor'!$B$31, 0))))))</f>
        <v>0.2</v>
      </c>
      <c r="K79" s="282">
        <f t="shared" si="131"/>
        <v>21</v>
      </c>
      <c r="L79" s="74">
        <f t="shared" si="132"/>
        <v>95376.802499999991</v>
      </c>
      <c r="M79" s="283">
        <f t="shared" si="133"/>
        <v>17.324999999999999</v>
      </c>
      <c r="N79" s="398">
        <f>'WP1 Light Inventory'!L80</f>
        <v>72765</v>
      </c>
      <c r="O79" s="284">
        <f t="shared" si="134"/>
        <v>57.75</v>
      </c>
      <c r="P79" s="261">
        <f>'BDJ-6 Unitized Lighting Costs'!D$20</f>
        <v>1.0137794003499056E-2</v>
      </c>
      <c r="Q79" s="261">
        <f>'BDJ-6 Unitized Lighting Costs'!$D$43</f>
        <v>2.2529806535397991</v>
      </c>
      <c r="R79" s="261">
        <f>'BDJ-6 Unitized Lighting Costs'!D$69</f>
        <v>1.9131568994526543E-2</v>
      </c>
      <c r="S79" s="261">
        <f>'BDJ-6 Unitized Lighting Costs'!D$100</f>
        <v>3.6511265600435805</v>
      </c>
      <c r="T79" s="261">
        <f>'BDJ-6 Unitized Lighting Costs'!$D$117</f>
        <v>5.4555747529966878E-2</v>
      </c>
      <c r="U79" s="43">
        <f t="shared" si="135"/>
        <v>9.2086702519753683</v>
      </c>
      <c r="V79" s="43">
        <f t="shared" si="136"/>
        <v>0.45059613070795984</v>
      </c>
      <c r="W79" s="43">
        <f t="shared" si="137"/>
        <v>1.1048481094339078</v>
      </c>
      <c r="X79" s="43">
        <f t="shared" si="138"/>
        <v>0.60243588240719081</v>
      </c>
      <c r="Y79" s="43">
        <f t="shared" si="139"/>
        <v>3.1505944198555871</v>
      </c>
      <c r="Z79" s="43">
        <f t="shared" si="140"/>
        <v>14.517144794380012</v>
      </c>
      <c r="AA79" s="220"/>
      <c r="AB79" s="240">
        <f t="shared" si="141"/>
        <v>0.15945749354069902</v>
      </c>
      <c r="AC79" s="240">
        <f t="shared" si="142"/>
        <v>7.8025304018694347E-3</v>
      </c>
      <c r="AD79" s="240">
        <f t="shared" si="143"/>
        <v>1.9131568994526543E-2</v>
      </c>
      <c r="AE79" s="240">
        <f t="shared" si="144"/>
        <v>1.0431790171553088E-2</v>
      </c>
      <c r="AF79" s="240">
        <f t="shared" si="145"/>
        <v>5.4555747529966878E-2</v>
      </c>
      <c r="AG79" s="240">
        <f t="shared" si="146"/>
        <v>0.25137913063861494</v>
      </c>
      <c r="AH79" s="43">
        <f t="shared" si="147"/>
        <v>966.91037645741369</v>
      </c>
      <c r="AI79" s="43">
        <f t="shared" si="148"/>
        <v>47.312593724335784</v>
      </c>
      <c r="AJ79" s="43">
        <f t="shared" si="149"/>
        <v>116.00905149056031</v>
      </c>
      <c r="AK79" s="43">
        <f t="shared" si="150"/>
        <v>63.255767652755033</v>
      </c>
      <c r="AL79" s="43">
        <f t="shared" si="151"/>
        <v>330.81241408483663</v>
      </c>
      <c r="AM79" s="43">
        <f t="shared" si="152"/>
        <v>1524.3002034099018</v>
      </c>
      <c r="AN79" s="43">
        <f t="shared" si="153"/>
        <v>11602.924517488964</v>
      </c>
      <c r="AO79" s="43">
        <f t="shared" si="154"/>
        <v>567.75112469202941</v>
      </c>
      <c r="AP79" s="43">
        <f t="shared" si="155"/>
        <v>1392.1086178867238</v>
      </c>
      <c r="AQ79" s="43">
        <f t="shared" si="156"/>
        <v>759.06921183306042</v>
      </c>
      <c r="AR79" s="43">
        <f t="shared" si="157"/>
        <v>3969.7489690180396</v>
      </c>
      <c r="AS79" s="43">
        <f t="shared" si="158"/>
        <v>18291.602440918821</v>
      </c>
    </row>
    <row r="80" spans="1:45" x14ac:dyDescent="0.2">
      <c r="A80" s="58" t="str">
        <f t="shared" si="159"/>
        <v>53E - Company Owned</v>
      </c>
      <c r="B80" s="22"/>
      <c r="C80" s="21" t="str">
        <f>'WP1 Light Inventory'!D81</f>
        <v>Light Emitting Diode</v>
      </c>
      <c r="D80" s="21" t="str">
        <f>'WP1 Light Inventory'!E81</f>
        <v>LED 180.01-210</v>
      </c>
      <c r="E80" s="21">
        <f>'WP1 Light Inventory'!F81</f>
        <v>195</v>
      </c>
      <c r="F80" s="21" t="str">
        <f>'WP1 Light Inventory'!H81</f>
        <v>Company</v>
      </c>
      <c r="G80" s="397">
        <f>'WP1 Light Inventory'!J81</f>
        <v>427</v>
      </c>
      <c r="H80" s="74">
        <f>'WP7 Condensed LED Cost Est.'!$C16</f>
        <v>908.3504999999999</v>
      </c>
      <c r="I80" s="14" t="s">
        <v>133</v>
      </c>
      <c r="J80" s="19">
        <f>IF(C80="Light Emitting Diode",'WP10 O&amp;M Weighting Factor'!$B$26,IF('WP12 Condensed Sch. Level Costs'!C80="Sodium Vapor",'WP10 O&amp;M Weighting Factor'!$B$27,IF('WP12 Condensed Sch. Level Costs'!C80="Metal Halide",'WP10 O&amp;M Weighting Factor'!$B$28,IF('WP12 Condensed Sch. Level Costs'!C80="Mercury Vapor",'WP10 O&amp;M Weighting Factor'!$B$30,IF('WP12 Condensed Sch. Level Costs'!C80="Compact Flourescent",'WP10 O&amp;M Weighting Factor'!$B$29, IF(C80="Incandescent", 'WP10 O&amp;M Weighting Factor'!$B$31, 0))))))</f>
        <v>0.2</v>
      </c>
      <c r="K80" s="282">
        <f t="shared" si="131"/>
        <v>85.4</v>
      </c>
      <c r="L80" s="74">
        <f t="shared" si="132"/>
        <v>387865.66349999997</v>
      </c>
      <c r="M80" s="283">
        <f t="shared" si="133"/>
        <v>83.265000000000001</v>
      </c>
      <c r="N80" s="398">
        <f>'WP1 Light Inventory'!L81</f>
        <v>349713</v>
      </c>
      <c r="O80" s="284">
        <f t="shared" si="134"/>
        <v>68.25</v>
      </c>
      <c r="P80" s="261">
        <f>'BDJ-6 Unitized Lighting Costs'!D$20</f>
        <v>1.0137794003499056E-2</v>
      </c>
      <c r="Q80" s="261">
        <f>'BDJ-6 Unitized Lighting Costs'!$D$43</f>
        <v>2.2529806535397991</v>
      </c>
      <c r="R80" s="261">
        <f>'BDJ-6 Unitized Lighting Costs'!D$69</f>
        <v>1.9131568994526543E-2</v>
      </c>
      <c r="S80" s="261">
        <f>'BDJ-6 Unitized Lighting Costs'!D$100</f>
        <v>3.6511265600435805</v>
      </c>
      <c r="T80" s="261">
        <f>'BDJ-6 Unitized Lighting Costs'!$D$117</f>
        <v>5.4555747529966878E-2</v>
      </c>
      <c r="U80" s="43">
        <f t="shared" si="135"/>
        <v>9.2086702519753683</v>
      </c>
      <c r="V80" s="43">
        <f t="shared" si="136"/>
        <v>0.45059613070795984</v>
      </c>
      <c r="W80" s="43">
        <f t="shared" si="137"/>
        <v>1.3057295838764365</v>
      </c>
      <c r="X80" s="43">
        <f t="shared" si="138"/>
        <v>0.71196967920849819</v>
      </c>
      <c r="Y80" s="43">
        <f t="shared" si="139"/>
        <v>3.7234297689202394</v>
      </c>
      <c r="Z80" s="43">
        <f t="shared" si="140"/>
        <v>15.400395414688502</v>
      </c>
      <c r="AA80" s="220"/>
      <c r="AB80" s="240">
        <f t="shared" si="141"/>
        <v>0.13492557145751455</v>
      </c>
      <c r="AC80" s="240">
        <f t="shared" si="142"/>
        <v>6.6021411092741372E-3</v>
      </c>
      <c r="AD80" s="240">
        <f t="shared" si="143"/>
        <v>1.9131568994526543E-2</v>
      </c>
      <c r="AE80" s="240">
        <f t="shared" si="144"/>
        <v>1.0431790171553088E-2</v>
      </c>
      <c r="AF80" s="240">
        <f t="shared" si="145"/>
        <v>5.4555747529966878E-2</v>
      </c>
      <c r="AG80" s="240">
        <f t="shared" si="146"/>
        <v>0.2256468192628352</v>
      </c>
      <c r="AH80" s="43">
        <f t="shared" si="147"/>
        <v>3932.1021975934823</v>
      </c>
      <c r="AI80" s="43">
        <f t="shared" si="148"/>
        <v>192.40454781229886</v>
      </c>
      <c r="AJ80" s="43">
        <f t="shared" si="149"/>
        <v>557.54653231523832</v>
      </c>
      <c r="AK80" s="43">
        <f t="shared" si="150"/>
        <v>304.0110530220287</v>
      </c>
      <c r="AL80" s="43">
        <f t="shared" si="151"/>
        <v>1589.9045113289421</v>
      </c>
      <c r="AM80" s="43">
        <f t="shared" si="152"/>
        <v>6575.9688420719904</v>
      </c>
      <c r="AN80" s="43">
        <f t="shared" si="153"/>
        <v>47185.226371121789</v>
      </c>
      <c r="AO80" s="43">
        <f t="shared" si="154"/>
        <v>2308.8545737475861</v>
      </c>
      <c r="AP80" s="43">
        <f t="shared" si="155"/>
        <v>6690.5583877828594</v>
      </c>
      <c r="AQ80" s="43">
        <f t="shared" si="156"/>
        <v>3648.1326362643445</v>
      </c>
      <c r="AR80" s="43">
        <f t="shared" si="157"/>
        <v>19078.854135947306</v>
      </c>
      <c r="AS80" s="43">
        <f t="shared" si="158"/>
        <v>78911.626104863884</v>
      </c>
    </row>
    <row r="81" spans="1:45" x14ac:dyDescent="0.2">
      <c r="A81" s="58" t="str">
        <f t="shared" si="159"/>
        <v>53E - Company Owned</v>
      </c>
      <c r="B81" s="22"/>
      <c r="C81" s="21" t="str">
        <f>'WP1 Light Inventory'!D82</f>
        <v>Light Emitting Diode</v>
      </c>
      <c r="D81" s="21" t="str">
        <f>'WP1 Light Inventory'!E82</f>
        <v>LED 210.01-240</v>
      </c>
      <c r="E81" s="21">
        <f>'WP1 Light Inventory'!F82</f>
        <v>225</v>
      </c>
      <c r="F81" s="21" t="str">
        <f>'WP1 Light Inventory'!H82</f>
        <v>Company</v>
      </c>
      <c r="G81" s="397">
        <f>'WP1 Light Inventory'!J82</f>
        <v>36</v>
      </c>
      <c r="H81" s="74">
        <f>'WP7 Condensed LED Cost Est.'!$C17</f>
        <v>913.10849999999994</v>
      </c>
      <c r="I81" s="14" t="s">
        <v>133</v>
      </c>
      <c r="J81" s="19">
        <f>IF(C81="Light Emitting Diode",'WP10 O&amp;M Weighting Factor'!$B$26,IF('WP12 Condensed Sch. Level Costs'!C81="Sodium Vapor",'WP10 O&amp;M Weighting Factor'!$B$27,IF('WP12 Condensed Sch. Level Costs'!C81="Metal Halide",'WP10 O&amp;M Weighting Factor'!$B$28,IF('WP12 Condensed Sch. Level Costs'!C81="Mercury Vapor",'WP10 O&amp;M Weighting Factor'!$B$30,IF('WP12 Condensed Sch. Level Costs'!C81="Compact Flourescent",'WP10 O&amp;M Weighting Factor'!$B$29, IF(C81="Incandescent", 'WP10 O&amp;M Weighting Factor'!$B$31, 0))))))</f>
        <v>0.2</v>
      </c>
      <c r="K81" s="282">
        <f t="shared" si="131"/>
        <v>7.2</v>
      </c>
      <c r="L81" s="74">
        <f t="shared" si="132"/>
        <v>32871.905999999995</v>
      </c>
      <c r="M81" s="283">
        <f t="shared" si="133"/>
        <v>8.1</v>
      </c>
      <c r="N81" s="398">
        <f>'WP1 Light Inventory'!L82</f>
        <v>34020</v>
      </c>
      <c r="O81" s="284">
        <f t="shared" si="134"/>
        <v>78.75</v>
      </c>
      <c r="P81" s="261">
        <f>'BDJ-6 Unitized Lighting Costs'!D$20</f>
        <v>1.0137794003499056E-2</v>
      </c>
      <c r="Q81" s="261">
        <f>'BDJ-6 Unitized Lighting Costs'!$D$43</f>
        <v>2.2529806535397991</v>
      </c>
      <c r="R81" s="261">
        <f>'BDJ-6 Unitized Lighting Costs'!D$69</f>
        <v>1.9131568994526543E-2</v>
      </c>
      <c r="S81" s="261">
        <f>'BDJ-6 Unitized Lighting Costs'!D$100</f>
        <v>3.6511265600435805</v>
      </c>
      <c r="T81" s="261">
        <f>'BDJ-6 Unitized Lighting Costs'!$D$117</f>
        <v>5.4555747529966878E-2</v>
      </c>
      <c r="U81" s="43">
        <f t="shared" si="135"/>
        <v>9.2569058758440175</v>
      </c>
      <c r="V81" s="43">
        <f t="shared" si="136"/>
        <v>0.45059613070795984</v>
      </c>
      <c r="W81" s="43">
        <f t="shared" si="137"/>
        <v>1.5066110583189651</v>
      </c>
      <c r="X81" s="43">
        <f t="shared" si="138"/>
        <v>0.82150347600980556</v>
      </c>
      <c r="Y81" s="43">
        <f t="shared" si="139"/>
        <v>4.2962651179848912</v>
      </c>
      <c r="Z81" s="43">
        <f t="shared" si="140"/>
        <v>16.33188165886564</v>
      </c>
      <c r="AA81" s="220"/>
      <c r="AB81" s="240">
        <f t="shared" si="141"/>
        <v>0.11754801112182879</v>
      </c>
      <c r="AC81" s="240">
        <f t="shared" si="142"/>
        <v>5.7218556280375851E-3</v>
      </c>
      <c r="AD81" s="240">
        <f t="shared" si="143"/>
        <v>1.9131568994526543E-2</v>
      </c>
      <c r="AE81" s="240">
        <f t="shared" si="144"/>
        <v>1.0431790171553086E-2</v>
      </c>
      <c r="AF81" s="240">
        <f t="shared" si="145"/>
        <v>5.4555747529966871E-2</v>
      </c>
      <c r="AG81" s="240">
        <f t="shared" si="146"/>
        <v>0.20738897344591284</v>
      </c>
      <c r="AH81" s="43">
        <f t="shared" si="147"/>
        <v>333.24861153038461</v>
      </c>
      <c r="AI81" s="43">
        <f t="shared" si="148"/>
        <v>16.221460705486553</v>
      </c>
      <c r="AJ81" s="43">
        <f t="shared" si="149"/>
        <v>54.237998099482745</v>
      </c>
      <c r="AK81" s="43">
        <f t="shared" si="150"/>
        <v>29.574125136353</v>
      </c>
      <c r="AL81" s="43">
        <f t="shared" si="151"/>
        <v>154.66554424745607</v>
      </c>
      <c r="AM81" s="43">
        <f t="shared" si="152"/>
        <v>587.947739719163</v>
      </c>
      <c r="AN81" s="43">
        <f t="shared" si="153"/>
        <v>3998.9833383646155</v>
      </c>
      <c r="AO81" s="43">
        <f t="shared" si="154"/>
        <v>194.65752846583865</v>
      </c>
      <c r="AP81" s="43">
        <f t="shared" si="155"/>
        <v>650.85597719379291</v>
      </c>
      <c r="AQ81" s="43">
        <f t="shared" si="156"/>
        <v>354.88950163623599</v>
      </c>
      <c r="AR81" s="43">
        <f t="shared" si="157"/>
        <v>1855.9865309694728</v>
      </c>
      <c r="AS81" s="43">
        <f t="shared" si="158"/>
        <v>7055.3728766299555</v>
      </c>
    </row>
    <row r="82" spans="1:45" x14ac:dyDescent="0.2">
      <c r="A82" s="58" t="str">
        <f t="shared" si="159"/>
        <v>53E - Company Owned</v>
      </c>
      <c r="B82" s="22"/>
      <c r="C82" s="21" t="str">
        <f>'WP1 Light Inventory'!D83</f>
        <v>Light Emitting Diode</v>
      </c>
      <c r="D82" s="21" t="str">
        <f>'WP1 Light Inventory'!E83</f>
        <v>LED 240.01-270</v>
      </c>
      <c r="E82" s="21">
        <f>'WP1 Light Inventory'!F83</f>
        <v>255</v>
      </c>
      <c r="F82" s="21" t="str">
        <f>'WP1 Light Inventory'!H83</f>
        <v>Company</v>
      </c>
      <c r="G82" s="397">
        <f>'WP1 Light Inventory'!J83</f>
        <v>24</v>
      </c>
      <c r="H82" s="74">
        <f>'WP7 Condensed LED Cost Est.'!$C18</f>
        <v>913.10849999999994</v>
      </c>
      <c r="I82" s="14" t="s">
        <v>133</v>
      </c>
      <c r="J82" s="19">
        <f>IF(C82="Light Emitting Diode",'WP10 O&amp;M Weighting Factor'!$B$26,IF('WP12 Condensed Sch. Level Costs'!C82="Sodium Vapor",'WP10 O&amp;M Weighting Factor'!$B$27,IF('WP12 Condensed Sch. Level Costs'!C82="Metal Halide",'WP10 O&amp;M Weighting Factor'!$B$28,IF('WP12 Condensed Sch. Level Costs'!C82="Mercury Vapor",'WP10 O&amp;M Weighting Factor'!$B$30,IF('WP12 Condensed Sch. Level Costs'!C82="Compact Flourescent",'WP10 O&amp;M Weighting Factor'!$B$29, IF(C82="Incandescent", 'WP10 O&amp;M Weighting Factor'!$B$31, 0))))))</f>
        <v>0.2</v>
      </c>
      <c r="K82" s="282">
        <f t="shared" si="131"/>
        <v>4.8000000000000007</v>
      </c>
      <c r="L82" s="74">
        <f t="shared" si="132"/>
        <v>21914.603999999999</v>
      </c>
      <c r="M82" s="283">
        <f t="shared" si="133"/>
        <v>6.12</v>
      </c>
      <c r="N82" s="398">
        <f>'WP1 Light Inventory'!L83</f>
        <v>25704</v>
      </c>
      <c r="O82" s="284">
        <f t="shared" si="134"/>
        <v>89.25</v>
      </c>
      <c r="P82" s="261">
        <f>'BDJ-6 Unitized Lighting Costs'!D$20</f>
        <v>1.0137794003499056E-2</v>
      </c>
      <c r="Q82" s="261">
        <f>'BDJ-6 Unitized Lighting Costs'!$D$43</f>
        <v>2.2529806535397991</v>
      </c>
      <c r="R82" s="261">
        <f>'BDJ-6 Unitized Lighting Costs'!D$69</f>
        <v>1.9131568994526543E-2</v>
      </c>
      <c r="S82" s="261">
        <f>'BDJ-6 Unitized Lighting Costs'!D$100</f>
        <v>3.6511265600435805</v>
      </c>
      <c r="T82" s="261">
        <f>'BDJ-6 Unitized Lighting Costs'!$D$117</f>
        <v>5.4555747529966878E-2</v>
      </c>
      <c r="U82" s="43">
        <f t="shared" si="135"/>
        <v>9.2569058758440175</v>
      </c>
      <c r="V82" s="43">
        <f t="shared" si="136"/>
        <v>0.45059613070795984</v>
      </c>
      <c r="W82" s="43">
        <f t="shared" si="137"/>
        <v>1.7074925327614938</v>
      </c>
      <c r="X82" s="43">
        <f t="shared" si="138"/>
        <v>0.93103727281111304</v>
      </c>
      <c r="Y82" s="43">
        <f t="shared" si="139"/>
        <v>4.8691004670495435</v>
      </c>
      <c r="Z82" s="43">
        <f t="shared" si="140"/>
        <v>17.215132279174128</v>
      </c>
      <c r="AA82" s="220"/>
      <c r="AB82" s="240">
        <f t="shared" si="141"/>
        <v>0.10371883334279011</v>
      </c>
      <c r="AC82" s="240">
        <f t="shared" si="142"/>
        <v>5.0486961423861047E-3</v>
      </c>
      <c r="AD82" s="240">
        <f t="shared" si="143"/>
        <v>1.9131568994526543E-2</v>
      </c>
      <c r="AE82" s="240">
        <f t="shared" si="144"/>
        <v>1.0431790171553088E-2</v>
      </c>
      <c r="AF82" s="240">
        <f t="shared" si="145"/>
        <v>5.4555747529966871E-2</v>
      </c>
      <c r="AG82" s="240">
        <f t="shared" si="146"/>
        <v>0.19288663618122273</v>
      </c>
      <c r="AH82" s="43">
        <f t="shared" si="147"/>
        <v>222.16574102025641</v>
      </c>
      <c r="AI82" s="43">
        <f t="shared" si="148"/>
        <v>10.814307136991037</v>
      </c>
      <c r="AJ82" s="43">
        <f t="shared" si="149"/>
        <v>40.979820786275852</v>
      </c>
      <c r="AK82" s="43">
        <f t="shared" si="150"/>
        <v>22.344894547466712</v>
      </c>
      <c r="AL82" s="43">
        <f t="shared" si="151"/>
        <v>116.85841120918904</v>
      </c>
      <c r="AM82" s="43">
        <f t="shared" si="152"/>
        <v>413.16317470017907</v>
      </c>
      <c r="AN82" s="43">
        <f t="shared" si="153"/>
        <v>2665.9888922430769</v>
      </c>
      <c r="AO82" s="43">
        <f t="shared" si="154"/>
        <v>129.77168564389245</v>
      </c>
      <c r="AP82" s="43">
        <f t="shared" si="155"/>
        <v>491.75784943531022</v>
      </c>
      <c r="AQ82" s="43">
        <f t="shared" si="156"/>
        <v>268.13873456960056</v>
      </c>
      <c r="AR82" s="43">
        <f t="shared" si="157"/>
        <v>1402.3009345102685</v>
      </c>
      <c r="AS82" s="43">
        <f t="shared" si="158"/>
        <v>4957.9580964021488</v>
      </c>
    </row>
    <row r="83" spans="1:45" x14ac:dyDescent="0.2">
      <c r="A83" s="58" t="str">
        <f t="shared" si="159"/>
        <v>53E - Company Owned</v>
      </c>
      <c r="B83" s="22"/>
      <c r="C83" s="21" t="str">
        <f>'WP1 Light Inventory'!D84</f>
        <v>Light Emitting Diode</v>
      </c>
      <c r="D83" s="21" t="str">
        <f>'WP1 Light Inventory'!E84</f>
        <v>LED 270.01-300</v>
      </c>
      <c r="E83" s="21">
        <f>'WP1 Light Inventory'!F84</f>
        <v>285</v>
      </c>
      <c r="F83" s="21" t="str">
        <f>'WP1 Light Inventory'!H84</f>
        <v>Company</v>
      </c>
      <c r="G83" s="397">
        <f>'WP1 Light Inventory'!J84</f>
        <v>157</v>
      </c>
      <c r="H83" s="74">
        <f>'WP7 Condensed LED Cost Est.'!$C19</f>
        <v>913.10849999999994</v>
      </c>
      <c r="I83" s="14" t="s">
        <v>133</v>
      </c>
      <c r="J83" s="19">
        <f>IF(C83="Light Emitting Diode",'WP10 O&amp;M Weighting Factor'!$B$26,IF('WP12 Condensed Sch. Level Costs'!C83="Sodium Vapor",'WP10 O&amp;M Weighting Factor'!$B$27,IF('WP12 Condensed Sch. Level Costs'!C83="Metal Halide",'WP10 O&amp;M Weighting Factor'!$B$28,IF('WP12 Condensed Sch. Level Costs'!C83="Mercury Vapor",'WP10 O&amp;M Weighting Factor'!$B$30,IF('WP12 Condensed Sch. Level Costs'!C83="Compact Flourescent",'WP10 O&amp;M Weighting Factor'!$B$29, IF(C83="Incandescent", 'WP10 O&amp;M Weighting Factor'!$B$31, 0))))))</f>
        <v>0.2</v>
      </c>
      <c r="K83" s="282">
        <f t="shared" si="131"/>
        <v>31.400000000000002</v>
      </c>
      <c r="L83" s="74">
        <f t="shared" si="132"/>
        <v>143358.03449999998</v>
      </c>
      <c r="M83" s="283">
        <f t="shared" si="133"/>
        <v>44.744999999999997</v>
      </c>
      <c r="N83" s="398">
        <f>'WP1 Light Inventory'!L84</f>
        <v>187928.99999999997</v>
      </c>
      <c r="O83" s="284">
        <f t="shared" si="134"/>
        <v>99.75</v>
      </c>
      <c r="P83" s="261">
        <f>'BDJ-6 Unitized Lighting Costs'!D$20</f>
        <v>1.0137794003499056E-2</v>
      </c>
      <c r="Q83" s="261">
        <f>'BDJ-6 Unitized Lighting Costs'!$D$43</f>
        <v>2.2529806535397991</v>
      </c>
      <c r="R83" s="261">
        <f>'BDJ-6 Unitized Lighting Costs'!D$69</f>
        <v>1.9131568994526543E-2</v>
      </c>
      <c r="S83" s="261">
        <f>'BDJ-6 Unitized Lighting Costs'!D$100</f>
        <v>3.6511265600435805</v>
      </c>
      <c r="T83" s="261">
        <f>'BDJ-6 Unitized Lighting Costs'!$D$117</f>
        <v>5.4555747529966878E-2</v>
      </c>
      <c r="U83" s="43">
        <f t="shared" si="135"/>
        <v>9.2569058758440175</v>
      </c>
      <c r="V83" s="43">
        <f t="shared" si="136"/>
        <v>0.45059613070795984</v>
      </c>
      <c r="W83" s="43">
        <f t="shared" si="137"/>
        <v>1.9083740072040227</v>
      </c>
      <c r="X83" s="43">
        <f t="shared" si="138"/>
        <v>1.0405710696124204</v>
      </c>
      <c r="Y83" s="43">
        <f t="shared" si="139"/>
        <v>5.4419358161141957</v>
      </c>
      <c r="Z83" s="43">
        <f t="shared" si="140"/>
        <v>18.098382899482615</v>
      </c>
      <c r="AA83" s="220"/>
      <c r="AB83" s="240">
        <f t="shared" si="141"/>
        <v>9.2801061411970101E-2</v>
      </c>
      <c r="AC83" s="240">
        <f t="shared" si="142"/>
        <v>4.5172544431875674E-3</v>
      </c>
      <c r="AD83" s="240">
        <f t="shared" si="143"/>
        <v>1.9131568994526543E-2</v>
      </c>
      <c r="AE83" s="240">
        <f t="shared" si="144"/>
        <v>1.0431790171553088E-2</v>
      </c>
      <c r="AF83" s="240">
        <f t="shared" si="145"/>
        <v>5.4555747529966878E-2</v>
      </c>
      <c r="AG83" s="240">
        <f t="shared" si="146"/>
        <v>0.18143742255120421</v>
      </c>
      <c r="AH83" s="43">
        <f t="shared" si="147"/>
        <v>1453.3342225075107</v>
      </c>
      <c r="AI83" s="43">
        <f t="shared" si="148"/>
        <v>70.743592521149694</v>
      </c>
      <c r="AJ83" s="43">
        <f t="shared" si="149"/>
        <v>299.61471913103156</v>
      </c>
      <c r="AK83" s="43">
        <f t="shared" si="150"/>
        <v>163.36965792915001</v>
      </c>
      <c r="AL83" s="43">
        <f t="shared" si="151"/>
        <v>854.38392312992869</v>
      </c>
      <c r="AM83" s="43">
        <f t="shared" si="152"/>
        <v>2841.4461152187705</v>
      </c>
      <c r="AN83" s="43">
        <f t="shared" si="153"/>
        <v>17440.010670090131</v>
      </c>
      <c r="AO83" s="43">
        <f t="shared" si="154"/>
        <v>848.92311025379627</v>
      </c>
      <c r="AP83" s="43">
        <f t="shared" si="155"/>
        <v>3595.376629572379</v>
      </c>
      <c r="AQ83" s="43">
        <f t="shared" si="156"/>
        <v>1960.4358951498002</v>
      </c>
      <c r="AR83" s="43">
        <f t="shared" si="157"/>
        <v>10252.607077559143</v>
      </c>
      <c r="AS83" s="43">
        <f t="shared" si="158"/>
        <v>34097.353382625246</v>
      </c>
    </row>
    <row r="84" spans="1:45" x14ac:dyDescent="0.2">
      <c r="A84" s="58"/>
      <c r="B84" s="18"/>
      <c r="C84" s="47"/>
      <c r="D84" s="18"/>
      <c r="E84" s="401"/>
      <c r="G84" s="399"/>
      <c r="K84" s="282"/>
      <c r="L84" s="74"/>
      <c r="AA84" s="220"/>
      <c r="AB84" s="240"/>
      <c r="AC84" s="240"/>
      <c r="AD84" s="240"/>
      <c r="AE84" s="240"/>
      <c r="AF84" s="240"/>
      <c r="AG84" s="240"/>
    </row>
    <row r="85" spans="1:45" x14ac:dyDescent="0.2">
      <c r="A85" s="58" t="s">
        <v>68</v>
      </c>
      <c r="B85" s="21" t="str">
        <f>'WP1 Light Inventory'!C86</f>
        <v>SMART LIGHT</v>
      </c>
      <c r="C85" s="21" t="str">
        <f>'WP1 Light Inventory'!D86</f>
        <v>Light Emitting Diode</v>
      </c>
      <c r="D85" s="21" t="str">
        <f>'WP1 Light Inventory'!E86</f>
        <v>LED 0-030</v>
      </c>
      <c r="E85" s="21">
        <f>'WP1 Light Inventory'!F86</f>
        <v>15</v>
      </c>
      <c r="F85" s="21" t="str">
        <f>'WP1 Light Inventory'!H86</f>
        <v>Company</v>
      </c>
      <c r="G85" s="397">
        <f>'WP1 Light Inventory'!J86</f>
        <v>0</v>
      </c>
      <c r="H85" s="74">
        <f>'WP7 Condensed LED Cost Est.'!$C10</f>
        <v>875.41268444011189</v>
      </c>
      <c r="I85" s="14" t="s">
        <v>133</v>
      </c>
      <c r="J85" s="19">
        <f>IF(C85="Light Emitting Diode",'WP10 O&amp;M Weighting Factor'!$B$26,IF('WP12 Condensed Sch. Level Costs'!C85="Sodium Vapor",'WP10 O&amp;M Weighting Factor'!$B$27,IF('WP12 Condensed Sch. Level Costs'!C85="Metal Halide",'WP10 O&amp;M Weighting Factor'!$B$28,IF('WP12 Condensed Sch. Level Costs'!C85="Mercury Vapor",'WP10 O&amp;M Weighting Factor'!$B$30,IF('WP12 Condensed Sch. Level Costs'!C85="Compact Flourescent",'WP10 O&amp;M Weighting Factor'!$B$29, IF(C85="Incandescent", 'WP10 O&amp;M Weighting Factor'!$B$31, 0))))))</f>
        <v>0.2</v>
      </c>
      <c r="K85" s="282">
        <f t="shared" ref="K85:K94" si="160">IF(I85="Yes",G85*J85,0)</f>
        <v>0</v>
      </c>
      <c r="L85" s="74">
        <f t="shared" ref="L85:L94" si="161">IF(F85="Company", G85*H85,0)</f>
        <v>0</v>
      </c>
      <c r="M85" s="283">
        <f t="shared" ref="M85:M94" si="162">E85*G85/1000</f>
        <v>0</v>
      </c>
      <c r="N85" s="398">
        <f>'WP1 Light Inventory'!L86</f>
        <v>0</v>
      </c>
      <c r="O85" s="284">
        <f t="shared" ref="O85:O94" si="163">E85*4200/1000/12</f>
        <v>5.25</v>
      </c>
      <c r="P85" s="261">
        <f>'BDJ-6 Unitized Lighting Costs'!D$20</f>
        <v>1.0137794003499056E-2</v>
      </c>
      <c r="Q85" s="261">
        <f>'BDJ-6 Unitized Lighting Costs'!$D$43</f>
        <v>2.2529806535397991</v>
      </c>
      <c r="R85" s="261">
        <f>'BDJ-6 Unitized Lighting Costs'!D$69</f>
        <v>1.9131568994526543E-2</v>
      </c>
      <c r="S85" s="261">
        <f>'BDJ-6 Unitized Lighting Costs'!D$100</f>
        <v>3.6511265600435805</v>
      </c>
      <c r="T85" s="261">
        <f>'BDJ-6 Unitized Lighting Costs'!$D$117</f>
        <v>5.4555747529966878E-2</v>
      </c>
      <c r="U85" s="43">
        <f t="shared" ref="U85:U94" si="164">IF(F85="Company", H85*P85, 0)</f>
        <v>8.8747534629039766</v>
      </c>
      <c r="V85" s="43">
        <f t="shared" ref="V85:V94" si="165">IF(I85="yes", J85*Q85, 0)</f>
        <v>0.45059613070795984</v>
      </c>
      <c r="W85" s="43">
        <f t="shared" ref="W85:W94" si="166">R85*O85</f>
        <v>0.10044073722126434</v>
      </c>
      <c r="X85" s="43">
        <f t="shared" ref="X85:X94" si="167">E85*S85/1000</f>
        <v>5.4766898400653706E-2</v>
      </c>
      <c r="Y85" s="43">
        <f t="shared" ref="Y85:Y94" si="168">O85*T85</f>
        <v>0.28641767453232608</v>
      </c>
      <c r="Z85" s="43">
        <f t="shared" ref="Z85:Z94" si="169">SUM(U85:Y85)</f>
        <v>9.7669749037661795</v>
      </c>
      <c r="AA85" s="220"/>
      <c r="AB85" s="240">
        <f t="shared" ref="AB85:AB94" si="170">IFERROR(U85/O85,0)</f>
        <v>1.690429231029329</v>
      </c>
      <c r="AC85" s="240">
        <f t="shared" ref="AC85:AC94" si="171">IFERROR(V85/O85,0)</f>
        <v>8.5827834420563784E-2</v>
      </c>
      <c r="AD85" s="240">
        <f t="shared" ref="AD85:AD94" si="172">IFERROR(W85/O85,0)</f>
        <v>1.9131568994526543E-2</v>
      </c>
      <c r="AE85" s="240">
        <f t="shared" ref="AE85:AE94" si="173">IFERROR(X85/O85,0)</f>
        <v>1.0431790171553088E-2</v>
      </c>
      <c r="AF85" s="240">
        <f t="shared" ref="AF85:AF94" si="174">IFERROR(Y85/O85,0)</f>
        <v>5.4555747529966871E-2</v>
      </c>
      <c r="AG85" s="240">
        <f t="shared" ref="AG85:AG94" si="175">SUM(AB85:AF85)</f>
        <v>1.8603761721459395</v>
      </c>
      <c r="AH85" s="43">
        <f t="shared" ref="AH85:AH94" si="176">(U85*$G85)</f>
        <v>0</v>
      </c>
      <c r="AI85" s="43">
        <f t="shared" ref="AI85:AI94" si="177">(V85*$G85)</f>
        <v>0</v>
      </c>
      <c r="AJ85" s="43">
        <f t="shared" ref="AJ85:AJ94" si="178">(W85*$G85)</f>
        <v>0</v>
      </c>
      <c r="AK85" s="43">
        <f t="shared" ref="AK85:AK94" si="179">(X85*$G85)</f>
        <v>0</v>
      </c>
      <c r="AL85" s="43">
        <f t="shared" ref="AL85:AL94" si="180">(Y85*$G85)</f>
        <v>0</v>
      </c>
      <c r="AM85" s="43">
        <f t="shared" ref="AM85:AM94" si="181">SUM(AH85:AL85)</f>
        <v>0</v>
      </c>
      <c r="AN85" s="43">
        <f t="shared" ref="AN85:AN94" si="182">AH85*12</f>
        <v>0</v>
      </c>
      <c r="AO85" s="43">
        <f t="shared" ref="AO85:AO94" si="183">AI85*12</f>
        <v>0</v>
      </c>
      <c r="AP85" s="43">
        <f t="shared" ref="AP85:AP94" si="184">AJ85*12</f>
        <v>0</v>
      </c>
      <c r="AQ85" s="43">
        <f t="shared" ref="AQ85:AQ94" si="185">AK85*12</f>
        <v>0</v>
      </c>
      <c r="AR85" s="43">
        <f t="shared" ref="AR85:AR94" si="186">AL85*12</f>
        <v>0</v>
      </c>
      <c r="AS85" s="43">
        <f t="shared" ref="AS85:AS94" si="187">AM85*12</f>
        <v>0</v>
      </c>
    </row>
    <row r="86" spans="1:45" x14ac:dyDescent="0.2">
      <c r="A86" s="58" t="str">
        <f>A83</f>
        <v>53E - Company Owned</v>
      </c>
      <c r="B86" s="21" t="str">
        <f>'WP1 Light Inventory'!C87</f>
        <v>SMART LIGHT</v>
      </c>
      <c r="C86" s="21" t="str">
        <f>'WP1 Light Inventory'!D87</f>
        <v>Light Emitting Diode</v>
      </c>
      <c r="D86" s="21" t="str">
        <f>'WP1 Light Inventory'!E87</f>
        <v>LED 030.01-060</v>
      </c>
      <c r="E86" s="21">
        <f>'WP1 Light Inventory'!F87</f>
        <v>45</v>
      </c>
      <c r="F86" s="21" t="str">
        <f>'WP1 Light Inventory'!H87</f>
        <v>Company</v>
      </c>
      <c r="G86" s="397">
        <f>'WP1 Light Inventory'!J87</f>
        <v>0</v>
      </c>
      <c r="H86" s="74">
        <f>'WP7 Condensed LED Cost Est.'!$C11</f>
        <v>870.45377419354838</v>
      </c>
      <c r="I86" s="14" t="s">
        <v>133</v>
      </c>
      <c r="J86" s="19">
        <f>IF(C86="Light Emitting Diode",'WP10 O&amp;M Weighting Factor'!$B$26,IF('WP12 Condensed Sch. Level Costs'!C86="Sodium Vapor",'WP10 O&amp;M Weighting Factor'!$B$27,IF('WP12 Condensed Sch. Level Costs'!C86="Metal Halide",'WP10 O&amp;M Weighting Factor'!$B$28,IF('WP12 Condensed Sch. Level Costs'!C86="Mercury Vapor",'WP10 O&amp;M Weighting Factor'!$B$30,IF('WP12 Condensed Sch. Level Costs'!C86="Compact Flourescent",'WP10 O&amp;M Weighting Factor'!$B$29, IF(C86="Incandescent", 'WP10 O&amp;M Weighting Factor'!$B$31, 0))))))</f>
        <v>0.2</v>
      </c>
      <c r="K86" s="282">
        <f t="shared" si="160"/>
        <v>0</v>
      </c>
      <c r="L86" s="74">
        <f t="shared" si="161"/>
        <v>0</v>
      </c>
      <c r="M86" s="283">
        <f t="shared" si="162"/>
        <v>0</v>
      </c>
      <c r="N86" s="398">
        <f>'WP1 Light Inventory'!L87</f>
        <v>0</v>
      </c>
      <c r="O86" s="284">
        <f t="shared" si="163"/>
        <v>15.75</v>
      </c>
      <c r="P86" s="261">
        <f>'BDJ-6 Unitized Lighting Costs'!D$20</f>
        <v>1.0137794003499056E-2</v>
      </c>
      <c r="Q86" s="261">
        <f>'BDJ-6 Unitized Lighting Costs'!$D$43</f>
        <v>2.2529806535397991</v>
      </c>
      <c r="R86" s="261">
        <f>'BDJ-6 Unitized Lighting Costs'!D$69</f>
        <v>1.9131568994526543E-2</v>
      </c>
      <c r="S86" s="261">
        <f>'BDJ-6 Unitized Lighting Costs'!D$100</f>
        <v>3.6511265600435805</v>
      </c>
      <c r="T86" s="261">
        <f>'BDJ-6 Unitized Lighting Costs'!$D$117</f>
        <v>5.4555747529966878E-2</v>
      </c>
      <c r="U86" s="43">
        <f t="shared" si="164"/>
        <v>8.8244810523424757</v>
      </c>
      <c r="V86" s="43">
        <f t="shared" si="165"/>
        <v>0.45059613070795984</v>
      </c>
      <c r="W86" s="43">
        <f t="shared" si="166"/>
        <v>0.30132221166379303</v>
      </c>
      <c r="X86" s="43">
        <f t="shared" si="167"/>
        <v>0.16430069520196114</v>
      </c>
      <c r="Y86" s="43">
        <f t="shared" si="168"/>
        <v>0.8592530235969783</v>
      </c>
      <c r="Z86" s="43">
        <f t="shared" si="169"/>
        <v>10.599953113513166</v>
      </c>
      <c r="AA86" s="220"/>
      <c r="AB86" s="240">
        <f t="shared" si="170"/>
        <v>0.56028451125983969</v>
      </c>
      <c r="AC86" s="240">
        <f t="shared" si="171"/>
        <v>2.8609278140187926E-2</v>
      </c>
      <c r="AD86" s="240">
        <f t="shared" si="172"/>
        <v>1.9131568994526543E-2</v>
      </c>
      <c r="AE86" s="240">
        <f t="shared" si="173"/>
        <v>1.0431790171553088E-2</v>
      </c>
      <c r="AF86" s="240">
        <f t="shared" si="174"/>
        <v>5.4555747529966878E-2</v>
      </c>
      <c r="AG86" s="240">
        <f t="shared" si="175"/>
        <v>0.67301289609607395</v>
      </c>
      <c r="AH86" s="43">
        <f t="shared" si="176"/>
        <v>0</v>
      </c>
      <c r="AI86" s="43">
        <f t="shared" si="177"/>
        <v>0</v>
      </c>
      <c r="AJ86" s="43">
        <f t="shared" si="178"/>
        <v>0</v>
      </c>
      <c r="AK86" s="43">
        <f t="shared" si="179"/>
        <v>0</v>
      </c>
      <c r="AL86" s="43">
        <f t="shared" si="180"/>
        <v>0</v>
      </c>
      <c r="AM86" s="43">
        <f t="shared" si="181"/>
        <v>0</v>
      </c>
      <c r="AN86" s="43">
        <f t="shared" si="182"/>
        <v>0</v>
      </c>
      <c r="AO86" s="43">
        <f t="shared" si="183"/>
        <v>0</v>
      </c>
      <c r="AP86" s="43">
        <f t="shared" si="184"/>
        <v>0</v>
      </c>
      <c r="AQ86" s="43">
        <f t="shared" si="185"/>
        <v>0</v>
      </c>
      <c r="AR86" s="43">
        <f t="shared" si="186"/>
        <v>0</v>
      </c>
      <c r="AS86" s="43">
        <f t="shared" si="187"/>
        <v>0</v>
      </c>
    </row>
    <row r="87" spans="1:45" x14ac:dyDescent="0.2">
      <c r="A87" s="58" t="str">
        <f t="shared" ref="A87:A94" si="188">A86</f>
        <v>53E - Company Owned</v>
      </c>
      <c r="B87" s="21" t="str">
        <f>'WP1 Light Inventory'!C88</f>
        <v>SMART LIGHT</v>
      </c>
      <c r="C87" s="21" t="str">
        <f>'WP1 Light Inventory'!D88</f>
        <v>Light Emitting Diode</v>
      </c>
      <c r="D87" s="21" t="str">
        <f>'WP1 Light Inventory'!E88</f>
        <v>LED 060.01-090</v>
      </c>
      <c r="E87" s="21">
        <f>'WP1 Light Inventory'!F88</f>
        <v>75</v>
      </c>
      <c r="F87" s="21" t="str">
        <f>'WP1 Light Inventory'!H88</f>
        <v>Company</v>
      </c>
      <c r="G87" s="397">
        <f>'WP1 Light Inventory'!J88</f>
        <v>0</v>
      </c>
      <c r="H87" s="74">
        <f>'WP7 Condensed LED Cost Est.'!$C12</f>
        <v>851.13228571428579</v>
      </c>
      <c r="I87" s="14" t="s">
        <v>133</v>
      </c>
      <c r="J87" s="19">
        <f>IF(C87="Light Emitting Diode",'WP10 O&amp;M Weighting Factor'!$B$26,IF('WP12 Condensed Sch. Level Costs'!C87="Sodium Vapor",'WP10 O&amp;M Weighting Factor'!$B$27,IF('WP12 Condensed Sch. Level Costs'!C87="Metal Halide",'WP10 O&amp;M Weighting Factor'!$B$28,IF('WP12 Condensed Sch. Level Costs'!C87="Mercury Vapor",'WP10 O&amp;M Weighting Factor'!$B$30,IF('WP12 Condensed Sch. Level Costs'!C87="Compact Flourescent",'WP10 O&amp;M Weighting Factor'!$B$29, IF(C87="Incandescent", 'WP10 O&amp;M Weighting Factor'!$B$31, 0))))))</f>
        <v>0.2</v>
      </c>
      <c r="K87" s="282">
        <f t="shared" si="160"/>
        <v>0</v>
      </c>
      <c r="L87" s="74">
        <f t="shared" si="161"/>
        <v>0</v>
      </c>
      <c r="M87" s="283">
        <f t="shared" si="162"/>
        <v>0</v>
      </c>
      <c r="N87" s="398">
        <f>'WP1 Light Inventory'!L88</f>
        <v>0</v>
      </c>
      <c r="O87" s="284">
        <f t="shared" si="163"/>
        <v>26.25</v>
      </c>
      <c r="P87" s="261">
        <f>'BDJ-6 Unitized Lighting Costs'!D$20</f>
        <v>1.0137794003499056E-2</v>
      </c>
      <c r="Q87" s="261">
        <f>'BDJ-6 Unitized Lighting Costs'!$D$43</f>
        <v>2.2529806535397991</v>
      </c>
      <c r="R87" s="261">
        <f>'BDJ-6 Unitized Lighting Costs'!D$69</f>
        <v>1.9131568994526543E-2</v>
      </c>
      <c r="S87" s="261">
        <f>'BDJ-6 Unitized Lighting Costs'!D$100</f>
        <v>3.6511265600435805</v>
      </c>
      <c r="T87" s="261">
        <f>'BDJ-6 Unitized Lighting Costs'!$D$117</f>
        <v>5.4555747529966878E-2</v>
      </c>
      <c r="U87" s="43">
        <f t="shared" si="164"/>
        <v>8.6286037822987307</v>
      </c>
      <c r="V87" s="43">
        <f t="shared" si="165"/>
        <v>0.45059613070795984</v>
      </c>
      <c r="W87" s="43">
        <f t="shared" si="166"/>
        <v>0.50220368610632171</v>
      </c>
      <c r="X87" s="43">
        <f t="shared" si="167"/>
        <v>0.27383449200326859</v>
      </c>
      <c r="Y87" s="43">
        <f t="shared" si="168"/>
        <v>1.4320883726616305</v>
      </c>
      <c r="Z87" s="43">
        <f t="shared" si="169"/>
        <v>11.28732646377791</v>
      </c>
      <c r="AA87" s="220"/>
      <c r="AB87" s="240">
        <f t="shared" si="170"/>
        <v>0.32870871551614211</v>
      </c>
      <c r="AC87" s="240">
        <f t="shared" si="171"/>
        <v>1.7165566884112755E-2</v>
      </c>
      <c r="AD87" s="240">
        <f t="shared" si="172"/>
        <v>1.9131568994526543E-2</v>
      </c>
      <c r="AE87" s="240">
        <f t="shared" si="173"/>
        <v>1.0431790171553089E-2</v>
      </c>
      <c r="AF87" s="240">
        <f t="shared" si="174"/>
        <v>5.4555747529966878E-2</v>
      </c>
      <c r="AG87" s="240">
        <f t="shared" si="175"/>
        <v>0.42999338909630141</v>
      </c>
      <c r="AH87" s="43">
        <f t="shared" si="176"/>
        <v>0</v>
      </c>
      <c r="AI87" s="43">
        <f t="shared" si="177"/>
        <v>0</v>
      </c>
      <c r="AJ87" s="43">
        <f t="shared" si="178"/>
        <v>0</v>
      </c>
      <c r="AK87" s="43">
        <f t="shared" si="179"/>
        <v>0</v>
      </c>
      <c r="AL87" s="43">
        <f t="shared" si="180"/>
        <v>0</v>
      </c>
      <c r="AM87" s="43">
        <f t="shared" si="181"/>
        <v>0</v>
      </c>
      <c r="AN87" s="43">
        <f t="shared" si="182"/>
        <v>0</v>
      </c>
      <c r="AO87" s="43">
        <f t="shared" si="183"/>
        <v>0</v>
      </c>
      <c r="AP87" s="43">
        <f t="shared" si="184"/>
        <v>0</v>
      </c>
      <c r="AQ87" s="43">
        <f t="shared" si="185"/>
        <v>0</v>
      </c>
      <c r="AR87" s="43">
        <f t="shared" si="186"/>
        <v>0</v>
      </c>
      <c r="AS87" s="43">
        <f t="shared" si="187"/>
        <v>0</v>
      </c>
    </row>
    <row r="88" spans="1:45" x14ac:dyDescent="0.2">
      <c r="A88" s="58" t="str">
        <f t="shared" si="188"/>
        <v>53E - Company Owned</v>
      </c>
      <c r="B88" s="21" t="str">
        <f>'WP1 Light Inventory'!C89</f>
        <v>SMART LIGHT</v>
      </c>
      <c r="C88" s="21" t="str">
        <f>'WP1 Light Inventory'!D89</f>
        <v>Light Emitting Diode</v>
      </c>
      <c r="D88" s="21" t="str">
        <f>'WP1 Light Inventory'!E89</f>
        <v>LED 090.01-120</v>
      </c>
      <c r="E88" s="21">
        <f>'WP1 Light Inventory'!F89</f>
        <v>105</v>
      </c>
      <c r="F88" s="21" t="str">
        <f>'WP1 Light Inventory'!H89</f>
        <v>Company</v>
      </c>
      <c r="G88" s="397">
        <f>'WP1 Light Inventory'!J89</f>
        <v>0</v>
      </c>
      <c r="H88" s="74">
        <f>'WP7 Condensed LED Cost Est.'!$C13</f>
        <v>910.30015384615376</v>
      </c>
      <c r="I88" s="14" t="s">
        <v>133</v>
      </c>
      <c r="J88" s="19">
        <f>IF(C88="Light Emitting Diode",'WP10 O&amp;M Weighting Factor'!$B$26,IF('WP12 Condensed Sch. Level Costs'!C88="Sodium Vapor",'WP10 O&amp;M Weighting Factor'!$B$27,IF('WP12 Condensed Sch. Level Costs'!C88="Metal Halide",'WP10 O&amp;M Weighting Factor'!$B$28,IF('WP12 Condensed Sch. Level Costs'!C88="Mercury Vapor",'WP10 O&amp;M Weighting Factor'!$B$30,IF('WP12 Condensed Sch. Level Costs'!C88="Compact Flourescent",'WP10 O&amp;M Weighting Factor'!$B$29, IF(C88="Incandescent", 'WP10 O&amp;M Weighting Factor'!$B$31, 0))))))</f>
        <v>0.2</v>
      </c>
      <c r="K88" s="282">
        <f t="shared" si="160"/>
        <v>0</v>
      </c>
      <c r="L88" s="74">
        <f t="shared" si="161"/>
        <v>0</v>
      </c>
      <c r="M88" s="283">
        <f t="shared" si="162"/>
        <v>0</v>
      </c>
      <c r="N88" s="398">
        <f>'WP1 Light Inventory'!L89</f>
        <v>0</v>
      </c>
      <c r="O88" s="284">
        <f t="shared" si="163"/>
        <v>36.75</v>
      </c>
      <c r="P88" s="261">
        <f>'BDJ-6 Unitized Lighting Costs'!D$20</f>
        <v>1.0137794003499056E-2</v>
      </c>
      <c r="Q88" s="261">
        <f>'BDJ-6 Unitized Lighting Costs'!$D$43</f>
        <v>2.2529806535397991</v>
      </c>
      <c r="R88" s="261">
        <f>'BDJ-6 Unitized Lighting Costs'!D$69</f>
        <v>1.9131568994526543E-2</v>
      </c>
      <c r="S88" s="261">
        <f>'BDJ-6 Unitized Lighting Costs'!D$100</f>
        <v>3.6511265600435805</v>
      </c>
      <c r="T88" s="261">
        <f>'BDJ-6 Unitized Lighting Costs'!$D$117</f>
        <v>5.4555747529966878E-2</v>
      </c>
      <c r="U88" s="43">
        <f t="shared" si="164"/>
        <v>9.2284354410458054</v>
      </c>
      <c r="V88" s="43">
        <f t="shared" si="165"/>
        <v>0.45059613070795984</v>
      </c>
      <c r="W88" s="43">
        <f t="shared" si="166"/>
        <v>0.7030851605488504</v>
      </c>
      <c r="X88" s="43">
        <f t="shared" si="167"/>
        <v>0.38336828880457596</v>
      </c>
      <c r="Y88" s="43">
        <f t="shared" si="168"/>
        <v>2.004923721726283</v>
      </c>
      <c r="Z88" s="43">
        <f t="shared" si="169"/>
        <v>12.770408742833474</v>
      </c>
      <c r="AA88" s="220"/>
      <c r="AB88" s="240">
        <f t="shared" si="170"/>
        <v>0.25111388955226682</v>
      </c>
      <c r="AC88" s="240">
        <f t="shared" si="171"/>
        <v>1.2261119202937683E-2</v>
      </c>
      <c r="AD88" s="240">
        <f t="shared" si="172"/>
        <v>1.9131568994526543E-2</v>
      </c>
      <c r="AE88" s="240">
        <f t="shared" si="173"/>
        <v>1.0431790171553088E-2</v>
      </c>
      <c r="AF88" s="240">
        <f t="shared" si="174"/>
        <v>5.4555747529966885E-2</v>
      </c>
      <c r="AG88" s="240">
        <f t="shared" si="175"/>
        <v>0.34749411545125108</v>
      </c>
      <c r="AH88" s="43">
        <f t="shared" si="176"/>
        <v>0</v>
      </c>
      <c r="AI88" s="43">
        <f t="shared" si="177"/>
        <v>0</v>
      </c>
      <c r="AJ88" s="43">
        <f t="shared" si="178"/>
        <v>0</v>
      </c>
      <c r="AK88" s="43">
        <f t="shared" si="179"/>
        <v>0</v>
      </c>
      <c r="AL88" s="43">
        <f t="shared" si="180"/>
        <v>0</v>
      </c>
      <c r="AM88" s="43">
        <f t="shared" si="181"/>
        <v>0</v>
      </c>
      <c r="AN88" s="43">
        <f t="shared" si="182"/>
        <v>0</v>
      </c>
      <c r="AO88" s="43">
        <f t="shared" si="183"/>
        <v>0</v>
      </c>
      <c r="AP88" s="43">
        <f t="shared" si="184"/>
        <v>0</v>
      </c>
      <c r="AQ88" s="43">
        <f t="shared" si="185"/>
        <v>0</v>
      </c>
      <c r="AR88" s="43">
        <f t="shared" si="186"/>
        <v>0</v>
      </c>
      <c r="AS88" s="43">
        <f t="shared" si="187"/>
        <v>0</v>
      </c>
    </row>
    <row r="89" spans="1:45" x14ac:dyDescent="0.2">
      <c r="A89" s="58" t="str">
        <f t="shared" si="188"/>
        <v>53E - Company Owned</v>
      </c>
      <c r="B89" s="21" t="str">
        <f>'WP1 Light Inventory'!C90</f>
        <v>SMART LIGHT</v>
      </c>
      <c r="C89" s="21" t="str">
        <f>'WP1 Light Inventory'!D90</f>
        <v>Light Emitting Diode</v>
      </c>
      <c r="D89" s="21" t="str">
        <f>'WP1 Light Inventory'!E90</f>
        <v>LED 120.01-150</v>
      </c>
      <c r="E89" s="21">
        <f>'WP1 Light Inventory'!F90</f>
        <v>135</v>
      </c>
      <c r="F89" s="21" t="str">
        <f>'WP1 Light Inventory'!H90</f>
        <v>Company</v>
      </c>
      <c r="G89" s="397">
        <f>'WP1 Light Inventory'!J90</f>
        <v>0</v>
      </c>
      <c r="H89" s="74">
        <f>'WP7 Condensed LED Cost Est.'!$C14</f>
        <v>939.25</v>
      </c>
      <c r="I89" s="14" t="s">
        <v>133</v>
      </c>
      <c r="J89" s="19">
        <f>IF(C89="Light Emitting Diode",'WP10 O&amp;M Weighting Factor'!$B$26,IF('WP12 Condensed Sch. Level Costs'!C89="Sodium Vapor",'WP10 O&amp;M Weighting Factor'!$B$27,IF('WP12 Condensed Sch. Level Costs'!C89="Metal Halide",'WP10 O&amp;M Weighting Factor'!$B$28,IF('WP12 Condensed Sch. Level Costs'!C89="Mercury Vapor",'WP10 O&amp;M Weighting Factor'!$B$30,IF('WP12 Condensed Sch. Level Costs'!C89="Compact Flourescent",'WP10 O&amp;M Weighting Factor'!$B$29, IF(C89="Incandescent", 'WP10 O&amp;M Weighting Factor'!$B$31, 0))))))</f>
        <v>0.2</v>
      </c>
      <c r="K89" s="282">
        <f t="shared" si="160"/>
        <v>0</v>
      </c>
      <c r="L89" s="74">
        <f t="shared" si="161"/>
        <v>0</v>
      </c>
      <c r="M89" s="283">
        <f t="shared" si="162"/>
        <v>0</v>
      </c>
      <c r="N89" s="398">
        <f>'WP1 Light Inventory'!L90</f>
        <v>0</v>
      </c>
      <c r="O89" s="284">
        <f t="shared" si="163"/>
        <v>47.25</v>
      </c>
      <c r="P89" s="261">
        <f>'BDJ-6 Unitized Lighting Costs'!D$20</f>
        <v>1.0137794003499056E-2</v>
      </c>
      <c r="Q89" s="261">
        <f>'BDJ-6 Unitized Lighting Costs'!$D$43</f>
        <v>2.2529806535397991</v>
      </c>
      <c r="R89" s="261">
        <f>'BDJ-6 Unitized Lighting Costs'!D$69</f>
        <v>1.9131568994526543E-2</v>
      </c>
      <c r="S89" s="261">
        <f>'BDJ-6 Unitized Lighting Costs'!D$100</f>
        <v>3.6511265600435805</v>
      </c>
      <c r="T89" s="261">
        <f>'BDJ-6 Unitized Lighting Costs'!$D$117</f>
        <v>5.4555747529966878E-2</v>
      </c>
      <c r="U89" s="43">
        <f t="shared" si="164"/>
        <v>9.521923017786488</v>
      </c>
      <c r="V89" s="43">
        <f t="shared" si="165"/>
        <v>0.45059613070795984</v>
      </c>
      <c r="W89" s="43">
        <f t="shared" si="166"/>
        <v>0.90396663499137908</v>
      </c>
      <c r="X89" s="43">
        <f t="shared" si="167"/>
        <v>0.49290208560588339</v>
      </c>
      <c r="Y89" s="43">
        <f t="shared" si="168"/>
        <v>2.5777590707909348</v>
      </c>
      <c r="Z89" s="43">
        <f t="shared" si="169"/>
        <v>13.947146939882645</v>
      </c>
      <c r="AA89" s="220"/>
      <c r="AB89" s="240">
        <f t="shared" si="170"/>
        <v>0.2015221802706135</v>
      </c>
      <c r="AC89" s="240">
        <f t="shared" si="171"/>
        <v>9.5364260467293085E-3</v>
      </c>
      <c r="AD89" s="240">
        <f t="shared" si="172"/>
        <v>1.9131568994526543E-2</v>
      </c>
      <c r="AE89" s="240">
        <f t="shared" si="173"/>
        <v>1.0431790171553088E-2</v>
      </c>
      <c r="AF89" s="240">
        <f t="shared" si="174"/>
        <v>5.4555747529966878E-2</v>
      </c>
      <c r="AG89" s="240">
        <f t="shared" si="175"/>
        <v>0.2951777130133893</v>
      </c>
      <c r="AH89" s="43">
        <f t="shared" si="176"/>
        <v>0</v>
      </c>
      <c r="AI89" s="43">
        <f t="shared" si="177"/>
        <v>0</v>
      </c>
      <c r="AJ89" s="43">
        <f t="shared" si="178"/>
        <v>0</v>
      </c>
      <c r="AK89" s="43">
        <f t="shared" si="179"/>
        <v>0</v>
      </c>
      <c r="AL89" s="43">
        <f t="shared" si="180"/>
        <v>0</v>
      </c>
      <c r="AM89" s="43">
        <f t="shared" si="181"/>
        <v>0</v>
      </c>
      <c r="AN89" s="43">
        <f t="shared" si="182"/>
        <v>0</v>
      </c>
      <c r="AO89" s="43">
        <f t="shared" si="183"/>
        <v>0</v>
      </c>
      <c r="AP89" s="43">
        <f t="shared" si="184"/>
        <v>0</v>
      </c>
      <c r="AQ89" s="43">
        <f t="shared" si="185"/>
        <v>0</v>
      </c>
      <c r="AR89" s="43">
        <f t="shared" si="186"/>
        <v>0</v>
      </c>
      <c r="AS89" s="43">
        <f t="shared" si="187"/>
        <v>0</v>
      </c>
    </row>
    <row r="90" spans="1:45" x14ac:dyDescent="0.2">
      <c r="A90" s="58" t="str">
        <f t="shared" si="188"/>
        <v>53E - Company Owned</v>
      </c>
      <c r="B90" s="21" t="str">
        <f>'WP1 Light Inventory'!C91</f>
        <v>SMART LIGHT</v>
      </c>
      <c r="C90" s="21" t="str">
        <f>'WP1 Light Inventory'!D91</f>
        <v>Light Emitting Diode</v>
      </c>
      <c r="D90" s="21" t="str">
        <f>'WP1 Light Inventory'!E91</f>
        <v>LED 150.01-180</v>
      </c>
      <c r="E90" s="21">
        <f>'WP1 Light Inventory'!F91</f>
        <v>165</v>
      </c>
      <c r="F90" s="21" t="str">
        <f>'WP1 Light Inventory'!H91</f>
        <v>Company</v>
      </c>
      <c r="G90" s="397">
        <f>'WP1 Light Inventory'!J91</f>
        <v>0</v>
      </c>
      <c r="H90" s="74">
        <f>'WP7 Condensed LED Cost Est.'!$C15</f>
        <v>908.3504999999999</v>
      </c>
      <c r="I90" s="14" t="s">
        <v>133</v>
      </c>
      <c r="J90" s="19">
        <f>IF(C90="Light Emitting Diode",'WP10 O&amp;M Weighting Factor'!$B$26,IF('WP12 Condensed Sch. Level Costs'!C90="Sodium Vapor",'WP10 O&amp;M Weighting Factor'!$B$27,IF('WP12 Condensed Sch. Level Costs'!C90="Metal Halide",'WP10 O&amp;M Weighting Factor'!$B$28,IF('WP12 Condensed Sch. Level Costs'!C90="Mercury Vapor",'WP10 O&amp;M Weighting Factor'!$B$30,IF('WP12 Condensed Sch. Level Costs'!C90="Compact Flourescent",'WP10 O&amp;M Weighting Factor'!$B$29, IF(C90="Incandescent", 'WP10 O&amp;M Weighting Factor'!$B$31, 0))))))</f>
        <v>0.2</v>
      </c>
      <c r="K90" s="282">
        <f t="shared" si="160"/>
        <v>0</v>
      </c>
      <c r="L90" s="74">
        <f t="shared" si="161"/>
        <v>0</v>
      </c>
      <c r="M90" s="283">
        <f t="shared" si="162"/>
        <v>0</v>
      </c>
      <c r="N90" s="398">
        <f>'WP1 Light Inventory'!L91</f>
        <v>0</v>
      </c>
      <c r="O90" s="284">
        <f t="shared" si="163"/>
        <v>57.75</v>
      </c>
      <c r="P90" s="261">
        <f>'BDJ-6 Unitized Lighting Costs'!D$20</f>
        <v>1.0137794003499056E-2</v>
      </c>
      <c r="Q90" s="261">
        <f>'BDJ-6 Unitized Lighting Costs'!$D$43</f>
        <v>2.2529806535397991</v>
      </c>
      <c r="R90" s="261">
        <f>'BDJ-6 Unitized Lighting Costs'!D$69</f>
        <v>1.9131568994526543E-2</v>
      </c>
      <c r="S90" s="261">
        <f>'BDJ-6 Unitized Lighting Costs'!D$100</f>
        <v>3.6511265600435805</v>
      </c>
      <c r="T90" s="261">
        <f>'BDJ-6 Unitized Lighting Costs'!$D$117</f>
        <v>5.4555747529966878E-2</v>
      </c>
      <c r="U90" s="43">
        <f t="shared" si="164"/>
        <v>9.2086702519753683</v>
      </c>
      <c r="V90" s="43">
        <f t="shared" si="165"/>
        <v>0.45059613070795984</v>
      </c>
      <c r="W90" s="43">
        <f t="shared" si="166"/>
        <v>1.1048481094339078</v>
      </c>
      <c r="X90" s="43">
        <f t="shared" si="167"/>
        <v>0.60243588240719081</v>
      </c>
      <c r="Y90" s="43">
        <f t="shared" si="168"/>
        <v>3.1505944198555871</v>
      </c>
      <c r="Z90" s="43">
        <f t="shared" si="169"/>
        <v>14.517144794380012</v>
      </c>
      <c r="AA90" s="220"/>
      <c r="AB90" s="240">
        <f t="shared" si="170"/>
        <v>0.15945749354069902</v>
      </c>
      <c r="AC90" s="240">
        <f t="shared" si="171"/>
        <v>7.8025304018694347E-3</v>
      </c>
      <c r="AD90" s="240">
        <f t="shared" si="172"/>
        <v>1.9131568994526543E-2</v>
      </c>
      <c r="AE90" s="240">
        <f t="shared" si="173"/>
        <v>1.0431790171553088E-2</v>
      </c>
      <c r="AF90" s="240">
        <f t="shared" si="174"/>
        <v>5.4555747529966878E-2</v>
      </c>
      <c r="AG90" s="240">
        <f t="shared" si="175"/>
        <v>0.25137913063861494</v>
      </c>
      <c r="AH90" s="43">
        <f t="shared" si="176"/>
        <v>0</v>
      </c>
      <c r="AI90" s="43">
        <f t="shared" si="177"/>
        <v>0</v>
      </c>
      <c r="AJ90" s="43">
        <f t="shared" si="178"/>
        <v>0</v>
      </c>
      <c r="AK90" s="43">
        <f t="shared" si="179"/>
        <v>0</v>
      </c>
      <c r="AL90" s="43">
        <f t="shared" si="180"/>
        <v>0</v>
      </c>
      <c r="AM90" s="43">
        <f t="shared" si="181"/>
        <v>0</v>
      </c>
      <c r="AN90" s="43">
        <f t="shared" si="182"/>
        <v>0</v>
      </c>
      <c r="AO90" s="43">
        <f t="shared" si="183"/>
        <v>0</v>
      </c>
      <c r="AP90" s="43">
        <f t="shared" si="184"/>
        <v>0</v>
      </c>
      <c r="AQ90" s="43">
        <f t="shared" si="185"/>
        <v>0</v>
      </c>
      <c r="AR90" s="43">
        <f t="shared" si="186"/>
        <v>0</v>
      </c>
      <c r="AS90" s="43">
        <f t="shared" si="187"/>
        <v>0</v>
      </c>
    </row>
    <row r="91" spans="1:45" x14ac:dyDescent="0.2">
      <c r="A91" s="58" t="str">
        <f t="shared" si="188"/>
        <v>53E - Company Owned</v>
      </c>
      <c r="B91" s="21" t="str">
        <f>'WP1 Light Inventory'!C92</f>
        <v>SMART LIGHT</v>
      </c>
      <c r="C91" s="21" t="str">
        <f>'WP1 Light Inventory'!D92</f>
        <v>Light Emitting Diode</v>
      </c>
      <c r="D91" s="21" t="str">
        <f>'WP1 Light Inventory'!E92</f>
        <v>LED 180.01-210</v>
      </c>
      <c r="E91" s="21">
        <f>'WP1 Light Inventory'!F92</f>
        <v>195</v>
      </c>
      <c r="F91" s="21" t="str">
        <f>'WP1 Light Inventory'!H92</f>
        <v>Company</v>
      </c>
      <c r="G91" s="397">
        <f>'WP1 Light Inventory'!J92</f>
        <v>0</v>
      </c>
      <c r="H91" s="74">
        <f>'WP7 Condensed LED Cost Est.'!$C16</f>
        <v>908.3504999999999</v>
      </c>
      <c r="I91" s="14" t="s">
        <v>133</v>
      </c>
      <c r="J91" s="19">
        <f>IF(C91="Light Emitting Diode",'WP10 O&amp;M Weighting Factor'!$B$26,IF('WP12 Condensed Sch. Level Costs'!C91="Sodium Vapor",'WP10 O&amp;M Weighting Factor'!$B$27,IF('WP12 Condensed Sch. Level Costs'!C91="Metal Halide",'WP10 O&amp;M Weighting Factor'!$B$28,IF('WP12 Condensed Sch. Level Costs'!C91="Mercury Vapor",'WP10 O&amp;M Weighting Factor'!$B$30,IF('WP12 Condensed Sch. Level Costs'!C91="Compact Flourescent",'WP10 O&amp;M Weighting Factor'!$B$29, IF(C91="Incandescent", 'WP10 O&amp;M Weighting Factor'!$B$31, 0))))))</f>
        <v>0.2</v>
      </c>
      <c r="K91" s="282">
        <f t="shared" si="160"/>
        <v>0</v>
      </c>
      <c r="L91" s="74">
        <f t="shared" si="161"/>
        <v>0</v>
      </c>
      <c r="M91" s="283">
        <f t="shared" si="162"/>
        <v>0</v>
      </c>
      <c r="N91" s="398">
        <f>'WP1 Light Inventory'!L92</f>
        <v>0</v>
      </c>
      <c r="O91" s="284">
        <f t="shared" si="163"/>
        <v>68.25</v>
      </c>
      <c r="P91" s="261">
        <f>'BDJ-6 Unitized Lighting Costs'!D$20</f>
        <v>1.0137794003499056E-2</v>
      </c>
      <c r="Q91" s="261">
        <f>'BDJ-6 Unitized Lighting Costs'!$D$43</f>
        <v>2.2529806535397991</v>
      </c>
      <c r="R91" s="261">
        <f>'BDJ-6 Unitized Lighting Costs'!D$69</f>
        <v>1.9131568994526543E-2</v>
      </c>
      <c r="S91" s="261">
        <f>'BDJ-6 Unitized Lighting Costs'!D$100</f>
        <v>3.6511265600435805</v>
      </c>
      <c r="T91" s="261">
        <f>'BDJ-6 Unitized Lighting Costs'!$D$117</f>
        <v>5.4555747529966878E-2</v>
      </c>
      <c r="U91" s="43">
        <f t="shared" si="164"/>
        <v>9.2086702519753683</v>
      </c>
      <c r="V91" s="43">
        <f t="shared" si="165"/>
        <v>0.45059613070795984</v>
      </c>
      <c r="W91" s="43">
        <f t="shared" si="166"/>
        <v>1.3057295838764365</v>
      </c>
      <c r="X91" s="43">
        <f t="shared" si="167"/>
        <v>0.71196967920849819</v>
      </c>
      <c r="Y91" s="43">
        <f t="shared" si="168"/>
        <v>3.7234297689202394</v>
      </c>
      <c r="Z91" s="43">
        <f t="shared" si="169"/>
        <v>15.400395414688502</v>
      </c>
      <c r="AA91" s="220"/>
      <c r="AB91" s="240">
        <f t="shared" si="170"/>
        <v>0.13492557145751455</v>
      </c>
      <c r="AC91" s="240">
        <f t="shared" si="171"/>
        <v>6.6021411092741372E-3</v>
      </c>
      <c r="AD91" s="240">
        <f t="shared" si="172"/>
        <v>1.9131568994526543E-2</v>
      </c>
      <c r="AE91" s="240">
        <f t="shared" si="173"/>
        <v>1.0431790171553088E-2</v>
      </c>
      <c r="AF91" s="240">
        <f t="shared" si="174"/>
        <v>5.4555747529966878E-2</v>
      </c>
      <c r="AG91" s="240">
        <f t="shared" si="175"/>
        <v>0.2256468192628352</v>
      </c>
      <c r="AH91" s="43">
        <f t="shared" si="176"/>
        <v>0</v>
      </c>
      <c r="AI91" s="43">
        <f t="shared" si="177"/>
        <v>0</v>
      </c>
      <c r="AJ91" s="43">
        <f t="shared" si="178"/>
        <v>0</v>
      </c>
      <c r="AK91" s="43">
        <f t="shared" si="179"/>
        <v>0</v>
      </c>
      <c r="AL91" s="43">
        <f t="shared" si="180"/>
        <v>0</v>
      </c>
      <c r="AM91" s="43">
        <f t="shared" si="181"/>
        <v>0</v>
      </c>
      <c r="AN91" s="43">
        <f t="shared" si="182"/>
        <v>0</v>
      </c>
      <c r="AO91" s="43">
        <f t="shared" si="183"/>
        <v>0</v>
      </c>
      <c r="AP91" s="43">
        <f t="shared" si="184"/>
        <v>0</v>
      </c>
      <c r="AQ91" s="43">
        <f t="shared" si="185"/>
        <v>0</v>
      </c>
      <c r="AR91" s="43">
        <f t="shared" si="186"/>
        <v>0</v>
      </c>
      <c r="AS91" s="43">
        <f t="shared" si="187"/>
        <v>0</v>
      </c>
    </row>
    <row r="92" spans="1:45" x14ac:dyDescent="0.2">
      <c r="A92" s="58" t="str">
        <f t="shared" si="188"/>
        <v>53E - Company Owned</v>
      </c>
      <c r="B92" s="21" t="str">
        <f>'WP1 Light Inventory'!C93</f>
        <v>SMART LIGHT</v>
      </c>
      <c r="C92" s="21" t="str">
        <f>'WP1 Light Inventory'!D93</f>
        <v>Light Emitting Diode</v>
      </c>
      <c r="D92" s="21" t="str">
        <f>'WP1 Light Inventory'!E93</f>
        <v>LED 210.01-240</v>
      </c>
      <c r="E92" s="21">
        <f>'WP1 Light Inventory'!F93</f>
        <v>225</v>
      </c>
      <c r="F92" s="21" t="str">
        <f>'WP1 Light Inventory'!H93</f>
        <v>Company</v>
      </c>
      <c r="G92" s="397">
        <f>'WP1 Light Inventory'!J93</f>
        <v>0</v>
      </c>
      <c r="H92" s="74">
        <f>'WP7 Condensed LED Cost Est.'!$C17</f>
        <v>913.10849999999994</v>
      </c>
      <c r="I92" s="14" t="s">
        <v>133</v>
      </c>
      <c r="J92" s="19">
        <f>IF(C92="Light Emitting Diode",'WP10 O&amp;M Weighting Factor'!$B$26,IF('WP12 Condensed Sch. Level Costs'!C92="Sodium Vapor",'WP10 O&amp;M Weighting Factor'!$B$27,IF('WP12 Condensed Sch. Level Costs'!C92="Metal Halide",'WP10 O&amp;M Weighting Factor'!$B$28,IF('WP12 Condensed Sch. Level Costs'!C92="Mercury Vapor",'WP10 O&amp;M Weighting Factor'!$B$30,IF('WP12 Condensed Sch. Level Costs'!C92="Compact Flourescent",'WP10 O&amp;M Weighting Factor'!$B$29, IF(C92="Incandescent", 'WP10 O&amp;M Weighting Factor'!$B$31, 0))))))</f>
        <v>0.2</v>
      </c>
      <c r="K92" s="282">
        <f t="shared" si="160"/>
        <v>0</v>
      </c>
      <c r="L92" s="74">
        <f t="shared" si="161"/>
        <v>0</v>
      </c>
      <c r="M92" s="283">
        <f t="shared" si="162"/>
        <v>0</v>
      </c>
      <c r="N92" s="398">
        <f>'WP1 Light Inventory'!L93</f>
        <v>0</v>
      </c>
      <c r="O92" s="284">
        <f t="shared" si="163"/>
        <v>78.75</v>
      </c>
      <c r="P92" s="261">
        <f>'BDJ-6 Unitized Lighting Costs'!D$20</f>
        <v>1.0137794003499056E-2</v>
      </c>
      <c r="Q92" s="261">
        <f>'BDJ-6 Unitized Lighting Costs'!$D$43</f>
        <v>2.2529806535397991</v>
      </c>
      <c r="R92" s="261">
        <f>'BDJ-6 Unitized Lighting Costs'!D$69</f>
        <v>1.9131568994526543E-2</v>
      </c>
      <c r="S92" s="261">
        <f>'BDJ-6 Unitized Lighting Costs'!D$100</f>
        <v>3.6511265600435805</v>
      </c>
      <c r="T92" s="261">
        <f>'BDJ-6 Unitized Lighting Costs'!$D$117</f>
        <v>5.4555747529966878E-2</v>
      </c>
      <c r="U92" s="43">
        <f t="shared" si="164"/>
        <v>9.2569058758440175</v>
      </c>
      <c r="V92" s="43">
        <f t="shared" si="165"/>
        <v>0.45059613070795984</v>
      </c>
      <c r="W92" s="43">
        <f t="shared" si="166"/>
        <v>1.5066110583189651</v>
      </c>
      <c r="X92" s="43">
        <f t="shared" si="167"/>
        <v>0.82150347600980556</v>
      </c>
      <c r="Y92" s="43">
        <f t="shared" si="168"/>
        <v>4.2962651179848912</v>
      </c>
      <c r="Z92" s="43">
        <f t="shared" si="169"/>
        <v>16.33188165886564</v>
      </c>
      <c r="AA92" s="220"/>
      <c r="AB92" s="240">
        <f t="shared" si="170"/>
        <v>0.11754801112182879</v>
      </c>
      <c r="AC92" s="240">
        <f t="shared" si="171"/>
        <v>5.7218556280375851E-3</v>
      </c>
      <c r="AD92" s="240">
        <f t="shared" si="172"/>
        <v>1.9131568994526543E-2</v>
      </c>
      <c r="AE92" s="240">
        <f t="shared" si="173"/>
        <v>1.0431790171553086E-2</v>
      </c>
      <c r="AF92" s="240">
        <f t="shared" si="174"/>
        <v>5.4555747529966871E-2</v>
      </c>
      <c r="AG92" s="240">
        <f t="shared" si="175"/>
        <v>0.20738897344591284</v>
      </c>
      <c r="AH92" s="43">
        <f t="shared" si="176"/>
        <v>0</v>
      </c>
      <c r="AI92" s="43">
        <f t="shared" si="177"/>
        <v>0</v>
      </c>
      <c r="AJ92" s="43">
        <f t="shared" si="178"/>
        <v>0</v>
      </c>
      <c r="AK92" s="43">
        <f t="shared" si="179"/>
        <v>0</v>
      </c>
      <c r="AL92" s="43">
        <f t="shared" si="180"/>
        <v>0</v>
      </c>
      <c r="AM92" s="43">
        <f t="shared" si="181"/>
        <v>0</v>
      </c>
      <c r="AN92" s="43">
        <f t="shared" si="182"/>
        <v>0</v>
      </c>
      <c r="AO92" s="43">
        <f t="shared" si="183"/>
        <v>0</v>
      </c>
      <c r="AP92" s="43">
        <f t="shared" si="184"/>
        <v>0</v>
      </c>
      <c r="AQ92" s="43">
        <f t="shared" si="185"/>
        <v>0</v>
      </c>
      <c r="AR92" s="43">
        <f t="shared" si="186"/>
        <v>0</v>
      </c>
      <c r="AS92" s="43">
        <f t="shared" si="187"/>
        <v>0</v>
      </c>
    </row>
    <row r="93" spans="1:45" x14ac:dyDescent="0.2">
      <c r="A93" s="58" t="str">
        <f t="shared" si="188"/>
        <v>53E - Company Owned</v>
      </c>
      <c r="B93" s="21" t="str">
        <f>'WP1 Light Inventory'!C94</f>
        <v>SMART LIGHT</v>
      </c>
      <c r="C93" s="21" t="str">
        <f>'WP1 Light Inventory'!D94</f>
        <v>Light Emitting Diode</v>
      </c>
      <c r="D93" s="21" t="str">
        <f>'WP1 Light Inventory'!E94</f>
        <v>LED 240.01-270</v>
      </c>
      <c r="E93" s="21">
        <f>'WP1 Light Inventory'!F94</f>
        <v>255</v>
      </c>
      <c r="F93" s="21" t="str">
        <f>'WP1 Light Inventory'!H94</f>
        <v>Company</v>
      </c>
      <c r="G93" s="397">
        <f>'WP1 Light Inventory'!J94</f>
        <v>0</v>
      </c>
      <c r="H93" s="74">
        <f>'WP7 Condensed LED Cost Est.'!$C18</f>
        <v>913.10849999999994</v>
      </c>
      <c r="I93" s="14" t="s">
        <v>133</v>
      </c>
      <c r="J93" s="19">
        <f>IF(C93="Light Emitting Diode",'WP10 O&amp;M Weighting Factor'!$B$26,IF('WP12 Condensed Sch. Level Costs'!C93="Sodium Vapor",'WP10 O&amp;M Weighting Factor'!$B$27,IF('WP12 Condensed Sch. Level Costs'!C93="Metal Halide",'WP10 O&amp;M Weighting Factor'!$B$28,IF('WP12 Condensed Sch. Level Costs'!C93="Mercury Vapor",'WP10 O&amp;M Weighting Factor'!$B$30,IF('WP12 Condensed Sch. Level Costs'!C93="Compact Flourescent",'WP10 O&amp;M Weighting Factor'!$B$29, IF(C93="Incandescent", 'WP10 O&amp;M Weighting Factor'!$B$31, 0))))))</f>
        <v>0.2</v>
      </c>
      <c r="K93" s="282">
        <f t="shared" si="160"/>
        <v>0</v>
      </c>
      <c r="L93" s="74">
        <f t="shared" si="161"/>
        <v>0</v>
      </c>
      <c r="M93" s="283">
        <f t="shared" si="162"/>
        <v>0</v>
      </c>
      <c r="N93" s="398">
        <f>'WP1 Light Inventory'!L94</f>
        <v>0</v>
      </c>
      <c r="O93" s="284">
        <f t="shared" si="163"/>
        <v>89.25</v>
      </c>
      <c r="P93" s="261">
        <f>'BDJ-6 Unitized Lighting Costs'!D$20</f>
        <v>1.0137794003499056E-2</v>
      </c>
      <c r="Q93" s="261">
        <f>'BDJ-6 Unitized Lighting Costs'!$D$43</f>
        <v>2.2529806535397991</v>
      </c>
      <c r="R93" s="261">
        <f>'BDJ-6 Unitized Lighting Costs'!D$69</f>
        <v>1.9131568994526543E-2</v>
      </c>
      <c r="S93" s="261">
        <f>'BDJ-6 Unitized Lighting Costs'!D$100</f>
        <v>3.6511265600435805</v>
      </c>
      <c r="T93" s="261">
        <f>'BDJ-6 Unitized Lighting Costs'!$D$117</f>
        <v>5.4555747529966878E-2</v>
      </c>
      <c r="U93" s="43">
        <f t="shared" si="164"/>
        <v>9.2569058758440175</v>
      </c>
      <c r="V93" s="43">
        <f t="shared" si="165"/>
        <v>0.45059613070795984</v>
      </c>
      <c r="W93" s="43">
        <f t="shared" si="166"/>
        <v>1.7074925327614938</v>
      </c>
      <c r="X93" s="43">
        <f t="shared" si="167"/>
        <v>0.93103727281111304</v>
      </c>
      <c r="Y93" s="43">
        <f t="shared" si="168"/>
        <v>4.8691004670495435</v>
      </c>
      <c r="Z93" s="43">
        <f t="shared" si="169"/>
        <v>17.215132279174128</v>
      </c>
      <c r="AA93" s="220"/>
      <c r="AB93" s="240">
        <f t="shared" si="170"/>
        <v>0.10371883334279011</v>
      </c>
      <c r="AC93" s="240">
        <f t="shared" si="171"/>
        <v>5.0486961423861047E-3</v>
      </c>
      <c r="AD93" s="240">
        <f t="shared" si="172"/>
        <v>1.9131568994526543E-2</v>
      </c>
      <c r="AE93" s="240">
        <f t="shared" si="173"/>
        <v>1.0431790171553088E-2</v>
      </c>
      <c r="AF93" s="240">
        <f t="shared" si="174"/>
        <v>5.4555747529966871E-2</v>
      </c>
      <c r="AG93" s="240">
        <f t="shared" si="175"/>
        <v>0.19288663618122273</v>
      </c>
      <c r="AH93" s="43">
        <f t="shared" si="176"/>
        <v>0</v>
      </c>
      <c r="AI93" s="43">
        <f t="shared" si="177"/>
        <v>0</v>
      </c>
      <c r="AJ93" s="43">
        <f t="shared" si="178"/>
        <v>0</v>
      </c>
      <c r="AK93" s="43">
        <f t="shared" si="179"/>
        <v>0</v>
      </c>
      <c r="AL93" s="43">
        <f t="shared" si="180"/>
        <v>0</v>
      </c>
      <c r="AM93" s="43">
        <f t="shared" si="181"/>
        <v>0</v>
      </c>
      <c r="AN93" s="43">
        <f t="shared" si="182"/>
        <v>0</v>
      </c>
      <c r="AO93" s="43">
        <f t="shared" si="183"/>
        <v>0</v>
      </c>
      <c r="AP93" s="43">
        <f t="shared" si="184"/>
        <v>0</v>
      </c>
      <c r="AQ93" s="43">
        <f t="shared" si="185"/>
        <v>0</v>
      </c>
      <c r="AR93" s="43">
        <f t="shared" si="186"/>
        <v>0</v>
      </c>
      <c r="AS93" s="43">
        <f t="shared" si="187"/>
        <v>0</v>
      </c>
    </row>
    <row r="94" spans="1:45" x14ac:dyDescent="0.2">
      <c r="A94" s="58" t="str">
        <f t="shared" si="188"/>
        <v>53E - Company Owned</v>
      </c>
      <c r="B94" s="21" t="str">
        <f>'WP1 Light Inventory'!C95</f>
        <v>SMART LIGHT</v>
      </c>
      <c r="C94" s="21" t="str">
        <f>'WP1 Light Inventory'!D95</f>
        <v>Light Emitting Diode</v>
      </c>
      <c r="D94" s="21" t="str">
        <f>'WP1 Light Inventory'!E95</f>
        <v>LED 270.01-300</v>
      </c>
      <c r="E94" s="21">
        <f>'WP1 Light Inventory'!F95</f>
        <v>285</v>
      </c>
      <c r="F94" s="21" t="str">
        <f>'WP1 Light Inventory'!H95</f>
        <v>Company</v>
      </c>
      <c r="G94" s="397">
        <f>'WP1 Light Inventory'!J95</f>
        <v>0</v>
      </c>
      <c r="H94" s="74">
        <f>'WP7 Condensed LED Cost Est.'!$C19</f>
        <v>913.10849999999994</v>
      </c>
      <c r="I94" s="14" t="s">
        <v>133</v>
      </c>
      <c r="J94" s="19">
        <f>IF(C94="Light Emitting Diode",'WP10 O&amp;M Weighting Factor'!$B$26,IF('WP12 Condensed Sch. Level Costs'!C94="Sodium Vapor",'WP10 O&amp;M Weighting Factor'!$B$27,IF('WP12 Condensed Sch. Level Costs'!C94="Metal Halide",'WP10 O&amp;M Weighting Factor'!$B$28,IF('WP12 Condensed Sch. Level Costs'!C94="Mercury Vapor",'WP10 O&amp;M Weighting Factor'!$B$30,IF('WP12 Condensed Sch. Level Costs'!C94="Compact Flourescent",'WP10 O&amp;M Weighting Factor'!$B$29, IF(C94="Incandescent", 'WP10 O&amp;M Weighting Factor'!$B$31, 0))))))</f>
        <v>0.2</v>
      </c>
      <c r="K94" s="282">
        <f t="shared" si="160"/>
        <v>0</v>
      </c>
      <c r="L94" s="74">
        <f t="shared" si="161"/>
        <v>0</v>
      </c>
      <c r="M94" s="283">
        <f t="shared" si="162"/>
        <v>0</v>
      </c>
      <c r="N94" s="398">
        <f>'WP1 Light Inventory'!L95</f>
        <v>0</v>
      </c>
      <c r="O94" s="284">
        <f t="shared" si="163"/>
        <v>99.75</v>
      </c>
      <c r="P94" s="261">
        <f>'BDJ-6 Unitized Lighting Costs'!D$20</f>
        <v>1.0137794003499056E-2</v>
      </c>
      <c r="Q94" s="261">
        <f>'BDJ-6 Unitized Lighting Costs'!$D$43</f>
        <v>2.2529806535397991</v>
      </c>
      <c r="R94" s="261">
        <f>'BDJ-6 Unitized Lighting Costs'!D$69</f>
        <v>1.9131568994526543E-2</v>
      </c>
      <c r="S94" s="261">
        <f>'BDJ-6 Unitized Lighting Costs'!D$100</f>
        <v>3.6511265600435805</v>
      </c>
      <c r="T94" s="261">
        <f>'BDJ-6 Unitized Lighting Costs'!$D$117</f>
        <v>5.4555747529966878E-2</v>
      </c>
      <c r="U94" s="43">
        <f t="shared" si="164"/>
        <v>9.2569058758440175</v>
      </c>
      <c r="V94" s="43">
        <f t="shared" si="165"/>
        <v>0.45059613070795984</v>
      </c>
      <c r="W94" s="43">
        <f t="shared" si="166"/>
        <v>1.9083740072040227</v>
      </c>
      <c r="X94" s="43">
        <f t="shared" si="167"/>
        <v>1.0405710696124204</v>
      </c>
      <c r="Y94" s="43">
        <f t="shared" si="168"/>
        <v>5.4419358161141957</v>
      </c>
      <c r="Z94" s="43">
        <f t="shared" si="169"/>
        <v>18.098382899482615</v>
      </c>
      <c r="AA94" s="220"/>
      <c r="AB94" s="240">
        <f t="shared" si="170"/>
        <v>9.2801061411970101E-2</v>
      </c>
      <c r="AC94" s="240">
        <f t="shared" si="171"/>
        <v>4.5172544431875674E-3</v>
      </c>
      <c r="AD94" s="240">
        <f t="shared" si="172"/>
        <v>1.9131568994526543E-2</v>
      </c>
      <c r="AE94" s="240">
        <f t="shared" si="173"/>
        <v>1.0431790171553088E-2</v>
      </c>
      <c r="AF94" s="240">
        <f t="shared" si="174"/>
        <v>5.4555747529966878E-2</v>
      </c>
      <c r="AG94" s="240">
        <f t="shared" si="175"/>
        <v>0.18143742255120421</v>
      </c>
      <c r="AH94" s="43">
        <f t="shared" si="176"/>
        <v>0</v>
      </c>
      <c r="AI94" s="43">
        <f t="shared" si="177"/>
        <v>0</v>
      </c>
      <c r="AJ94" s="43">
        <f t="shared" si="178"/>
        <v>0</v>
      </c>
      <c r="AK94" s="43">
        <f t="shared" si="179"/>
        <v>0</v>
      </c>
      <c r="AL94" s="43">
        <f t="shared" si="180"/>
        <v>0</v>
      </c>
      <c r="AM94" s="43">
        <f t="shared" si="181"/>
        <v>0</v>
      </c>
      <c r="AN94" s="43">
        <f t="shared" si="182"/>
        <v>0</v>
      </c>
      <c r="AO94" s="43">
        <f t="shared" si="183"/>
        <v>0</v>
      </c>
      <c r="AP94" s="43">
        <f t="shared" si="184"/>
        <v>0</v>
      </c>
      <c r="AQ94" s="43">
        <f t="shared" si="185"/>
        <v>0</v>
      </c>
      <c r="AR94" s="43">
        <f t="shared" si="186"/>
        <v>0</v>
      </c>
      <c r="AS94" s="43">
        <f t="shared" si="187"/>
        <v>0</v>
      </c>
    </row>
    <row r="95" spans="1:45" x14ac:dyDescent="0.2">
      <c r="A95" s="58"/>
      <c r="B95" s="18"/>
      <c r="C95" s="47"/>
      <c r="D95" s="18"/>
      <c r="E95" s="401"/>
      <c r="G95" s="399"/>
      <c r="K95" s="282"/>
      <c r="L95" s="74"/>
      <c r="AA95" s="220"/>
      <c r="AB95" s="240"/>
      <c r="AC95" s="240"/>
      <c r="AD95" s="240"/>
      <c r="AE95" s="240"/>
      <c r="AF95" s="240"/>
      <c r="AG95" s="240"/>
    </row>
    <row r="96" spans="1:45" x14ac:dyDescent="0.2">
      <c r="A96" s="58" t="s">
        <v>70</v>
      </c>
      <c r="B96" s="21" t="s">
        <v>605</v>
      </c>
      <c r="C96" s="21" t="str">
        <f>'WP1 Light Inventory'!D97</f>
        <v>Sodium Vapor</v>
      </c>
      <c r="D96" s="21" t="str">
        <f>'WP1 Light Inventory'!E97</f>
        <v>SV 050</v>
      </c>
      <c r="E96" s="21">
        <f>'WP1 Light Inventory'!F97</f>
        <v>50</v>
      </c>
      <c r="F96" s="21" t="str">
        <f>'WP1 Light Inventory'!H97</f>
        <v>Customer</v>
      </c>
      <c r="G96" s="397">
        <f>'WP1 Light Inventory'!J97</f>
        <v>0</v>
      </c>
      <c r="H96" s="74" t="s">
        <v>600</v>
      </c>
      <c r="I96" s="14" t="s">
        <v>133</v>
      </c>
      <c r="J96" s="19">
        <f>IF(C96="Light Emitting Diode",'WP10 O&amp;M Weighting Factor'!$B$26,IF('WP12 Condensed Sch. Level Costs'!C96="Sodium Vapor",'WP10 O&amp;M Weighting Factor'!$B$27,IF('WP12 Condensed Sch. Level Costs'!C96="Metal Halide",'WP10 O&amp;M Weighting Factor'!$B$28,IF('WP12 Condensed Sch. Level Costs'!C96="Mercury Vapor",'WP10 O&amp;M Weighting Factor'!$B$30,IF('WP12 Condensed Sch. Level Costs'!C96="Compact Flourescent",'WP10 O&amp;M Weighting Factor'!$B$29, IF(C96="Incandescent", 'WP10 O&amp;M Weighting Factor'!$B$31, 0))))))</f>
        <v>1</v>
      </c>
      <c r="K96" s="282">
        <f t="shared" ref="K96:K104" si="189">IF(I96="Yes",G96*J96,0)</f>
        <v>0</v>
      </c>
      <c r="L96" s="74">
        <f t="shared" ref="L96:L104" si="190">IF(F96="Company", G96*H96,0)</f>
        <v>0</v>
      </c>
      <c r="M96" s="283">
        <f t="shared" ref="M96:M104" si="191">E96*G96/1000</f>
        <v>0</v>
      </c>
      <c r="N96" s="398">
        <f>'WP1 Light Inventory'!L97</f>
        <v>0</v>
      </c>
      <c r="O96" s="284">
        <f t="shared" ref="O96:O104" si="192">E96*4200/1000/12</f>
        <v>17.5</v>
      </c>
      <c r="P96" s="261">
        <f>'BDJ-6 Unitized Lighting Costs'!D$20</f>
        <v>1.0137794003499056E-2</v>
      </c>
      <c r="Q96" s="261">
        <f>'BDJ-6 Unitized Lighting Costs'!$D$43</f>
        <v>2.2529806535397991</v>
      </c>
      <c r="R96" s="261">
        <f>'BDJ-6 Unitized Lighting Costs'!D$69</f>
        <v>1.9131568994526543E-2</v>
      </c>
      <c r="S96" s="261">
        <f>'BDJ-6 Unitized Lighting Costs'!D$100</f>
        <v>3.6511265600435805</v>
      </c>
      <c r="T96" s="261">
        <f>'BDJ-6 Unitized Lighting Costs'!$D$117</f>
        <v>5.4555747529966878E-2</v>
      </c>
      <c r="U96" s="43">
        <f t="shared" ref="U96:U104" si="193">IF(F96="Company", H96*P96, 0)</f>
        <v>0</v>
      </c>
      <c r="V96" s="43">
        <f t="shared" ref="V96:V104" si="194">IF(I96="yes", J96*Q96, 0)</f>
        <v>2.2529806535397991</v>
      </c>
      <c r="W96" s="43">
        <f t="shared" ref="W96:W104" si="195">R96*O96</f>
        <v>0.33480245740421449</v>
      </c>
      <c r="X96" s="43">
        <f t="shared" ref="X96:X104" si="196">E96*S96/1000</f>
        <v>0.18255632800217902</v>
      </c>
      <c r="Y96" s="43">
        <f t="shared" ref="Y96:Y104" si="197">O96*T96</f>
        <v>0.95472558177442035</v>
      </c>
      <c r="Z96" s="43">
        <f t="shared" ref="Z96:Z104" si="198">SUM(U96:Y96)</f>
        <v>3.7250650207206131</v>
      </c>
      <c r="AA96" s="220"/>
      <c r="AB96" s="240">
        <f t="shared" ref="AB96:AB104" si="199">IFERROR(U96/O96,0)</f>
        <v>0</v>
      </c>
      <c r="AC96" s="240">
        <f t="shared" ref="AC96:AC104" si="200">IFERROR(V96/O96,0)</f>
        <v>0.12874175163084567</v>
      </c>
      <c r="AD96" s="240">
        <f t="shared" ref="AD96:AD104" si="201">IFERROR(W96/O96,0)</f>
        <v>1.9131568994526543E-2</v>
      </c>
      <c r="AE96" s="240">
        <f t="shared" ref="AE96:AE104" si="202">IFERROR(X96/O96,0)</f>
        <v>1.0431790171553088E-2</v>
      </c>
      <c r="AF96" s="240">
        <f t="shared" ref="AF96:AF104" si="203">IFERROR(Y96/O96,0)</f>
        <v>5.4555747529966878E-2</v>
      </c>
      <c r="AG96" s="240">
        <f t="shared" ref="AG96:AG104" si="204">SUM(AB96:AF96)</f>
        <v>0.21286085832689217</v>
      </c>
      <c r="AH96" s="43">
        <f t="shared" ref="AH96:AH104" si="205">(U96*$G96)</f>
        <v>0</v>
      </c>
      <c r="AI96" s="43">
        <f t="shared" ref="AI96:AI104" si="206">(V96*$G96)</f>
        <v>0</v>
      </c>
      <c r="AJ96" s="43">
        <f t="shared" ref="AJ96:AJ104" si="207">(W96*$G96)</f>
        <v>0</v>
      </c>
      <c r="AK96" s="43">
        <f t="shared" ref="AK96:AK104" si="208">(X96*$G96)</f>
        <v>0</v>
      </c>
      <c r="AL96" s="43">
        <f t="shared" ref="AL96:AL104" si="209">(Y96*$G96)</f>
        <v>0</v>
      </c>
      <c r="AM96" s="43">
        <f t="shared" ref="AM96:AM104" si="210">SUM(AH96:AL96)</f>
        <v>0</v>
      </c>
      <c r="AN96" s="43">
        <f t="shared" ref="AN96:AN104" si="211">AH96*12</f>
        <v>0</v>
      </c>
      <c r="AO96" s="43">
        <f t="shared" ref="AO96:AO104" si="212">AI96*12</f>
        <v>0</v>
      </c>
      <c r="AP96" s="43">
        <f t="shared" ref="AP96:AP104" si="213">AJ96*12</f>
        <v>0</v>
      </c>
      <c r="AQ96" s="43">
        <f t="shared" ref="AQ96:AQ104" si="214">AK96*12</f>
        <v>0</v>
      </c>
      <c r="AR96" s="43">
        <f t="shared" ref="AR96:AR104" si="215">AL96*12</f>
        <v>0</v>
      </c>
      <c r="AS96" s="43">
        <f t="shared" ref="AS96:AS104" si="216">AM96*12</f>
        <v>0</v>
      </c>
    </row>
    <row r="97" spans="1:45" x14ac:dyDescent="0.2">
      <c r="A97" s="58" t="str">
        <f t="shared" ref="A97:A104" si="217">+A96</f>
        <v>53E - Customer Owned</v>
      </c>
      <c r="B97" s="21" t="s">
        <v>605</v>
      </c>
      <c r="C97" s="21" t="str">
        <f>'WP1 Light Inventory'!D98</f>
        <v>Sodium Vapor</v>
      </c>
      <c r="D97" s="21" t="str">
        <f>'WP1 Light Inventory'!E98</f>
        <v>SV 070</v>
      </c>
      <c r="E97" s="21">
        <f>'WP1 Light Inventory'!F98</f>
        <v>70</v>
      </c>
      <c r="F97" s="21" t="str">
        <f>'WP1 Light Inventory'!H98</f>
        <v>Customer</v>
      </c>
      <c r="G97" s="397">
        <f>'WP1 Light Inventory'!J98</f>
        <v>52</v>
      </c>
      <c r="H97" s="74" t="s">
        <v>600</v>
      </c>
      <c r="I97" s="14" t="s">
        <v>133</v>
      </c>
      <c r="J97" s="19">
        <f>IF(C97="Light Emitting Diode",'WP10 O&amp;M Weighting Factor'!$B$26,IF('WP12 Condensed Sch. Level Costs'!C97="Sodium Vapor",'WP10 O&amp;M Weighting Factor'!$B$27,IF('WP12 Condensed Sch. Level Costs'!C97="Metal Halide",'WP10 O&amp;M Weighting Factor'!$B$28,IF('WP12 Condensed Sch. Level Costs'!C97="Mercury Vapor",'WP10 O&amp;M Weighting Factor'!$B$30,IF('WP12 Condensed Sch. Level Costs'!C97="Compact Flourescent",'WP10 O&amp;M Weighting Factor'!$B$29, IF(C97="Incandescent", 'WP10 O&amp;M Weighting Factor'!$B$31, 0))))))</f>
        <v>1</v>
      </c>
      <c r="K97" s="282">
        <f t="shared" si="189"/>
        <v>52</v>
      </c>
      <c r="L97" s="74">
        <f t="shared" si="190"/>
        <v>0</v>
      </c>
      <c r="M97" s="283">
        <f t="shared" si="191"/>
        <v>3.64</v>
      </c>
      <c r="N97" s="398">
        <f>'WP1 Light Inventory'!L98</f>
        <v>15288.000000000002</v>
      </c>
      <c r="O97" s="284">
        <f t="shared" si="192"/>
        <v>24.5</v>
      </c>
      <c r="P97" s="261">
        <f>'BDJ-6 Unitized Lighting Costs'!D$20</f>
        <v>1.0137794003499056E-2</v>
      </c>
      <c r="Q97" s="261">
        <f>'BDJ-6 Unitized Lighting Costs'!$D$43</f>
        <v>2.2529806535397991</v>
      </c>
      <c r="R97" s="261">
        <f>'BDJ-6 Unitized Lighting Costs'!D$69</f>
        <v>1.9131568994526543E-2</v>
      </c>
      <c r="S97" s="261">
        <f>'BDJ-6 Unitized Lighting Costs'!D$100</f>
        <v>3.6511265600435805</v>
      </c>
      <c r="T97" s="261">
        <f>'BDJ-6 Unitized Lighting Costs'!$D$117</f>
        <v>5.4555747529966878E-2</v>
      </c>
      <c r="U97" s="43">
        <f t="shared" si="193"/>
        <v>0</v>
      </c>
      <c r="V97" s="43">
        <f t="shared" si="194"/>
        <v>2.2529806535397991</v>
      </c>
      <c r="W97" s="43">
        <f t="shared" si="195"/>
        <v>0.4687234403659003</v>
      </c>
      <c r="X97" s="43">
        <f t="shared" si="196"/>
        <v>0.25557885920305062</v>
      </c>
      <c r="Y97" s="43">
        <f t="shared" si="197"/>
        <v>1.3366158144841884</v>
      </c>
      <c r="Z97" s="43">
        <f t="shared" si="198"/>
        <v>4.3138987675929386</v>
      </c>
      <c r="AA97" s="220"/>
      <c r="AB97" s="240">
        <f t="shared" si="199"/>
        <v>0</v>
      </c>
      <c r="AC97" s="240">
        <f t="shared" si="200"/>
        <v>9.1958394022032625E-2</v>
      </c>
      <c r="AD97" s="240">
        <f t="shared" si="201"/>
        <v>1.9131568994526543E-2</v>
      </c>
      <c r="AE97" s="240">
        <f t="shared" si="202"/>
        <v>1.0431790171553088E-2</v>
      </c>
      <c r="AF97" s="240">
        <f t="shared" si="203"/>
        <v>5.4555747529966878E-2</v>
      </c>
      <c r="AG97" s="240">
        <f t="shared" si="204"/>
        <v>0.17607750071807915</v>
      </c>
      <c r="AH97" s="43">
        <f t="shared" si="205"/>
        <v>0</v>
      </c>
      <c r="AI97" s="43">
        <f t="shared" si="206"/>
        <v>117.15499398406956</v>
      </c>
      <c r="AJ97" s="43">
        <f t="shared" si="207"/>
        <v>24.373618899026816</v>
      </c>
      <c r="AK97" s="43">
        <f t="shared" si="208"/>
        <v>13.290100678558632</v>
      </c>
      <c r="AL97" s="43">
        <f t="shared" si="209"/>
        <v>69.504022353177803</v>
      </c>
      <c r="AM97" s="43">
        <f t="shared" si="210"/>
        <v>224.32273591483283</v>
      </c>
      <c r="AN97" s="43">
        <f t="shared" si="211"/>
        <v>0</v>
      </c>
      <c r="AO97" s="43">
        <f t="shared" si="212"/>
        <v>1405.8599278088348</v>
      </c>
      <c r="AP97" s="43">
        <f t="shared" si="213"/>
        <v>292.48342678832182</v>
      </c>
      <c r="AQ97" s="43">
        <f t="shared" si="214"/>
        <v>159.48120814270359</v>
      </c>
      <c r="AR97" s="43">
        <f t="shared" si="215"/>
        <v>834.04826823813369</v>
      </c>
      <c r="AS97" s="43">
        <f t="shared" si="216"/>
        <v>2691.872830977994</v>
      </c>
    </row>
    <row r="98" spans="1:45" x14ac:dyDescent="0.2">
      <c r="A98" s="58" t="str">
        <f t="shared" si="217"/>
        <v>53E - Customer Owned</v>
      </c>
      <c r="B98" s="21" t="s">
        <v>605</v>
      </c>
      <c r="C98" s="21" t="str">
        <f>'WP1 Light Inventory'!D99</f>
        <v>Sodium Vapor</v>
      </c>
      <c r="D98" s="21" t="str">
        <f>'WP1 Light Inventory'!E99</f>
        <v>SV 100</v>
      </c>
      <c r="E98" s="21">
        <f>'WP1 Light Inventory'!F99</f>
        <v>100</v>
      </c>
      <c r="F98" s="21" t="str">
        <f>'WP1 Light Inventory'!H99</f>
        <v>Customer</v>
      </c>
      <c r="G98" s="397">
        <f>'WP1 Light Inventory'!J99</f>
        <v>204</v>
      </c>
      <c r="H98" s="74" t="s">
        <v>600</v>
      </c>
      <c r="I98" s="14" t="s">
        <v>133</v>
      </c>
      <c r="J98" s="19">
        <f>IF(C98="Light Emitting Diode",'WP10 O&amp;M Weighting Factor'!$B$26,IF('WP12 Condensed Sch. Level Costs'!C98="Sodium Vapor",'WP10 O&amp;M Weighting Factor'!$B$27,IF('WP12 Condensed Sch. Level Costs'!C98="Metal Halide",'WP10 O&amp;M Weighting Factor'!$B$28,IF('WP12 Condensed Sch. Level Costs'!C98="Mercury Vapor",'WP10 O&amp;M Weighting Factor'!$B$30,IF('WP12 Condensed Sch. Level Costs'!C98="Compact Flourescent",'WP10 O&amp;M Weighting Factor'!$B$29, IF(C98="Incandescent", 'WP10 O&amp;M Weighting Factor'!$B$31, 0))))))</f>
        <v>1</v>
      </c>
      <c r="K98" s="282">
        <f t="shared" si="189"/>
        <v>204</v>
      </c>
      <c r="L98" s="74">
        <f t="shared" si="190"/>
        <v>0</v>
      </c>
      <c r="M98" s="283">
        <f t="shared" si="191"/>
        <v>20.399999999999999</v>
      </c>
      <c r="N98" s="398">
        <f>'WP1 Light Inventory'!L99</f>
        <v>85680</v>
      </c>
      <c r="O98" s="284">
        <f t="shared" si="192"/>
        <v>35</v>
      </c>
      <c r="P98" s="261">
        <f>'BDJ-6 Unitized Lighting Costs'!D$20</f>
        <v>1.0137794003499056E-2</v>
      </c>
      <c r="Q98" s="261">
        <f>'BDJ-6 Unitized Lighting Costs'!$D$43</f>
        <v>2.2529806535397991</v>
      </c>
      <c r="R98" s="261">
        <f>'BDJ-6 Unitized Lighting Costs'!D$69</f>
        <v>1.9131568994526543E-2</v>
      </c>
      <c r="S98" s="261">
        <f>'BDJ-6 Unitized Lighting Costs'!D$100</f>
        <v>3.6511265600435805</v>
      </c>
      <c r="T98" s="261">
        <f>'BDJ-6 Unitized Lighting Costs'!$D$117</f>
        <v>5.4555747529966878E-2</v>
      </c>
      <c r="U98" s="43">
        <f t="shared" si="193"/>
        <v>0</v>
      </c>
      <c r="V98" s="43">
        <f t="shared" si="194"/>
        <v>2.2529806535397991</v>
      </c>
      <c r="W98" s="43">
        <f t="shared" si="195"/>
        <v>0.66960491480842899</v>
      </c>
      <c r="X98" s="43">
        <f t="shared" si="196"/>
        <v>0.36511265600435805</v>
      </c>
      <c r="Y98" s="43">
        <f t="shared" si="197"/>
        <v>1.9094511635488407</v>
      </c>
      <c r="Z98" s="43">
        <f t="shared" si="198"/>
        <v>5.197149387901427</v>
      </c>
      <c r="AA98" s="220"/>
      <c r="AB98" s="240">
        <f t="shared" si="199"/>
        <v>0</v>
      </c>
      <c r="AC98" s="240">
        <f t="shared" si="200"/>
        <v>6.4370875815422834E-2</v>
      </c>
      <c r="AD98" s="240">
        <f t="shared" si="201"/>
        <v>1.9131568994526543E-2</v>
      </c>
      <c r="AE98" s="240">
        <f t="shared" si="202"/>
        <v>1.0431790171553088E-2</v>
      </c>
      <c r="AF98" s="240">
        <f t="shared" si="203"/>
        <v>5.4555747529966878E-2</v>
      </c>
      <c r="AG98" s="240">
        <f t="shared" si="204"/>
        <v>0.14848998251146933</v>
      </c>
      <c r="AH98" s="43">
        <f t="shared" si="205"/>
        <v>0</v>
      </c>
      <c r="AI98" s="43">
        <f t="shared" si="206"/>
        <v>459.60805332211902</v>
      </c>
      <c r="AJ98" s="43">
        <f t="shared" si="207"/>
        <v>136.59940262091951</v>
      </c>
      <c r="AK98" s="43">
        <f t="shared" si="208"/>
        <v>74.482981824889038</v>
      </c>
      <c r="AL98" s="43">
        <f t="shared" si="209"/>
        <v>389.52803736396351</v>
      </c>
      <c r="AM98" s="43">
        <f t="shared" si="210"/>
        <v>1060.2184751318912</v>
      </c>
      <c r="AN98" s="43">
        <f t="shared" si="211"/>
        <v>0</v>
      </c>
      <c r="AO98" s="43">
        <f t="shared" si="212"/>
        <v>5515.296639865428</v>
      </c>
      <c r="AP98" s="43">
        <f t="shared" si="213"/>
        <v>1639.1928314510342</v>
      </c>
      <c r="AQ98" s="43">
        <f t="shared" si="214"/>
        <v>893.79578189866845</v>
      </c>
      <c r="AR98" s="43">
        <f t="shared" si="215"/>
        <v>4674.3364483675623</v>
      </c>
      <c r="AS98" s="43">
        <f t="shared" si="216"/>
        <v>12722.621701582695</v>
      </c>
    </row>
    <row r="99" spans="1:45" x14ac:dyDescent="0.2">
      <c r="A99" s="58" t="str">
        <f t="shared" si="217"/>
        <v>53E - Customer Owned</v>
      </c>
      <c r="B99" s="21" t="s">
        <v>605</v>
      </c>
      <c r="C99" s="21" t="str">
        <f>'WP1 Light Inventory'!D100</f>
        <v>Sodium Vapor</v>
      </c>
      <c r="D99" s="21" t="str">
        <f>'WP1 Light Inventory'!E100</f>
        <v>SV 150</v>
      </c>
      <c r="E99" s="21">
        <f>'WP1 Light Inventory'!F100</f>
        <v>150</v>
      </c>
      <c r="F99" s="21" t="str">
        <f>'WP1 Light Inventory'!H100</f>
        <v>Customer</v>
      </c>
      <c r="G99" s="397">
        <f>'WP1 Light Inventory'!J100</f>
        <v>96</v>
      </c>
      <c r="H99" s="74" t="s">
        <v>600</v>
      </c>
      <c r="I99" s="14" t="s">
        <v>133</v>
      </c>
      <c r="J99" s="19">
        <f>IF(C99="Light Emitting Diode",'WP10 O&amp;M Weighting Factor'!$B$26,IF('WP12 Condensed Sch. Level Costs'!C99="Sodium Vapor",'WP10 O&amp;M Weighting Factor'!$B$27,IF('WP12 Condensed Sch. Level Costs'!C99="Metal Halide",'WP10 O&amp;M Weighting Factor'!$B$28,IF('WP12 Condensed Sch. Level Costs'!C99="Mercury Vapor",'WP10 O&amp;M Weighting Factor'!$B$30,IF('WP12 Condensed Sch. Level Costs'!C99="Compact Flourescent",'WP10 O&amp;M Weighting Factor'!$B$29, IF(C99="Incandescent", 'WP10 O&amp;M Weighting Factor'!$B$31, 0))))))</f>
        <v>1</v>
      </c>
      <c r="K99" s="282">
        <f t="shared" si="189"/>
        <v>96</v>
      </c>
      <c r="L99" s="74">
        <f t="shared" si="190"/>
        <v>0</v>
      </c>
      <c r="M99" s="283">
        <f t="shared" si="191"/>
        <v>14.4</v>
      </c>
      <c r="N99" s="398">
        <f>'WP1 Light Inventory'!L100</f>
        <v>60480</v>
      </c>
      <c r="O99" s="284">
        <f t="shared" si="192"/>
        <v>52.5</v>
      </c>
      <c r="P99" s="261">
        <f>'BDJ-6 Unitized Lighting Costs'!D$20</f>
        <v>1.0137794003499056E-2</v>
      </c>
      <c r="Q99" s="261">
        <f>'BDJ-6 Unitized Lighting Costs'!$D$43</f>
        <v>2.2529806535397991</v>
      </c>
      <c r="R99" s="261">
        <f>'BDJ-6 Unitized Lighting Costs'!D$69</f>
        <v>1.9131568994526543E-2</v>
      </c>
      <c r="S99" s="261">
        <f>'BDJ-6 Unitized Lighting Costs'!D$100</f>
        <v>3.6511265600435805</v>
      </c>
      <c r="T99" s="261">
        <f>'BDJ-6 Unitized Lighting Costs'!$D$117</f>
        <v>5.4555747529966878E-2</v>
      </c>
      <c r="U99" s="43">
        <f t="shared" si="193"/>
        <v>0</v>
      </c>
      <c r="V99" s="43">
        <f t="shared" si="194"/>
        <v>2.2529806535397991</v>
      </c>
      <c r="W99" s="43">
        <f t="shared" si="195"/>
        <v>1.0044073722126434</v>
      </c>
      <c r="X99" s="43">
        <f t="shared" si="196"/>
        <v>0.54766898400653719</v>
      </c>
      <c r="Y99" s="43">
        <f t="shared" si="197"/>
        <v>2.8641767453232609</v>
      </c>
      <c r="Z99" s="43">
        <f t="shared" si="198"/>
        <v>6.6692337550822405</v>
      </c>
      <c r="AA99" s="220"/>
      <c r="AB99" s="240">
        <f t="shared" si="199"/>
        <v>0</v>
      </c>
      <c r="AC99" s="240">
        <f t="shared" si="200"/>
        <v>4.2913917210281892E-2</v>
      </c>
      <c r="AD99" s="240">
        <f t="shared" si="201"/>
        <v>1.9131568994526543E-2</v>
      </c>
      <c r="AE99" s="240">
        <f t="shared" si="202"/>
        <v>1.0431790171553089E-2</v>
      </c>
      <c r="AF99" s="240">
        <f t="shared" si="203"/>
        <v>5.4555747529966878E-2</v>
      </c>
      <c r="AG99" s="240">
        <f t="shared" si="204"/>
        <v>0.1270330239063284</v>
      </c>
      <c r="AH99" s="43">
        <f t="shared" si="205"/>
        <v>0</v>
      </c>
      <c r="AI99" s="43">
        <f t="shared" si="206"/>
        <v>216.28614273982072</v>
      </c>
      <c r="AJ99" s="43">
        <f t="shared" si="207"/>
        <v>96.423107732413769</v>
      </c>
      <c r="AK99" s="43">
        <f t="shared" si="208"/>
        <v>52.57622246462757</v>
      </c>
      <c r="AL99" s="43">
        <f t="shared" si="209"/>
        <v>274.96096755103304</v>
      </c>
      <c r="AM99" s="43">
        <f t="shared" si="210"/>
        <v>640.24644048789514</v>
      </c>
      <c r="AN99" s="43">
        <f t="shared" si="211"/>
        <v>0</v>
      </c>
      <c r="AO99" s="43">
        <f t="shared" si="212"/>
        <v>2595.4337128778488</v>
      </c>
      <c r="AP99" s="43">
        <f t="shared" si="213"/>
        <v>1157.0772927889652</v>
      </c>
      <c r="AQ99" s="43">
        <f t="shared" si="214"/>
        <v>630.91466957553087</v>
      </c>
      <c r="AR99" s="43">
        <f t="shared" si="215"/>
        <v>3299.5316106123964</v>
      </c>
      <c r="AS99" s="43">
        <f t="shared" si="216"/>
        <v>7682.9572858547417</v>
      </c>
    </row>
    <row r="100" spans="1:45" x14ac:dyDescent="0.2">
      <c r="A100" s="58" t="str">
        <f t="shared" si="217"/>
        <v>53E - Customer Owned</v>
      </c>
      <c r="B100" s="21" t="s">
        <v>605</v>
      </c>
      <c r="C100" s="21" t="str">
        <f>'WP1 Light Inventory'!D101</f>
        <v>Sodium Vapor</v>
      </c>
      <c r="D100" s="21" t="str">
        <f>'WP1 Light Inventory'!E101</f>
        <v>SV 200</v>
      </c>
      <c r="E100" s="21">
        <f>'WP1 Light Inventory'!F101</f>
        <v>200</v>
      </c>
      <c r="F100" s="21" t="str">
        <f>'WP1 Light Inventory'!H101</f>
        <v>Customer</v>
      </c>
      <c r="G100" s="397">
        <f>'WP1 Light Inventory'!J101</f>
        <v>372</v>
      </c>
      <c r="H100" s="74" t="s">
        <v>600</v>
      </c>
      <c r="I100" s="14" t="s">
        <v>133</v>
      </c>
      <c r="J100" s="19">
        <f>IF(C100="Light Emitting Diode",'WP10 O&amp;M Weighting Factor'!$B$26,IF('WP12 Condensed Sch. Level Costs'!C100="Sodium Vapor",'WP10 O&amp;M Weighting Factor'!$B$27,IF('WP12 Condensed Sch. Level Costs'!C100="Metal Halide",'WP10 O&amp;M Weighting Factor'!$B$28,IF('WP12 Condensed Sch. Level Costs'!C100="Mercury Vapor",'WP10 O&amp;M Weighting Factor'!$B$30,IF('WP12 Condensed Sch. Level Costs'!C100="Compact Flourescent",'WP10 O&amp;M Weighting Factor'!$B$29, IF(C100="Incandescent", 'WP10 O&amp;M Weighting Factor'!$B$31, 0))))))</f>
        <v>1</v>
      </c>
      <c r="K100" s="282">
        <f t="shared" si="189"/>
        <v>372</v>
      </c>
      <c r="L100" s="74">
        <f t="shared" si="190"/>
        <v>0</v>
      </c>
      <c r="M100" s="283">
        <f t="shared" si="191"/>
        <v>74.400000000000006</v>
      </c>
      <c r="N100" s="398">
        <f>'WP1 Light Inventory'!L101</f>
        <v>312480</v>
      </c>
      <c r="O100" s="284">
        <f t="shared" si="192"/>
        <v>70</v>
      </c>
      <c r="P100" s="261">
        <f>'BDJ-6 Unitized Lighting Costs'!D$20</f>
        <v>1.0137794003499056E-2</v>
      </c>
      <c r="Q100" s="261">
        <f>'BDJ-6 Unitized Lighting Costs'!$D$43</f>
        <v>2.2529806535397991</v>
      </c>
      <c r="R100" s="261">
        <f>'BDJ-6 Unitized Lighting Costs'!D$69</f>
        <v>1.9131568994526543E-2</v>
      </c>
      <c r="S100" s="261">
        <f>'BDJ-6 Unitized Lighting Costs'!D$100</f>
        <v>3.6511265600435805</v>
      </c>
      <c r="T100" s="261">
        <f>'BDJ-6 Unitized Lighting Costs'!$D$117</f>
        <v>5.4555747529966878E-2</v>
      </c>
      <c r="U100" s="43">
        <f t="shared" si="193"/>
        <v>0</v>
      </c>
      <c r="V100" s="43">
        <f t="shared" si="194"/>
        <v>2.2529806535397991</v>
      </c>
      <c r="W100" s="43">
        <f t="shared" si="195"/>
        <v>1.339209829616858</v>
      </c>
      <c r="X100" s="43">
        <f t="shared" si="196"/>
        <v>0.7302253120087161</v>
      </c>
      <c r="Y100" s="43">
        <f t="shared" si="197"/>
        <v>3.8189023270976814</v>
      </c>
      <c r="Z100" s="43">
        <f t="shared" si="198"/>
        <v>8.1413181222630548</v>
      </c>
      <c r="AA100" s="220"/>
      <c r="AB100" s="240">
        <f t="shared" si="199"/>
        <v>0</v>
      </c>
      <c r="AC100" s="240">
        <f t="shared" si="200"/>
        <v>3.2185437907711417E-2</v>
      </c>
      <c r="AD100" s="240">
        <f t="shared" si="201"/>
        <v>1.9131568994526543E-2</v>
      </c>
      <c r="AE100" s="240">
        <f t="shared" si="202"/>
        <v>1.0431790171553088E-2</v>
      </c>
      <c r="AF100" s="240">
        <f t="shared" si="203"/>
        <v>5.4555747529966878E-2</v>
      </c>
      <c r="AG100" s="240">
        <f t="shared" si="204"/>
        <v>0.11630454460375793</v>
      </c>
      <c r="AH100" s="43">
        <f t="shared" si="205"/>
        <v>0</v>
      </c>
      <c r="AI100" s="43">
        <f t="shared" si="206"/>
        <v>838.10880311680523</v>
      </c>
      <c r="AJ100" s="43">
        <f t="shared" si="207"/>
        <v>498.18605661747114</v>
      </c>
      <c r="AK100" s="43">
        <f t="shared" si="208"/>
        <v>271.64381606724237</v>
      </c>
      <c r="AL100" s="43">
        <f t="shared" si="209"/>
        <v>1420.6316656803374</v>
      </c>
      <c r="AM100" s="43">
        <f t="shared" si="210"/>
        <v>3028.5703414818563</v>
      </c>
      <c r="AN100" s="43">
        <f t="shared" si="211"/>
        <v>0</v>
      </c>
      <c r="AO100" s="43">
        <f t="shared" si="212"/>
        <v>10057.305637401663</v>
      </c>
      <c r="AP100" s="43">
        <f t="shared" si="213"/>
        <v>5978.2326794096534</v>
      </c>
      <c r="AQ100" s="43">
        <f t="shared" si="214"/>
        <v>3259.7257928069084</v>
      </c>
      <c r="AR100" s="43">
        <f t="shared" si="215"/>
        <v>17047.579988164049</v>
      </c>
      <c r="AS100" s="43">
        <f t="shared" si="216"/>
        <v>36342.844097782276</v>
      </c>
    </row>
    <row r="101" spans="1:45" x14ac:dyDescent="0.2">
      <c r="A101" s="58" t="str">
        <f t="shared" si="217"/>
        <v>53E - Customer Owned</v>
      </c>
      <c r="B101" s="21" t="s">
        <v>605</v>
      </c>
      <c r="C101" s="21" t="str">
        <f>'WP1 Light Inventory'!D102</f>
        <v>Sodium Vapor</v>
      </c>
      <c r="D101" s="21" t="str">
        <f>'WP1 Light Inventory'!E102</f>
        <v>SV 250</v>
      </c>
      <c r="E101" s="21">
        <f>'WP1 Light Inventory'!F102</f>
        <v>250</v>
      </c>
      <c r="F101" s="21" t="str">
        <f>'WP1 Light Inventory'!H102</f>
        <v>Customer</v>
      </c>
      <c r="G101" s="397">
        <f>'WP1 Light Inventory'!J102</f>
        <v>246</v>
      </c>
      <c r="H101" s="74" t="s">
        <v>600</v>
      </c>
      <c r="I101" s="14" t="s">
        <v>133</v>
      </c>
      <c r="J101" s="19">
        <f>IF(C101="Light Emitting Diode",'WP10 O&amp;M Weighting Factor'!$B$26,IF('WP12 Condensed Sch. Level Costs'!C101="Sodium Vapor",'WP10 O&amp;M Weighting Factor'!$B$27,IF('WP12 Condensed Sch. Level Costs'!C101="Metal Halide",'WP10 O&amp;M Weighting Factor'!$B$28,IF('WP12 Condensed Sch. Level Costs'!C101="Mercury Vapor",'WP10 O&amp;M Weighting Factor'!$B$30,IF('WP12 Condensed Sch. Level Costs'!C101="Compact Flourescent",'WP10 O&amp;M Weighting Factor'!$B$29, IF(C101="Incandescent", 'WP10 O&amp;M Weighting Factor'!$B$31, 0))))))</f>
        <v>1</v>
      </c>
      <c r="K101" s="282">
        <f t="shared" si="189"/>
        <v>246</v>
      </c>
      <c r="L101" s="74">
        <f t="shared" si="190"/>
        <v>0</v>
      </c>
      <c r="M101" s="283">
        <f t="shared" si="191"/>
        <v>61.5</v>
      </c>
      <c r="N101" s="398">
        <f>'WP1 Light Inventory'!L102</f>
        <v>258300</v>
      </c>
      <c r="O101" s="284">
        <f t="shared" si="192"/>
        <v>87.5</v>
      </c>
      <c r="P101" s="261">
        <f>'BDJ-6 Unitized Lighting Costs'!D$20</f>
        <v>1.0137794003499056E-2</v>
      </c>
      <c r="Q101" s="261">
        <f>'BDJ-6 Unitized Lighting Costs'!$D$43</f>
        <v>2.2529806535397991</v>
      </c>
      <c r="R101" s="261">
        <f>'BDJ-6 Unitized Lighting Costs'!D$69</f>
        <v>1.9131568994526543E-2</v>
      </c>
      <c r="S101" s="261">
        <f>'BDJ-6 Unitized Lighting Costs'!D$100</f>
        <v>3.6511265600435805</v>
      </c>
      <c r="T101" s="261">
        <f>'BDJ-6 Unitized Lighting Costs'!$D$117</f>
        <v>5.4555747529966878E-2</v>
      </c>
      <c r="U101" s="43">
        <f t="shared" si="193"/>
        <v>0</v>
      </c>
      <c r="V101" s="43">
        <f t="shared" si="194"/>
        <v>2.2529806535397991</v>
      </c>
      <c r="W101" s="43">
        <f t="shared" si="195"/>
        <v>1.6740122870210725</v>
      </c>
      <c r="X101" s="43">
        <f t="shared" si="196"/>
        <v>0.91278164001089512</v>
      </c>
      <c r="Y101" s="43">
        <f t="shared" si="197"/>
        <v>4.7736279088721014</v>
      </c>
      <c r="Z101" s="43">
        <f t="shared" si="198"/>
        <v>9.6134024894438674</v>
      </c>
      <c r="AA101" s="220"/>
      <c r="AB101" s="240">
        <f t="shared" si="199"/>
        <v>0</v>
      </c>
      <c r="AC101" s="240">
        <f t="shared" si="200"/>
        <v>2.5748350326169133E-2</v>
      </c>
      <c r="AD101" s="240">
        <f t="shared" si="201"/>
        <v>1.9131568994526543E-2</v>
      </c>
      <c r="AE101" s="240">
        <f t="shared" si="202"/>
        <v>1.0431790171553088E-2</v>
      </c>
      <c r="AF101" s="240">
        <f t="shared" si="203"/>
        <v>5.4555747529966871E-2</v>
      </c>
      <c r="AG101" s="240">
        <f t="shared" si="204"/>
        <v>0.10986745702221563</v>
      </c>
      <c r="AH101" s="43">
        <f t="shared" si="205"/>
        <v>0</v>
      </c>
      <c r="AI101" s="43">
        <f t="shared" si="206"/>
        <v>554.23324077079064</v>
      </c>
      <c r="AJ101" s="43">
        <f t="shared" si="207"/>
        <v>411.80702260718385</v>
      </c>
      <c r="AK101" s="43">
        <f t="shared" si="208"/>
        <v>224.54428344268021</v>
      </c>
      <c r="AL101" s="43">
        <f t="shared" si="209"/>
        <v>1174.312465582537</v>
      </c>
      <c r="AM101" s="43">
        <f t="shared" si="210"/>
        <v>2364.8970124031916</v>
      </c>
      <c r="AN101" s="43">
        <f t="shared" si="211"/>
        <v>0</v>
      </c>
      <c r="AO101" s="43">
        <f t="shared" si="212"/>
        <v>6650.7988892494877</v>
      </c>
      <c r="AP101" s="43">
        <f t="shared" si="213"/>
        <v>4941.6842712862062</v>
      </c>
      <c r="AQ101" s="43">
        <f t="shared" si="214"/>
        <v>2694.5314013121624</v>
      </c>
      <c r="AR101" s="43">
        <f t="shared" si="215"/>
        <v>14091.749586990445</v>
      </c>
      <c r="AS101" s="43">
        <f t="shared" si="216"/>
        <v>28378.764148838301</v>
      </c>
    </row>
    <row r="102" spans="1:45" x14ac:dyDescent="0.2">
      <c r="A102" s="58" t="str">
        <f t="shared" si="217"/>
        <v>53E - Customer Owned</v>
      </c>
      <c r="B102" s="21" t="s">
        <v>605</v>
      </c>
      <c r="C102" s="21" t="str">
        <f>'WP1 Light Inventory'!D103</f>
        <v>Sodium Vapor</v>
      </c>
      <c r="D102" s="21" t="str">
        <f>'WP1 Light Inventory'!E103</f>
        <v>SV 310</v>
      </c>
      <c r="E102" s="21">
        <f>'WP1 Light Inventory'!F103</f>
        <v>310</v>
      </c>
      <c r="F102" s="21" t="str">
        <f>'WP1 Light Inventory'!H103</f>
        <v>Customer</v>
      </c>
      <c r="G102" s="397">
        <f>'WP1 Light Inventory'!J103</f>
        <v>7</v>
      </c>
      <c r="H102" s="74" t="s">
        <v>600</v>
      </c>
      <c r="I102" s="14" t="s">
        <v>133</v>
      </c>
      <c r="J102" s="19">
        <f>IF(C102="Light Emitting Diode",'WP10 O&amp;M Weighting Factor'!$B$26,IF('WP12 Condensed Sch. Level Costs'!C102="Sodium Vapor",'WP10 O&amp;M Weighting Factor'!$B$27,IF('WP12 Condensed Sch. Level Costs'!C102="Metal Halide",'WP10 O&amp;M Weighting Factor'!$B$28,IF('WP12 Condensed Sch. Level Costs'!C102="Mercury Vapor",'WP10 O&amp;M Weighting Factor'!$B$30,IF('WP12 Condensed Sch. Level Costs'!C102="Compact Flourescent",'WP10 O&amp;M Weighting Factor'!$B$29, IF(C102="Incandescent", 'WP10 O&amp;M Weighting Factor'!$B$31, 0))))))</f>
        <v>1</v>
      </c>
      <c r="K102" s="282">
        <f t="shared" si="189"/>
        <v>7</v>
      </c>
      <c r="L102" s="74">
        <f t="shared" si="190"/>
        <v>0</v>
      </c>
      <c r="M102" s="283">
        <f t="shared" si="191"/>
        <v>2.17</v>
      </c>
      <c r="N102" s="398">
        <f>'WP1 Light Inventory'!L103</f>
        <v>9114</v>
      </c>
      <c r="O102" s="284">
        <f t="shared" si="192"/>
        <v>108.5</v>
      </c>
      <c r="P102" s="261">
        <f>'BDJ-6 Unitized Lighting Costs'!D$20</f>
        <v>1.0137794003499056E-2</v>
      </c>
      <c r="Q102" s="261">
        <f>'BDJ-6 Unitized Lighting Costs'!$D$43</f>
        <v>2.2529806535397991</v>
      </c>
      <c r="R102" s="261">
        <f>'BDJ-6 Unitized Lighting Costs'!D$69</f>
        <v>1.9131568994526543E-2</v>
      </c>
      <c r="S102" s="261">
        <f>'BDJ-6 Unitized Lighting Costs'!D$100</f>
        <v>3.6511265600435805</v>
      </c>
      <c r="T102" s="261">
        <f>'BDJ-6 Unitized Lighting Costs'!$D$117</f>
        <v>5.4555747529966878E-2</v>
      </c>
      <c r="U102" s="43">
        <f t="shared" si="193"/>
        <v>0</v>
      </c>
      <c r="V102" s="43">
        <f t="shared" si="194"/>
        <v>2.2529806535397991</v>
      </c>
      <c r="W102" s="43">
        <f t="shared" si="195"/>
        <v>2.0757752359061299</v>
      </c>
      <c r="X102" s="43">
        <f t="shared" si="196"/>
        <v>1.13184923361351</v>
      </c>
      <c r="Y102" s="43">
        <f t="shared" si="197"/>
        <v>5.919298607001406</v>
      </c>
      <c r="Z102" s="43">
        <f t="shared" si="198"/>
        <v>11.379903730060846</v>
      </c>
      <c r="AA102" s="220"/>
      <c r="AB102" s="240">
        <f t="shared" si="199"/>
        <v>0</v>
      </c>
      <c r="AC102" s="240">
        <f t="shared" si="200"/>
        <v>2.0764798650136397E-2</v>
      </c>
      <c r="AD102" s="240">
        <f t="shared" si="201"/>
        <v>1.9131568994526543E-2</v>
      </c>
      <c r="AE102" s="240">
        <f t="shared" si="202"/>
        <v>1.0431790171553088E-2</v>
      </c>
      <c r="AF102" s="240">
        <f t="shared" si="203"/>
        <v>5.4555747529966878E-2</v>
      </c>
      <c r="AG102" s="240">
        <f t="shared" si="204"/>
        <v>0.1048839053461829</v>
      </c>
      <c r="AH102" s="43">
        <f t="shared" si="205"/>
        <v>0</v>
      </c>
      <c r="AI102" s="43">
        <f t="shared" si="206"/>
        <v>15.770864574778594</v>
      </c>
      <c r="AJ102" s="43">
        <f t="shared" si="207"/>
        <v>14.530426651342909</v>
      </c>
      <c r="AK102" s="43">
        <f t="shared" si="208"/>
        <v>7.92294463529457</v>
      </c>
      <c r="AL102" s="43">
        <f t="shared" si="209"/>
        <v>41.435090249009839</v>
      </c>
      <c r="AM102" s="43">
        <f t="shared" si="210"/>
        <v>79.659326110425923</v>
      </c>
      <c r="AN102" s="43">
        <f t="shared" si="211"/>
        <v>0</v>
      </c>
      <c r="AO102" s="43">
        <f t="shared" si="212"/>
        <v>189.25037489734314</v>
      </c>
      <c r="AP102" s="43">
        <f t="shared" si="213"/>
        <v>174.36511981611491</v>
      </c>
      <c r="AQ102" s="43">
        <f t="shared" si="214"/>
        <v>95.075335623534841</v>
      </c>
      <c r="AR102" s="43">
        <f t="shared" si="215"/>
        <v>497.22108298811804</v>
      </c>
      <c r="AS102" s="43">
        <f t="shared" si="216"/>
        <v>955.91191332511107</v>
      </c>
    </row>
    <row r="103" spans="1:45" x14ac:dyDescent="0.2">
      <c r="A103" s="58" t="str">
        <f t="shared" si="217"/>
        <v>53E - Customer Owned</v>
      </c>
      <c r="B103" s="21" t="s">
        <v>605</v>
      </c>
      <c r="C103" s="21" t="str">
        <f>'WP1 Light Inventory'!D104</f>
        <v>Sodium Vapor</v>
      </c>
      <c r="D103" s="21" t="str">
        <f>'WP1 Light Inventory'!E104</f>
        <v>SV 400</v>
      </c>
      <c r="E103" s="21">
        <f>'WP1 Light Inventory'!F104</f>
        <v>400</v>
      </c>
      <c r="F103" s="21" t="str">
        <f>'WP1 Light Inventory'!H104</f>
        <v>Customer</v>
      </c>
      <c r="G103" s="397">
        <f>'WP1 Light Inventory'!J104</f>
        <v>398</v>
      </c>
      <c r="H103" s="74" t="s">
        <v>600</v>
      </c>
      <c r="I103" s="14" t="s">
        <v>133</v>
      </c>
      <c r="J103" s="19">
        <f>IF(C103="Light Emitting Diode",'WP10 O&amp;M Weighting Factor'!$B$26,IF('WP12 Condensed Sch. Level Costs'!C103="Sodium Vapor",'WP10 O&amp;M Weighting Factor'!$B$27,IF('WP12 Condensed Sch. Level Costs'!C103="Metal Halide",'WP10 O&amp;M Weighting Factor'!$B$28,IF('WP12 Condensed Sch. Level Costs'!C103="Mercury Vapor",'WP10 O&amp;M Weighting Factor'!$B$30,IF('WP12 Condensed Sch. Level Costs'!C103="Compact Flourescent",'WP10 O&amp;M Weighting Factor'!$B$29, IF(C103="Incandescent", 'WP10 O&amp;M Weighting Factor'!$B$31, 0))))))</f>
        <v>1</v>
      </c>
      <c r="K103" s="282">
        <f t="shared" si="189"/>
        <v>398</v>
      </c>
      <c r="L103" s="74">
        <f t="shared" si="190"/>
        <v>0</v>
      </c>
      <c r="M103" s="283">
        <f t="shared" si="191"/>
        <v>159.19999999999999</v>
      </c>
      <c r="N103" s="398">
        <f>'WP1 Light Inventory'!L104</f>
        <v>668640</v>
      </c>
      <c r="O103" s="284">
        <f t="shared" si="192"/>
        <v>140</v>
      </c>
      <c r="P103" s="261">
        <f>'BDJ-6 Unitized Lighting Costs'!D$20</f>
        <v>1.0137794003499056E-2</v>
      </c>
      <c r="Q103" s="261">
        <f>'BDJ-6 Unitized Lighting Costs'!$D$43</f>
        <v>2.2529806535397991</v>
      </c>
      <c r="R103" s="261">
        <f>'BDJ-6 Unitized Lighting Costs'!D$69</f>
        <v>1.9131568994526543E-2</v>
      </c>
      <c r="S103" s="261">
        <f>'BDJ-6 Unitized Lighting Costs'!D$100</f>
        <v>3.6511265600435805</v>
      </c>
      <c r="T103" s="261">
        <f>'BDJ-6 Unitized Lighting Costs'!$D$117</f>
        <v>5.4555747529966878E-2</v>
      </c>
      <c r="U103" s="43">
        <f t="shared" si="193"/>
        <v>0</v>
      </c>
      <c r="V103" s="43">
        <f t="shared" si="194"/>
        <v>2.2529806535397991</v>
      </c>
      <c r="W103" s="43">
        <f t="shared" si="195"/>
        <v>2.6784196592337159</v>
      </c>
      <c r="X103" s="43">
        <f t="shared" si="196"/>
        <v>1.4604506240174322</v>
      </c>
      <c r="Y103" s="43">
        <f t="shared" si="197"/>
        <v>7.6378046541953628</v>
      </c>
      <c r="Z103" s="43">
        <f t="shared" si="198"/>
        <v>14.029655590986311</v>
      </c>
      <c r="AA103" s="220"/>
      <c r="AB103" s="240">
        <f t="shared" si="199"/>
        <v>0</v>
      </c>
      <c r="AC103" s="240">
        <f t="shared" si="200"/>
        <v>1.6092718953855709E-2</v>
      </c>
      <c r="AD103" s="240">
        <f t="shared" si="201"/>
        <v>1.9131568994526543E-2</v>
      </c>
      <c r="AE103" s="240">
        <f t="shared" si="202"/>
        <v>1.0431790171553088E-2</v>
      </c>
      <c r="AF103" s="240">
        <f t="shared" si="203"/>
        <v>5.4555747529966878E-2</v>
      </c>
      <c r="AG103" s="240">
        <f t="shared" si="204"/>
        <v>0.10021182564990222</v>
      </c>
      <c r="AH103" s="43">
        <f t="shared" si="205"/>
        <v>0</v>
      </c>
      <c r="AI103" s="43">
        <f t="shared" si="206"/>
        <v>896.6863001088401</v>
      </c>
      <c r="AJ103" s="43">
        <f t="shared" si="207"/>
        <v>1066.0110243750189</v>
      </c>
      <c r="AK103" s="43">
        <f t="shared" si="208"/>
        <v>581.25934835893804</v>
      </c>
      <c r="AL103" s="43">
        <f t="shared" si="209"/>
        <v>3039.8462523697544</v>
      </c>
      <c r="AM103" s="43">
        <f t="shared" si="210"/>
        <v>5583.8029252125516</v>
      </c>
      <c r="AN103" s="43">
        <f t="shared" si="211"/>
        <v>0</v>
      </c>
      <c r="AO103" s="43">
        <f t="shared" si="212"/>
        <v>10760.235601306082</v>
      </c>
      <c r="AP103" s="43">
        <f t="shared" si="213"/>
        <v>12792.132292500228</v>
      </c>
      <c r="AQ103" s="43">
        <f t="shared" si="214"/>
        <v>6975.1121803072565</v>
      </c>
      <c r="AR103" s="43">
        <f t="shared" si="215"/>
        <v>36478.155028437053</v>
      </c>
      <c r="AS103" s="43">
        <f t="shared" si="216"/>
        <v>67005.635102550616</v>
      </c>
    </row>
    <row r="104" spans="1:45" x14ac:dyDescent="0.2">
      <c r="A104" s="58" t="str">
        <f t="shared" si="217"/>
        <v>53E - Customer Owned</v>
      </c>
      <c r="B104" s="21" t="s">
        <v>605</v>
      </c>
      <c r="C104" s="21" t="str">
        <f>'WP1 Light Inventory'!D105</f>
        <v>Sodium Vapor</v>
      </c>
      <c r="D104" s="21" t="str">
        <f>'WP1 Light Inventory'!E105</f>
        <v>SV 1000</v>
      </c>
      <c r="E104" s="21">
        <f>'WP1 Light Inventory'!F105</f>
        <v>1000</v>
      </c>
      <c r="F104" s="21" t="str">
        <f>'WP1 Light Inventory'!H105</f>
        <v>Customer</v>
      </c>
      <c r="G104" s="397">
        <f>'WP1 Light Inventory'!J105</f>
        <v>0</v>
      </c>
      <c r="H104" s="74" t="s">
        <v>600</v>
      </c>
      <c r="I104" s="14" t="s">
        <v>133</v>
      </c>
      <c r="J104" s="19">
        <f>IF(C104="Light Emitting Diode",'WP10 O&amp;M Weighting Factor'!$B$26,IF('WP12 Condensed Sch. Level Costs'!C104="Sodium Vapor",'WP10 O&amp;M Weighting Factor'!$B$27,IF('WP12 Condensed Sch. Level Costs'!C104="Metal Halide",'WP10 O&amp;M Weighting Factor'!$B$28,IF('WP12 Condensed Sch. Level Costs'!C104="Mercury Vapor",'WP10 O&amp;M Weighting Factor'!$B$30,IF('WP12 Condensed Sch. Level Costs'!C104="Compact Flourescent",'WP10 O&amp;M Weighting Factor'!$B$29, IF(C104="Incandescent", 'WP10 O&amp;M Weighting Factor'!$B$31, 0))))))</f>
        <v>1</v>
      </c>
      <c r="K104" s="282">
        <f t="shared" si="189"/>
        <v>0</v>
      </c>
      <c r="L104" s="74">
        <f t="shared" si="190"/>
        <v>0</v>
      </c>
      <c r="M104" s="283">
        <f t="shared" si="191"/>
        <v>0</v>
      </c>
      <c r="N104" s="398">
        <f>'WP1 Light Inventory'!L105</f>
        <v>0</v>
      </c>
      <c r="O104" s="284">
        <f t="shared" si="192"/>
        <v>350</v>
      </c>
      <c r="P104" s="261">
        <f>'BDJ-6 Unitized Lighting Costs'!D$20</f>
        <v>1.0137794003499056E-2</v>
      </c>
      <c r="Q104" s="261">
        <f>'BDJ-6 Unitized Lighting Costs'!$D$43</f>
        <v>2.2529806535397991</v>
      </c>
      <c r="R104" s="261">
        <f>'BDJ-6 Unitized Lighting Costs'!D$69</f>
        <v>1.9131568994526543E-2</v>
      </c>
      <c r="S104" s="261">
        <f>'BDJ-6 Unitized Lighting Costs'!D$100</f>
        <v>3.6511265600435805</v>
      </c>
      <c r="T104" s="261">
        <f>'BDJ-6 Unitized Lighting Costs'!$D$117</f>
        <v>5.4555747529966878E-2</v>
      </c>
      <c r="U104" s="43">
        <f t="shared" si="193"/>
        <v>0</v>
      </c>
      <c r="V104" s="43">
        <f t="shared" si="194"/>
        <v>2.2529806535397991</v>
      </c>
      <c r="W104" s="43">
        <f t="shared" si="195"/>
        <v>6.6960491480842901</v>
      </c>
      <c r="X104" s="43">
        <f t="shared" si="196"/>
        <v>3.6511265600435805</v>
      </c>
      <c r="Y104" s="43">
        <f t="shared" si="197"/>
        <v>19.094511635488406</v>
      </c>
      <c r="Z104" s="43">
        <f t="shared" si="198"/>
        <v>31.694667997156074</v>
      </c>
      <c r="AA104" s="220"/>
      <c r="AB104" s="240">
        <f t="shared" si="199"/>
        <v>0</v>
      </c>
      <c r="AC104" s="240">
        <f t="shared" si="200"/>
        <v>6.4370875815422833E-3</v>
      </c>
      <c r="AD104" s="240">
        <f t="shared" si="201"/>
        <v>1.9131568994526543E-2</v>
      </c>
      <c r="AE104" s="240">
        <f t="shared" si="202"/>
        <v>1.0431790171553088E-2</v>
      </c>
      <c r="AF104" s="240">
        <f t="shared" si="203"/>
        <v>5.4555747529966871E-2</v>
      </c>
      <c r="AG104" s="240">
        <f t="shared" si="204"/>
        <v>9.0556194277588792E-2</v>
      </c>
      <c r="AH104" s="43">
        <f t="shared" si="205"/>
        <v>0</v>
      </c>
      <c r="AI104" s="43">
        <f t="shared" si="206"/>
        <v>0</v>
      </c>
      <c r="AJ104" s="43">
        <f t="shared" si="207"/>
        <v>0</v>
      </c>
      <c r="AK104" s="43">
        <f t="shared" si="208"/>
        <v>0</v>
      </c>
      <c r="AL104" s="43">
        <f t="shared" si="209"/>
        <v>0</v>
      </c>
      <c r="AM104" s="43">
        <f t="shared" si="210"/>
        <v>0</v>
      </c>
      <c r="AN104" s="43">
        <f t="shared" si="211"/>
        <v>0</v>
      </c>
      <c r="AO104" s="43">
        <f t="shared" si="212"/>
        <v>0</v>
      </c>
      <c r="AP104" s="43">
        <f t="shared" si="213"/>
        <v>0</v>
      </c>
      <c r="AQ104" s="43">
        <f t="shared" si="214"/>
        <v>0</v>
      </c>
      <c r="AR104" s="43">
        <f t="shared" si="215"/>
        <v>0</v>
      </c>
      <c r="AS104" s="43">
        <f t="shared" si="216"/>
        <v>0</v>
      </c>
    </row>
    <row r="105" spans="1:45" x14ac:dyDescent="0.2">
      <c r="A105" s="58"/>
      <c r="B105" s="18"/>
      <c r="C105" s="47"/>
      <c r="D105" s="18"/>
      <c r="E105" s="401"/>
      <c r="G105" s="399"/>
      <c r="K105" s="282"/>
      <c r="L105" s="74"/>
      <c r="AA105" s="220"/>
      <c r="AB105" s="240"/>
      <c r="AC105" s="240"/>
      <c r="AD105" s="240"/>
      <c r="AE105" s="240"/>
      <c r="AF105" s="240"/>
      <c r="AG105" s="240"/>
    </row>
    <row r="106" spans="1:45" x14ac:dyDescent="0.2">
      <c r="A106" s="58" t="str">
        <f>+A104</f>
        <v>53E - Customer Owned</v>
      </c>
      <c r="B106" s="22"/>
      <c r="C106" s="21" t="str">
        <f>'WP1 Light Inventory'!D107</f>
        <v>Metal Halide</v>
      </c>
      <c r="D106" s="21" t="str">
        <f>'WP1 Light Inventory'!E107</f>
        <v>MH 70</v>
      </c>
      <c r="E106" s="21">
        <f>'WP1 Light Inventory'!F107</f>
        <v>70</v>
      </c>
      <c r="F106" s="21" t="str">
        <f>'WP1 Light Inventory'!H107</f>
        <v>Customer</v>
      </c>
      <c r="G106" s="397">
        <f>'WP1 Light Inventory'!J107</f>
        <v>0</v>
      </c>
      <c r="H106" s="74" t="s">
        <v>600</v>
      </c>
      <c r="I106" s="14" t="s">
        <v>133</v>
      </c>
      <c r="J106" s="19">
        <f>IF(C106="Light Emitting Diode",'WP10 O&amp;M Weighting Factor'!$B$26,IF('WP12 Condensed Sch. Level Costs'!C106="Sodium Vapor",'WP10 O&amp;M Weighting Factor'!$B$27,IF('WP12 Condensed Sch. Level Costs'!C106="Metal Halide",'WP10 O&amp;M Weighting Factor'!$B$28,IF('WP12 Condensed Sch. Level Costs'!C106="Mercury Vapor",'WP10 O&amp;M Weighting Factor'!$B$30,IF('WP12 Condensed Sch. Level Costs'!C106="Compact Flourescent",'WP10 O&amp;M Weighting Factor'!$B$29, IF(C106="Incandescent", 'WP10 O&amp;M Weighting Factor'!$B$31, 0))))))</f>
        <v>2</v>
      </c>
      <c r="K106" s="282">
        <f t="shared" ref="K106:K111" si="218">IF(I106="Yes",G106*J106,0)</f>
        <v>0</v>
      </c>
      <c r="L106" s="74">
        <f t="shared" ref="L106:L111" si="219">IF(F106="Company", G106*H106,0)</f>
        <v>0</v>
      </c>
      <c r="M106" s="283">
        <f t="shared" ref="M106:M111" si="220">E106*G106/1000</f>
        <v>0</v>
      </c>
      <c r="N106" s="398">
        <f>'WP1 Light Inventory'!L107</f>
        <v>0</v>
      </c>
      <c r="O106" s="284">
        <f t="shared" ref="O106:O111" si="221">E106*4200/1000/12</f>
        <v>24.5</v>
      </c>
      <c r="P106" s="261">
        <f>'BDJ-6 Unitized Lighting Costs'!D$20</f>
        <v>1.0137794003499056E-2</v>
      </c>
      <c r="Q106" s="261">
        <f>'BDJ-6 Unitized Lighting Costs'!$D$43</f>
        <v>2.2529806535397991</v>
      </c>
      <c r="R106" s="261">
        <f>'BDJ-6 Unitized Lighting Costs'!D$69</f>
        <v>1.9131568994526543E-2</v>
      </c>
      <c r="S106" s="261">
        <f>'BDJ-6 Unitized Lighting Costs'!D$100</f>
        <v>3.6511265600435805</v>
      </c>
      <c r="T106" s="261">
        <f>'BDJ-6 Unitized Lighting Costs'!$D$117</f>
        <v>5.4555747529966878E-2</v>
      </c>
      <c r="U106" s="43">
        <f t="shared" ref="U106:U111" si="222">IF(F106="Company", H106*P106, 0)</f>
        <v>0</v>
      </c>
      <c r="V106" s="43">
        <f t="shared" ref="V106:V111" si="223">IF(I106="yes", J106*Q106, 0)</f>
        <v>4.5059613070795983</v>
      </c>
      <c r="W106" s="43">
        <f t="shared" ref="W106:W111" si="224">R106*O106</f>
        <v>0.4687234403659003</v>
      </c>
      <c r="X106" s="43">
        <f t="shared" ref="X106:X111" si="225">E106*S106/1000</f>
        <v>0.25557885920305062</v>
      </c>
      <c r="Y106" s="43">
        <f t="shared" ref="Y106:Y111" si="226">O106*T106</f>
        <v>1.3366158144841884</v>
      </c>
      <c r="Z106" s="43">
        <f t="shared" ref="Z106:Z111" si="227">SUM(U106:Y106)</f>
        <v>6.5668794211327377</v>
      </c>
      <c r="AA106" s="220"/>
      <c r="AB106" s="240">
        <f t="shared" ref="AB106:AB111" si="228">IFERROR(U106/O106,0)</f>
        <v>0</v>
      </c>
      <c r="AC106" s="240">
        <f t="shared" ref="AC106:AC111" si="229">IFERROR(V106/O106,0)</f>
        <v>0.18391678804406525</v>
      </c>
      <c r="AD106" s="240">
        <f t="shared" ref="AD106:AD111" si="230">IFERROR(W106/O106,0)</f>
        <v>1.9131568994526543E-2</v>
      </c>
      <c r="AE106" s="240">
        <f t="shared" ref="AE106:AE111" si="231">IFERROR(X106/O106,0)</f>
        <v>1.0431790171553088E-2</v>
      </c>
      <c r="AF106" s="240">
        <f t="shared" ref="AF106:AF111" si="232">IFERROR(Y106/O106,0)</f>
        <v>5.4555747529966878E-2</v>
      </c>
      <c r="AG106" s="240">
        <f t="shared" ref="AG106:AG111" si="233">SUM(AB106:AF106)</f>
        <v>0.26803589474011175</v>
      </c>
      <c r="AH106" s="43">
        <f t="shared" ref="AH106:AL111" si="234">(U106*$G106)</f>
        <v>0</v>
      </c>
      <c r="AI106" s="43">
        <f t="shared" si="234"/>
        <v>0</v>
      </c>
      <c r="AJ106" s="43">
        <f t="shared" si="234"/>
        <v>0</v>
      </c>
      <c r="AK106" s="43">
        <f t="shared" si="234"/>
        <v>0</v>
      </c>
      <c r="AL106" s="43">
        <f t="shared" si="234"/>
        <v>0</v>
      </c>
      <c r="AM106" s="43">
        <f t="shared" ref="AM106:AM111" si="235">SUM(AH106:AL106)</f>
        <v>0</v>
      </c>
      <c r="AN106" s="43">
        <f t="shared" ref="AN106:AS111" si="236">AH106*12</f>
        <v>0</v>
      </c>
      <c r="AO106" s="43">
        <f t="shared" si="236"/>
        <v>0</v>
      </c>
      <c r="AP106" s="43">
        <f t="shared" si="236"/>
        <v>0</v>
      </c>
      <c r="AQ106" s="43">
        <f t="shared" si="236"/>
        <v>0</v>
      </c>
      <c r="AR106" s="43">
        <f t="shared" si="236"/>
        <v>0</v>
      </c>
      <c r="AS106" s="43">
        <f t="shared" si="236"/>
        <v>0</v>
      </c>
    </row>
    <row r="107" spans="1:45" x14ac:dyDescent="0.2">
      <c r="A107" s="58" t="str">
        <f>+A106</f>
        <v>53E - Customer Owned</v>
      </c>
      <c r="B107" s="22"/>
      <c r="C107" s="21" t="str">
        <f>'WP1 Light Inventory'!D108</f>
        <v>Metal Halide</v>
      </c>
      <c r="D107" s="21" t="str">
        <f>'WP1 Light Inventory'!E108</f>
        <v>MH 100</v>
      </c>
      <c r="E107" s="21">
        <f>'WP1 Light Inventory'!F108</f>
        <v>100</v>
      </c>
      <c r="F107" s="21" t="str">
        <f>'WP1 Light Inventory'!H108</f>
        <v>Customer</v>
      </c>
      <c r="G107" s="397">
        <f>'WP1 Light Inventory'!J108</f>
        <v>0</v>
      </c>
      <c r="H107" s="74" t="s">
        <v>600</v>
      </c>
      <c r="I107" s="14" t="s">
        <v>133</v>
      </c>
      <c r="J107" s="19">
        <f>IF(C107="Light Emitting Diode",'WP10 O&amp;M Weighting Factor'!$B$26,IF('WP12 Condensed Sch. Level Costs'!C107="Sodium Vapor",'WP10 O&amp;M Weighting Factor'!$B$27,IF('WP12 Condensed Sch. Level Costs'!C107="Metal Halide",'WP10 O&amp;M Weighting Factor'!$B$28,IF('WP12 Condensed Sch. Level Costs'!C107="Mercury Vapor",'WP10 O&amp;M Weighting Factor'!$B$30,IF('WP12 Condensed Sch. Level Costs'!C107="Compact Flourescent",'WP10 O&amp;M Weighting Factor'!$B$29, IF(C107="Incandescent", 'WP10 O&amp;M Weighting Factor'!$B$31, 0))))))</f>
        <v>2</v>
      </c>
      <c r="K107" s="282">
        <f t="shared" si="218"/>
        <v>0</v>
      </c>
      <c r="L107" s="74">
        <f t="shared" si="219"/>
        <v>0</v>
      </c>
      <c r="M107" s="283">
        <f t="shared" si="220"/>
        <v>0</v>
      </c>
      <c r="N107" s="398">
        <f>'WP1 Light Inventory'!L108</f>
        <v>0</v>
      </c>
      <c r="O107" s="284">
        <f t="shared" si="221"/>
        <v>35</v>
      </c>
      <c r="P107" s="261">
        <f>'BDJ-6 Unitized Lighting Costs'!D$20</f>
        <v>1.0137794003499056E-2</v>
      </c>
      <c r="Q107" s="261">
        <f>'BDJ-6 Unitized Lighting Costs'!$D$43</f>
        <v>2.2529806535397991</v>
      </c>
      <c r="R107" s="261">
        <f>'BDJ-6 Unitized Lighting Costs'!D$69</f>
        <v>1.9131568994526543E-2</v>
      </c>
      <c r="S107" s="261">
        <f>'BDJ-6 Unitized Lighting Costs'!D$100</f>
        <v>3.6511265600435805</v>
      </c>
      <c r="T107" s="261">
        <f>'BDJ-6 Unitized Lighting Costs'!$D$117</f>
        <v>5.4555747529966878E-2</v>
      </c>
      <c r="U107" s="43">
        <f t="shared" si="222"/>
        <v>0</v>
      </c>
      <c r="V107" s="43">
        <f t="shared" si="223"/>
        <v>4.5059613070795983</v>
      </c>
      <c r="W107" s="43">
        <f t="shared" si="224"/>
        <v>0.66960491480842899</v>
      </c>
      <c r="X107" s="43">
        <f t="shared" si="225"/>
        <v>0.36511265600435805</v>
      </c>
      <c r="Y107" s="43">
        <f t="shared" si="226"/>
        <v>1.9094511635488407</v>
      </c>
      <c r="Z107" s="43">
        <f t="shared" si="227"/>
        <v>7.4501300414412261</v>
      </c>
      <c r="AA107" s="220"/>
      <c r="AB107" s="240">
        <f t="shared" si="228"/>
        <v>0</v>
      </c>
      <c r="AC107" s="240">
        <f t="shared" si="229"/>
        <v>0.12874175163084567</v>
      </c>
      <c r="AD107" s="240">
        <f t="shared" si="230"/>
        <v>1.9131568994526543E-2</v>
      </c>
      <c r="AE107" s="240">
        <f t="shared" si="231"/>
        <v>1.0431790171553088E-2</v>
      </c>
      <c r="AF107" s="240">
        <f t="shared" si="232"/>
        <v>5.4555747529966878E-2</v>
      </c>
      <c r="AG107" s="240">
        <f t="shared" si="233"/>
        <v>0.21286085832689217</v>
      </c>
      <c r="AH107" s="43">
        <f t="shared" si="234"/>
        <v>0</v>
      </c>
      <c r="AI107" s="43">
        <f t="shared" si="234"/>
        <v>0</v>
      </c>
      <c r="AJ107" s="43">
        <f t="shared" si="234"/>
        <v>0</v>
      </c>
      <c r="AK107" s="43">
        <f t="shared" si="234"/>
        <v>0</v>
      </c>
      <c r="AL107" s="43">
        <f t="shared" si="234"/>
        <v>0</v>
      </c>
      <c r="AM107" s="43">
        <f t="shared" si="235"/>
        <v>0</v>
      </c>
      <c r="AN107" s="43">
        <f t="shared" si="236"/>
        <v>0</v>
      </c>
      <c r="AO107" s="43">
        <f t="shared" si="236"/>
        <v>0</v>
      </c>
      <c r="AP107" s="43">
        <f t="shared" si="236"/>
        <v>0</v>
      </c>
      <c r="AQ107" s="43">
        <f t="shared" si="236"/>
        <v>0</v>
      </c>
      <c r="AR107" s="43">
        <f t="shared" si="236"/>
        <v>0</v>
      </c>
      <c r="AS107" s="43">
        <f t="shared" si="236"/>
        <v>0</v>
      </c>
    </row>
    <row r="108" spans="1:45" x14ac:dyDescent="0.2">
      <c r="A108" s="58" t="str">
        <f>+A107</f>
        <v>53E - Customer Owned</v>
      </c>
      <c r="B108" s="22"/>
      <c r="C108" s="21" t="str">
        <f>'WP1 Light Inventory'!D109</f>
        <v>Metal Halide</v>
      </c>
      <c r="D108" s="21" t="str">
        <f>'WP1 Light Inventory'!E109</f>
        <v>MH 150</v>
      </c>
      <c r="E108" s="21">
        <f>'WP1 Light Inventory'!F109</f>
        <v>150</v>
      </c>
      <c r="F108" s="21" t="str">
        <f>'WP1 Light Inventory'!H109</f>
        <v>Customer</v>
      </c>
      <c r="G108" s="397">
        <f>'WP1 Light Inventory'!J109</f>
        <v>0</v>
      </c>
      <c r="H108" s="74" t="s">
        <v>600</v>
      </c>
      <c r="I108" s="14" t="s">
        <v>133</v>
      </c>
      <c r="J108" s="19">
        <f>IF(C108="Light Emitting Diode",'WP10 O&amp;M Weighting Factor'!$B$26,IF('WP12 Condensed Sch. Level Costs'!C108="Sodium Vapor",'WP10 O&amp;M Weighting Factor'!$B$27,IF('WP12 Condensed Sch. Level Costs'!C108="Metal Halide",'WP10 O&amp;M Weighting Factor'!$B$28,IF('WP12 Condensed Sch. Level Costs'!C108="Mercury Vapor",'WP10 O&amp;M Weighting Factor'!$B$30,IF('WP12 Condensed Sch. Level Costs'!C108="Compact Flourescent",'WP10 O&amp;M Weighting Factor'!$B$29, IF(C108="Incandescent", 'WP10 O&amp;M Weighting Factor'!$B$31, 0))))))</f>
        <v>2</v>
      </c>
      <c r="K108" s="282">
        <f t="shared" si="218"/>
        <v>0</v>
      </c>
      <c r="L108" s="74">
        <f t="shared" si="219"/>
        <v>0</v>
      </c>
      <c r="M108" s="283">
        <f t="shared" si="220"/>
        <v>0</v>
      </c>
      <c r="N108" s="398">
        <f>'WP1 Light Inventory'!L109</f>
        <v>0</v>
      </c>
      <c r="O108" s="284">
        <f t="shared" si="221"/>
        <v>52.5</v>
      </c>
      <c r="P108" s="261">
        <f>'BDJ-6 Unitized Lighting Costs'!D$20</f>
        <v>1.0137794003499056E-2</v>
      </c>
      <c r="Q108" s="261">
        <f>'BDJ-6 Unitized Lighting Costs'!$D$43</f>
        <v>2.2529806535397991</v>
      </c>
      <c r="R108" s="261">
        <f>'BDJ-6 Unitized Lighting Costs'!D$69</f>
        <v>1.9131568994526543E-2</v>
      </c>
      <c r="S108" s="261">
        <f>'BDJ-6 Unitized Lighting Costs'!D$100</f>
        <v>3.6511265600435805</v>
      </c>
      <c r="T108" s="261">
        <f>'BDJ-6 Unitized Lighting Costs'!$D$117</f>
        <v>5.4555747529966878E-2</v>
      </c>
      <c r="U108" s="43">
        <f t="shared" si="222"/>
        <v>0</v>
      </c>
      <c r="V108" s="43">
        <f t="shared" si="223"/>
        <v>4.5059613070795983</v>
      </c>
      <c r="W108" s="43">
        <f t="shared" si="224"/>
        <v>1.0044073722126434</v>
      </c>
      <c r="X108" s="43">
        <f t="shared" si="225"/>
        <v>0.54766898400653719</v>
      </c>
      <c r="Y108" s="43">
        <f t="shared" si="226"/>
        <v>2.8641767453232609</v>
      </c>
      <c r="Z108" s="43">
        <f t="shared" si="227"/>
        <v>8.9222144086220396</v>
      </c>
      <c r="AA108" s="220"/>
      <c r="AB108" s="240">
        <f t="shared" si="228"/>
        <v>0</v>
      </c>
      <c r="AC108" s="240">
        <f t="shared" si="229"/>
        <v>8.5827834420563784E-2</v>
      </c>
      <c r="AD108" s="240">
        <f t="shared" si="230"/>
        <v>1.9131568994526543E-2</v>
      </c>
      <c r="AE108" s="240">
        <f t="shared" si="231"/>
        <v>1.0431790171553089E-2</v>
      </c>
      <c r="AF108" s="240">
        <f t="shared" si="232"/>
        <v>5.4555747529966878E-2</v>
      </c>
      <c r="AG108" s="240">
        <f t="shared" si="233"/>
        <v>0.1699469411166103</v>
      </c>
      <c r="AH108" s="43">
        <f t="shared" si="234"/>
        <v>0</v>
      </c>
      <c r="AI108" s="43">
        <f t="shared" si="234"/>
        <v>0</v>
      </c>
      <c r="AJ108" s="43">
        <f t="shared" si="234"/>
        <v>0</v>
      </c>
      <c r="AK108" s="43">
        <f t="shared" si="234"/>
        <v>0</v>
      </c>
      <c r="AL108" s="43">
        <f t="shared" si="234"/>
        <v>0</v>
      </c>
      <c r="AM108" s="43">
        <f t="shared" si="235"/>
        <v>0</v>
      </c>
      <c r="AN108" s="43">
        <f t="shared" si="236"/>
        <v>0</v>
      </c>
      <c r="AO108" s="43">
        <f t="shared" si="236"/>
        <v>0</v>
      </c>
      <c r="AP108" s="43">
        <f t="shared" si="236"/>
        <v>0</v>
      </c>
      <c r="AQ108" s="43">
        <f t="shared" si="236"/>
        <v>0</v>
      </c>
      <c r="AR108" s="43">
        <f t="shared" si="236"/>
        <v>0</v>
      </c>
      <c r="AS108" s="43">
        <f t="shared" si="236"/>
        <v>0</v>
      </c>
    </row>
    <row r="109" spans="1:45" x14ac:dyDescent="0.2">
      <c r="A109" s="58" t="str">
        <f>+A108</f>
        <v>53E - Customer Owned</v>
      </c>
      <c r="B109" s="22"/>
      <c r="C109" s="21" t="str">
        <f>'WP1 Light Inventory'!D110</f>
        <v>Metal Halide</v>
      </c>
      <c r="D109" s="21" t="str">
        <f>'WP1 Light Inventory'!E110</f>
        <v>MH 175</v>
      </c>
      <c r="E109" s="21">
        <f>'WP1 Light Inventory'!F110</f>
        <v>175</v>
      </c>
      <c r="F109" s="21" t="str">
        <f>'WP1 Light Inventory'!H110</f>
        <v>Customer</v>
      </c>
      <c r="G109" s="397">
        <f>'WP1 Light Inventory'!J110</f>
        <v>4</v>
      </c>
      <c r="H109" s="74" t="s">
        <v>600</v>
      </c>
      <c r="I109" s="14" t="s">
        <v>133</v>
      </c>
      <c r="J109" s="19">
        <f>IF(C109="Light Emitting Diode",'WP10 O&amp;M Weighting Factor'!$B$26,IF('WP12 Condensed Sch. Level Costs'!C109="Sodium Vapor",'WP10 O&amp;M Weighting Factor'!$B$27,IF('WP12 Condensed Sch. Level Costs'!C109="Metal Halide",'WP10 O&amp;M Weighting Factor'!$B$28,IF('WP12 Condensed Sch. Level Costs'!C109="Mercury Vapor",'WP10 O&amp;M Weighting Factor'!$B$30,IF('WP12 Condensed Sch. Level Costs'!C109="Compact Flourescent",'WP10 O&amp;M Weighting Factor'!$B$29, IF(C109="Incandescent", 'WP10 O&amp;M Weighting Factor'!$B$31, 0))))))</f>
        <v>2</v>
      </c>
      <c r="K109" s="282">
        <f t="shared" si="218"/>
        <v>8</v>
      </c>
      <c r="L109" s="74">
        <f t="shared" si="219"/>
        <v>0</v>
      </c>
      <c r="M109" s="283">
        <f t="shared" si="220"/>
        <v>0.7</v>
      </c>
      <c r="N109" s="398">
        <f>'WP1 Light Inventory'!L110</f>
        <v>2940</v>
      </c>
      <c r="O109" s="284">
        <f t="shared" si="221"/>
        <v>61.25</v>
      </c>
      <c r="P109" s="261">
        <f>'BDJ-6 Unitized Lighting Costs'!D$20</f>
        <v>1.0137794003499056E-2</v>
      </c>
      <c r="Q109" s="261">
        <f>'BDJ-6 Unitized Lighting Costs'!$D$43</f>
        <v>2.2529806535397991</v>
      </c>
      <c r="R109" s="261">
        <f>'BDJ-6 Unitized Lighting Costs'!D$69</f>
        <v>1.9131568994526543E-2</v>
      </c>
      <c r="S109" s="261">
        <f>'BDJ-6 Unitized Lighting Costs'!D$100</f>
        <v>3.6511265600435805</v>
      </c>
      <c r="T109" s="261">
        <f>'BDJ-6 Unitized Lighting Costs'!$D$117</f>
        <v>5.4555747529966878E-2</v>
      </c>
      <c r="U109" s="43">
        <f t="shared" si="222"/>
        <v>0</v>
      </c>
      <c r="V109" s="43">
        <f t="shared" si="223"/>
        <v>4.5059613070795983</v>
      </c>
      <c r="W109" s="43">
        <f t="shared" si="224"/>
        <v>1.1718086009147508</v>
      </c>
      <c r="X109" s="43">
        <f t="shared" si="225"/>
        <v>0.63894714800762653</v>
      </c>
      <c r="Y109" s="43">
        <f t="shared" si="226"/>
        <v>3.3415395362104712</v>
      </c>
      <c r="Z109" s="43">
        <f t="shared" si="227"/>
        <v>9.6582565922124477</v>
      </c>
      <c r="AA109" s="220"/>
      <c r="AB109" s="240">
        <f t="shared" si="228"/>
        <v>0</v>
      </c>
      <c r="AC109" s="240">
        <f t="shared" si="229"/>
        <v>7.3566715217626089E-2</v>
      </c>
      <c r="AD109" s="240">
        <f t="shared" si="230"/>
        <v>1.9131568994526543E-2</v>
      </c>
      <c r="AE109" s="240">
        <f t="shared" si="231"/>
        <v>1.0431790171553086E-2</v>
      </c>
      <c r="AF109" s="240">
        <f t="shared" si="232"/>
        <v>5.4555747529966878E-2</v>
      </c>
      <c r="AG109" s="240">
        <f t="shared" si="233"/>
        <v>0.15768582191367259</v>
      </c>
      <c r="AH109" s="43">
        <f t="shared" si="234"/>
        <v>0</v>
      </c>
      <c r="AI109" s="43">
        <f t="shared" si="234"/>
        <v>18.023845228318393</v>
      </c>
      <c r="AJ109" s="43">
        <f t="shared" si="234"/>
        <v>4.6872344036590032</v>
      </c>
      <c r="AK109" s="43">
        <f t="shared" si="234"/>
        <v>2.5557885920305061</v>
      </c>
      <c r="AL109" s="43">
        <f t="shared" si="234"/>
        <v>13.366158144841885</v>
      </c>
      <c r="AM109" s="43">
        <f t="shared" si="235"/>
        <v>38.633026368849791</v>
      </c>
      <c r="AN109" s="43">
        <f t="shared" si="236"/>
        <v>0</v>
      </c>
      <c r="AO109" s="43">
        <f t="shared" si="236"/>
        <v>216.28614273982072</v>
      </c>
      <c r="AP109" s="43">
        <f t="shared" si="236"/>
        <v>56.246812843908039</v>
      </c>
      <c r="AQ109" s="43">
        <f t="shared" si="236"/>
        <v>30.669463104366073</v>
      </c>
      <c r="AR109" s="43">
        <f t="shared" si="236"/>
        <v>160.39389773810262</v>
      </c>
      <c r="AS109" s="43">
        <f t="shared" si="236"/>
        <v>463.59631642619752</v>
      </c>
    </row>
    <row r="110" spans="1:45" x14ac:dyDescent="0.2">
      <c r="A110" s="58" t="str">
        <f>+A109</f>
        <v>53E - Customer Owned</v>
      </c>
      <c r="B110" s="22"/>
      <c r="C110" s="21" t="str">
        <f>'WP1 Light Inventory'!D111</f>
        <v>Metal Halide</v>
      </c>
      <c r="D110" s="21" t="str">
        <f>'WP1 Light Inventory'!E111</f>
        <v>MH 250</v>
      </c>
      <c r="E110" s="21">
        <f>'WP1 Light Inventory'!F111</f>
        <v>250</v>
      </c>
      <c r="F110" s="21" t="str">
        <f>'WP1 Light Inventory'!H111</f>
        <v>Customer</v>
      </c>
      <c r="G110" s="397">
        <f>'WP1 Light Inventory'!J111</f>
        <v>0</v>
      </c>
      <c r="H110" s="74" t="s">
        <v>600</v>
      </c>
      <c r="I110" s="14" t="s">
        <v>133</v>
      </c>
      <c r="J110" s="19">
        <f>IF(C110="Light Emitting Diode",'WP10 O&amp;M Weighting Factor'!$B$26,IF('WP12 Condensed Sch. Level Costs'!C110="Sodium Vapor",'WP10 O&amp;M Weighting Factor'!$B$27,IF('WP12 Condensed Sch. Level Costs'!C110="Metal Halide",'WP10 O&amp;M Weighting Factor'!$B$28,IF('WP12 Condensed Sch. Level Costs'!C110="Mercury Vapor",'WP10 O&amp;M Weighting Factor'!$B$30,IF('WP12 Condensed Sch. Level Costs'!C110="Compact Flourescent",'WP10 O&amp;M Weighting Factor'!$B$29, IF(C110="Incandescent", 'WP10 O&amp;M Weighting Factor'!$B$31, 0))))))</f>
        <v>2</v>
      </c>
      <c r="K110" s="282">
        <f t="shared" si="218"/>
        <v>0</v>
      </c>
      <c r="L110" s="74">
        <f t="shared" si="219"/>
        <v>0</v>
      </c>
      <c r="M110" s="283">
        <f t="shared" si="220"/>
        <v>0</v>
      </c>
      <c r="N110" s="398">
        <f>'WP1 Light Inventory'!L111</f>
        <v>0</v>
      </c>
      <c r="O110" s="284">
        <f t="shared" si="221"/>
        <v>87.5</v>
      </c>
      <c r="P110" s="261">
        <f>'BDJ-6 Unitized Lighting Costs'!D$20</f>
        <v>1.0137794003499056E-2</v>
      </c>
      <c r="Q110" s="261">
        <f>'BDJ-6 Unitized Lighting Costs'!$D$43</f>
        <v>2.2529806535397991</v>
      </c>
      <c r="R110" s="261">
        <f>'BDJ-6 Unitized Lighting Costs'!D$69</f>
        <v>1.9131568994526543E-2</v>
      </c>
      <c r="S110" s="261">
        <f>'BDJ-6 Unitized Lighting Costs'!D$100</f>
        <v>3.6511265600435805</v>
      </c>
      <c r="T110" s="261">
        <f>'BDJ-6 Unitized Lighting Costs'!$D$117</f>
        <v>5.4555747529966878E-2</v>
      </c>
      <c r="U110" s="43">
        <f t="shared" si="222"/>
        <v>0</v>
      </c>
      <c r="V110" s="43">
        <f t="shared" si="223"/>
        <v>4.5059613070795983</v>
      </c>
      <c r="W110" s="43">
        <f t="shared" si="224"/>
        <v>1.6740122870210725</v>
      </c>
      <c r="X110" s="43">
        <f t="shared" si="225"/>
        <v>0.91278164001089512</v>
      </c>
      <c r="Y110" s="43">
        <f t="shared" si="226"/>
        <v>4.7736279088721014</v>
      </c>
      <c r="Z110" s="43">
        <f t="shared" si="227"/>
        <v>11.866383142983668</v>
      </c>
      <c r="AA110" s="220"/>
      <c r="AB110" s="240">
        <f t="shared" si="228"/>
        <v>0</v>
      </c>
      <c r="AC110" s="240">
        <f t="shared" si="229"/>
        <v>5.1496700652338266E-2</v>
      </c>
      <c r="AD110" s="240">
        <f t="shared" si="230"/>
        <v>1.9131568994526543E-2</v>
      </c>
      <c r="AE110" s="240">
        <f t="shared" si="231"/>
        <v>1.0431790171553088E-2</v>
      </c>
      <c r="AF110" s="240">
        <f t="shared" si="232"/>
        <v>5.4555747529966871E-2</v>
      </c>
      <c r="AG110" s="240">
        <f t="shared" si="233"/>
        <v>0.13561580734838477</v>
      </c>
      <c r="AH110" s="43">
        <f t="shared" si="234"/>
        <v>0</v>
      </c>
      <c r="AI110" s="43">
        <f t="shared" si="234"/>
        <v>0</v>
      </c>
      <c r="AJ110" s="43">
        <f t="shared" si="234"/>
        <v>0</v>
      </c>
      <c r="AK110" s="43">
        <f t="shared" si="234"/>
        <v>0</v>
      </c>
      <c r="AL110" s="43">
        <f t="shared" si="234"/>
        <v>0</v>
      </c>
      <c r="AM110" s="43">
        <f t="shared" si="235"/>
        <v>0</v>
      </c>
      <c r="AN110" s="43">
        <f t="shared" si="236"/>
        <v>0</v>
      </c>
      <c r="AO110" s="43">
        <f t="shared" si="236"/>
        <v>0</v>
      </c>
      <c r="AP110" s="43">
        <f t="shared" si="236"/>
        <v>0</v>
      </c>
      <c r="AQ110" s="43">
        <f t="shared" si="236"/>
        <v>0</v>
      </c>
      <c r="AR110" s="43">
        <f t="shared" si="236"/>
        <v>0</v>
      </c>
      <c r="AS110" s="43">
        <f t="shared" si="236"/>
        <v>0</v>
      </c>
    </row>
    <row r="111" spans="1:45" x14ac:dyDescent="0.2">
      <c r="A111" s="58" t="str">
        <f>+A110</f>
        <v>53E - Customer Owned</v>
      </c>
      <c r="B111" s="22"/>
      <c r="C111" s="21" t="str">
        <f>'WP1 Light Inventory'!D112</f>
        <v>Metal Halide</v>
      </c>
      <c r="D111" s="21" t="str">
        <f>'WP1 Light Inventory'!E112</f>
        <v>MH 400</v>
      </c>
      <c r="E111" s="21">
        <f>'WP1 Light Inventory'!F112</f>
        <v>400</v>
      </c>
      <c r="F111" s="21" t="str">
        <f>'WP1 Light Inventory'!H112</f>
        <v>Customer</v>
      </c>
      <c r="G111" s="397">
        <f>'WP1 Light Inventory'!J112</f>
        <v>0</v>
      </c>
      <c r="H111" s="74" t="s">
        <v>600</v>
      </c>
      <c r="I111" s="14" t="s">
        <v>133</v>
      </c>
      <c r="J111" s="19">
        <f>IF(C111="Light Emitting Diode",'WP10 O&amp;M Weighting Factor'!$B$26,IF('WP12 Condensed Sch. Level Costs'!C111="Sodium Vapor",'WP10 O&amp;M Weighting Factor'!$B$27,IF('WP12 Condensed Sch. Level Costs'!C111="Metal Halide",'WP10 O&amp;M Weighting Factor'!$B$28,IF('WP12 Condensed Sch. Level Costs'!C111="Mercury Vapor",'WP10 O&amp;M Weighting Factor'!$B$30,IF('WP12 Condensed Sch. Level Costs'!C111="Compact Flourescent",'WP10 O&amp;M Weighting Factor'!$B$29, IF(C111="Incandescent", 'WP10 O&amp;M Weighting Factor'!$B$31, 0))))))</f>
        <v>2</v>
      </c>
      <c r="K111" s="282">
        <f t="shared" si="218"/>
        <v>0</v>
      </c>
      <c r="L111" s="74">
        <f t="shared" si="219"/>
        <v>0</v>
      </c>
      <c r="M111" s="283">
        <f t="shared" si="220"/>
        <v>0</v>
      </c>
      <c r="N111" s="398">
        <f>'WP1 Light Inventory'!L112</f>
        <v>0</v>
      </c>
      <c r="O111" s="284">
        <f t="shared" si="221"/>
        <v>140</v>
      </c>
      <c r="P111" s="261">
        <f>'BDJ-6 Unitized Lighting Costs'!D$20</f>
        <v>1.0137794003499056E-2</v>
      </c>
      <c r="Q111" s="261">
        <f>'BDJ-6 Unitized Lighting Costs'!$D$43</f>
        <v>2.2529806535397991</v>
      </c>
      <c r="R111" s="261">
        <f>'BDJ-6 Unitized Lighting Costs'!D$69</f>
        <v>1.9131568994526543E-2</v>
      </c>
      <c r="S111" s="261">
        <f>'BDJ-6 Unitized Lighting Costs'!D$100</f>
        <v>3.6511265600435805</v>
      </c>
      <c r="T111" s="261">
        <f>'BDJ-6 Unitized Lighting Costs'!$D$117</f>
        <v>5.4555747529966878E-2</v>
      </c>
      <c r="U111" s="43">
        <f t="shared" si="222"/>
        <v>0</v>
      </c>
      <c r="V111" s="43">
        <f t="shared" si="223"/>
        <v>4.5059613070795983</v>
      </c>
      <c r="W111" s="43">
        <f t="shared" si="224"/>
        <v>2.6784196592337159</v>
      </c>
      <c r="X111" s="43">
        <f t="shared" si="225"/>
        <v>1.4604506240174322</v>
      </c>
      <c r="Y111" s="43">
        <f t="shared" si="226"/>
        <v>7.6378046541953628</v>
      </c>
      <c r="Z111" s="43">
        <f t="shared" si="227"/>
        <v>16.28263624452611</v>
      </c>
      <c r="AA111" s="220"/>
      <c r="AB111" s="240">
        <f t="shared" si="228"/>
        <v>0</v>
      </c>
      <c r="AC111" s="240">
        <f t="shared" si="229"/>
        <v>3.2185437907711417E-2</v>
      </c>
      <c r="AD111" s="240">
        <f t="shared" si="230"/>
        <v>1.9131568994526543E-2</v>
      </c>
      <c r="AE111" s="240">
        <f t="shared" si="231"/>
        <v>1.0431790171553088E-2</v>
      </c>
      <c r="AF111" s="240">
        <f t="shared" si="232"/>
        <v>5.4555747529966878E-2</v>
      </c>
      <c r="AG111" s="240">
        <f t="shared" si="233"/>
        <v>0.11630454460375793</v>
      </c>
      <c r="AH111" s="43">
        <f t="shared" si="234"/>
        <v>0</v>
      </c>
      <c r="AI111" s="43">
        <f t="shared" si="234"/>
        <v>0</v>
      </c>
      <c r="AJ111" s="43">
        <f t="shared" si="234"/>
        <v>0</v>
      </c>
      <c r="AK111" s="43">
        <f t="shared" si="234"/>
        <v>0</v>
      </c>
      <c r="AL111" s="43">
        <f t="shared" si="234"/>
        <v>0</v>
      </c>
      <c r="AM111" s="43">
        <f t="shared" si="235"/>
        <v>0</v>
      </c>
      <c r="AN111" s="43">
        <f t="shared" si="236"/>
        <v>0</v>
      </c>
      <c r="AO111" s="43">
        <f t="shared" si="236"/>
        <v>0</v>
      </c>
      <c r="AP111" s="43">
        <f t="shared" si="236"/>
        <v>0</v>
      </c>
      <c r="AQ111" s="43">
        <f t="shared" si="236"/>
        <v>0</v>
      </c>
      <c r="AR111" s="43">
        <f t="shared" si="236"/>
        <v>0</v>
      </c>
      <c r="AS111" s="43">
        <f t="shared" si="236"/>
        <v>0</v>
      </c>
    </row>
    <row r="112" spans="1:45" x14ac:dyDescent="0.2">
      <c r="A112" s="58"/>
      <c r="B112" s="18"/>
      <c r="C112" s="47"/>
      <c r="D112" s="18"/>
      <c r="E112" s="401"/>
      <c r="G112" s="399"/>
      <c r="K112" s="282"/>
      <c r="L112" s="74"/>
      <c r="AA112" s="220"/>
      <c r="AB112" s="240"/>
      <c r="AC112" s="240"/>
      <c r="AD112" s="240"/>
      <c r="AE112" s="240"/>
      <c r="AF112" s="240"/>
      <c r="AG112" s="240"/>
    </row>
    <row r="113" spans="1:45" x14ac:dyDescent="0.2">
      <c r="A113" s="58" t="s">
        <v>70</v>
      </c>
      <c r="B113" s="22" t="s">
        <v>925</v>
      </c>
      <c r="C113" s="21" t="str">
        <f>'WP1 Light Inventory'!D114</f>
        <v>Light Emitting Diode</v>
      </c>
      <c r="D113" s="21" t="str">
        <f>'WP1 Light Inventory'!E114</f>
        <v>LED 0-030</v>
      </c>
      <c r="E113" s="21">
        <f>'WP1 Light Inventory'!F114</f>
        <v>15</v>
      </c>
      <c r="F113" s="21" t="str">
        <f>'WP1 Light Inventory'!H114</f>
        <v>Customer</v>
      </c>
      <c r="G113" s="397">
        <f>'WP1 Light Inventory'!J114</f>
        <v>0</v>
      </c>
      <c r="H113" s="74" t="s">
        <v>600</v>
      </c>
      <c r="I113" s="14" t="s">
        <v>133</v>
      </c>
      <c r="J113" s="19">
        <f>IF(C113="Light Emitting Diode",'WP10 O&amp;M Weighting Factor'!$B$26,IF('WP12 Condensed Sch. Level Costs'!C113="Sodium Vapor",'WP10 O&amp;M Weighting Factor'!$B$27,IF('WP12 Condensed Sch. Level Costs'!C113="Metal Halide",'WP10 O&amp;M Weighting Factor'!$B$28,IF('WP12 Condensed Sch. Level Costs'!C113="Mercury Vapor",'WP10 O&amp;M Weighting Factor'!$B$30,IF('WP12 Condensed Sch. Level Costs'!C113="Compact Flourescent",'WP10 O&amp;M Weighting Factor'!$B$29, IF(C113="Incandescent", 'WP10 O&amp;M Weighting Factor'!$B$31, 0))))))</f>
        <v>0.2</v>
      </c>
      <c r="K113" s="282">
        <f t="shared" ref="K113:K122" si="237">IF(I113="Yes",G113*J113,0)</f>
        <v>0</v>
      </c>
      <c r="L113" s="74">
        <f t="shared" ref="L113:L122" si="238">IF(F113="Company", G113*H113,0)</f>
        <v>0</v>
      </c>
      <c r="M113" s="283">
        <f t="shared" ref="M113:M122" si="239">E113*G113/1000</f>
        <v>0</v>
      </c>
      <c r="N113" s="398">
        <f>'WP1 Light Inventory'!L114</f>
        <v>0</v>
      </c>
      <c r="O113" s="284">
        <f t="shared" ref="O113:O122" si="240">E113*4200/1000/12</f>
        <v>5.25</v>
      </c>
      <c r="P113" s="261">
        <f>'BDJ-6 Unitized Lighting Costs'!D$20</f>
        <v>1.0137794003499056E-2</v>
      </c>
      <c r="Q113" s="261">
        <f>'BDJ-6 Unitized Lighting Costs'!$D$43</f>
        <v>2.2529806535397991</v>
      </c>
      <c r="R113" s="261">
        <f>'BDJ-6 Unitized Lighting Costs'!D$69</f>
        <v>1.9131568994526543E-2</v>
      </c>
      <c r="S113" s="261">
        <f>'BDJ-6 Unitized Lighting Costs'!D$100</f>
        <v>3.6511265600435805</v>
      </c>
      <c r="T113" s="261">
        <f>'BDJ-6 Unitized Lighting Costs'!$D$117</f>
        <v>5.4555747529966878E-2</v>
      </c>
      <c r="U113" s="43">
        <f t="shared" ref="U113:U122" si="241">IF(F113="Company", H113*P113, 0)</f>
        <v>0</v>
      </c>
      <c r="V113" s="43">
        <f t="shared" ref="V113:V122" si="242">IF(I113="yes", J113*Q113, 0)</f>
        <v>0.45059613070795984</v>
      </c>
      <c r="W113" s="43">
        <f t="shared" ref="W113:W122" si="243">R113*O113</f>
        <v>0.10044073722126434</v>
      </c>
      <c r="X113" s="43">
        <f t="shared" ref="X113:X122" si="244">E113*S113/1000</f>
        <v>5.4766898400653706E-2</v>
      </c>
      <c r="Y113" s="43">
        <f t="shared" ref="Y113:Y122" si="245">O113*T113</f>
        <v>0.28641767453232608</v>
      </c>
      <c r="Z113" s="43">
        <f t="shared" ref="Z113:Z122" si="246">SUM(U113:Y113)</f>
        <v>0.89222144086220401</v>
      </c>
      <c r="AA113" s="220"/>
      <c r="AB113" s="240">
        <f t="shared" ref="AB113:AB122" si="247">IFERROR(U113/O113,0)</f>
        <v>0</v>
      </c>
      <c r="AC113" s="240">
        <f t="shared" ref="AC113:AC122" si="248">IFERROR(V113/O113,0)</f>
        <v>8.5827834420563784E-2</v>
      </c>
      <c r="AD113" s="240">
        <f t="shared" ref="AD113:AD122" si="249">IFERROR(W113/O113,0)</f>
        <v>1.9131568994526543E-2</v>
      </c>
      <c r="AE113" s="240">
        <f t="shared" ref="AE113:AE122" si="250">IFERROR(X113/O113,0)</f>
        <v>1.0431790171553088E-2</v>
      </c>
      <c r="AF113" s="240">
        <f t="shared" ref="AF113:AF122" si="251">IFERROR(Y113/O113,0)</f>
        <v>5.4555747529966871E-2</v>
      </c>
      <c r="AG113" s="240">
        <f t="shared" ref="AG113:AG122" si="252">SUM(AB113:AF113)</f>
        <v>0.1699469411166103</v>
      </c>
      <c r="AH113" s="43">
        <f t="shared" ref="AH113:AH122" si="253">(U113*$G113)</f>
        <v>0</v>
      </c>
      <c r="AI113" s="43">
        <f t="shared" ref="AI113:AI122" si="254">(V113*$G113)</f>
        <v>0</v>
      </c>
      <c r="AJ113" s="43">
        <f t="shared" ref="AJ113:AJ122" si="255">(W113*$G113)</f>
        <v>0</v>
      </c>
      <c r="AK113" s="43">
        <f t="shared" ref="AK113:AK122" si="256">(X113*$G113)</f>
        <v>0</v>
      </c>
      <c r="AL113" s="43">
        <f t="shared" ref="AL113:AL122" si="257">(Y113*$G113)</f>
        <v>0</v>
      </c>
      <c r="AM113" s="43">
        <f t="shared" ref="AM113:AM122" si="258">SUM(AH113:AL113)</f>
        <v>0</v>
      </c>
      <c r="AN113" s="43">
        <f t="shared" ref="AN113:AN122" si="259">AH113*12</f>
        <v>0</v>
      </c>
      <c r="AO113" s="43">
        <f t="shared" ref="AO113:AO122" si="260">AI113*12</f>
        <v>0</v>
      </c>
      <c r="AP113" s="43">
        <f t="shared" ref="AP113:AP122" si="261">AJ113*12</f>
        <v>0</v>
      </c>
      <c r="AQ113" s="43">
        <f t="shared" ref="AQ113:AQ122" si="262">AK113*12</f>
        <v>0</v>
      </c>
      <c r="AR113" s="43">
        <f t="shared" ref="AR113:AR122" si="263">AL113*12</f>
        <v>0</v>
      </c>
      <c r="AS113" s="43">
        <f t="shared" ref="AS113:AS122" si="264">AM113*12</f>
        <v>0</v>
      </c>
    </row>
    <row r="114" spans="1:45" x14ac:dyDescent="0.2">
      <c r="A114" s="58" t="str">
        <f>+A111</f>
        <v>53E - Customer Owned</v>
      </c>
      <c r="B114" s="22"/>
      <c r="C114" s="21" t="str">
        <f>'WP1 Light Inventory'!D115</f>
        <v>Light Emitting Diode</v>
      </c>
      <c r="D114" s="21" t="str">
        <f>'WP1 Light Inventory'!E115</f>
        <v>LED 030.01-060</v>
      </c>
      <c r="E114" s="21">
        <f>'WP1 Light Inventory'!F115</f>
        <v>45</v>
      </c>
      <c r="F114" s="21" t="str">
        <f>'WP1 Light Inventory'!H115</f>
        <v>Customer</v>
      </c>
      <c r="G114" s="397">
        <f>'WP1 Light Inventory'!J115</f>
        <v>656</v>
      </c>
      <c r="H114" s="74" t="s">
        <v>600</v>
      </c>
      <c r="I114" s="14" t="s">
        <v>133</v>
      </c>
      <c r="J114" s="19">
        <f>IF(C114="Light Emitting Diode",'WP10 O&amp;M Weighting Factor'!$B$26,IF('WP12 Condensed Sch. Level Costs'!C114="Sodium Vapor",'WP10 O&amp;M Weighting Factor'!$B$27,IF('WP12 Condensed Sch. Level Costs'!C114="Metal Halide",'WP10 O&amp;M Weighting Factor'!$B$28,IF('WP12 Condensed Sch. Level Costs'!C114="Mercury Vapor",'WP10 O&amp;M Weighting Factor'!$B$30,IF('WP12 Condensed Sch. Level Costs'!C114="Compact Flourescent",'WP10 O&amp;M Weighting Factor'!$B$29, IF(C114="Incandescent", 'WP10 O&amp;M Weighting Factor'!$B$31, 0))))))</f>
        <v>0.2</v>
      </c>
      <c r="K114" s="282">
        <f t="shared" si="237"/>
        <v>131.20000000000002</v>
      </c>
      <c r="L114" s="74">
        <f t="shared" si="238"/>
        <v>0</v>
      </c>
      <c r="M114" s="283">
        <f t="shared" si="239"/>
        <v>29.52</v>
      </c>
      <c r="N114" s="398">
        <f>'WP1 Light Inventory'!L115</f>
        <v>123984</v>
      </c>
      <c r="O114" s="284">
        <f t="shared" si="240"/>
        <v>15.75</v>
      </c>
      <c r="P114" s="261">
        <f>'BDJ-6 Unitized Lighting Costs'!D$20</f>
        <v>1.0137794003499056E-2</v>
      </c>
      <c r="Q114" s="261">
        <f>'BDJ-6 Unitized Lighting Costs'!$D$43</f>
        <v>2.2529806535397991</v>
      </c>
      <c r="R114" s="261">
        <f>'BDJ-6 Unitized Lighting Costs'!D$69</f>
        <v>1.9131568994526543E-2</v>
      </c>
      <c r="S114" s="261">
        <f>'BDJ-6 Unitized Lighting Costs'!D$100</f>
        <v>3.6511265600435805</v>
      </c>
      <c r="T114" s="261">
        <f>'BDJ-6 Unitized Lighting Costs'!$D$117</f>
        <v>5.4555747529966878E-2</v>
      </c>
      <c r="U114" s="43">
        <f t="shared" si="241"/>
        <v>0</v>
      </c>
      <c r="V114" s="43">
        <f t="shared" si="242"/>
        <v>0.45059613070795984</v>
      </c>
      <c r="W114" s="43">
        <f t="shared" si="243"/>
        <v>0.30132221166379303</v>
      </c>
      <c r="X114" s="43">
        <f t="shared" si="244"/>
        <v>0.16430069520196114</v>
      </c>
      <c r="Y114" s="43">
        <f t="shared" si="245"/>
        <v>0.8592530235969783</v>
      </c>
      <c r="Z114" s="43">
        <f t="shared" si="246"/>
        <v>1.7754720611706922</v>
      </c>
      <c r="AA114" s="220"/>
      <c r="AB114" s="240">
        <f t="shared" si="247"/>
        <v>0</v>
      </c>
      <c r="AC114" s="240">
        <f t="shared" si="248"/>
        <v>2.8609278140187926E-2</v>
      </c>
      <c r="AD114" s="240">
        <f t="shared" si="249"/>
        <v>1.9131568994526543E-2</v>
      </c>
      <c r="AE114" s="240">
        <f t="shared" si="250"/>
        <v>1.0431790171553088E-2</v>
      </c>
      <c r="AF114" s="240">
        <f t="shared" si="251"/>
        <v>5.4555747529966878E-2</v>
      </c>
      <c r="AG114" s="240">
        <f t="shared" si="252"/>
        <v>0.11272838483623443</v>
      </c>
      <c r="AH114" s="43">
        <f t="shared" si="253"/>
        <v>0</v>
      </c>
      <c r="AI114" s="43">
        <f t="shared" si="254"/>
        <v>295.59106174442167</v>
      </c>
      <c r="AJ114" s="43">
        <f t="shared" si="255"/>
        <v>197.66737085144823</v>
      </c>
      <c r="AK114" s="43">
        <f t="shared" si="256"/>
        <v>107.78125605248651</v>
      </c>
      <c r="AL114" s="43">
        <f t="shared" si="257"/>
        <v>563.66998347961771</v>
      </c>
      <c r="AM114" s="43">
        <f t="shared" si="258"/>
        <v>1164.709672127974</v>
      </c>
      <c r="AN114" s="43">
        <f t="shared" si="259"/>
        <v>0</v>
      </c>
      <c r="AO114" s="43">
        <f t="shared" si="260"/>
        <v>3547.0927409330598</v>
      </c>
      <c r="AP114" s="43">
        <f t="shared" si="261"/>
        <v>2372.0084502173786</v>
      </c>
      <c r="AQ114" s="43">
        <f t="shared" si="262"/>
        <v>1293.3750726298381</v>
      </c>
      <c r="AR114" s="43">
        <f t="shared" si="263"/>
        <v>6764.0398017554126</v>
      </c>
      <c r="AS114" s="43">
        <f t="shared" si="264"/>
        <v>13976.516065535689</v>
      </c>
    </row>
    <row r="115" spans="1:45" x14ac:dyDescent="0.2">
      <c r="A115" s="58" t="str">
        <f t="shared" ref="A115:A122" si="265">A114</f>
        <v>53E - Customer Owned</v>
      </c>
      <c r="B115" s="22"/>
      <c r="C115" s="21" t="str">
        <f>'WP1 Light Inventory'!D116</f>
        <v>Light Emitting Diode</v>
      </c>
      <c r="D115" s="21" t="str">
        <f>'WP1 Light Inventory'!E116</f>
        <v>LED 060.01-090</v>
      </c>
      <c r="E115" s="21">
        <f>'WP1 Light Inventory'!F116</f>
        <v>75</v>
      </c>
      <c r="F115" s="21" t="str">
        <f>'WP1 Light Inventory'!H116</f>
        <v>Customer</v>
      </c>
      <c r="G115" s="397">
        <f>'WP1 Light Inventory'!J116</f>
        <v>634</v>
      </c>
      <c r="H115" s="74" t="s">
        <v>600</v>
      </c>
      <c r="I115" s="14" t="s">
        <v>133</v>
      </c>
      <c r="J115" s="19">
        <f>IF(C115="Light Emitting Diode",'WP10 O&amp;M Weighting Factor'!$B$26,IF('WP12 Condensed Sch. Level Costs'!C115="Sodium Vapor",'WP10 O&amp;M Weighting Factor'!$B$27,IF('WP12 Condensed Sch. Level Costs'!C115="Metal Halide",'WP10 O&amp;M Weighting Factor'!$B$28,IF('WP12 Condensed Sch. Level Costs'!C115="Mercury Vapor",'WP10 O&amp;M Weighting Factor'!$B$30,IF('WP12 Condensed Sch. Level Costs'!C115="Compact Flourescent",'WP10 O&amp;M Weighting Factor'!$B$29, IF(C115="Incandescent", 'WP10 O&amp;M Weighting Factor'!$B$31, 0))))))</f>
        <v>0.2</v>
      </c>
      <c r="K115" s="282">
        <f t="shared" si="237"/>
        <v>126.80000000000001</v>
      </c>
      <c r="L115" s="74">
        <f t="shared" si="238"/>
        <v>0</v>
      </c>
      <c r="M115" s="283">
        <f t="shared" si="239"/>
        <v>47.55</v>
      </c>
      <c r="N115" s="398">
        <f>'WP1 Light Inventory'!L116</f>
        <v>199710</v>
      </c>
      <c r="O115" s="284">
        <f t="shared" si="240"/>
        <v>26.25</v>
      </c>
      <c r="P115" s="261">
        <f>'BDJ-6 Unitized Lighting Costs'!D$20</f>
        <v>1.0137794003499056E-2</v>
      </c>
      <c r="Q115" s="261">
        <f>'BDJ-6 Unitized Lighting Costs'!$D$43</f>
        <v>2.2529806535397991</v>
      </c>
      <c r="R115" s="261">
        <f>'BDJ-6 Unitized Lighting Costs'!D$69</f>
        <v>1.9131568994526543E-2</v>
      </c>
      <c r="S115" s="261">
        <f>'BDJ-6 Unitized Lighting Costs'!D$100</f>
        <v>3.6511265600435805</v>
      </c>
      <c r="T115" s="261">
        <f>'BDJ-6 Unitized Lighting Costs'!$D$117</f>
        <v>5.4555747529966878E-2</v>
      </c>
      <c r="U115" s="43">
        <f t="shared" si="241"/>
        <v>0</v>
      </c>
      <c r="V115" s="43">
        <f t="shared" si="242"/>
        <v>0.45059613070795984</v>
      </c>
      <c r="W115" s="43">
        <f t="shared" si="243"/>
        <v>0.50220368610632171</v>
      </c>
      <c r="X115" s="43">
        <f t="shared" si="244"/>
        <v>0.27383449200326859</v>
      </c>
      <c r="Y115" s="43">
        <f t="shared" si="245"/>
        <v>1.4320883726616305</v>
      </c>
      <c r="Z115" s="43">
        <f t="shared" si="246"/>
        <v>2.6587226814791807</v>
      </c>
      <c r="AA115" s="220"/>
      <c r="AB115" s="240">
        <f t="shared" si="247"/>
        <v>0</v>
      </c>
      <c r="AC115" s="240">
        <f t="shared" si="248"/>
        <v>1.7165566884112755E-2</v>
      </c>
      <c r="AD115" s="240">
        <f t="shared" si="249"/>
        <v>1.9131568994526543E-2</v>
      </c>
      <c r="AE115" s="240">
        <f t="shared" si="250"/>
        <v>1.0431790171553089E-2</v>
      </c>
      <c r="AF115" s="240">
        <f t="shared" si="251"/>
        <v>5.4555747529966878E-2</v>
      </c>
      <c r="AG115" s="240">
        <f t="shared" si="252"/>
        <v>0.10128467358015926</v>
      </c>
      <c r="AH115" s="43">
        <f t="shared" si="253"/>
        <v>0</v>
      </c>
      <c r="AI115" s="43">
        <f t="shared" si="254"/>
        <v>285.67794686884656</v>
      </c>
      <c r="AJ115" s="43">
        <f t="shared" si="255"/>
        <v>318.39713699140799</v>
      </c>
      <c r="AK115" s="43">
        <f t="shared" si="256"/>
        <v>173.61106793007229</v>
      </c>
      <c r="AL115" s="43">
        <f t="shared" si="257"/>
        <v>907.94402826747375</v>
      </c>
      <c r="AM115" s="43">
        <f t="shared" si="258"/>
        <v>1685.6301800578008</v>
      </c>
      <c r="AN115" s="43">
        <f t="shared" si="259"/>
        <v>0</v>
      </c>
      <c r="AO115" s="43">
        <f t="shared" si="260"/>
        <v>3428.1353624261587</v>
      </c>
      <c r="AP115" s="43">
        <f t="shared" si="261"/>
        <v>3820.7656438968961</v>
      </c>
      <c r="AQ115" s="43">
        <f t="shared" si="262"/>
        <v>2083.3328151608675</v>
      </c>
      <c r="AR115" s="43">
        <f t="shared" si="263"/>
        <v>10895.328339209686</v>
      </c>
      <c r="AS115" s="43">
        <f t="shared" si="264"/>
        <v>20227.562160693611</v>
      </c>
    </row>
    <row r="116" spans="1:45" x14ac:dyDescent="0.2">
      <c r="A116" s="58" t="str">
        <f t="shared" si="265"/>
        <v>53E - Customer Owned</v>
      </c>
      <c r="B116" s="22"/>
      <c r="C116" s="21" t="str">
        <f>'WP1 Light Inventory'!D117</f>
        <v>Light Emitting Diode</v>
      </c>
      <c r="D116" s="21" t="str">
        <f>'WP1 Light Inventory'!E117</f>
        <v>LED 090.01-120</v>
      </c>
      <c r="E116" s="21">
        <f>'WP1 Light Inventory'!F117</f>
        <v>105</v>
      </c>
      <c r="F116" s="21" t="str">
        <f>'WP1 Light Inventory'!H117</f>
        <v>Customer</v>
      </c>
      <c r="G116" s="397">
        <f>'WP1 Light Inventory'!J117</f>
        <v>869</v>
      </c>
      <c r="H116" s="74" t="s">
        <v>600</v>
      </c>
      <c r="I116" s="14" t="s">
        <v>133</v>
      </c>
      <c r="J116" s="19">
        <f>IF(C116="Light Emitting Diode",'WP10 O&amp;M Weighting Factor'!$B$26,IF('WP12 Condensed Sch. Level Costs'!C116="Sodium Vapor",'WP10 O&amp;M Weighting Factor'!$B$27,IF('WP12 Condensed Sch. Level Costs'!C116="Metal Halide",'WP10 O&amp;M Weighting Factor'!$B$28,IF('WP12 Condensed Sch. Level Costs'!C116="Mercury Vapor",'WP10 O&amp;M Weighting Factor'!$B$30,IF('WP12 Condensed Sch. Level Costs'!C116="Compact Flourescent",'WP10 O&amp;M Weighting Factor'!$B$29, IF(C116="Incandescent", 'WP10 O&amp;M Weighting Factor'!$B$31, 0))))))</f>
        <v>0.2</v>
      </c>
      <c r="K116" s="282">
        <f t="shared" si="237"/>
        <v>173.8</v>
      </c>
      <c r="L116" s="74">
        <f t="shared" si="238"/>
        <v>0</v>
      </c>
      <c r="M116" s="283">
        <f t="shared" si="239"/>
        <v>91.245000000000005</v>
      </c>
      <c r="N116" s="398">
        <f>'WP1 Light Inventory'!L117</f>
        <v>383229</v>
      </c>
      <c r="O116" s="284">
        <f t="shared" si="240"/>
        <v>36.75</v>
      </c>
      <c r="P116" s="261">
        <f>'BDJ-6 Unitized Lighting Costs'!D$20</f>
        <v>1.0137794003499056E-2</v>
      </c>
      <c r="Q116" s="261">
        <f>'BDJ-6 Unitized Lighting Costs'!$D$43</f>
        <v>2.2529806535397991</v>
      </c>
      <c r="R116" s="261">
        <f>'BDJ-6 Unitized Lighting Costs'!D$69</f>
        <v>1.9131568994526543E-2</v>
      </c>
      <c r="S116" s="261">
        <f>'BDJ-6 Unitized Lighting Costs'!D$100</f>
        <v>3.6511265600435805</v>
      </c>
      <c r="T116" s="261">
        <f>'BDJ-6 Unitized Lighting Costs'!$D$117</f>
        <v>5.4555747529966878E-2</v>
      </c>
      <c r="U116" s="43">
        <f t="shared" si="241"/>
        <v>0</v>
      </c>
      <c r="V116" s="43">
        <f t="shared" si="242"/>
        <v>0.45059613070795984</v>
      </c>
      <c r="W116" s="43">
        <f t="shared" si="243"/>
        <v>0.7030851605488504</v>
      </c>
      <c r="X116" s="43">
        <f t="shared" si="244"/>
        <v>0.38336828880457596</v>
      </c>
      <c r="Y116" s="43">
        <f t="shared" si="245"/>
        <v>2.004923721726283</v>
      </c>
      <c r="Z116" s="43">
        <f t="shared" si="246"/>
        <v>3.5419733017876691</v>
      </c>
      <c r="AA116" s="220"/>
      <c r="AB116" s="240">
        <f t="shared" si="247"/>
        <v>0</v>
      </c>
      <c r="AC116" s="240">
        <f t="shared" si="248"/>
        <v>1.2261119202937683E-2</v>
      </c>
      <c r="AD116" s="240">
        <f t="shared" si="249"/>
        <v>1.9131568994526543E-2</v>
      </c>
      <c r="AE116" s="240">
        <f t="shared" si="250"/>
        <v>1.0431790171553088E-2</v>
      </c>
      <c r="AF116" s="240">
        <f t="shared" si="251"/>
        <v>5.4555747529966885E-2</v>
      </c>
      <c r="AG116" s="240">
        <f t="shared" si="252"/>
        <v>9.6380225898984206E-2</v>
      </c>
      <c r="AH116" s="43">
        <f t="shared" si="253"/>
        <v>0</v>
      </c>
      <c r="AI116" s="43">
        <f t="shared" si="254"/>
        <v>391.5680375852171</v>
      </c>
      <c r="AJ116" s="43">
        <f t="shared" si="255"/>
        <v>610.98100451695097</v>
      </c>
      <c r="AK116" s="43">
        <f t="shared" si="256"/>
        <v>333.14704297117652</v>
      </c>
      <c r="AL116" s="43">
        <f t="shared" si="257"/>
        <v>1742.27871418014</v>
      </c>
      <c r="AM116" s="43">
        <f t="shared" si="258"/>
        <v>3077.9747992534849</v>
      </c>
      <c r="AN116" s="43">
        <f t="shared" si="259"/>
        <v>0</v>
      </c>
      <c r="AO116" s="43">
        <f t="shared" si="260"/>
        <v>4698.8164510226052</v>
      </c>
      <c r="AP116" s="43">
        <f t="shared" si="261"/>
        <v>7331.7720542034112</v>
      </c>
      <c r="AQ116" s="43">
        <f t="shared" si="262"/>
        <v>3997.7645156541184</v>
      </c>
      <c r="AR116" s="43">
        <f t="shared" si="263"/>
        <v>20907.34457016168</v>
      </c>
      <c r="AS116" s="43">
        <f t="shared" si="264"/>
        <v>36935.697591041819</v>
      </c>
    </row>
    <row r="117" spans="1:45" x14ac:dyDescent="0.2">
      <c r="A117" s="58" t="str">
        <f t="shared" si="265"/>
        <v>53E - Customer Owned</v>
      </c>
      <c r="B117" s="22"/>
      <c r="C117" s="21" t="str">
        <f>'WP1 Light Inventory'!D118</f>
        <v>Light Emitting Diode</v>
      </c>
      <c r="D117" s="21" t="str">
        <f>'WP1 Light Inventory'!E118</f>
        <v>LED 120.01-150</v>
      </c>
      <c r="E117" s="21">
        <f>'WP1 Light Inventory'!F118</f>
        <v>135</v>
      </c>
      <c r="F117" s="21" t="str">
        <f>'WP1 Light Inventory'!H118</f>
        <v>Customer</v>
      </c>
      <c r="G117" s="397">
        <f>'WP1 Light Inventory'!J118</f>
        <v>101</v>
      </c>
      <c r="H117" s="74" t="s">
        <v>600</v>
      </c>
      <c r="I117" s="14" t="s">
        <v>133</v>
      </c>
      <c r="J117" s="19">
        <f>IF(C117="Light Emitting Diode",'WP10 O&amp;M Weighting Factor'!$B$26,IF('WP12 Condensed Sch. Level Costs'!C117="Sodium Vapor",'WP10 O&amp;M Weighting Factor'!$B$27,IF('WP12 Condensed Sch. Level Costs'!C117="Metal Halide",'WP10 O&amp;M Weighting Factor'!$B$28,IF('WP12 Condensed Sch. Level Costs'!C117="Mercury Vapor",'WP10 O&amp;M Weighting Factor'!$B$30,IF('WP12 Condensed Sch. Level Costs'!C117="Compact Flourescent",'WP10 O&amp;M Weighting Factor'!$B$29, IF(C117="Incandescent", 'WP10 O&amp;M Weighting Factor'!$B$31, 0))))))</f>
        <v>0.2</v>
      </c>
      <c r="K117" s="282">
        <f t="shared" si="237"/>
        <v>20.200000000000003</v>
      </c>
      <c r="L117" s="74">
        <f t="shared" si="238"/>
        <v>0</v>
      </c>
      <c r="M117" s="283">
        <f t="shared" si="239"/>
        <v>13.635</v>
      </c>
      <c r="N117" s="398">
        <f>'WP1 Light Inventory'!L118</f>
        <v>57267.000000000007</v>
      </c>
      <c r="O117" s="284">
        <f t="shared" si="240"/>
        <v>47.25</v>
      </c>
      <c r="P117" s="261">
        <f>'BDJ-6 Unitized Lighting Costs'!D$20</f>
        <v>1.0137794003499056E-2</v>
      </c>
      <c r="Q117" s="261">
        <f>'BDJ-6 Unitized Lighting Costs'!$D$43</f>
        <v>2.2529806535397991</v>
      </c>
      <c r="R117" s="261">
        <f>'BDJ-6 Unitized Lighting Costs'!D$69</f>
        <v>1.9131568994526543E-2</v>
      </c>
      <c r="S117" s="261">
        <f>'BDJ-6 Unitized Lighting Costs'!D$100</f>
        <v>3.6511265600435805</v>
      </c>
      <c r="T117" s="261">
        <f>'BDJ-6 Unitized Lighting Costs'!$D$117</f>
        <v>5.4555747529966878E-2</v>
      </c>
      <c r="U117" s="43">
        <f t="shared" si="241"/>
        <v>0</v>
      </c>
      <c r="V117" s="43">
        <f t="shared" si="242"/>
        <v>0.45059613070795984</v>
      </c>
      <c r="W117" s="43">
        <f t="shared" si="243"/>
        <v>0.90396663499137908</v>
      </c>
      <c r="X117" s="43">
        <f t="shared" si="244"/>
        <v>0.49290208560588339</v>
      </c>
      <c r="Y117" s="43">
        <f t="shared" si="245"/>
        <v>2.5777590707909348</v>
      </c>
      <c r="Z117" s="43">
        <f t="shared" si="246"/>
        <v>4.4252239220961567</v>
      </c>
      <c r="AA117" s="220"/>
      <c r="AB117" s="240">
        <f t="shared" si="247"/>
        <v>0</v>
      </c>
      <c r="AC117" s="240">
        <f t="shared" si="248"/>
        <v>9.5364260467293085E-3</v>
      </c>
      <c r="AD117" s="240">
        <f t="shared" si="249"/>
        <v>1.9131568994526543E-2</v>
      </c>
      <c r="AE117" s="240">
        <f t="shared" si="250"/>
        <v>1.0431790171553088E-2</v>
      </c>
      <c r="AF117" s="240">
        <f t="shared" si="251"/>
        <v>5.4555747529966878E-2</v>
      </c>
      <c r="AG117" s="240">
        <f t="shared" si="252"/>
        <v>9.3655532742775813E-2</v>
      </c>
      <c r="AH117" s="43">
        <f t="shared" si="253"/>
        <v>0</v>
      </c>
      <c r="AI117" s="43">
        <f t="shared" si="254"/>
        <v>45.510209201503947</v>
      </c>
      <c r="AJ117" s="43">
        <f t="shared" si="255"/>
        <v>91.300630134129293</v>
      </c>
      <c r="AK117" s="43">
        <f t="shared" si="256"/>
        <v>49.783110646194224</v>
      </c>
      <c r="AL117" s="43">
        <f t="shared" si="257"/>
        <v>260.35366614988442</v>
      </c>
      <c r="AM117" s="43">
        <f t="shared" si="258"/>
        <v>446.94761613171187</v>
      </c>
      <c r="AN117" s="43">
        <f t="shared" si="259"/>
        <v>0</v>
      </c>
      <c r="AO117" s="43">
        <f t="shared" si="260"/>
        <v>546.12251041804734</v>
      </c>
      <c r="AP117" s="43">
        <f t="shared" si="261"/>
        <v>1095.6075616095516</v>
      </c>
      <c r="AQ117" s="43">
        <f t="shared" si="262"/>
        <v>597.39732775433072</v>
      </c>
      <c r="AR117" s="43">
        <f t="shared" si="263"/>
        <v>3124.2439937986128</v>
      </c>
      <c r="AS117" s="43">
        <f t="shared" si="264"/>
        <v>5363.3713935805426</v>
      </c>
    </row>
    <row r="118" spans="1:45" x14ac:dyDescent="0.2">
      <c r="A118" s="58" t="str">
        <f t="shared" si="265"/>
        <v>53E - Customer Owned</v>
      </c>
      <c r="B118" s="22"/>
      <c r="C118" s="21" t="str">
        <f>'WP1 Light Inventory'!D119</f>
        <v>Light Emitting Diode</v>
      </c>
      <c r="D118" s="21" t="str">
        <f>'WP1 Light Inventory'!E119</f>
        <v>LED 150.01-180</v>
      </c>
      <c r="E118" s="21">
        <f>'WP1 Light Inventory'!F119</f>
        <v>165</v>
      </c>
      <c r="F118" s="21" t="str">
        <f>'WP1 Light Inventory'!H119</f>
        <v>Customer</v>
      </c>
      <c r="G118" s="397">
        <f>'WP1 Light Inventory'!J119</f>
        <v>1330</v>
      </c>
      <c r="H118" s="74" t="s">
        <v>600</v>
      </c>
      <c r="I118" s="14" t="s">
        <v>133</v>
      </c>
      <c r="J118" s="19">
        <f>IF(C118="Light Emitting Diode",'WP10 O&amp;M Weighting Factor'!$B$26,IF('WP12 Condensed Sch. Level Costs'!C118="Sodium Vapor",'WP10 O&amp;M Weighting Factor'!$B$27,IF('WP12 Condensed Sch. Level Costs'!C118="Metal Halide",'WP10 O&amp;M Weighting Factor'!$B$28,IF('WP12 Condensed Sch. Level Costs'!C118="Mercury Vapor",'WP10 O&amp;M Weighting Factor'!$B$30,IF('WP12 Condensed Sch. Level Costs'!C118="Compact Flourescent",'WP10 O&amp;M Weighting Factor'!$B$29, IF(C118="Incandescent", 'WP10 O&amp;M Weighting Factor'!$B$31, 0))))))</f>
        <v>0.2</v>
      </c>
      <c r="K118" s="282">
        <f t="shared" si="237"/>
        <v>266</v>
      </c>
      <c r="L118" s="74">
        <f t="shared" si="238"/>
        <v>0</v>
      </c>
      <c r="M118" s="283">
        <f t="shared" si="239"/>
        <v>219.45</v>
      </c>
      <c r="N118" s="398">
        <f>'WP1 Light Inventory'!L119</f>
        <v>921690</v>
      </c>
      <c r="O118" s="284">
        <f t="shared" si="240"/>
        <v>57.75</v>
      </c>
      <c r="P118" s="261">
        <f>'BDJ-6 Unitized Lighting Costs'!D$20</f>
        <v>1.0137794003499056E-2</v>
      </c>
      <c r="Q118" s="261">
        <f>'BDJ-6 Unitized Lighting Costs'!$D$43</f>
        <v>2.2529806535397991</v>
      </c>
      <c r="R118" s="261">
        <f>'BDJ-6 Unitized Lighting Costs'!D$69</f>
        <v>1.9131568994526543E-2</v>
      </c>
      <c r="S118" s="261">
        <f>'BDJ-6 Unitized Lighting Costs'!D$100</f>
        <v>3.6511265600435805</v>
      </c>
      <c r="T118" s="261">
        <f>'BDJ-6 Unitized Lighting Costs'!$D$117</f>
        <v>5.4555747529966878E-2</v>
      </c>
      <c r="U118" s="43">
        <f t="shared" si="241"/>
        <v>0</v>
      </c>
      <c r="V118" s="43">
        <f t="shared" si="242"/>
        <v>0.45059613070795984</v>
      </c>
      <c r="W118" s="43">
        <f t="shared" si="243"/>
        <v>1.1048481094339078</v>
      </c>
      <c r="X118" s="43">
        <f t="shared" si="244"/>
        <v>0.60243588240719081</v>
      </c>
      <c r="Y118" s="43">
        <f t="shared" si="245"/>
        <v>3.1505944198555871</v>
      </c>
      <c r="Z118" s="43">
        <f t="shared" si="246"/>
        <v>5.308474542404646</v>
      </c>
      <c r="AA118" s="220"/>
      <c r="AB118" s="240">
        <f t="shared" si="247"/>
        <v>0</v>
      </c>
      <c r="AC118" s="240">
        <f t="shared" si="248"/>
        <v>7.8025304018694347E-3</v>
      </c>
      <c r="AD118" s="240">
        <f t="shared" si="249"/>
        <v>1.9131568994526543E-2</v>
      </c>
      <c r="AE118" s="240">
        <f t="shared" si="250"/>
        <v>1.0431790171553088E-2</v>
      </c>
      <c r="AF118" s="240">
        <f t="shared" si="251"/>
        <v>5.4555747529966878E-2</v>
      </c>
      <c r="AG118" s="240">
        <f t="shared" si="252"/>
        <v>9.192163709791594E-2</v>
      </c>
      <c r="AH118" s="43">
        <f t="shared" si="253"/>
        <v>0</v>
      </c>
      <c r="AI118" s="43">
        <f t="shared" si="254"/>
        <v>599.29285384158663</v>
      </c>
      <c r="AJ118" s="43">
        <f t="shared" si="255"/>
        <v>1469.4479855470972</v>
      </c>
      <c r="AK118" s="43">
        <f t="shared" si="256"/>
        <v>801.23972360156381</v>
      </c>
      <c r="AL118" s="43">
        <f t="shared" si="257"/>
        <v>4190.2905784079312</v>
      </c>
      <c r="AM118" s="43">
        <f t="shared" si="258"/>
        <v>7060.2711413981788</v>
      </c>
      <c r="AN118" s="43">
        <f t="shared" si="259"/>
        <v>0</v>
      </c>
      <c r="AO118" s="43">
        <f t="shared" si="260"/>
        <v>7191.5142460990392</v>
      </c>
      <c r="AP118" s="43">
        <f t="shared" si="261"/>
        <v>17633.375826565167</v>
      </c>
      <c r="AQ118" s="43">
        <f t="shared" si="262"/>
        <v>9614.8766832187648</v>
      </c>
      <c r="AR118" s="43">
        <f t="shared" si="263"/>
        <v>50283.486940895178</v>
      </c>
      <c r="AS118" s="43">
        <f t="shared" si="264"/>
        <v>84723.253696778149</v>
      </c>
    </row>
    <row r="119" spans="1:45" x14ac:dyDescent="0.2">
      <c r="A119" s="58" t="str">
        <f t="shared" si="265"/>
        <v>53E - Customer Owned</v>
      </c>
      <c r="B119" s="22"/>
      <c r="C119" s="21" t="str">
        <f>'WP1 Light Inventory'!D120</f>
        <v>Light Emitting Diode</v>
      </c>
      <c r="D119" s="21" t="str">
        <f>'WP1 Light Inventory'!E120</f>
        <v>LED 180.01-210</v>
      </c>
      <c r="E119" s="21">
        <f>'WP1 Light Inventory'!F120</f>
        <v>195</v>
      </c>
      <c r="F119" s="21" t="str">
        <f>'WP1 Light Inventory'!H120</f>
        <v>Customer</v>
      </c>
      <c r="G119" s="397">
        <f>'WP1 Light Inventory'!J120</f>
        <v>106</v>
      </c>
      <c r="H119" s="74" t="s">
        <v>600</v>
      </c>
      <c r="I119" s="14" t="s">
        <v>133</v>
      </c>
      <c r="J119" s="19">
        <f>IF(C119="Light Emitting Diode",'WP10 O&amp;M Weighting Factor'!$B$26,IF('WP12 Condensed Sch. Level Costs'!C119="Sodium Vapor",'WP10 O&amp;M Weighting Factor'!$B$27,IF('WP12 Condensed Sch. Level Costs'!C119="Metal Halide",'WP10 O&amp;M Weighting Factor'!$B$28,IF('WP12 Condensed Sch. Level Costs'!C119="Mercury Vapor",'WP10 O&amp;M Weighting Factor'!$B$30,IF('WP12 Condensed Sch. Level Costs'!C119="Compact Flourescent",'WP10 O&amp;M Weighting Factor'!$B$29, IF(C119="Incandescent", 'WP10 O&amp;M Weighting Factor'!$B$31, 0))))))</f>
        <v>0.2</v>
      </c>
      <c r="K119" s="282">
        <f t="shared" si="237"/>
        <v>21.200000000000003</v>
      </c>
      <c r="L119" s="74">
        <f t="shared" si="238"/>
        <v>0</v>
      </c>
      <c r="M119" s="283">
        <f t="shared" si="239"/>
        <v>20.67</v>
      </c>
      <c r="N119" s="398">
        <f>'WP1 Light Inventory'!L120</f>
        <v>86814</v>
      </c>
      <c r="O119" s="284">
        <f t="shared" si="240"/>
        <v>68.25</v>
      </c>
      <c r="P119" s="261">
        <f>'BDJ-6 Unitized Lighting Costs'!D$20</f>
        <v>1.0137794003499056E-2</v>
      </c>
      <c r="Q119" s="261">
        <f>'BDJ-6 Unitized Lighting Costs'!$D$43</f>
        <v>2.2529806535397991</v>
      </c>
      <c r="R119" s="261">
        <f>'BDJ-6 Unitized Lighting Costs'!D$69</f>
        <v>1.9131568994526543E-2</v>
      </c>
      <c r="S119" s="261">
        <f>'BDJ-6 Unitized Lighting Costs'!D$100</f>
        <v>3.6511265600435805</v>
      </c>
      <c r="T119" s="261">
        <f>'BDJ-6 Unitized Lighting Costs'!$D$117</f>
        <v>5.4555747529966878E-2</v>
      </c>
      <c r="U119" s="43">
        <f t="shared" si="241"/>
        <v>0</v>
      </c>
      <c r="V119" s="43">
        <f t="shared" si="242"/>
        <v>0.45059613070795984</v>
      </c>
      <c r="W119" s="43">
        <f t="shared" si="243"/>
        <v>1.3057295838764365</v>
      </c>
      <c r="X119" s="43">
        <f t="shared" si="244"/>
        <v>0.71196967920849819</v>
      </c>
      <c r="Y119" s="43">
        <f t="shared" si="245"/>
        <v>3.7234297689202394</v>
      </c>
      <c r="Z119" s="43">
        <f t="shared" si="246"/>
        <v>6.1917251627131336</v>
      </c>
      <c r="AA119" s="220"/>
      <c r="AB119" s="240">
        <f t="shared" si="247"/>
        <v>0</v>
      </c>
      <c r="AC119" s="240">
        <f t="shared" si="248"/>
        <v>6.6021411092741372E-3</v>
      </c>
      <c r="AD119" s="240">
        <f t="shared" si="249"/>
        <v>1.9131568994526543E-2</v>
      </c>
      <c r="AE119" s="240">
        <f t="shared" si="250"/>
        <v>1.0431790171553088E-2</v>
      </c>
      <c r="AF119" s="240">
        <f t="shared" si="251"/>
        <v>5.4555747529966878E-2</v>
      </c>
      <c r="AG119" s="240">
        <f t="shared" si="252"/>
        <v>9.0721247805320648E-2</v>
      </c>
      <c r="AH119" s="43">
        <f t="shared" si="253"/>
        <v>0</v>
      </c>
      <c r="AI119" s="43">
        <f t="shared" si="254"/>
        <v>47.763189855043741</v>
      </c>
      <c r="AJ119" s="43">
        <f t="shared" si="255"/>
        <v>138.40733589090226</v>
      </c>
      <c r="AK119" s="43">
        <f t="shared" si="256"/>
        <v>75.468785996100806</v>
      </c>
      <c r="AL119" s="43">
        <f t="shared" si="257"/>
        <v>394.68355550554537</v>
      </c>
      <c r="AM119" s="43">
        <f t="shared" si="258"/>
        <v>656.32286724759217</v>
      </c>
      <c r="AN119" s="43">
        <f t="shared" si="259"/>
        <v>0</v>
      </c>
      <c r="AO119" s="43">
        <f t="shared" si="260"/>
        <v>573.15827826052487</v>
      </c>
      <c r="AP119" s="43">
        <f t="shared" si="261"/>
        <v>1660.8880306908272</v>
      </c>
      <c r="AQ119" s="43">
        <f t="shared" si="262"/>
        <v>905.62543195320973</v>
      </c>
      <c r="AR119" s="43">
        <f t="shared" si="263"/>
        <v>4736.2026660665442</v>
      </c>
      <c r="AS119" s="43">
        <f t="shared" si="264"/>
        <v>7875.8744069711065</v>
      </c>
    </row>
    <row r="120" spans="1:45" x14ac:dyDescent="0.2">
      <c r="A120" s="58" t="str">
        <f t="shared" si="265"/>
        <v>53E - Customer Owned</v>
      </c>
      <c r="B120" s="22"/>
      <c r="C120" s="21" t="str">
        <f>'WP1 Light Inventory'!D121</f>
        <v>Light Emitting Diode</v>
      </c>
      <c r="D120" s="21" t="str">
        <f>'WP1 Light Inventory'!E121</f>
        <v>LED 210.01-240</v>
      </c>
      <c r="E120" s="21">
        <f>'WP1 Light Inventory'!F121</f>
        <v>225</v>
      </c>
      <c r="F120" s="21" t="str">
        <f>'WP1 Light Inventory'!H121</f>
        <v>Customer</v>
      </c>
      <c r="G120" s="397">
        <f>'WP1 Light Inventory'!J121</f>
        <v>0</v>
      </c>
      <c r="H120" s="74" t="s">
        <v>600</v>
      </c>
      <c r="I120" s="14" t="s">
        <v>133</v>
      </c>
      <c r="J120" s="19">
        <f>IF(C120="Light Emitting Diode",'WP10 O&amp;M Weighting Factor'!$B$26,IF('WP12 Condensed Sch. Level Costs'!C120="Sodium Vapor",'WP10 O&amp;M Weighting Factor'!$B$27,IF('WP12 Condensed Sch. Level Costs'!C120="Metal Halide",'WP10 O&amp;M Weighting Factor'!$B$28,IF('WP12 Condensed Sch. Level Costs'!C120="Mercury Vapor",'WP10 O&amp;M Weighting Factor'!$B$30,IF('WP12 Condensed Sch. Level Costs'!C120="Compact Flourescent",'WP10 O&amp;M Weighting Factor'!$B$29, IF(C120="Incandescent", 'WP10 O&amp;M Weighting Factor'!$B$31, 0))))))</f>
        <v>0.2</v>
      </c>
      <c r="K120" s="282">
        <f t="shared" si="237"/>
        <v>0</v>
      </c>
      <c r="L120" s="74">
        <f t="shared" si="238"/>
        <v>0</v>
      </c>
      <c r="M120" s="283">
        <f t="shared" si="239"/>
        <v>0</v>
      </c>
      <c r="N120" s="398">
        <f>'WP1 Light Inventory'!L121</f>
        <v>0</v>
      </c>
      <c r="O120" s="284">
        <f t="shared" si="240"/>
        <v>78.75</v>
      </c>
      <c r="P120" s="261">
        <f>'BDJ-6 Unitized Lighting Costs'!D$20</f>
        <v>1.0137794003499056E-2</v>
      </c>
      <c r="Q120" s="261">
        <f>'BDJ-6 Unitized Lighting Costs'!$D$43</f>
        <v>2.2529806535397991</v>
      </c>
      <c r="R120" s="261">
        <f>'BDJ-6 Unitized Lighting Costs'!D$69</f>
        <v>1.9131568994526543E-2</v>
      </c>
      <c r="S120" s="261">
        <f>'BDJ-6 Unitized Lighting Costs'!D$100</f>
        <v>3.6511265600435805</v>
      </c>
      <c r="T120" s="261">
        <f>'BDJ-6 Unitized Lighting Costs'!$D$117</f>
        <v>5.4555747529966878E-2</v>
      </c>
      <c r="U120" s="43">
        <f t="shared" si="241"/>
        <v>0</v>
      </c>
      <c r="V120" s="43">
        <f t="shared" si="242"/>
        <v>0.45059613070795984</v>
      </c>
      <c r="W120" s="43">
        <f t="shared" si="243"/>
        <v>1.5066110583189651</v>
      </c>
      <c r="X120" s="43">
        <f t="shared" si="244"/>
        <v>0.82150347600980556</v>
      </c>
      <c r="Y120" s="43">
        <f t="shared" si="245"/>
        <v>4.2962651179848912</v>
      </c>
      <c r="Z120" s="43">
        <f t="shared" si="246"/>
        <v>7.0749757830216211</v>
      </c>
      <c r="AA120" s="220"/>
      <c r="AB120" s="240">
        <f t="shared" si="247"/>
        <v>0</v>
      </c>
      <c r="AC120" s="240">
        <f t="shared" si="248"/>
        <v>5.7218556280375851E-3</v>
      </c>
      <c r="AD120" s="240">
        <f t="shared" si="249"/>
        <v>1.9131568994526543E-2</v>
      </c>
      <c r="AE120" s="240">
        <f t="shared" si="250"/>
        <v>1.0431790171553086E-2</v>
      </c>
      <c r="AF120" s="240">
        <f t="shared" si="251"/>
        <v>5.4555747529966871E-2</v>
      </c>
      <c r="AG120" s="240">
        <f t="shared" si="252"/>
        <v>8.9840962324084089E-2</v>
      </c>
      <c r="AH120" s="43">
        <f t="shared" si="253"/>
        <v>0</v>
      </c>
      <c r="AI120" s="43">
        <f t="shared" si="254"/>
        <v>0</v>
      </c>
      <c r="AJ120" s="43">
        <f t="shared" si="255"/>
        <v>0</v>
      </c>
      <c r="AK120" s="43">
        <f t="shared" si="256"/>
        <v>0</v>
      </c>
      <c r="AL120" s="43">
        <f t="shared" si="257"/>
        <v>0</v>
      </c>
      <c r="AM120" s="43">
        <f t="shared" si="258"/>
        <v>0</v>
      </c>
      <c r="AN120" s="43">
        <f t="shared" si="259"/>
        <v>0</v>
      </c>
      <c r="AO120" s="43">
        <f t="shared" si="260"/>
        <v>0</v>
      </c>
      <c r="AP120" s="43">
        <f t="shared" si="261"/>
        <v>0</v>
      </c>
      <c r="AQ120" s="43">
        <f t="shared" si="262"/>
        <v>0</v>
      </c>
      <c r="AR120" s="43">
        <f t="shared" si="263"/>
        <v>0</v>
      </c>
      <c r="AS120" s="43">
        <f t="shared" si="264"/>
        <v>0</v>
      </c>
    </row>
    <row r="121" spans="1:45" x14ac:dyDescent="0.2">
      <c r="A121" s="58" t="str">
        <f t="shared" si="265"/>
        <v>53E - Customer Owned</v>
      </c>
      <c r="B121" s="22"/>
      <c r="C121" s="21" t="str">
        <f>'WP1 Light Inventory'!D122</f>
        <v>Light Emitting Diode</v>
      </c>
      <c r="D121" s="21" t="str">
        <f>'WP1 Light Inventory'!E122</f>
        <v>LED 240.01-270</v>
      </c>
      <c r="E121" s="21">
        <f>'WP1 Light Inventory'!F122</f>
        <v>255</v>
      </c>
      <c r="F121" s="21" t="str">
        <f>'WP1 Light Inventory'!H122</f>
        <v>Customer</v>
      </c>
      <c r="G121" s="397">
        <f>'WP1 Light Inventory'!J122</f>
        <v>2</v>
      </c>
      <c r="H121" s="74" t="s">
        <v>600</v>
      </c>
      <c r="I121" s="14" t="s">
        <v>133</v>
      </c>
      <c r="J121" s="19">
        <f>IF(C121="Light Emitting Diode",'WP10 O&amp;M Weighting Factor'!$B$26,IF('WP12 Condensed Sch. Level Costs'!C121="Sodium Vapor",'WP10 O&amp;M Weighting Factor'!$B$27,IF('WP12 Condensed Sch. Level Costs'!C121="Metal Halide",'WP10 O&amp;M Weighting Factor'!$B$28,IF('WP12 Condensed Sch. Level Costs'!C121="Mercury Vapor",'WP10 O&amp;M Weighting Factor'!$B$30,IF('WP12 Condensed Sch. Level Costs'!C121="Compact Flourescent",'WP10 O&amp;M Weighting Factor'!$B$29, IF(C121="Incandescent", 'WP10 O&amp;M Weighting Factor'!$B$31, 0))))))</f>
        <v>0.2</v>
      </c>
      <c r="K121" s="282">
        <f t="shared" si="237"/>
        <v>0.4</v>
      </c>
      <c r="L121" s="74">
        <f t="shared" si="238"/>
        <v>0</v>
      </c>
      <c r="M121" s="283">
        <f t="shared" si="239"/>
        <v>0.51</v>
      </c>
      <c r="N121" s="398">
        <f>'WP1 Light Inventory'!L122</f>
        <v>2142</v>
      </c>
      <c r="O121" s="284">
        <f t="shared" si="240"/>
        <v>89.25</v>
      </c>
      <c r="P121" s="261">
        <f>'BDJ-6 Unitized Lighting Costs'!D$20</f>
        <v>1.0137794003499056E-2</v>
      </c>
      <c r="Q121" s="261">
        <f>'BDJ-6 Unitized Lighting Costs'!$D$43</f>
        <v>2.2529806535397991</v>
      </c>
      <c r="R121" s="261">
        <f>'BDJ-6 Unitized Lighting Costs'!D$69</f>
        <v>1.9131568994526543E-2</v>
      </c>
      <c r="S121" s="261">
        <f>'BDJ-6 Unitized Lighting Costs'!D$100</f>
        <v>3.6511265600435805</v>
      </c>
      <c r="T121" s="261">
        <f>'BDJ-6 Unitized Lighting Costs'!$D$117</f>
        <v>5.4555747529966878E-2</v>
      </c>
      <c r="U121" s="43">
        <f t="shared" si="241"/>
        <v>0</v>
      </c>
      <c r="V121" s="43">
        <f t="shared" si="242"/>
        <v>0.45059613070795984</v>
      </c>
      <c r="W121" s="43">
        <f t="shared" si="243"/>
        <v>1.7074925327614938</v>
      </c>
      <c r="X121" s="43">
        <f t="shared" si="244"/>
        <v>0.93103727281111304</v>
      </c>
      <c r="Y121" s="43">
        <f t="shared" si="245"/>
        <v>4.8691004670495435</v>
      </c>
      <c r="Z121" s="43">
        <f t="shared" si="246"/>
        <v>7.9582264033301104</v>
      </c>
      <c r="AA121" s="220"/>
      <c r="AB121" s="240">
        <f t="shared" si="247"/>
        <v>0</v>
      </c>
      <c r="AC121" s="240">
        <f t="shared" si="248"/>
        <v>5.0486961423861047E-3</v>
      </c>
      <c r="AD121" s="240">
        <f t="shared" si="249"/>
        <v>1.9131568994526543E-2</v>
      </c>
      <c r="AE121" s="240">
        <f t="shared" si="250"/>
        <v>1.0431790171553088E-2</v>
      </c>
      <c r="AF121" s="240">
        <f t="shared" si="251"/>
        <v>5.4555747529966871E-2</v>
      </c>
      <c r="AG121" s="240">
        <f t="shared" si="252"/>
        <v>8.9167802838432605E-2</v>
      </c>
      <c r="AH121" s="43">
        <f t="shared" si="253"/>
        <v>0</v>
      </c>
      <c r="AI121" s="43">
        <f t="shared" si="254"/>
        <v>0.90119226141591968</v>
      </c>
      <c r="AJ121" s="43">
        <f t="shared" si="255"/>
        <v>3.4149850655229876</v>
      </c>
      <c r="AK121" s="43">
        <f t="shared" si="256"/>
        <v>1.8620745456222261</v>
      </c>
      <c r="AL121" s="43">
        <f t="shared" si="257"/>
        <v>9.7382009340990869</v>
      </c>
      <c r="AM121" s="43">
        <f t="shared" si="258"/>
        <v>15.916452806660221</v>
      </c>
      <c r="AN121" s="43">
        <f t="shared" si="259"/>
        <v>0</v>
      </c>
      <c r="AO121" s="43">
        <f t="shared" si="260"/>
        <v>10.814307136991037</v>
      </c>
      <c r="AP121" s="43">
        <f t="shared" si="261"/>
        <v>40.979820786275852</v>
      </c>
      <c r="AQ121" s="43">
        <f t="shared" si="262"/>
        <v>22.344894547466712</v>
      </c>
      <c r="AR121" s="43">
        <f t="shared" si="263"/>
        <v>116.85841120918904</v>
      </c>
      <c r="AS121" s="43">
        <f t="shared" si="264"/>
        <v>190.99743367992266</v>
      </c>
    </row>
    <row r="122" spans="1:45" x14ac:dyDescent="0.2">
      <c r="A122" s="58" t="str">
        <f t="shared" si="265"/>
        <v>53E - Customer Owned</v>
      </c>
      <c r="B122" s="22"/>
      <c r="C122" s="21" t="str">
        <f>'WP1 Light Inventory'!D123</f>
        <v>Light Emitting Diode</v>
      </c>
      <c r="D122" s="21" t="str">
        <f>'WP1 Light Inventory'!E123</f>
        <v>LED 270.01-300</v>
      </c>
      <c r="E122" s="21">
        <f>'WP1 Light Inventory'!F123</f>
        <v>285</v>
      </c>
      <c r="F122" s="21" t="str">
        <f>'WP1 Light Inventory'!H123</f>
        <v>Customer</v>
      </c>
      <c r="G122" s="397">
        <f>'WP1 Light Inventory'!J123</f>
        <v>0</v>
      </c>
      <c r="H122" s="74" t="s">
        <v>600</v>
      </c>
      <c r="I122" s="14" t="s">
        <v>133</v>
      </c>
      <c r="J122" s="19">
        <f>IF(C122="Light Emitting Diode",'WP10 O&amp;M Weighting Factor'!$B$26,IF('WP12 Condensed Sch. Level Costs'!C122="Sodium Vapor",'WP10 O&amp;M Weighting Factor'!$B$27,IF('WP12 Condensed Sch. Level Costs'!C122="Metal Halide",'WP10 O&amp;M Weighting Factor'!$B$28,IF('WP12 Condensed Sch. Level Costs'!C122="Mercury Vapor",'WP10 O&amp;M Weighting Factor'!$B$30,IF('WP12 Condensed Sch. Level Costs'!C122="Compact Flourescent",'WP10 O&amp;M Weighting Factor'!$B$29, IF(C122="Incandescent", 'WP10 O&amp;M Weighting Factor'!$B$31, 0))))))</f>
        <v>0.2</v>
      </c>
      <c r="K122" s="282">
        <f t="shared" si="237"/>
        <v>0</v>
      </c>
      <c r="L122" s="74">
        <f t="shared" si="238"/>
        <v>0</v>
      </c>
      <c r="M122" s="283">
        <f t="shared" si="239"/>
        <v>0</v>
      </c>
      <c r="N122" s="398">
        <f>'WP1 Light Inventory'!L123</f>
        <v>0</v>
      </c>
      <c r="O122" s="284">
        <f t="shared" si="240"/>
        <v>99.75</v>
      </c>
      <c r="P122" s="261">
        <f>'BDJ-6 Unitized Lighting Costs'!D$20</f>
        <v>1.0137794003499056E-2</v>
      </c>
      <c r="Q122" s="261">
        <f>'BDJ-6 Unitized Lighting Costs'!$D$43</f>
        <v>2.2529806535397991</v>
      </c>
      <c r="R122" s="261">
        <f>'BDJ-6 Unitized Lighting Costs'!D$69</f>
        <v>1.9131568994526543E-2</v>
      </c>
      <c r="S122" s="261">
        <f>'BDJ-6 Unitized Lighting Costs'!D$100</f>
        <v>3.6511265600435805</v>
      </c>
      <c r="T122" s="261">
        <f>'BDJ-6 Unitized Lighting Costs'!$D$117</f>
        <v>5.4555747529966878E-2</v>
      </c>
      <c r="U122" s="43">
        <f t="shared" si="241"/>
        <v>0</v>
      </c>
      <c r="V122" s="43">
        <f t="shared" si="242"/>
        <v>0.45059613070795984</v>
      </c>
      <c r="W122" s="43">
        <f t="shared" si="243"/>
        <v>1.9083740072040227</v>
      </c>
      <c r="X122" s="43">
        <f t="shared" si="244"/>
        <v>1.0405710696124204</v>
      </c>
      <c r="Y122" s="43">
        <f t="shared" si="245"/>
        <v>5.4419358161141957</v>
      </c>
      <c r="Z122" s="43">
        <f t="shared" si="246"/>
        <v>8.8414770236385998</v>
      </c>
      <c r="AA122" s="220"/>
      <c r="AB122" s="240">
        <f t="shared" si="247"/>
        <v>0</v>
      </c>
      <c r="AC122" s="240">
        <f t="shared" si="248"/>
        <v>4.5172544431875674E-3</v>
      </c>
      <c r="AD122" s="240">
        <f t="shared" si="249"/>
        <v>1.9131568994526543E-2</v>
      </c>
      <c r="AE122" s="240">
        <f t="shared" si="250"/>
        <v>1.0431790171553088E-2</v>
      </c>
      <c r="AF122" s="240">
        <f t="shared" si="251"/>
        <v>5.4555747529966878E-2</v>
      </c>
      <c r="AG122" s="240">
        <f t="shared" si="252"/>
        <v>8.8636361139234079E-2</v>
      </c>
      <c r="AH122" s="43">
        <f t="shared" si="253"/>
        <v>0</v>
      </c>
      <c r="AI122" s="43">
        <f t="shared" si="254"/>
        <v>0</v>
      </c>
      <c r="AJ122" s="43">
        <f t="shared" si="255"/>
        <v>0</v>
      </c>
      <c r="AK122" s="43">
        <f t="shared" si="256"/>
        <v>0</v>
      </c>
      <c r="AL122" s="43">
        <f t="shared" si="257"/>
        <v>0</v>
      </c>
      <c r="AM122" s="43">
        <f t="shared" si="258"/>
        <v>0</v>
      </c>
      <c r="AN122" s="43">
        <f t="shared" si="259"/>
        <v>0</v>
      </c>
      <c r="AO122" s="43">
        <f t="shared" si="260"/>
        <v>0</v>
      </c>
      <c r="AP122" s="43">
        <f t="shared" si="261"/>
        <v>0</v>
      </c>
      <c r="AQ122" s="43">
        <f t="shared" si="262"/>
        <v>0</v>
      </c>
      <c r="AR122" s="43">
        <f t="shared" si="263"/>
        <v>0</v>
      </c>
      <c r="AS122" s="43">
        <f t="shared" si="264"/>
        <v>0</v>
      </c>
    </row>
    <row r="123" spans="1:45" x14ac:dyDescent="0.2">
      <c r="A123" s="388" t="s">
        <v>138</v>
      </c>
      <c r="B123" s="389"/>
      <c r="C123" s="15"/>
      <c r="D123" s="390"/>
      <c r="E123" s="391"/>
      <c r="F123" s="390"/>
      <c r="G123" s="392"/>
      <c r="H123" s="378"/>
      <c r="I123" s="15"/>
      <c r="J123" s="390"/>
      <c r="K123" s="377"/>
      <c r="L123" s="378"/>
      <c r="M123" s="379"/>
      <c r="N123" s="394"/>
      <c r="O123" s="395"/>
      <c r="P123" s="396"/>
      <c r="Q123" s="396"/>
      <c r="R123" s="396"/>
      <c r="S123" s="396"/>
      <c r="T123" s="396"/>
      <c r="U123" s="274"/>
      <c r="V123" s="274"/>
      <c r="W123" s="274"/>
      <c r="X123" s="274"/>
      <c r="Y123" s="274"/>
      <c r="Z123" s="274"/>
      <c r="AA123" s="220"/>
      <c r="AB123" s="240"/>
      <c r="AC123" s="240"/>
      <c r="AD123" s="240"/>
      <c r="AE123" s="240"/>
      <c r="AF123" s="240"/>
      <c r="AG123" s="240"/>
    </row>
    <row r="124" spans="1:45" x14ac:dyDescent="0.2">
      <c r="A124" s="58" t="s">
        <v>60</v>
      </c>
      <c r="B124" s="21" t="s">
        <v>605</v>
      </c>
      <c r="C124" s="21" t="str">
        <f>'WP1 Light Inventory'!D125</f>
        <v>Sodium Vapor</v>
      </c>
      <c r="D124" s="21" t="str">
        <f>'WP1 Light Inventory'!E125</f>
        <v>SV 050</v>
      </c>
      <c r="E124" s="21">
        <f>'WP1 Light Inventory'!F125</f>
        <v>50</v>
      </c>
      <c r="F124" s="21" t="str">
        <f>'WP1 Light Inventory'!H125</f>
        <v>Customer</v>
      </c>
      <c r="G124" s="397">
        <f>'WP1 Light Inventory'!J125</f>
        <v>38</v>
      </c>
      <c r="H124" s="74" t="s">
        <v>600</v>
      </c>
      <c r="I124" s="14" t="s">
        <v>159</v>
      </c>
      <c r="J124" s="19">
        <f>IF(C124="Light Emitting Diode",'WP10 O&amp;M Weighting Factor'!$B$26,IF('WP12 Condensed Sch. Level Costs'!C124="Sodium Vapor",'WP10 O&amp;M Weighting Factor'!$B$27,IF('WP12 Condensed Sch. Level Costs'!C124="Metal Halide",'WP10 O&amp;M Weighting Factor'!$B$28,IF('WP12 Condensed Sch. Level Costs'!C124="Mercury Vapor",'WP10 O&amp;M Weighting Factor'!$B$30,IF('WP12 Condensed Sch. Level Costs'!C124="Compact Flourescent",'WP10 O&amp;M Weighting Factor'!$B$29, IF(C124="Incandescent", 'WP10 O&amp;M Weighting Factor'!$B$31, 0))))))</f>
        <v>1</v>
      </c>
      <c r="K124" s="282">
        <f t="shared" ref="K124:K132" si="266">IF(I124="Yes",G124*J124,0)</f>
        <v>0</v>
      </c>
      <c r="L124" s="74">
        <f t="shared" ref="L124:L132" si="267">IF(F124="Company", G124*H124,0)</f>
        <v>0</v>
      </c>
      <c r="M124" s="283">
        <f t="shared" ref="M124:M132" si="268">E124*G124/1000</f>
        <v>1.9</v>
      </c>
      <c r="N124" s="398">
        <f>'WP1 Light Inventory'!L125</f>
        <v>7980</v>
      </c>
      <c r="O124" s="284">
        <f t="shared" ref="O124:O132" si="269">E124*4200/1000/12</f>
        <v>17.5</v>
      </c>
      <c r="P124" s="261">
        <f>'BDJ-6 Unitized Lighting Costs'!D$20</f>
        <v>1.0137794003499056E-2</v>
      </c>
      <c r="Q124" s="261">
        <f>'BDJ-6 Unitized Lighting Costs'!$D$43</f>
        <v>2.2529806535397991</v>
      </c>
      <c r="R124" s="261">
        <f>'BDJ-6 Unitized Lighting Costs'!D$69</f>
        <v>1.9131568994526543E-2</v>
      </c>
      <c r="S124" s="261">
        <f>'BDJ-6 Unitized Lighting Costs'!D$100</f>
        <v>3.6511265600435805</v>
      </c>
      <c r="T124" s="261">
        <f>'BDJ-6 Unitized Lighting Costs'!$D$117</f>
        <v>5.4555747529966878E-2</v>
      </c>
      <c r="U124" s="43">
        <f t="shared" ref="U124:U132" si="270">IF(F124="Company", H124*P124, 0)</f>
        <v>0</v>
      </c>
      <c r="V124" s="43">
        <f t="shared" ref="V124:V132" si="271">IF(I124="yes", J124*Q124, 0)</f>
        <v>0</v>
      </c>
      <c r="W124" s="43">
        <f t="shared" ref="W124:W132" si="272">R124*O124</f>
        <v>0.33480245740421449</v>
      </c>
      <c r="X124" s="43">
        <f t="shared" ref="X124:X132" si="273">E124*S124/1000</f>
        <v>0.18255632800217902</v>
      </c>
      <c r="Y124" s="43">
        <f t="shared" ref="Y124:Y132" si="274">O124*T124</f>
        <v>0.95472558177442035</v>
      </c>
      <c r="Z124" s="43">
        <f t="shared" ref="Z124:Z132" si="275">SUM(U124:Y124)</f>
        <v>1.4720843671808139</v>
      </c>
      <c r="AA124" s="220"/>
      <c r="AB124" s="240">
        <f t="shared" ref="AB124:AB132" si="276">IFERROR(U124/O124,0)</f>
        <v>0</v>
      </c>
      <c r="AC124" s="240">
        <f t="shared" ref="AC124:AC132" si="277">IFERROR(V124/O124,0)</f>
        <v>0</v>
      </c>
      <c r="AD124" s="240">
        <f t="shared" ref="AD124:AD132" si="278">IFERROR(W124/O124,0)</f>
        <v>1.9131568994526543E-2</v>
      </c>
      <c r="AE124" s="240">
        <f t="shared" ref="AE124:AE132" si="279">IFERROR(X124/O124,0)</f>
        <v>1.0431790171553088E-2</v>
      </c>
      <c r="AF124" s="240">
        <f t="shared" ref="AF124:AF132" si="280">IFERROR(Y124/O124,0)</f>
        <v>5.4555747529966878E-2</v>
      </c>
      <c r="AG124" s="240">
        <f t="shared" ref="AG124:AG132" si="281">SUM(AB124:AF124)</f>
        <v>8.4119106696046511E-2</v>
      </c>
      <c r="AH124" s="43">
        <f t="shared" ref="AH124:AH132" si="282">(U124*$G124)</f>
        <v>0</v>
      </c>
      <c r="AI124" s="43">
        <f t="shared" ref="AI124:AI132" si="283">(V124*$G124)</f>
        <v>0</v>
      </c>
      <c r="AJ124" s="43">
        <f t="shared" ref="AJ124:AJ132" si="284">(W124*$G124)</f>
        <v>12.722493381360151</v>
      </c>
      <c r="AK124" s="43">
        <f t="shared" ref="AK124:AK132" si="285">(X124*$G124)</f>
        <v>6.9371404640828027</v>
      </c>
      <c r="AL124" s="43">
        <f t="shared" ref="AL124:AL132" si="286">(Y124*$G124)</f>
        <v>36.279572107427974</v>
      </c>
      <c r="AM124" s="43">
        <f t="shared" ref="AM124:AM132" si="287">SUM(AH124:AL124)</f>
        <v>55.939205952870928</v>
      </c>
      <c r="AN124" s="43">
        <f t="shared" ref="AN124:AN132" si="288">AH124*12</f>
        <v>0</v>
      </c>
      <c r="AO124" s="43">
        <f t="shared" ref="AO124:AO132" si="289">AI124*12</f>
        <v>0</v>
      </c>
      <c r="AP124" s="43">
        <f t="shared" ref="AP124:AP132" si="290">AJ124*12</f>
        <v>152.6699205763218</v>
      </c>
      <c r="AQ124" s="43">
        <f t="shared" ref="AQ124:AQ132" si="291">AK124*12</f>
        <v>83.245685568993636</v>
      </c>
      <c r="AR124" s="43">
        <f t="shared" ref="AR124:AR132" si="292">AL124*12</f>
        <v>435.35486528913566</v>
      </c>
      <c r="AS124" s="43">
        <f t="shared" ref="AS124:AS132" si="293">AM124*12</f>
        <v>671.27047143445111</v>
      </c>
    </row>
    <row r="125" spans="1:45" x14ac:dyDescent="0.2">
      <c r="A125" s="58" t="str">
        <f t="shared" ref="A125:A132" si="294">+A124</f>
        <v>54E</v>
      </c>
      <c r="B125" s="21" t="s">
        <v>605</v>
      </c>
      <c r="C125" s="21" t="str">
        <f>'WP1 Light Inventory'!D126</f>
        <v>Sodium Vapor</v>
      </c>
      <c r="D125" s="21" t="str">
        <f>'WP1 Light Inventory'!E126</f>
        <v>SV 070</v>
      </c>
      <c r="E125" s="21">
        <f>'WP1 Light Inventory'!F126</f>
        <v>70</v>
      </c>
      <c r="F125" s="21" t="str">
        <f>'WP1 Light Inventory'!H126</f>
        <v>Customer</v>
      </c>
      <c r="G125" s="397">
        <f>'WP1 Light Inventory'!J126</f>
        <v>676</v>
      </c>
      <c r="H125" s="74" t="s">
        <v>600</v>
      </c>
      <c r="I125" s="14" t="s">
        <v>159</v>
      </c>
      <c r="J125" s="19">
        <f>IF(C125="Light Emitting Diode",'WP10 O&amp;M Weighting Factor'!$B$26,IF('WP12 Condensed Sch. Level Costs'!C125="Sodium Vapor",'WP10 O&amp;M Weighting Factor'!$B$27,IF('WP12 Condensed Sch. Level Costs'!C125="Metal Halide",'WP10 O&amp;M Weighting Factor'!$B$28,IF('WP12 Condensed Sch. Level Costs'!C125="Mercury Vapor",'WP10 O&amp;M Weighting Factor'!$B$30,IF('WP12 Condensed Sch. Level Costs'!C125="Compact Flourescent",'WP10 O&amp;M Weighting Factor'!$B$29, IF(C125="Incandescent", 'WP10 O&amp;M Weighting Factor'!$B$31, 0))))))</f>
        <v>1</v>
      </c>
      <c r="K125" s="282">
        <f t="shared" si="266"/>
        <v>0</v>
      </c>
      <c r="L125" s="74">
        <f t="shared" si="267"/>
        <v>0</v>
      </c>
      <c r="M125" s="283">
        <f t="shared" si="268"/>
        <v>47.32</v>
      </c>
      <c r="N125" s="398">
        <f>'WP1 Light Inventory'!L126</f>
        <v>198744.00000000003</v>
      </c>
      <c r="O125" s="284">
        <f t="shared" si="269"/>
        <v>24.5</v>
      </c>
      <c r="P125" s="261">
        <f>'BDJ-6 Unitized Lighting Costs'!D$20</f>
        <v>1.0137794003499056E-2</v>
      </c>
      <c r="Q125" s="261">
        <f>'BDJ-6 Unitized Lighting Costs'!$D$43</f>
        <v>2.2529806535397991</v>
      </c>
      <c r="R125" s="261">
        <f>'BDJ-6 Unitized Lighting Costs'!D$69</f>
        <v>1.9131568994526543E-2</v>
      </c>
      <c r="S125" s="261">
        <f>'BDJ-6 Unitized Lighting Costs'!D$100</f>
        <v>3.6511265600435805</v>
      </c>
      <c r="T125" s="261">
        <f>'BDJ-6 Unitized Lighting Costs'!$D$117</f>
        <v>5.4555747529966878E-2</v>
      </c>
      <c r="U125" s="43">
        <f t="shared" si="270"/>
        <v>0</v>
      </c>
      <c r="V125" s="43">
        <f t="shared" si="271"/>
        <v>0</v>
      </c>
      <c r="W125" s="43">
        <f t="shared" si="272"/>
        <v>0.4687234403659003</v>
      </c>
      <c r="X125" s="43">
        <f t="shared" si="273"/>
        <v>0.25557885920305062</v>
      </c>
      <c r="Y125" s="43">
        <f t="shared" si="274"/>
        <v>1.3366158144841884</v>
      </c>
      <c r="Z125" s="43">
        <f t="shared" si="275"/>
        <v>2.0609181140531394</v>
      </c>
      <c r="AA125" s="220"/>
      <c r="AB125" s="240">
        <f t="shared" si="276"/>
        <v>0</v>
      </c>
      <c r="AC125" s="240">
        <f t="shared" si="277"/>
        <v>0</v>
      </c>
      <c r="AD125" s="240">
        <f t="shared" si="278"/>
        <v>1.9131568994526543E-2</v>
      </c>
      <c r="AE125" s="240">
        <f t="shared" si="279"/>
        <v>1.0431790171553088E-2</v>
      </c>
      <c r="AF125" s="240">
        <f t="shared" si="280"/>
        <v>5.4555747529966878E-2</v>
      </c>
      <c r="AG125" s="240">
        <f t="shared" si="281"/>
        <v>8.4119106696046511E-2</v>
      </c>
      <c r="AH125" s="43">
        <f t="shared" si="282"/>
        <v>0</v>
      </c>
      <c r="AI125" s="43">
        <f t="shared" si="283"/>
        <v>0</v>
      </c>
      <c r="AJ125" s="43">
        <f t="shared" si="284"/>
        <v>316.8570456873486</v>
      </c>
      <c r="AK125" s="43">
        <f t="shared" si="285"/>
        <v>172.77130882126221</v>
      </c>
      <c r="AL125" s="43">
        <f t="shared" si="286"/>
        <v>903.55229059131136</v>
      </c>
      <c r="AM125" s="43">
        <f t="shared" si="287"/>
        <v>1393.1806450999222</v>
      </c>
      <c r="AN125" s="43">
        <f t="shared" si="288"/>
        <v>0</v>
      </c>
      <c r="AO125" s="43">
        <f t="shared" si="289"/>
        <v>0</v>
      </c>
      <c r="AP125" s="43">
        <f t="shared" si="290"/>
        <v>3802.2845482481835</v>
      </c>
      <c r="AQ125" s="43">
        <f t="shared" si="291"/>
        <v>2073.2557058551465</v>
      </c>
      <c r="AR125" s="43">
        <f t="shared" si="292"/>
        <v>10842.627487095737</v>
      </c>
      <c r="AS125" s="43">
        <f t="shared" si="293"/>
        <v>16718.167741199068</v>
      </c>
    </row>
    <row r="126" spans="1:45" x14ac:dyDescent="0.2">
      <c r="A126" s="58" t="str">
        <f t="shared" si="294"/>
        <v>54E</v>
      </c>
      <c r="B126" s="21" t="s">
        <v>605</v>
      </c>
      <c r="C126" s="21" t="str">
        <f>'WP1 Light Inventory'!D127</f>
        <v>Sodium Vapor</v>
      </c>
      <c r="D126" s="21" t="str">
        <f>'WP1 Light Inventory'!E127</f>
        <v>SV 100</v>
      </c>
      <c r="E126" s="21">
        <f>'WP1 Light Inventory'!F127</f>
        <v>100</v>
      </c>
      <c r="F126" s="21" t="str">
        <f>'WP1 Light Inventory'!H127</f>
        <v>Customer</v>
      </c>
      <c r="G126" s="397">
        <f>'WP1 Light Inventory'!J127</f>
        <v>1524</v>
      </c>
      <c r="H126" s="74" t="s">
        <v>600</v>
      </c>
      <c r="I126" s="14" t="s">
        <v>159</v>
      </c>
      <c r="J126" s="19">
        <f>IF(C126="Light Emitting Diode",'WP10 O&amp;M Weighting Factor'!$B$26,IF('WP12 Condensed Sch. Level Costs'!C126="Sodium Vapor",'WP10 O&amp;M Weighting Factor'!$B$27,IF('WP12 Condensed Sch. Level Costs'!C126="Metal Halide",'WP10 O&amp;M Weighting Factor'!$B$28,IF('WP12 Condensed Sch. Level Costs'!C126="Mercury Vapor",'WP10 O&amp;M Weighting Factor'!$B$30,IF('WP12 Condensed Sch. Level Costs'!C126="Compact Flourescent",'WP10 O&amp;M Weighting Factor'!$B$29, IF(C126="Incandescent", 'WP10 O&amp;M Weighting Factor'!$B$31, 0))))))</f>
        <v>1</v>
      </c>
      <c r="K126" s="282">
        <f t="shared" si="266"/>
        <v>0</v>
      </c>
      <c r="L126" s="74">
        <f t="shared" si="267"/>
        <v>0</v>
      </c>
      <c r="M126" s="283">
        <f t="shared" si="268"/>
        <v>152.4</v>
      </c>
      <c r="N126" s="398">
        <f>'WP1 Light Inventory'!L127</f>
        <v>640080</v>
      </c>
      <c r="O126" s="284">
        <f t="shared" si="269"/>
        <v>35</v>
      </c>
      <c r="P126" s="261">
        <f>'BDJ-6 Unitized Lighting Costs'!D$20</f>
        <v>1.0137794003499056E-2</v>
      </c>
      <c r="Q126" s="261">
        <f>'BDJ-6 Unitized Lighting Costs'!$D$43</f>
        <v>2.2529806535397991</v>
      </c>
      <c r="R126" s="261">
        <f>'BDJ-6 Unitized Lighting Costs'!D$69</f>
        <v>1.9131568994526543E-2</v>
      </c>
      <c r="S126" s="261">
        <f>'BDJ-6 Unitized Lighting Costs'!D$100</f>
        <v>3.6511265600435805</v>
      </c>
      <c r="T126" s="261">
        <f>'BDJ-6 Unitized Lighting Costs'!$D$117</f>
        <v>5.4555747529966878E-2</v>
      </c>
      <c r="U126" s="43">
        <f t="shared" si="270"/>
        <v>0</v>
      </c>
      <c r="V126" s="43">
        <f t="shared" si="271"/>
        <v>0</v>
      </c>
      <c r="W126" s="43">
        <f t="shared" si="272"/>
        <v>0.66960491480842899</v>
      </c>
      <c r="X126" s="43">
        <f t="shared" si="273"/>
        <v>0.36511265600435805</v>
      </c>
      <c r="Y126" s="43">
        <f t="shared" si="274"/>
        <v>1.9094511635488407</v>
      </c>
      <c r="Z126" s="43">
        <f t="shared" si="275"/>
        <v>2.9441687343616278</v>
      </c>
      <c r="AA126" s="220"/>
      <c r="AB126" s="240">
        <f t="shared" si="276"/>
        <v>0</v>
      </c>
      <c r="AC126" s="240">
        <f t="shared" si="277"/>
        <v>0</v>
      </c>
      <c r="AD126" s="240">
        <f t="shared" si="278"/>
        <v>1.9131568994526543E-2</v>
      </c>
      <c r="AE126" s="240">
        <f t="shared" si="279"/>
        <v>1.0431790171553088E-2</v>
      </c>
      <c r="AF126" s="240">
        <f t="shared" si="280"/>
        <v>5.4555747529966878E-2</v>
      </c>
      <c r="AG126" s="240">
        <f t="shared" si="281"/>
        <v>8.4119106696046511E-2</v>
      </c>
      <c r="AH126" s="43">
        <f t="shared" si="282"/>
        <v>0</v>
      </c>
      <c r="AI126" s="43">
        <f t="shared" si="283"/>
        <v>0</v>
      </c>
      <c r="AJ126" s="43">
        <f t="shared" si="284"/>
        <v>1020.4778901680457</v>
      </c>
      <c r="AK126" s="43">
        <f t="shared" si="285"/>
        <v>556.43168775064169</v>
      </c>
      <c r="AL126" s="43">
        <f t="shared" si="286"/>
        <v>2910.0035732484334</v>
      </c>
      <c r="AM126" s="43">
        <f t="shared" si="287"/>
        <v>4486.9131511671203</v>
      </c>
      <c r="AN126" s="43">
        <f t="shared" si="288"/>
        <v>0</v>
      </c>
      <c r="AO126" s="43">
        <f t="shared" si="289"/>
        <v>0</v>
      </c>
      <c r="AP126" s="43">
        <f t="shared" si="290"/>
        <v>12245.734682016549</v>
      </c>
      <c r="AQ126" s="43">
        <f t="shared" si="291"/>
        <v>6677.1802530077002</v>
      </c>
      <c r="AR126" s="43">
        <f t="shared" si="292"/>
        <v>34920.042878981199</v>
      </c>
      <c r="AS126" s="43">
        <f t="shared" si="293"/>
        <v>53842.957814005444</v>
      </c>
    </row>
    <row r="127" spans="1:45" x14ac:dyDescent="0.2">
      <c r="A127" s="58" t="str">
        <f t="shared" si="294"/>
        <v>54E</v>
      </c>
      <c r="B127" s="21" t="s">
        <v>605</v>
      </c>
      <c r="C127" s="21" t="str">
        <f>'WP1 Light Inventory'!D128</f>
        <v>Sodium Vapor</v>
      </c>
      <c r="D127" s="21" t="str">
        <f>'WP1 Light Inventory'!E128</f>
        <v>SV 150</v>
      </c>
      <c r="E127" s="21">
        <f>'WP1 Light Inventory'!F128</f>
        <v>150</v>
      </c>
      <c r="F127" s="21" t="str">
        <f>'WP1 Light Inventory'!H128</f>
        <v>Customer</v>
      </c>
      <c r="G127" s="397">
        <f>'WP1 Light Inventory'!J128</f>
        <v>456</v>
      </c>
      <c r="H127" s="74" t="s">
        <v>600</v>
      </c>
      <c r="I127" s="14" t="s">
        <v>159</v>
      </c>
      <c r="J127" s="19">
        <f>IF(C127="Light Emitting Diode",'WP10 O&amp;M Weighting Factor'!$B$26,IF('WP12 Condensed Sch. Level Costs'!C127="Sodium Vapor",'WP10 O&amp;M Weighting Factor'!$B$27,IF('WP12 Condensed Sch. Level Costs'!C127="Metal Halide",'WP10 O&amp;M Weighting Factor'!$B$28,IF('WP12 Condensed Sch. Level Costs'!C127="Mercury Vapor",'WP10 O&amp;M Weighting Factor'!$B$30,IF('WP12 Condensed Sch. Level Costs'!C127="Compact Flourescent",'WP10 O&amp;M Weighting Factor'!$B$29, IF(C127="Incandescent", 'WP10 O&amp;M Weighting Factor'!$B$31, 0))))))</f>
        <v>1</v>
      </c>
      <c r="K127" s="282">
        <f t="shared" si="266"/>
        <v>0</v>
      </c>
      <c r="L127" s="74">
        <f t="shared" si="267"/>
        <v>0</v>
      </c>
      <c r="M127" s="283">
        <f t="shared" si="268"/>
        <v>68.400000000000006</v>
      </c>
      <c r="N127" s="398">
        <f>'WP1 Light Inventory'!L128</f>
        <v>287280</v>
      </c>
      <c r="O127" s="284">
        <f t="shared" si="269"/>
        <v>52.5</v>
      </c>
      <c r="P127" s="261">
        <f>'BDJ-6 Unitized Lighting Costs'!D$20</f>
        <v>1.0137794003499056E-2</v>
      </c>
      <c r="Q127" s="261">
        <f>'BDJ-6 Unitized Lighting Costs'!$D$43</f>
        <v>2.2529806535397991</v>
      </c>
      <c r="R127" s="261">
        <f>'BDJ-6 Unitized Lighting Costs'!D$69</f>
        <v>1.9131568994526543E-2</v>
      </c>
      <c r="S127" s="261">
        <f>'BDJ-6 Unitized Lighting Costs'!D$100</f>
        <v>3.6511265600435805</v>
      </c>
      <c r="T127" s="261">
        <f>'BDJ-6 Unitized Lighting Costs'!$D$117</f>
        <v>5.4555747529966878E-2</v>
      </c>
      <c r="U127" s="43">
        <f t="shared" si="270"/>
        <v>0</v>
      </c>
      <c r="V127" s="43">
        <f t="shared" si="271"/>
        <v>0</v>
      </c>
      <c r="W127" s="43">
        <f t="shared" si="272"/>
        <v>1.0044073722126434</v>
      </c>
      <c r="X127" s="43">
        <f t="shared" si="273"/>
        <v>0.54766898400653719</v>
      </c>
      <c r="Y127" s="43">
        <f t="shared" si="274"/>
        <v>2.8641767453232609</v>
      </c>
      <c r="Z127" s="43">
        <f t="shared" si="275"/>
        <v>4.4162531015424413</v>
      </c>
      <c r="AA127" s="220"/>
      <c r="AB127" s="240">
        <f t="shared" si="276"/>
        <v>0</v>
      </c>
      <c r="AC127" s="240">
        <f t="shared" si="277"/>
        <v>0</v>
      </c>
      <c r="AD127" s="240">
        <f t="shared" si="278"/>
        <v>1.9131568994526543E-2</v>
      </c>
      <c r="AE127" s="240">
        <f t="shared" si="279"/>
        <v>1.0431790171553089E-2</v>
      </c>
      <c r="AF127" s="240">
        <f t="shared" si="280"/>
        <v>5.4555747529966878E-2</v>
      </c>
      <c r="AG127" s="240">
        <f t="shared" si="281"/>
        <v>8.4119106696046511E-2</v>
      </c>
      <c r="AH127" s="43">
        <f t="shared" si="282"/>
        <v>0</v>
      </c>
      <c r="AI127" s="43">
        <f t="shared" si="283"/>
        <v>0</v>
      </c>
      <c r="AJ127" s="43">
        <f t="shared" si="284"/>
        <v>458.00976172896537</v>
      </c>
      <c r="AK127" s="43">
        <f t="shared" si="285"/>
        <v>249.73705670698095</v>
      </c>
      <c r="AL127" s="43">
        <f t="shared" si="286"/>
        <v>1306.064595867407</v>
      </c>
      <c r="AM127" s="43">
        <f t="shared" si="287"/>
        <v>2013.8114143033533</v>
      </c>
      <c r="AN127" s="43">
        <f t="shared" si="288"/>
        <v>0</v>
      </c>
      <c r="AO127" s="43">
        <f t="shared" si="289"/>
        <v>0</v>
      </c>
      <c r="AP127" s="43">
        <f t="shared" si="290"/>
        <v>5496.1171407475849</v>
      </c>
      <c r="AQ127" s="43">
        <f t="shared" si="291"/>
        <v>2996.8446804837713</v>
      </c>
      <c r="AR127" s="43">
        <f t="shared" si="292"/>
        <v>15672.775150408885</v>
      </c>
      <c r="AS127" s="43">
        <f t="shared" si="293"/>
        <v>24165.736971640239</v>
      </c>
    </row>
    <row r="128" spans="1:45" x14ac:dyDescent="0.2">
      <c r="A128" s="58" t="str">
        <f t="shared" si="294"/>
        <v>54E</v>
      </c>
      <c r="B128" s="21" t="s">
        <v>605</v>
      </c>
      <c r="C128" s="21" t="str">
        <f>'WP1 Light Inventory'!D129</f>
        <v>Sodium Vapor</v>
      </c>
      <c r="D128" s="21" t="str">
        <f>'WP1 Light Inventory'!E129</f>
        <v>SV 200</v>
      </c>
      <c r="E128" s="21">
        <f>'WP1 Light Inventory'!F129</f>
        <v>200</v>
      </c>
      <c r="F128" s="21" t="str">
        <f>'WP1 Light Inventory'!H129</f>
        <v>Customer</v>
      </c>
      <c r="G128" s="397">
        <f>'WP1 Light Inventory'!J129</f>
        <v>548</v>
      </c>
      <c r="H128" s="74" t="s">
        <v>600</v>
      </c>
      <c r="I128" s="14" t="s">
        <v>159</v>
      </c>
      <c r="J128" s="19">
        <f>IF(C128="Light Emitting Diode",'WP10 O&amp;M Weighting Factor'!$B$26,IF('WP12 Condensed Sch. Level Costs'!C128="Sodium Vapor",'WP10 O&amp;M Weighting Factor'!$B$27,IF('WP12 Condensed Sch. Level Costs'!C128="Metal Halide",'WP10 O&amp;M Weighting Factor'!$B$28,IF('WP12 Condensed Sch. Level Costs'!C128="Mercury Vapor",'WP10 O&amp;M Weighting Factor'!$B$30,IF('WP12 Condensed Sch. Level Costs'!C128="Compact Flourescent",'WP10 O&amp;M Weighting Factor'!$B$29, IF(C128="Incandescent", 'WP10 O&amp;M Weighting Factor'!$B$31, 0))))))</f>
        <v>1</v>
      </c>
      <c r="K128" s="282">
        <f t="shared" si="266"/>
        <v>0</v>
      </c>
      <c r="L128" s="74">
        <f t="shared" si="267"/>
        <v>0</v>
      </c>
      <c r="M128" s="283">
        <f t="shared" si="268"/>
        <v>109.6</v>
      </c>
      <c r="N128" s="398">
        <f>'WP1 Light Inventory'!L129</f>
        <v>460320</v>
      </c>
      <c r="O128" s="284">
        <f t="shared" si="269"/>
        <v>70</v>
      </c>
      <c r="P128" s="261">
        <f>'BDJ-6 Unitized Lighting Costs'!D$20</f>
        <v>1.0137794003499056E-2</v>
      </c>
      <c r="Q128" s="261">
        <f>'BDJ-6 Unitized Lighting Costs'!$D$43</f>
        <v>2.2529806535397991</v>
      </c>
      <c r="R128" s="261">
        <f>'BDJ-6 Unitized Lighting Costs'!D$69</f>
        <v>1.9131568994526543E-2</v>
      </c>
      <c r="S128" s="261">
        <f>'BDJ-6 Unitized Lighting Costs'!D$100</f>
        <v>3.6511265600435805</v>
      </c>
      <c r="T128" s="261">
        <f>'BDJ-6 Unitized Lighting Costs'!$D$117</f>
        <v>5.4555747529966878E-2</v>
      </c>
      <c r="U128" s="43">
        <f t="shared" si="270"/>
        <v>0</v>
      </c>
      <c r="V128" s="43">
        <f t="shared" si="271"/>
        <v>0</v>
      </c>
      <c r="W128" s="43">
        <f t="shared" si="272"/>
        <v>1.339209829616858</v>
      </c>
      <c r="X128" s="43">
        <f t="shared" si="273"/>
        <v>0.7302253120087161</v>
      </c>
      <c r="Y128" s="43">
        <f t="shared" si="274"/>
        <v>3.8189023270976814</v>
      </c>
      <c r="Z128" s="43">
        <f t="shared" si="275"/>
        <v>5.8883374687232557</v>
      </c>
      <c r="AA128" s="220"/>
      <c r="AB128" s="240">
        <f t="shared" si="276"/>
        <v>0</v>
      </c>
      <c r="AC128" s="240">
        <f t="shared" si="277"/>
        <v>0</v>
      </c>
      <c r="AD128" s="240">
        <f t="shared" si="278"/>
        <v>1.9131568994526543E-2</v>
      </c>
      <c r="AE128" s="240">
        <f t="shared" si="279"/>
        <v>1.0431790171553088E-2</v>
      </c>
      <c r="AF128" s="240">
        <f t="shared" si="280"/>
        <v>5.4555747529966878E-2</v>
      </c>
      <c r="AG128" s="240">
        <f t="shared" si="281"/>
        <v>8.4119106696046511E-2</v>
      </c>
      <c r="AH128" s="43">
        <f t="shared" si="282"/>
        <v>0</v>
      </c>
      <c r="AI128" s="43">
        <f t="shared" si="283"/>
        <v>0</v>
      </c>
      <c r="AJ128" s="43">
        <f t="shared" si="284"/>
        <v>733.88698663003822</v>
      </c>
      <c r="AK128" s="43">
        <f t="shared" si="285"/>
        <v>400.16347098077642</v>
      </c>
      <c r="AL128" s="43">
        <f t="shared" si="286"/>
        <v>2092.7584752495295</v>
      </c>
      <c r="AM128" s="43">
        <f t="shared" si="287"/>
        <v>3226.8089328603442</v>
      </c>
      <c r="AN128" s="43">
        <f t="shared" si="288"/>
        <v>0</v>
      </c>
      <c r="AO128" s="43">
        <f t="shared" si="289"/>
        <v>0</v>
      </c>
      <c r="AP128" s="43">
        <f t="shared" si="290"/>
        <v>8806.6438395604582</v>
      </c>
      <c r="AQ128" s="43">
        <f t="shared" si="291"/>
        <v>4801.9616517693175</v>
      </c>
      <c r="AR128" s="43">
        <f t="shared" si="292"/>
        <v>25113.101702994354</v>
      </c>
      <c r="AS128" s="43">
        <f t="shared" si="293"/>
        <v>38721.707194324132</v>
      </c>
    </row>
    <row r="129" spans="1:45" x14ac:dyDescent="0.2">
      <c r="A129" s="58" t="str">
        <f t="shared" si="294"/>
        <v>54E</v>
      </c>
      <c r="B129" s="21" t="s">
        <v>605</v>
      </c>
      <c r="C129" s="21" t="str">
        <f>'WP1 Light Inventory'!D130</f>
        <v>Sodium Vapor</v>
      </c>
      <c r="D129" s="21" t="str">
        <f>'WP1 Light Inventory'!E130</f>
        <v>SV 250</v>
      </c>
      <c r="E129" s="21">
        <f>'WP1 Light Inventory'!F130</f>
        <v>250</v>
      </c>
      <c r="F129" s="21" t="str">
        <f>'WP1 Light Inventory'!H130</f>
        <v>Customer</v>
      </c>
      <c r="G129" s="397">
        <f>'WP1 Light Inventory'!J130</f>
        <v>1362</v>
      </c>
      <c r="H129" s="74" t="s">
        <v>600</v>
      </c>
      <c r="I129" s="14" t="s">
        <v>159</v>
      </c>
      <c r="J129" s="19">
        <f>IF(C129="Light Emitting Diode",'WP10 O&amp;M Weighting Factor'!$B$26,IF('WP12 Condensed Sch. Level Costs'!C129="Sodium Vapor",'WP10 O&amp;M Weighting Factor'!$B$27,IF('WP12 Condensed Sch. Level Costs'!C129="Metal Halide",'WP10 O&amp;M Weighting Factor'!$B$28,IF('WP12 Condensed Sch. Level Costs'!C129="Mercury Vapor",'WP10 O&amp;M Weighting Factor'!$B$30,IF('WP12 Condensed Sch. Level Costs'!C129="Compact Flourescent",'WP10 O&amp;M Weighting Factor'!$B$29, IF(C129="Incandescent", 'WP10 O&amp;M Weighting Factor'!$B$31, 0))))))</f>
        <v>1</v>
      </c>
      <c r="K129" s="282">
        <f t="shared" si="266"/>
        <v>0</v>
      </c>
      <c r="L129" s="74">
        <f t="shared" si="267"/>
        <v>0</v>
      </c>
      <c r="M129" s="283">
        <f t="shared" si="268"/>
        <v>340.5</v>
      </c>
      <c r="N129" s="398">
        <f>'WP1 Light Inventory'!L130</f>
        <v>1430100</v>
      </c>
      <c r="O129" s="284">
        <f t="shared" si="269"/>
        <v>87.5</v>
      </c>
      <c r="P129" s="261">
        <f>'BDJ-6 Unitized Lighting Costs'!D$20</f>
        <v>1.0137794003499056E-2</v>
      </c>
      <c r="Q129" s="261">
        <f>'BDJ-6 Unitized Lighting Costs'!$D$43</f>
        <v>2.2529806535397991</v>
      </c>
      <c r="R129" s="261">
        <f>'BDJ-6 Unitized Lighting Costs'!D$69</f>
        <v>1.9131568994526543E-2</v>
      </c>
      <c r="S129" s="261">
        <f>'BDJ-6 Unitized Lighting Costs'!D$100</f>
        <v>3.6511265600435805</v>
      </c>
      <c r="T129" s="261">
        <f>'BDJ-6 Unitized Lighting Costs'!$D$117</f>
        <v>5.4555747529966878E-2</v>
      </c>
      <c r="U129" s="43">
        <f t="shared" si="270"/>
        <v>0</v>
      </c>
      <c r="V129" s="43">
        <f t="shared" si="271"/>
        <v>0</v>
      </c>
      <c r="W129" s="43">
        <f t="shared" si="272"/>
        <v>1.6740122870210725</v>
      </c>
      <c r="X129" s="43">
        <f t="shared" si="273"/>
        <v>0.91278164001089512</v>
      </c>
      <c r="Y129" s="43">
        <f t="shared" si="274"/>
        <v>4.7736279088721014</v>
      </c>
      <c r="Z129" s="43">
        <f t="shared" si="275"/>
        <v>7.3604218359040692</v>
      </c>
      <c r="AA129" s="220"/>
      <c r="AB129" s="240">
        <f t="shared" si="276"/>
        <v>0</v>
      </c>
      <c r="AC129" s="240">
        <f t="shared" si="277"/>
        <v>0</v>
      </c>
      <c r="AD129" s="240">
        <f t="shared" si="278"/>
        <v>1.9131568994526543E-2</v>
      </c>
      <c r="AE129" s="240">
        <f t="shared" si="279"/>
        <v>1.0431790171553088E-2</v>
      </c>
      <c r="AF129" s="240">
        <f t="shared" si="280"/>
        <v>5.4555747529966871E-2</v>
      </c>
      <c r="AG129" s="240">
        <f t="shared" si="281"/>
        <v>8.4119106696046497E-2</v>
      </c>
      <c r="AH129" s="43">
        <f t="shared" si="282"/>
        <v>0</v>
      </c>
      <c r="AI129" s="43">
        <f t="shared" si="283"/>
        <v>0</v>
      </c>
      <c r="AJ129" s="43">
        <f t="shared" si="284"/>
        <v>2280.0047349227007</v>
      </c>
      <c r="AK129" s="43">
        <f t="shared" si="285"/>
        <v>1243.2085936948392</v>
      </c>
      <c r="AL129" s="43">
        <f t="shared" si="286"/>
        <v>6501.6812118838025</v>
      </c>
      <c r="AM129" s="43">
        <f t="shared" si="287"/>
        <v>10024.894540501342</v>
      </c>
      <c r="AN129" s="43">
        <f t="shared" si="288"/>
        <v>0</v>
      </c>
      <c r="AO129" s="43">
        <f t="shared" si="289"/>
        <v>0</v>
      </c>
      <c r="AP129" s="43">
        <f t="shared" si="290"/>
        <v>27360.056819072408</v>
      </c>
      <c r="AQ129" s="43">
        <f t="shared" si="291"/>
        <v>14918.503124338071</v>
      </c>
      <c r="AR129" s="43">
        <f t="shared" si="292"/>
        <v>78020.17454260563</v>
      </c>
      <c r="AS129" s="43">
        <f t="shared" si="293"/>
        <v>120298.7344860161</v>
      </c>
    </row>
    <row r="130" spans="1:45" x14ac:dyDescent="0.2">
      <c r="A130" s="58" t="str">
        <f t="shared" si="294"/>
        <v>54E</v>
      </c>
      <c r="B130" s="21" t="s">
        <v>605</v>
      </c>
      <c r="C130" s="21" t="str">
        <f>'WP1 Light Inventory'!D131</f>
        <v>Sodium Vapor</v>
      </c>
      <c r="D130" s="21" t="str">
        <f>'WP1 Light Inventory'!E131</f>
        <v>SV 310</v>
      </c>
      <c r="E130" s="21">
        <f>'WP1 Light Inventory'!F131</f>
        <v>310</v>
      </c>
      <c r="F130" s="21" t="str">
        <f>'WP1 Light Inventory'!H131</f>
        <v>Customer</v>
      </c>
      <c r="G130" s="397">
        <f>'WP1 Light Inventory'!J131</f>
        <v>56</v>
      </c>
      <c r="H130" s="74" t="s">
        <v>600</v>
      </c>
      <c r="I130" s="14" t="s">
        <v>159</v>
      </c>
      <c r="J130" s="19">
        <f>IF(C130="Light Emitting Diode",'WP10 O&amp;M Weighting Factor'!$B$26,IF('WP12 Condensed Sch. Level Costs'!C130="Sodium Vapor",'WP10 O&amp;M Weighting Factor'!$B$27,IF('WP12 Condensed Sch. Level Costs'!C130="Metal Halide",'WP10 O&amp;M Weighting Factor'!$B$28,IF('WP12 Condensed Sch. Level Costs'!C130="Mercury Vapor",'WP10 O&amp;M Weighting Factor'!$B$30,IF('WP12 Condensed Sch. Level Costs'!C130="Compact Flourescent",'WP10 O&amp;M Weighting Factor'!$B$29, IF(C130="Incandescent", 'WP10 O&amp;M Weighting Factor'!$B$31, 0))))))</f>
        <v>1</v>
      </c>
      <c r="K130" s="282">
        <f t="shared" si="266"/>
        <v>0</v>
      </c>
      <c r="L130" s="74">
        <f t="shared" si="267"/>
        <v>0</v>
      </c>
      <c r="M130" s="283">
        <f t="shared" si="268"/>
        <v>17.36</v>
      </c>
      <c r="N130" s="398">
        <f>'WP1 Light Inventory'!L131</f>
        <v>72912</v>
      </c>
      <c r="O130" s="284">
        <f t="shared" si="269"/>
        <v>108.5</v>
      </c>
      <c r="P130" s="261">
        <f>'BDJ-6 Unitized Lighting Costs'!D$20</f>
        <v>1.0137794003499056E-2</v>
      </c>
      <c r="Q130" s="261">
        <f>'BDJ-6 Unitized Lighting Costs'!$D$43</f>
        <v>2.2529806535397991</v>
      </c>
      <c r="R130" s="261">
        <f>'BDJ-6 Unitized Lighting Costs'!D$69</f>
        <v>1.9131568994526543E-2</v>
      </c>
      <c r="S130" s="261">
        <f>'BDJ-6 Unitized Lighting Costs'!D$100</f>
        <v>3.6511265600435805</v>
      </c>
      <c r="T130" s="261">
        <f>'BDJ-6 Unitized Lighting Costs'!$D$117</f>
        <v>5.4555747529966878E-2</v>
      </c>
      <c r="U130" s="43">
        <f t="shared" si="270"/>
        <v>0</v>
      </c>
      <c r="V130" s="43">
        <f t="shared" si="271"/>
        <v>0</v>
      </c>
      <c r="W130" s="43">
        <f t="shared" si="272"/>
        <v>2.0757752359061299</v>
      </c>
      <c r="X130" s="43">
        <f t="shared" si="273"/>
        <v>1.13184923361351</v>
      </c>
      <c r="Y130" s="43">
        <f t="shared" si="274"/>
        <v>5.919298607001406</v>
      </c>
      <c r="Z130" s="43">
        <f t="shared" si="275"/>
        <v>9.1269230765210452</v>
      </c>
      <c r="AA130" s="220"/>
      <c r="AB130" s="240">
        <f t="shared" si="276"/>
        <v>0</v>
      </c>
      <c r="AC130" s="240">
        <f t="shared" si="277"/>
        <v>0</v>
      </c>
      <c r="AD130" s="240">
        <f t="shared" si="278"/>
        <v>1.9131568994526543E-2</v>
      </c>
      <c r="AE130" s="240">
        <f t="shared" si="279"/>
        <v>1.0431790171553088E-2</v>
      </c>
      <c r="AF130" s="240">
        <f t="shared" si="280"/>
        <v>5.4555747529966878E-2</v>
      </c>
      <c r="AG130" s="240">
        <f t="shared" si="281"/>
        <v>8.4119106696046511E-2</v>
      </c>
      <c r="AH130" s="43">
        <f t="shared" si="282"/>
        <v>0</v>
      </c>
      <c r="AI130" s="43">
        <f t="shared" si="283"/>
        <v>0</v>
      </c>
      <c r="AJ130" s="43">
        <f t="shared" si="284"/>
        <v>116.24341321074327</v>
      </c>
      <c r="AK130" s="43">
        <f t="shared" si="285"/>
        <v>63.38355708235656</v>
      </c>
      <c r="AL130" s="43">
        <f t="shared" si="286"/>
        <v>331.48072199207871</v>
      </c>
      <c r="AM130" s="43">
        <f t="shared" si="287"/>
        <v>511.10769228517853</v>
      </c>
      <c r="AN130" s="43">
        <f t="shared" si="288"/>
        <v>0</v>
      </c>
      <c r="AO130" s="43">
        <f t="shared" si="289"/>
        <v>0</v>
      </c>
      <c r="AP130" s="43">
        <f t="shared" si="290"/>
        <v>1394.9209585289193</v>
      </c>
      <c r="AQ130" s="43">
        <f t="shared" si="291"/>
        <v>760.60268498827872</v>
      </c>
      <c r="AR130" s="43">
        <f t="shared" si="292"/>
        <v>3977.7686639049443</v>
      </c>
      <c r="AS130" s="43">
        <f t="shared" si="293"/>
        <v>6133.2923074221426</v>
      </c>
    </row>
    <row r="131" spans="1:45" x14ac:dyDescent="0.2">
      <c r="A131" s="58" t="str">
        <f t="shared" si="294"/>
        <v>54E</v>
      </c>
      <c r="B131" s="21" t="s">
        <v>605</v>
      </c>
      <c r="C131" s="21" t="str">
        <f>'WP1 Light Inventory'!D132</f>
        <v>Sodium Vapor</v>
      </c>
      <c r="D131" s="21" t="str">
        <f>'WP1 Light Inventory'!E132</f>
        <v>SV 400</v>
      </c>
      <c r="E131" s="21">
        <f>'WP1 Light Inventory'!F132</f>
        <v>400</v>
      </c>
      <c r="F131" s="21" t="str">
        <f>'WP1 Light Inventory'!H132</f>
        <v>Customer</v>
      </c>
      <c r="G131" s="397">
        <f>'WP1 Light Inventory'!J132</f>
        <v>616</v>
      </c>
      <c r="H131" s="74" t="s">
        <v>600</v>
      </c>
      <c r="I131" s="14" t="s">
        <v>159</v>
      </c>
      <c r="J131" s="19">
        <f>IF(C131="Light Emitting Diode",'WP10 O&amp;M Weighting Factor'!$B$26,IF('WP12 Condensed Sch. Level Costs'!C131="Sodium Vapor",'WP10 O&amp;M Weighting Factor'!$B$27,IF('WP12 Condensed Sch. Level Costs'!C131="Metal Halide",'WP10 O&amp;M Weighting Factor'!$B$28,IF('WP12 Condensed Sch. Level Costs'!C131="Mercury Vapor",'WP10 O&amp;M Weighting Factor'!$B$30,IF('WP12 Condensed Sch. Level Costs'!C131="Compact Flourescent",'WP10 O&amp;M Weighting Factor'!$B$29, IF(C131="Incandescent", 'WP10 O&amp;M Weighting Factor'!$B$31, 0))))))</f>
        <v>1</v>
      </c>
      <c r="K131" s="282">
        <f t="shared" si="266"/>
        <v>0</v>
      </c>
      <c r="L131" s="74">
        <f t="shared" si="267"/>
        <v>0</v>
      </c>
      <c r="M131" s="283">
        <f t="shared" si="268"/>
        <v>246.4</v>
      </c>
      <c r="N131" s="398">
        <f>'WP1 Light Inventory'!L132</f>
        <v>1034880</v>
      </c>
      <c r="O131" s="284">
        <f t="shared" si="269"/>
        <v>140</v>
      </c>
      <c r="P131" s="261">
        <f>'BDJ-6 Unitized Lighting Costs'!D$20</f>
        <v>1.0137794003499056E-2</v>
      </c>
      <c r="Q131" s="261">
        <f>'BDJ-6 Unitized Lighting Costs'!$D$43</f>
        <v>2.2529806535397991</v>
      </c>
      <c r="R131" s="261">
        <f>'BDJ-6 Unitized Lighting Costs'!D$69</f>
        <v>1.9131568994526543E-2</v>
      </c>
      <c r="S131" s="261">
        <f>'BDJ-6 Unitized Lighting Costs'!D$100</f>
        <v>3.6511265600435805</v>
      </c>
      <c r="T131" s="261">
        <f>'BDJ-6 Unitized Lighting Costs'!$D$117</f>
        <v>5.4555747529966878E-2</v>
      </c>
      <c r="U131" s="43">
        <f t="shared" si="270"/>
        <v>0</v>
      </c>
      <c r="V131" s="43">
        <f t="shared" si="271"/>
        <v>0</v>
      </c>
      <c r="W131" s="43">
        <f t="shared" si="272"/>
        <v>2.6784196592337159</v>
      </c>
      <c r="X131" s="43">
        <f t="shared" si="273"/>
        <v>1.4604506240174322</v>
      </c>
      <c r="Y131" s="43">
        <f t="shared" si="274"/>
        <v>7.6378046541953628</v>
      </c>
      <c r="Z131" s="43">
        <f t="shared" si="275"/>
        <v>11.776674937446511</v>
      </c>
      <c r="AA131" s="220"/>
      <c r="AB131" s="240">
        <f t="shared" si="276"/>
        <v>0</v>
      </c>
      <c r="AC131" s="240">
        <f t="shared" si="277"/>
        <v>0</v>
      </c>
      <c r="AD131" s="240">
        <f t="shared" si="278"/>
        <v>1.9131568994526543E-2</v>
      </c>
      <c r="AE131" s="240">
        <f t="shared" si="279"/>
        <v>1.0431790171553088E-2</v>
      </c>
      <c r="AF131" s="240">
        <f t="shared" si="280"/>
        <v>5.4555747529966878E-2</v>
      </c>
      <c r="AG131" s="240">
        <f t="shared" si="281"/>
        <v>8.4119106696046511E-2</v>
      </c>
      <c r="AH131" s="43">
        <f t="shared" si="282"/>
        <v>0</v>
      </c>
      <c r="AI131" s="43">
        <f t="shared" si="283"/>
        <v>0</v>
      </c>
      <c r="AJ131" s="43">
        <f t="shared" si="284"/>
        <v>1649.9065100879691</v>
      </c>
      <c r="AK131" s="43">
        <f t="shared" si="285"/>
        <v>899.63758439473827</v>
      </c>
      <c r="AL131" s="43">
        <f t="shared" si="286"/>
        <v>4704.8876669843439</v>
      </c>
      <c r="AM131" s="43">
        <f t="shared" si="287"/>
        <v>7254.4317614670508</v>
      </c>
      <c r="AN131" s="43">
        <f t="shared" si="288"/>
        <v>0</v>
      </c>
      <c r="AO131" s="43">
        <f t="shared" si="289"/>
        <v>0</v>
      </c>
      <c r="AP131" s="43">
        <f t="shared" si="290"/>
        <v>19798.87812105563</v>
      </c>
      <c r="AQ131" s="43">
        <f t="shared" si="291"/>
        <v>10795.65101273686</v>
      </c>
      <c r="AR131" s="43">
        <f t="shared" si="292"/>
        <v>56458.652003812123</v>
      </c>
      <c r="AS131" s="43">
        <f t="shared" si="293"/>
        <v>87053.18113760461</v>
      </c>
    </row>
    <row r="132" spans="1:45" x14ac:dyDescent="0.2">
      <c r="A132" s="58" t="str">
        <f t="shared" si="294"/>
        <v>54E</v>
      </c>
      <c r="B132" s="21" t="s">
        <v>605</v>
      </c>
      <c r="C132" s="21" t="str">
        <f>'WP1 Light Inventory'!D133</f>
        <v>Sodium Vapor</v>
      </c>
      <c r="D132" s="21" t="str">
        <f>'WP1 Light Inventory'!E133</f>
        <v>SV 1000</v>
      </c>
      <c r="E132" s="21">
        <f>'WP1 Light Inventory'!F133</f>
        <v>1000</v>
      </c>
      <c r="F132" s="21" t="str">
        <f>'WP1 Light Inventory'!H133</f>
        <v>Customer</v>
      </c>
      <c r="G132" s="397">
        <f>'WP1 Light Inventory'!J133</f>
        <v>10</v>
      </c>
      <c r="H132" s="74" t="s">
        <v>600</v>
      </c>
      <c r="I132" s="14" t="s">
        <v>159</v>
      </c>
      <c r="J132" s="19">
        <f>IF(C132="Light Emitting Diode",'WP10 O&amp;M Weighting Factor'!$B$26,IF('WP12 Condensed Sch. Level Costs'!C132="Sodium Vapor",'WP10 O&amp;M Weighting Factor'!$B$27,IF('WP12 Condensed Sch. Level Costs'!C132="Metal Halide",'WP10 O&amp;M Weighting Factor'!$B$28,IF('WP12 Condensed Sch. Level Costs'!C132="Mercury Vapor",'WP10 O&amp;M Weighting Factor'!$B$30,IF('WP12 Condensed Sch. Level Costs'!C132="Compact Flourescent",'WP10 O&amp;M Weighting Factor'!$B$29, IF(C132="Incandescent", 'WP10 O&amp;M Weighting Factor'!$B$31, 0))))))</f>
        <v>1</v>
      </c>
      <c r="K132" s="282">
        <f t="shared" si="266"/>
        <v>0</v>
      </c>
      <c r="L132" s="74">
        <f t="shared" si="267"/>
        <v>0</v>
      </c>
      <c r="M132" s="283">
        <f t="shared" si="268"/>
        <v>10</v>
      </c>
      <c r="N132" s="398">
        <f>'WP1 Light Inventory'!L133</f>
        <v>42000</v>
      </c>
      <c r="O132" s="284">
        <f t="shared" si="269"/>
        <v>350</v>
      </c>
      <c r="P132" s="261">
        <f>'BDJ-6 Unitized Lighting Costs'!D$20</f>
        <v>1.0137794003499056E-2</v>
      </c>
      <c r="Q132" s="261">
        <f>'BDJ-6 Unitized Lighting Costs'!$D$43</f>
        <v>2.2529806535397991</v>
      </c>
      <c r="R132" s="261">
        <f>'BDJ-6 Unitized Lighting Costs'!D$69</f>
        <v>1.9131568994526543E-2</v>
      </c>
      <c r="S132" s="261">
        <f>'BDJ-6 Unitized Lighting Costs'!D$100</f>
        <v>3.6511265600435805</v>
      </c>
      <c r="T132" s="261">
        <f>'BDJ-6 Unitized Lighting Costs'!$D$117</f>
        <v>5.4555747529966878E-2</v>
      </c>
      <c r="U132" s="43">
        <f t="shared" si="270"/>
        <v>0</v>
      </c>
      <c r="V132" s="43">
        <f t="shared" si="271"/>
        <v>0</v>
      </c>
      <c r="W132" s="43">
        <f t="shared" si="272"/>
        <v>6.6960491480842901</v>
      </c>
      <c r="X132" s="43">
        <f t="shared" si="273"/>
        <v>3.6511265600435805</v>
      </c>
      <c r="Y132" s="43">
        <f t="shared" si="274"/>
        <v>19.094511635488406</v>
      </c>
      <c r="Z132" s="43">
        <f t="shared" si="275"/>
        <v>29.441687343616277</v>
      </c>
      <c r="AA132" s="220"/>
      <c r="AB132" s="240">
        <f t="shared" si="276"/>
        <v>0</v>
      </c>
      <c r="AC132" s="240">
        <f t="shared" si="277"/>
        <v>0</v>
      </c>
      <c r="AD132" s="240">
        <f t="shared" si="278"/>
        <v>1.9131568994526543E-2</v>
      </c>
      <c r="AE132" s="240">
        <f t="shared" si="279"/>
        <v>1.0431790171553088E-2</v>
      </c>
      <c r="AF132" s="240">
        <f t="shared" si="280"/>
        <v>5.4555747529966871E-2</v>
      </c>
      <c r="AG132" s="240">
        <f t="shared" si="281"/>
        <v>8.4119106696046497E-2</v>
      </c>
      <c r="AH132" s="43">
        <f t="shared" si="282"/>
        <v>0</v>
      </c>
      <c r="AI132" s="43">
        <f t="shared" si="283"/>
        <v>0</v>
      </c>
      <c r="AJ132" s="43">
        <f t="shared" si="284"/>
        <v>66.960491480842904</v>
      </c>
      <c r="AK132" s="43">
        <f t="shared" si="285"/>
        <v>36.511265600435806</v>
      </c>
      <c r="AL132" s="43">
        <f t="shared" si="286"/>
        <v>190.94511635488405</v>
      </c>
      <c r="AM132" s="43">
        <f t="shared" si="287"/>
        <v>294.41687343616275</v>
      </c>
      <c r="AN132" s="43">
        <f t="shared" si="288"/>
        <v>0</v>
      </c>
      <c r="AO132" s="43">
        <f t="shared" si="289"/>
        <v>0</v>
      </c>
      <c r="AP132" s="43">
        <f t="shared" si="290"/>
        <v>803.52589777011485</v>
      </c>
      <c r="AQ132" s="43">
        <f t="shared" si="291"/>
        <v>438.13518720522967</v>
      </c>
      <c r="AR132" s="43">
        <f t="shared" si="292"/>
        <v>2291.3413962586087</v>
      </c>
      <c r="AS132" s="43">
        <f t="shared" si="293"/>
        <v>3533.0024812339529</v>
      </c>
    </row>
    <row r="133" spans="1:45" x14ac:dyDescent="0.2">
      <c r="A133" s="58"/>
      <c r="B133" s="18"/>
      <c r="C133" s="47"/>
      <c r="D133" s="18"/>
      <c r="E133" s="401"/>
      <c r="G133" s="399"/>
      <c r="K133" s="282"/>
      <c r="L133" s="74"/>
      <c r="AA133" s="220"/>
      <c r="AB133" s="240"/>
      <c r="AC133" s="240"/>
      <c r="AD133" s="240"/>
      <c r="AE133" s="240"/>
      <c r="AF133" s="240"/>
      <c r="AG133" s="240"/>
    </row>
    <row r="134" spans="1:45" x14ac:dyDescent="0.2">
      <c r="A134" s="58" t="s">
        <v>60</v>
      </c>
      <c r="B134" s="22" t="s">
        <v>925</v>
      </c>
      <c r="C134" s="21" t="str">
        <f>'WP1 Light Inventory'!D135</f>
        <v>Light Emitting Diode</v>
      </c>
      <c r="D134" s="21" t="str">
        <f>'WP1 Light Inventory'!E135</f>
        <v>LED 0-030</v>
      </c>
      <c r="E134" s="21">
        <f>'WP1 Light Inventory'!F135</f>
        <v>15</v>
      </c>
      <c r="F134" s="21" t="str">
        <f>'WP1 Light Inventory'!H135</f>
        <v>Customer</v>
      </c>
      <c r="G134" s="397">
        <f>'WP1 Light Inventory'!J135</f>
        <v>0</v>
      </c>
      <c r="H134" s="74" t="s">
        <v>600</v>
      </c>
      <c r="I134" s="14" t="s">
        <v>159</v>
      </c>
      <c r="J134" s="19">
        <f>IF(C134="Light Emitting Diode",'WP10 O&amp;M Weighting Factor'!$B$26,IF('WP12 Condensed Sch. Level Costs'!C134="Sodium Vapor",'WP10 O&amp;M Weighting Factor'!$B$27,IF('WP12 Condensed Sch. Level Costs'!C134="Metal Halide",'WP10 O&amp;M Weighting Factor'!$B$28,IF('WP12 Condensed Sch. Level Costs'!C134="Mercury Vapor",'WP10 O&amp;M Weighting Factor'!$B$30,IF('WP12 Condensed Sch. Level Costs'!C134="Compact Flourescent",'WP10 O&amp;M Weighting Factor'!$B$29, IF(C134="Incandescent", 'WP10 O&amp;M Weighting Factor'!$B$31, 0))))))</f>
        <v>0.2</v>
      </c>
      <c r="K134" s="282">
        <f t="shared" ref="K134:K143" si="295">IF(I134="Yes",G134*J134,0)</f>
        <v>0</v>
      </c>
      <c r="L134" s="74">
        <f t="shared" ref="L134:L143" si="296">IF(F134="Company", G134*H134,0)</f>
        <v>0</v>
      </c>
      <c r="M134" s="283">
        <f t="shared" ref="M134:M143" si="297">E134*G134/1000</f>
        <v>0</v>
      </c>
      <c r="N134" s="398">
        <f>'WP1 Light Inventory'!L135</f>
        <v>0</v>
      </c>
      <c r="O134" s="284">
        <f t="shared" ref="O134:O143" si="298">E134*4200/1000/12</f>
        <v>5.25</v>
      </c>
      <c r="P134" s="261">
        <f>'BDJ-6 Unitized Lighting Costs'!D$20</f>
        <v>1.0137794003499056E-2</v>
      </c>
      <c r="Q134" s="261">
        <f>'BDJ-6 Unitized Lighting Costs'!$D$43</f>
        <v>2.2529806535397991</v>
      </c>
      <c r="R134" s="261">
        <f>'BDJ-6 Unitized Lighting Costs'!D$69</f>
        <v>1.9131568994526543E-2</v>
      </c>
      <c r="S134" s="261">
        <f>'BDJ-6 Unitized Lighting Costs'!D$100</f>
        <v>3.6511265600435805</v>
      </c>
      <c r="T134" s="261">
        <f>'BDJ-6 Unitized Lighting Costs'!$D$117</f>
        <v>5.4555747529966878E-2</v>
      </c>
      <c r="U134" s="43">
        <f t="shared" ref="U134:U143" si="299">IF(F134="Company", H134*P134, 0)</f>
        <v>0</v>
      </c>
      <c r="V134" s="43">
        <f t="shared" ref="V134:V143" si="300">IF(I134="yes", J134*Q134, 0)</f>
        <v>0</v>
      </c>
      <c r="W134" s="43">
        <f t="shared" ref="W134:W143" si="301">R134*O134</f>
        <v>0.10044073722126434</v>
      </c>
      <c r="X134" s="43">
        <f t="shared" ref="X134:X143" si="302">E134*S134/1000</f>
        <v>5.4766898400653706E-2</v>
      </c>
      <c r="Y134" s="43">
        <f t="shared" ref="Y134:Y143" si="303">O134*T134</f>
        <v>0.28641767453232608</v>
      </c>
      <c r="Z134" s="43">
        <f t="shared" ref="Z134:Z143" si="304">SUM(U134:Y134)</f>
        <v>0.44162531015424411</v>
      </c>
      <c r="AA134" s="220"/>
      <c r="AB134" s="240">
        <f t="shared" ref="AB134:AB143" si="305">IFERROR(U134/O134,0)</f>
        <v>0</v>
      </c>
      <c r="AC134" s="240">
        <f t="shared" ref="AC134:AC143" si="306">IFERROR(V134/O134,0)</f>
        <v>0</v>
      </c>
      <c r="AD134" s="240">
        <f t="shared" ref="AD134:AD143" si="307">IFERROR(W134/O134,0)</f>
        <v>1.9131568994526543E-2</v>
      </c>
      <c r="AE134" s="240">
        <f t="shared" ref="AE134:AE143" si="308">IFERROR(X134/O134,0)</f>
        <v>1.0431790171553088E-2</v>
      </c>
      <c r="AF134" s="240">
        <f t="shared" ref="AF134:AF143" si="309">IFERROR(Y134/O134,0)</f>
        <v>5.4555747529966871E-2</v>
      </c>
      <c r="AG134" s="240">
        <f t="shared" ref="AG134:AG143" si="310">SUM(AB134:AF134)</f>
        <v>8.4119106696046497E-2</v>
      </c>
      <c r="AH134" s="43">
        <f t="shared" ref="AH134:AH143" si="311">(U134*$G134)</f>
        <v>0</v>
      </c>
      <c r="AI134" s="43">
        <f t="shared" ref="AI134:AI143" si="312">(V134*$G134)</f>
        <v>0</v>
      </c>
      <c r="AJ134" s="43">
        <f t="shared" ref="AJ134:AJ143" si="313">(W134*$G134)</f>
        <v>0</v>
      </c>
      <c r="AK134" s="43">
        <f t="shared" ref="AK134:AK143" si="314">(X134*$G134)</f>
        <v>0</v>
      </c>
      <c r="AL134" s="43">
        <f t="shared" ref="AL134:AL143" si="315">(Y134*$G134)</f>
        <v>0</v>
      </c>
      <c r="AM134" s="43">
        <f t="shared" ref="AM134:AM143" si="316">SUM(AH134:AL134)</f>
        <v>0</v>
      </c>
      <c r="AN134" s="43">
        <f t="shared" ref="AN134:AN143" si="317">AH134*12</f>
        <v>0</v>
      </c>
      <c r="AO134" s="43">
        <f t="shared" ref="AO134:AO143" si="318">AI134*12</f>
        <v>0</v>
      </c>
      <c r="AP134" s="43">
        <f t="shared" ref="AP134:AP143" si="319">AJ134*12</f>
        <v>0</v>
      </c>
      <c r="AQ134" s="43">
        <f t="shared" ref="AQ134:AQ143" si="320">AK134*12</f>
        <v>0</v>
      </c>
      <c r="AR134" s="43">
        <f t="shared" ref="AR134:AR143" si="321">AL134*12</f>
        <v>0</v>
      </c>
      <c r="AS134" s="43">
        <f t="shared" ref="AS134:AS143" si="322">AM134*12</f>
        <v>0</v>
      </c>
    </row>
    <row r="135" spans="1:45" x14ac:dyDescent="0.2">
      <c r="A135" s="58" t="str">
        <f>+A132</f>
        <v>54E</v>
      </c>
      <c r="B135" s="22"/>
      <c r="C135" s="21" t="str">
        <f>'WP1 Light Inventory'!D136</f>
        <v>Light Emitting Diode</v>
      </c>
      <c r="D135" s="21" t="str">
        <f>'WP1 Light Inventory'!E136</f>
        <v>LED 030.01-060</v>
      </c>
      <c r="E135" s="21">
        <f>'WP1 Light Inventory'!F136</f>
        <v>45</v>
      </c>
      <c r="F135" s="21" t="str">
        <f>'WP1 Light Inventory'!H136</f>
        <v>Customer</v>
      </c>
      <c r="G135" s="397">
        <f>'WP1 Light Inventory'!J136</f>
        <v>1267</v>
      </c>
      <c r="H135" s="74" t="s">
        <v>600</v>
      </c>
      <c r="I135" s="14" t="s">
        <v>159</v>
      </c>
      <c r="J135" s="19">
        <f>IF(C135="Light Emitting Diode",'WP10 O&amp;M Weighting Factor'!$B$26,IF('WP12 Condensed Sch. Level Costs'!C135="Sodium Vapor",'WP10 O&amp;M Weighting Factor'!$B$27,IF('WP12 Condensed Sch. Level Costs'!C135="Metal Halide",'WP10 O&amp;M Weighting Factor'!$B$28,IF('WP12 Condensed Sch. Level Costs'!C135="Mercury Vapor",'WP10 O&amp;M Weighting Factor'!$B$30,IF('WP12 Condensed Sch. Level Costs'!C135="Compact Flourescent",'WP10 O&amp;M Weighting Factor'!$B$29, IF(C135="Incandescent", 'WP10 O&amp;M Weighting Factor'!$B$31, 0))))))</f>
        <v>0.2</v>
      </c>
      <c r="K135" s="282">
        <f t="shared" si="295"/>
        <v>0</v>
      </c>
      <c r="L135" s="74">
        <f t="shared" si="296"/>
        <v>0</v>
      </c>
      <c r="M135" s="283">
        <f t="shared" si="297"/>
        <v>57.015000000000001</v>
      </c>
      <c r="N135" s="398">
        <f>'WP1 Light Inventory'!L136</f>
        <v>239463</v>
      </c>
      <c r="O135" s="284">
        <f t="shared" si="298"/>
        <v>15.75</v>
      </c>
      <c r="P135" s="261">
        <f>'BDJ-6 Unitized Lighting Costs'!D$20</f>
        <v>1.0137794003499056E-2</v>
      </c>
      <c r="Q135" s="261">
        <f>'BDJ-6 Unitized Lighting Costs'!$D$43</f>
        <v>2.2529806535397991</v>
      </c>
      <c r="R135" s="261">
        <f>'BDJ-6 Unitized Lighting Costs'!D$69</f>
        <v>1.9131568994526543E-2</v>
      </c>
      <c r="S135" s="261">
        <f>'BDJ-6 Unitized Lighting Costs'!D$100</f>
        <v>3.6511265600435805</v>
      </c>
      <c r="T135" s="261">
        <f>'BDJ-6 Unitized Lighting Costs'!$D$117</f>
        <v>5.4555747529966878E-2</v>
      </c>
      <c r="U135" s="43">
        <f t="shared" si="299"/>
        <v>0</v>
      </c>
      <c r="V135" s="43">
        <f t="shared" si="300"/>
        <v>0</v>
      </c>
      <c r="W135" s="43">
        <f t="shared" si="301"/>
        <v>0.30132221166379303</v>
      </c>
      <c r="X135" s="43">
        <f t="shared" si="302"/>
        <v>0.16430069520196114</v>
      </c>
      <c r="Y135" s="43">
        <f t="shared" si="303"/>
        <v>0.8592530235969783</v>
      </c>
      <c r="Z135" s="43">
        <f t="shared" si="304"/>
        <v>1.3248759304627324</v>
      </c>
      <c r="AA135" s="220"/>
      <c r="AB135" s="240">
        <f t="shared" si="305"/>
        <v>0</v>
      </c>
      <c r="AC135" s="240">
        <f t="shared" si="306"/>
        <v>0</v>
      </c>
      <c r="AD135" s="240">
        <f t="shared" si="307"/>
        <v>1.9131568994526543E-2</v>
      </c>
      <c r="AE135" s="240">
        <f t="shared" si="308"/>
        <v>1.0431790171553088E-2</v>
      </c>
      <c r="AF135" s="240">
        <f t="shared" si="309"/>
        <v>5.4555747529966878E-2</v>
      </c>
      <c r="AG135" s="240">
        <f t="shared" si="310"/>
        <v>8.4119106696046511E-2</v>
      </c>
      <c r="AH135" s="43">
        <f t="shared" si="311"/>
        <v>0</v>
      </c>
      <c r="AI135" s="43">
        <f t="shared" si="312"/>
        <v>0</v>
      </c>
      <c r="AJ135" s="43">
        <f t="shared" si="313"/>
        <v>381.77524217802579</v>
      </c>
      <c r="AK135" s="43">
        <f t="shared" si="314"/>
        <v>208.16898082088477</v>
      </c>
      <c r="AL135" s="43">
        <f t="shared" si="315"/>
        <v>1088.6735808973715</v>
      </c>
      <c r="AM135" s="43">
        <f t="shared" si="316"/>
        <v>1678.6178038962821</v>
      </c>
      <c r="AN135" s="43">
        <f t="shared" si="317"/>
        <v>0</v>
      </c>
      <c r="AO135" s="43">
        <f t="shared" si="318"/>
        <v>0</v>
      </c>
      <c r="AP135" s="43">
        <f t="shared" si="319"/>
        <v>4581.3029061363095</v>
      </c>
      <c r="AQ135" s="43">
        <f t="shared" si="320"/>
        <v>2498.027769850617</v>
      </c>
      <c r="AR135" s="43">
        <f t="shared" si="321"/>
        <v>13064.082970768457</v>
      </c>
      <c r="AS135" s="43">
        <f t="shared" si="322"/>
        <v>20143.413646755384</v>
      </c>
    </row>
    <row r="136" spans="1:45" x14ac:dyDescent="0.2">
      <c r="A136" s="58" t="str">
        <f t="shared" ref="A136:A141" si="323">A135</f>
        <v>54E</v>
      </c>
      <c r="B136" s="22"/>
      <c r="C136" s="21" t="str">
        <f>'WP1 Light Inventory'!D137</f>
        <v>Light Emitting Diode</v>
      </c>
      <c r="D136" s="21" t="str">
        <f>'WP1 Light Inventory'!E137</f>
        <v>LED 060.01-090</v>
      </c>
      <c r="E136" s="21">
        <f>'WP1 Light Inventory'!F137</f>
        <v>75</v>
      </c>
      <c r="F136" s="21" t="str">
        <f>'WP1 Light Inventory'!H137</f>
        <v>Customer</v>
      </c>
      <c r="G136" s="397">
        <f>'WP1 Light Inventory'!J137</f>
        <v>64</v>
      </c>
      <c r="H136" s="74" t="s">
        <v>600</v>
      </c>
      <c r="I136" s="14" t="s">
        <v>159</v>
      </c>
      <c r="J136" s="19">
        <f>IF(C136="Light Emitting Diode",'WP10 O&amp;M Weighting Factor'!$B$26,IF('WP12 Condensed Sch. Level Costs'!C136="Sodium Vapor",'WP10 O&amp;M Weighting Factor'!$B$27,IF('WP12 Condensed Sch. Level Costs'!C136="Metal Halide",'WP10 O&amp;M Weighting Factor'!$B$28,IF('WP12 Condensed Sch. Level Costs'!C136="Mercury Vapor",'WP10 O&amp;M Weighting Factor'!$B$30,IF('WP12 Condensed Sch. Level Costs'!C136="Compact Flourescent",'WP10 O&amp;M Weighting Factor'!$B$29, IF(C136="Incandescent", 'WP10 O&amp;M Weighting Factor'!$B$31, 0))))))</f>
        <v>0.2</v>
      </c>
      <c r="K136" s="282">
        <f t="shared" si="295"/>
        <v>0</v>
      </c>
      <c r="L136" s="74">
        <f t="shared" si="296"/>
        <v>0</v>
      </c>
      <c r="M136" s="283">
        <f t="shared" si="297"/>
        <v>4.8</v>
      </c>
      <c r="N136" s="398">
        <f>'WP1 Light Inventory'!L137</f>
        <v>20160</v>
      </c>
      <c r="O136" s="284">
        <f t="shared" si="298"/>
        <v>26.25</v>
      </c>
      <c r="P136" s="261">
        <f>'BDJ-6 Unitized Lighting Costs'!D$20</f>
        <v>1.0137794003499056E-2</v>
      </c>
      <c r="Q136" s="261">
        <f>'BDJ-6 Unitized Lighting Costs'!$D$43</f>
        <v>2.2529806535397991</v>
      </c>
      <c r="R136" s="261">
        <f>'BDJ-6 Unitized Lighting Costs'!D$69</f>
        <v>1.9131568994526543E-2</v>
      </c>
      <c r="S136" s="261">
        <f>'BDJ-6 Unitized Lighting Costs'!D$100</f>
        <v>3.6511265600435805</v>
      </c>
      <c r="T136" s="261">
        <f>'BDJ-6 Unitized Lighting Costs'!$D$117</f>
        <v>5.4555747529966878E-2</v>
      </c>
      <c r="U136" s="43">
        <f t="shared" si="299"/>
        <v>0</v>
      </c>
      <c r="V136" s="43">
        <f t="shared" si="300"/>
        <v>0</v>
      </c>
      <c r="W136" s="43">
        <f t="shared" si="301"/>
        <v>0.50220368610632171</v>
      </c>
      <c r="X136" s="43">
        <f t="shared" si="302"/>
        <v>0.27383449200326859</v>
      </c>
      <c r="Y136" s="43">
        <f t="shared" si="303"/>
        <v>1.4320883726616305</v>
      </c>
      <c r="Z136" s="43">
        <f t="shared" si="304"/>
        <v>2.2081265507712207</v>
      </c>
      <c r="AA136" s="220"/>
      <c r="AB136" s="240">
        <f t="shared" si="305"/>
        <v>0</v>
      </c>
      <c r="AC136" s="240">
        <f t="shared" si="306"/>
        <v>0</v>
      </c>
      <c r="AD136" s="240">
        <f t="shared" si="307"/>
        <v>1.9131568994526543E-2</v>
      </c>
      <c r="AE136" s="240">
        <f t="shared" si="308"/>
        <v>1.0431790171553089E-2</v>
      </c>
      <c r="AF136" s="240">
        <f t="shared" si="309"/>
        <v>5.4555747529966878E-2</v>
      </c>
      <c r="AG136" s="240">
        <f t="shared" si="310"/>
        <v>8.4119106696046511E-2</v>
      </c>
      <c r="AH136" s="43">
        <f t="shared" si="311"/>
        <v>0</v>
      </c>
      <c r="AI136" s="43">
        <f t="shared" si="312"/>
        <v>0</v>
      </c>
      <c r="AJ136" s="43">
        <f t="shared" si="313"/>
        <v>32.14103591080459</v>
      </c>
      <c r="AK136" s="43">
        <f t="shared" si="314"/>
        <v>17.52540748820919</v>
      </c>
      <c r="AL136" s="43">
        <f t="shared" si="315"/>
        <v>91.65365585034435</v>
      </c>
      <c r="AM136" s="43">
        <f t="shared" si="316"/>
        <v>141.32009924935812</v>
      </c>
      <c r="AN136" s="43">
        <f t="shared" si="317"/>
        <v>0</v>
      </c>
      <c r="AO136" s="43">
        <f t="shared" si="318"/>
        <v>0</v>
      </c>
      <c r="AP136" s="43">
        <f t="shared" si="319"/>
        <v>385.69243092965507</v>
      </c>
      <c r="AQ136" s="43">
        <f t="shared" si="320"/>
        <v>210.30488985851028</v>
      </c>
      <c r="AR136" s="43">
        <f t="shared" si="321"/>
        <v>1099.8438702041321</v>
      </c>
      <c r="AS136" s="43">
        <f t="shared" si="322"/>
        <v>1695.8411909922975</v>
      </c>
    </row>
    <row r="137" spans="1:45" x14ac:dyDescent="0.2">
      <c r="A137" s="58" t="str">
        <f t="shared" si="323"/>
        <v>54E</v>
      </c>
      <c r="B137" s="22"/>
      <c r="C137" s="21" t="str">
        <f>'WP1 Light Inventory'!D138</f>
        <v>Light Emitting Diode</v>
      </c>
      <c r="D137" s="21" t="str">
        <f>'WP1 Light Inventory'!E138</f>
        <v>LED 090.01-120</v>
      </c>
      <c r="E137" s="21">
        <f>'WP1 Light Inventory'!F138</f>
        <v>105</v>
      </c>
      <c r="F137" s="21" t="str">
        <f>'WP1 Light Inventory'!H138</f>
        <v>Customer</v>
      </c>
      <c r="G137" s="397">
        <f>'WP1 Light Inventory'!J138</f>
        <v>1330</v>
      </c>
      <c r="H137" s="74" t="s">
        <v>600</v>
      </c>
      <c r="I137" s="14" t="s">
        <v>159</v>
      </c>
      <c r="J137" s="19">
        <f>IF(C137="Light Emitting Diode",'WP10 O&amp;M Weighting Factor'!$B$26,IF('WP12 Condensed Sch. Level Costs'!C137="Sodium Vapor",'WP10 O&amp;M Weighting Factor'!$B$27,IF('WP12 Condensed Sch. Level Costs'!C137="Metal Halide",'WP10 O&amp;M Weighting Factor'!$B$28,IF('WP12 Condensed Sch. Level Costs'!C137="Mercury Vapor",'WP10 O&amp;M Weighting Factor'!$B$30,IF('WP12 Condensed Sch. Level Costs'!C137="Compact Flourescent",'WP10 O&amp;M Weighting Factor'!$B$29, IF(C137="Incandescent", 'WP10 O&amp;M Weighting Factor'!$B$31, 0))))))</f>
        <v>0.2</v>
      </c>
      <c r="K137" s="282">
        <f t="shared" si="295"/>
        <v>0</v>
      </c>
      <c r="L137" s="74">
        <f t="shared" si="296"/>
        <v>0</v>
      </c>
      <c r="M137" s="283">
        <f t="shared" si="297"/>
        <v>139.65</v>
      </c>
      <c r="N137" s="398">
        <f>'WP1 Light Inventory'!L138</f>
        <v>586530</v>
      </c>
      <c r="O137" s="284">
        <f t="shared" si="298"/>
        <v>36.75</v>
      </c>
      <c r="P137" s="261">
        <f>'BDJ-6 Unitized Lighting Costs'!D$20</f>
        <v>1.0137794003499056E-2</v>
      </c>
      <c r="Q137" s="261">
        <f>'BDJ-6 Unitized Lighting Costs'!$D$43</f>
        <v>2.2529806535397991</v>
      </c>
      <c r="R137" s="261">
        <f>'BDJ-6 Unitized Lighting Costs'!D$69</f>
        <v>1.9131568994526543E-2</v>
      </c>
      <c r="S137" s="261">
        <f>'BDJ-6 Unitized Lighting Costs'!D$100</f>
        <v>3.6511265600435805</v>
      </c>
      <c r="T137" s="261">
        <f>'BDJ-6 Unitized Lighting Costs'!$D$117</f>
        <v>5.4555747529966878E-2</v>
      </c>
      <c r="U137" s="43">
        <f t="shared" si="299"/>
        <v>0</v>
      </c>
      <c r="V137" s="43">
        <f t="shared" si="300"/>
        <v>0</v>
      </c>
      <c r="W137" s="43">
        <f t="shared" si="301"/>
        <v>0.7030851605488504</v>
      </c>
      <c r="X137" s="43">
        <f t="shared" si="302"/>
        <v>0.38336828880457596</v>
      </c>
      <c r="Y137" s="43">
        <f t="shared" si="303"/>
        <v>2.004923721726283</v>
      </c>
      <c r="Z137" s="43">
        <f t="shared" si="304"/>
        <v>3.0913771710797091</v>
      </c>
      <c r="AA137" s="220"/>
      <c r="AB137" s="240">
        <f t="shared" si="305"/>
        <v>0</v>
      </c>
      <c r="AC137" s="240">
        <f t="shared" si="306"/>
        <v>0</v>
      </c>
      <c r="AD137" s="240">
        <f t="shared" si="307"/>
        <v>1.9131568994526543E-2</v>
      </c>
      <c r="AE137" s="240">
        <f t="shared" si="308"/>
        <v>1.0431790171553088E-2</v>
      </c>
      <c r="AF137" s="240">
        <f t="shared" si="309"/>
        <v>5.4555747529966885E-2</v>
      </c>
      <c r="AG137" s="240">
        <f t="shared" si="310"/>
        <v>8.4119106696046511E-2</v>
      </c>
      <c r="AH137" s="43">
        <f t="shared" si="311"/>
        <v>0</v>
      </c>
      <c r="AI137" s="43">
        <f t="shared" si="312"/>
        <v>0</v>
      </c>
      <c r="AJ137" s="43">
        <f t="shared" si="313"/>
        <v>935.10326352997106</v>
      </c>
      <c r="AK137" s="43">
        <f t="shared" si="314"/>
        <v>509.87982411008602</v>
      </c>
      <c r="AL137" s="43">
        <f t="shared" si="315"/>
        <v>2666.5485498959565</v>
      </c>
      <c r="AM137" s="43">
        <f t="shared" si="316"/>
        <v>4111.5316375360135</v>
      </c>
      <c r="AN137" s="43">
        <f t="shared" si="317"/>
        <v>0</v>
      </c>
      <c r="AO137" s="43">
        <f t="shared" si="318"/>
        <v>0</v>
      </c>
      <c r="AP137" s="43">
        <f t="shared" si="319"/>
        <v>11221.239162359652</v>
      </c>
      <c r="AQ137" s="43">
        <f t="shared" si="320"/>
        <v>6118.5578893210322</v>
      </c>
      <c r="AR137" s="43">
        <f t="shared" si="321"/>
        <v>31998.582598751476</v>
      </c>
      <c r="AS137" s="43">
        <f t="shared" si="322"/>
        <v>49338.379650432165</v>
      </c>
    </row>
    <row r="138" spans="1:45" x14ac:dyDescent="0.2">
      <c r="A138" s="58" t="str">
        <f t="shared" si="323"/>
        <v>54E</v>
      </c>
      <c r="B138" s="22"/>
      <c r="C138" s="21" t="str">
        <f>'WP1 Light Inventory'!D139</f>
        <v>Light Emitting Diode</v>
      </c>
      <c r="D138" s="21" t="str">
        <f>'WP1 Light Inventory'!E139</f>
        <v>LED 120.01-150</v>
      </c>
      <c r="E138" s="21">
        <f>'WP1 Light Inventory'!F139</f>
        <v>135</v>
      </c>
      <c r="F138" s="21" t="str">
        <f>'WP1 Light Inventory'!H139</f>
        <v>Customer</v>
      </c>
      <c r="G138" s="397">
        <f>'WP1 Light Inventory'!J139</f>
        <v>666</v>
      </c>
      <c r="H138" s="74" t="s">
        <v>600</v>
      </c>
      <c r="I138" s="14" t="s">
        <v>159</v>
      </c>
      <c r="J138" s="19">
        <f>IF(C138="Light Emitting Diode",'WP10 O&amp;M Weighting Factor'!$B$26,IF('WP12 Condensed Sch. Level Costs'!C138="Sodium Vapor",'WP10 O&amp;M Weighting Factor'!$B$27,IF('WP12 Condensed Sch. Level Costs'!C138="Metal Halide",'WP10 O&amp;M Weighting Factor'!$B$28,IF('WP12 Condensed Sch. Level Costs'!C138="Mercury Vapor",'WP10 O&amp;M Weighting Factor'!$B$30,IF('WP12 Condensed Sch. Level Costs'!C138="Compact Flourescent",'WP10 O&amp;M Weighting Factor'!$B$29, IF(C138="Incandescent", 'WP10 O&amp;M Weighting Factor'!$B$31, 0))))))</f>
        <v>0.2</v>
      </c>
      <c r="K138" s="282">
        <f t="shared" si="295"/>
        <v>0</v>
      </c>
      <c r="L138" s="74">
        <f t="shared" si="296"/>
        <v>0</v>
      </c>
      <c r="M138" s="283">
        <f t="shared" si="297"/>
        <v>89.91</v>
      </c>
      <c r="N138" s="398">
        <f>'WP1 Light Inventory'!L139</f>
        <v>377622</v>
      </c>
      <c r="O138" s="284">
        <f t="shared" si="298"/>
        <v>47.25</v>
      </c>
      <c r="P138" s="261">
        <f>'BDJ-6 Unitized Lighting Costs'!D$20</f>
        <v>1.0137794003499056E-2</v>
      </c>
      <c r="Q138" s="261">
        <f>'BDJ-6 Unitized Lighting Costs'!$D$43</f>
        <v>2.2529806535397991</v>
      </c>
      <c r="R138" s="261">
        <f>'BDJ-6 Unitized Lighting Costs'!D$69</f>
        <v>1.9131568994526543E-2</v>
      </c>
      <c r="S138" s="261">
        <f>'BDJ-6 Unitized Lighting Costs'!D$100</f>
        <v>3.6511265600435805</v>
      </c>
      <c r="T138" s="261">
        <f>'BDJ-6 Unitized Lighting Costs'!$D$117</f>
        <v>5.4555747529966878E-2</v>
      </c>
      <c r="U138" s="43">
        <f t="shared" si="299"/>
        <v>0</v>
      </c>
      <c r="V138" s="43">
        <f t="shared" si="300"/>
        <v>0</v>
      </c>
      <c r="W138" s="43">
        <f t="shared" si="301"/>
        <v>0.90396663499137908</v>
      </c>
      <c r="X138" s="43">
        <f t="shared" si="302"/>
        <v>0.49290208560588339</v>
      </c>
      <c r="Y138" s="43">
        <f t="shared" si="303"/>
        <v>2.5777590707909348</v>
      </c>
      <c r="Z138" s="43">
        <f t="shared" si="304"/>
        <v>3.9746277913881976</v>
      </c>
      <c r="AA138" s="220"/>
      <c r="AB138" s="240">
        <f t="shared" si="305"/>
        <v>0</v>
      </c>
      <c r="AC138" s="240">
        <f t="shared" si="306"/>
        <v>0</v>
      </c>
      <c r="AD138" s="240">
        <f t="shared" si="307"/>
        <v>1.9131568994526543E-2</v>
      </c>
      <c r="AE138" s="240">
        <f t="shared" si="308"/>
        <v>1.0431790171553088E-2</v>
      </c>
      <c r="AF138" s="240">
        <f t="shared" si="309"/>
        <v>5.4555747529966878E-2</v>
      </c>
      <c r="AG138" s="240">
        <f t="shared" si="310"/>
        <v>8.4119106696046511E-2</v>
      </c>
      <c r="AH138" s="43">
        <f t="shared" si="311"/>
        <v>0</v>
      </c>
      <c r="AI138" s="43">
        <f t="shared" si="312"/>
        <v>0</v>
      </c>
      <c r="AJ138" s="43">
        <f t="shared" si="313"/>
        <v>602.04177890425842</v>
      </c>
      <c r="AK138" s="43">
        <f t="shared" si="314"/>
        <v>328.27278901351832</v>
      </c>
      <c r="AL138" s="43">
        <f t="shared" si="315"/>
        <v>1716.7875411467626</v>
      </c>
      <c r="AM138" s="43">
        <f t="shared" si="316"/>
        <v>2647.102109064539</v>
      </c>
      <c r="AN138" s="43">
        <f t="shared" si="317"/>
        <v>0</v>
      </c>
      <c r="AO138" s="43">
        <f t="shared" si="318"/>
        <v>0</v>
      </c>
      <c r="AP138" s="43">
        <f t="shared" si="319"/>
        <v>7224.5013468511006</v>
      </c>
      <c r="AQ138" s="43">
        <f t="shared" si="320"/>
        <v>3939.2734681622196</v>
      </c>
      <c r="AR138" s="43">
        <f t="shared" si="321"/>
        <v>20601.450493761149</v>
      </c>
      <c r="AS138" s="43">
        <f t="shared" si="322"/>
        <v>31765.225308774468</v>
      </c>
    </row>
    <row r="139" spans="1:45" x14ac:dyDescent="0.2">
      <c r="A139" s="58" t="str">
        <f t="shared" si="323"/>
        <v>54E</v>
      </c>
      <c r="B139" s="22"/>
      <c r="C139" s="21" t="str">
        <f>'WP1 Light Inventory'!D140</f>
        <v>Light Emitting Diode</v>
      </c>
      <c r="D139" s="21" t="str">
        <f>'WP1 Light Inventory'!E140</f>
        <v>LED 150.01-180</v>
      </c>
      <c r="E139" s="21">
        <f>'WP1 Light Inventory'!F140</f>
        <v>165</v>
      </c>
      <c r="F139" s="21" t="str">
        <f>'WP1 Light Inventory'!H140</f>
        <v>Customer</v>
      </c>
      <c r="G139" s="397">
        <f>'WP1 Light Inventory'!J140</f>
        <v>366</v>
      </c>
      <c r="H139" s="74" t="s">
        <v>600</v>
      </c>
      <c r="I139" s="14" t="s">
        <v>159</v>
      </c>
      <c r="J139" s="19">
        <f>IF(C139="Light Emitting Diode",'WP10 O&amp;M Weighting Factor'!$B$26,IF('WP12 Condensed Sch. Level Costs'!C139="Sodium Vapor",'WP10 O&amp;M Weighting Factor'!$B$27,IF('WP12 Condensed Sch. Level Costs'!C139="Metal Halide",'WP10 O&amp;M Weighting Factor'!$B$28,IF('WP12 Condensed Sch. Level Costs'!C139="Mercury Vapor",'WP10 O&amp;M Weighting Factor'!$B$30,IF('WP12 Condensed Sch. Level Costs'!C139="Compact Flourescent",'WP10 O&amp;M Weighting Factor'!$B$29, IF(C139="Incandescent", 'WP10 O&amp;M Weighting Factor'!$B$31, 0))))))</f>
        <v>0.2</v>
      </c>
      <c r="K139" s="282">
        <f t="shared" si="295"/>
        <v>0</v>
      </c>
      <c r="L139" s="74">
        <f t="shared" si="296"/>
        <v>0</v>
      </c>
      <c r="M139" s="283">
        <f t="shared" si="297"/>
        <v>60.39</v>
      </c>
      <c r="N139" s="398">
        <f>'WP1 Light Inventory'!L140</f>
        <v>253638</v>
      </c>
      <c r="O139" s="284">
        <f t="shared" si="298"/>
        <v>57.75</v>
      </c>
      <c r="P139" s="261">
        <f>'BDJ-6 Unitized Lighting Costs'!D$20</f>
        <v>1.0137794003499056E-2</v>
      </c>
      <c r="Q139" s="261">
        <f>'BDJ-6 Unitized Lighting Costs'!$D$43</f>
        <v>2.2529806535397991</v>
      </c>
      <c r="R139" s="261">
        <f>'BDJ-6 Unitized Lighting Costs'!D$69</f>
        <v>1.9131568994526543E-2</v>
      </c>
      <c r="S139" s="261">
        <f>'BDJ-6 Unitized Lighting Costs'!D$100</f>
        <v>3.6511265600435805</v>
      </c>
      <c r="T139" s="261">
        <f>'BDJ-6 Unitized Lighting Costs'!$D$117</f>
        <v>5.4555747529966878E-2</v>
      </c>
      <c r="U139" s="43">
        <f t="shared" si="299"/>
        <v>0</v>
      </c>
      <c r="V139" s="43">
        <f t="shared" si="300"/>
        <v>0</v>
      </c>
      <c r="W139" s="43">
        <f t="shared" si="301"/>
        <v>1.1048481094339078</v>
      </c>
      <c r="X139" s="43">
        <f t="shared" si="302"/>
        <v>0.60243588240719081</v>
      </c>
      <c r="Y139" s="43">
        <f t="shared" si="303"/>
        <v>3.1505944198555871</v>
      </c>
      <c r="Z139" s="43">
        <f t="shared" si="304"/>
        <v>4.8578784116966851</v>
      </c>
      <c r="AA139" s="220"/>
      <c r="AB139" s="240">
        <f t="shared" si="305"/>
        <v>0</v>
      </c>
      <c r="AC139" s="240">
        <f t="shared" si="306"/>
        <v>0</v>
      </c>
      <c r="AD139" s="240">
        <f t="shared" si="307"/>
        <v>1.9131568994526543E-2</v>
      </c>
      <c r="AE139" s="240">
        <f t="shared" si="308"/>
        <v>1.0431790171553088E-2</v>
      </c>
      <c r="AF139" s="240">
        <f t="shared" si="309"/>
        <v>5.4555747529966878E-2</v>
      </c>
      <c r="AG139" s="240">
        <f t="shared" si="310"/>
        <v>8.4119106696046511E-2</v>
      </c>
      <c r="AH139" s="43">
        <f t="shared" si="311"/>
        <v>0</v>
      </c>
      <c r="AI139" s="43">
        <f t="shared" si="312"/>
        <v>0</v>
      </c>
      <c r="AJ139" s="43">
        <f t="shared" si="313"/>
        <v>404.37440805281022</v>
      </c>
      <c r="AK139" s="43">
        <f t="shared" si="314"/>
        <v>220.49153296103185</v>
      </c>
      <c r="AL139" s="43">
        <f t="shared" si="315"/>
        <v>1153.1175576671449</v>
      </c>
      <c r="AM139" s="43">
        <f t="shared" si="316"/>
        <v>1777.9834986809869</v>
      </c>
      <c r="AN139" s="43">
        <f t="shared" si="317"/>
        <v>0</v>
      </c>
      <c r="AO139" s="43">
        <f t="shared" si="318"/>
        <v>0</v>
      </c>
      <c r="AP139" s="43">
        <f t="shared" si="319"/>
        <v>4852.4928966337229</v>
      </c>
      <c r="AQ139" s="43">
        <f t="shared" si="320"/>
        <v>2645.898395532382</v>
      </c>
      <c r="AR139" s="43">
        <f t="shared" si="321"/>
        <v>13837.410692005738</v>
      </c>
      <c r="AS139" s="43">
        <f t="shared" si="322"/>
        <v>21335.801984171841</v>
      </c>
    </row>
    <row r="140" spans="1:45" x14ac:dyDescent="0.2">
      <c r="A140" s="58" t="str">
        <f t="shared" si="323"/>
        <v>54E</v>
      </c>
      <c r="B140" s="22"/>
      <c r="C140" s="21" t="str">
        <f>'WP1 Light Inventory'!D141</f>
        <v>Light Emitting Diode</v>
      </c>
      <c r="D140" s="21" t="str">
        <f>'WP1 Light Inventory'!E141</f>
        <v>LED 180.01-210</v>
      </c>
      <c r="E140" s="21">
        <f>'WP1 Light Inventory'!F141</f>
        <v>195</v>
      </c>
      <c r="F140" s="21" t="str">
        <f>'WP1 Light Inventory'!H141</f>
        <v>Customer</v>
      </c>
      <c r="G140" s="397">
        <f>'WP1 Light Inventory'!J141</f>
        <v>14</v>
      </c>
      <c r="H140" s="74" t="s">
        <v>600</v>
      </c>
      <c r="I140" s="14" t="s">
        <v>159</v>
      </c>
      <c r="J140" s="19">
        <f>IF(C140="Light Emitting Diode",'WP10 O&amp;M Weighting Factor'!$B$26,IF('WP12 Condensed Sch. Level Costs'!C140="Sodium Vapor",'WP10 O&amp;M Weighting Factor'!$B$27,IF('WP12 Condensed Sch. Level Costs'!C140="Metal Halide",'WP10 O&amp;M Weighting Factor'!$B$28,IF('WP12 Condensed Sch. Level Costs'!C140="Mercury Vapor",'WP10 O&amp;M Weighting Factor'!$B$30,IF('WP12 Condensed Sch. Level Costs'!C140="Compact Flourescent",'WP10 O&amp;M Weighting Factor'!$B$29, IF(C140="Incandescent", 'WP10 O&amp;M Weighting Factor'!$B$31, 0))))))</f>
        <v>0.2</v>
      </c>
      <c r="K140" s="282">
        <f t="shared" si="295"/>
        <v>0</v>
      </c>
      <c r="L140" s="74">
        <f t="shared" si="296"/>
        <v>0</v>
      </c>
      <c r="M140" s="283">
        <f t="shared" si="297"/>
        <v>2.73</v>
      </c>
      <c r="N140" s="398">
        <f>'WP1 Light Inventory'!L141</f>
        <v>11466</v>
      </c>
      <c r="O140" s="284">
        <f t="shared" si="298"/>
        <v>68.25</v>
      </c>
      <c r="P140" s="261">
        <f>'BDJ-6 Unitized Lighting Costs'!D$20</f>
        <v>1.0137794003499056E-2</v>
      </c>
      <c r="Q140" s="261">
        <f>'BDJ-6 Unitized Lighting Costs'!$D$43</f>
        <v>2.2529806535397991</v>
      </c>
      <c r="R140" s="261">
        <f>'BDJ-6 Unitized Lighting Costs'!D$69</f>
        <v>1.9131568994526543E-2</v>
      </c>
      <c r="S140" s="261">
        <f>'BDJ-6 Unitized Lighting Costs'!D$100</f>
        <v>3.6511265600435805</v>
      </c>
      <c r="T140" s="261">
        <f>'BDJ-6 Unitized Lighting Costs'!$D$117</f>
        <v>5.4555747529966878E-2</v>
      </c>
      <c r="U140" s="43">
        <f t="shared" si="299"/>
        <v>0</v>
      </c>
      <c r="V140" s="43">
        <f t="shared" si="300"/>
        <v>0</v>
      </c>
      <c r="W140" s="43">
        <f t="shared" si="301"/>
        <v>1.3057295838764365</v>
      </c>
      <c r="X140" s="43">
        <f t="shared" si="302"/>
        <v>0.71196967920849819</v>
      </c>
      <c r="Y140" s="43">
        <f t="shared" si="303"/>
        <v>3.7234297689202394</v>
      </c>
      <c r="Z140" s="43">
        <f t="shared" si="304"/>
        <v>5.7411290320051744</v>
      </c>
      <c r="AA140" s="220"/>
      <c r="AB140" s="240">
        <f t="shared" si="305"/>
        <v>0</v>
      </c>
      <c r="AC140" s="240">
        <f t="shared" si="306"/>
        <v>0</v>
      </c>
      <c r="AD140" s="240">
        <f t="shared" si="307"/>
        <v>1.9131568994526543E-2</v>
      </c>
      <c r="AE140" s="240">
        <f t="shared" si="308"/>
        <v>1.0431790171553088E-2</v>
      </c>
      <c r="AF140" s="240">
        <f t="shared" si="309"/>
        <v>5.4555747529966878E-2</v>
      </c>
      <c r="AG140" s="240">
        <f t="shared" si="310"/>
        <v>8.4119106696046511E-2</v>
      </c>
      <c r="AH140" s="43">
        <f t="shared" si="311"/>
        <v>0</v>
      </c>
      <c r="AI140" s="43">
        <f t="shared" si="312"/>
        <v>0</v>
      </c>
      <c r="AJ140" s="43">
        <f t="shared" si="313"/>
        <v>18.28021417427011</v>
      </c>
      <c r="AK140" s="43">
        <f t="shared" si="314"/>
        <v>9.9675755089189746</v>
      </c>
      <c r="AL140" s="43">
        <f t="shared" si="315"/>
        <v>52.128016764883348</v>
      </c>
      <c r="AM140" s="43">
        <f t="shared" si="316"/>
        <v>80.375806448072439</v>
      </c>
      <c r="AN140" s="43">
        <f t="shared" si="317"/>
        <v>0</v>
      </c>
      <c r="AO140" s="43">
        <f t="shared" si="318"/>
        <v>0</v>
      </c>
      <c r="AP140" s="43">
        <f t="shared" si="319"/>
        <v>219.36257009124131</v>
      </c>
      <c r="AQ140" s="43">
        <f t="shared" si="320"/>
        <v>119.61090610702769</v>
      </c>
      <c r="AR140" s="43">
        <f t="shared" si="321"/>
        <v>625.53620117860021</v>
      </c>
      <c r="AS140" s="43">
        <f t="shared" si="322"/>
        <v>964.50967737686926</v>
      </c>
    </row>
    <row r="141" spans="1:45" x14ac:dyDescent="0.2">
      <c r="A141" s="58" t="str">
        <f t="shared" si="323"/>
        <v>54E</v>
      </c>
      <c r="B141" s="22"/>
      <c r="C141" s="21" t="str">
        <f>'WP1 Light Inventory'!D142</f>
        <v>Light Emitting Diode</v>
      </c>
      <c r="D141" s="21" t="str">
        <f>'WP1 Light Inventory'!E142</f>
        <v>LED 210.01-240</v>
      </c>
      <c r="E141" s="21">
        <f>'WP1 Light Inventory'!F142</f>
        <v>225</v>
      </c>
      <c r="F141" s="21" t="str">
        <f>'WP1 Light Inventory'!H142</f>
        <v>Customer</v>
      </c>
      <c r="G141" s="397">
        <f>'WP1 Light Inventory'!J142</f>
        <v>38</v>
      </c>
      <c r="H141" s="74" t="s">
        <v>600</v>
      </c>
      <c r="I141" s="14" t="s">
        <v>159</v>
      </c>
      <c r="J141" s="19">
        <f>IF(C141="Light Emitting Diode",'WP10 O&amp;M Weighting Factor'!$B$26,IF('WP12 Condensed Sch. Level Costs'!C141="Sodium Vapor",'WP10 O&amp;M Weighting Factor'!$B$27,IF('WP12 Condensed Sch. Level Costs'!C141="Metal Halide",'WP10 O&amp;M Weighting Factor'!$B$28,IF('WP12 Condensed Sch. Level Costs'!C141="Mercury Vapor",'WP10 O&amp;M Weighting Factor'!$B$30,IF('WP12 Condensed Sch. Level Costs'!C141="Compact Flourescent",'WP10 O&amp;M Weighting Factor'!$B$29, IF(C141="Incandescent", 'WP10 O&amp;M Weighting Factor'!$B$31, 0))))))</f>
        <v>0.2</v>
      </c>
      <c r="K141" s="282">
        <f t="shared" si="295"/>
        <v>0</v>
      </c>
      <c r="L141" s="74">
        <f t="shared" si="296"/>
        <v>0</v>
      </c>
      <c r="M141" s="283">
        <f t="shared" si="297"/>
        <v>8.5500000000000007</v>
      </c>
      <c r="N141" s="398">
        <f>'WP1 Light Inventory'!L142</f>
        <v>35910</v>
      </c>
      <c r="O141" s="284">
        <f t="shared" si="298"/>
        <v>78.75</v>
      </c>
      <c r="P141" s="261">
        <f>'BDJ-6 Unitized Lighting Costs'!D$20</f>
        <v>1.0137794003499056E-2</v>
      </c>
      <c r="Q141" s="261">
        <f>'BDJ-6 Unitized Lighting Costs'!$D$43</f>
        <v>2.2529806535397991</v>
      </c>
      <c r="R141" s="261">
        <f>'BDJ-6 Unitized Lighting Costs'!D$69</f>
        <v>1.9131568994526543E-2</v>
      </c>
      <c r="S141" s="261">
        <f>'BDJ-6 Unitized Lighting Costs'!D$100</f>
        <v>3.6511265600435805</v>
      </c>
      <c r="T141" s="261">
        <f>'BDJ-6 Unitized Lighting Costs'!$D$117</f>
        <v>5.4555747529966878E-2</v>
      </c>
      <c r="U141" s="43">
        <f t="shared" si="299"/>
        <v>0</v>
      </c>
      <c r="V141" s="43">
        <f t="shared" si="300"/>
        <v>0</v>
      </c>
      <c r="W141" s="43">
        <f t="shared" si="301"/>
        <v>1.5066110583189651</v>
      </c>
      <c r="X141" s="43">
        <f t="shared" si="302"/>
        <v>0.82150347600980556</v>
      </c>
      <c r="Y141" s="43">
        <f t="shared" si="303"/>
        <v>4.2962651179848912</v>
      </c>
      <c r="Z141" s="43">
        <f t="shared" si="304"/>
        <v>6.624379652313662</v>
      </c>
      <c r="AA141" s="220"/>
      <c r="AB141" s="240">
        <f t="shared" si="305"/>
        <v>0</v>
      </c>
      <c r="AC141" s="240">
        <f t="shared" si="306"/>
        <v>0</v>
      </c>
      <c r="AD141" s="240">
        <f t="shared" si="307"/>
        <v>1.9131568994526543E-2</v>
      </c>
      <c r="AE141" s="240">
        <f t="shared" si="308"/>
        <v>1.0431790171553086E-2</v>
      </c>
      <c r="AF141" s="240">
        <f t="shared" si="309"/>
        <v>5.4555747529966871E-2</v>
      </c>
      <c r="AG141" s="240">
        <f t="shared" si="310"/>
        <v>8.4119106696046497E-2</v>
      </c>
      <c r="AH141" s="43">
        <f t="shared" si="311"/>
        <v>0</v>
      </c>
      <c r="AI141" s="43">
        <f t="shared" si="312"/>
        <v>0</v>
      </c>
      <c r="AJ141" s="43">
        <f t="shared" si="313"/>
        <v>57.251220216120672</v>
      </c>
      <c r="AK141" s="43">
        <f t="shared" si="314"/>
        <v>31.217132088372612</v>
      </c>
      <c r="AL141" s="43">
        <f t="shared" si="315"/>
        <v>163.25807448342587</v>
      </c>
      <c r="AM141" s="43">
        <f t="shared" si="316"/>
        <v>251.72642678791914</v>
      </c>
      <c r="AN141" s="43">
        <f t="shared" si="317"/>
        <v>0</v>
      </c>
      <c r="AO141" s="43">
        <f t="shared" si="318"/>
        <v>0</v>
      </c>
      <c r="AP141" s="43">
        <f t="shared" si="319"/>
        <v>687.01464259344812</v>
      </c>
      <c r="AQ141" s="43">
        <f t="shared" si="320"/>
        <v>374.60558506047136</v>
      </c>
      <c r="AR141" s="43">
        <f t="shared" si="321"/>
        <v>1959.0968938011106</v>
      </c>
      <c r="AS141" s="43">
        <f t="shared" si="322"/>
        <v>3020.7171214550299</v>
      </c>
    </row>
    <row r="142" spans="1:45" x14ac:dyDescent="0.2">
      <c r="A142" s="58" t="str">
        <f>A140</f>
        <v>54E</v>
      </c>
      <c r="B142" s="22"/>
      <c r="C142" s="21" t="str">
        <f>'WP1 Light Inventory'!D143</f>
        <v>Light Emitting Diode</v>
      </c>
      <c r="D142" s="21" t="str">
        <f>'WP1 Light Inventory'!E143</f>
        <v>LED 240.01-270</v>
      </c>
      <c r="E142" s="21">
        <f>'WP1 Light Inventory'!F143</f>
        <v>255</v>
      </c>
      <c r="F142" s="21" t="str">
        <f>'WP1 Light Inventory'!H143</f>
        <v>Customer</v>
      </c>
      <c r="G142" s="397">
        <f>'WP1 Light Inventory'!J143</f>
        <v>3</v>
      </c>
      <c r="H142" s="74" t="s">
        <v>600</v>
      </c>
      <c r="I142" s="14" t="s">
        <v>159</v>
      </c>
      <c r="J142" s="19">
        <f>IF(C142="Light Emitting Diode",'WP10 O&amp;M Weighting Factor'!$B$26,IF('WP12 Condensed Sch. Level Costs'!C142="Sodium Vapor",'WP10 O&amp;M Weighting Factor'!$B$27,IF('WP12 Condensed Sch. Level Costs'!C142="Metal Halide",'WP10 O&amp;M Weighting Factor'!$B$28,IF('WP12 Condensed Sch. Level Costs'!C142="Mercury Vapor",'WP10 O&amp;M Weighting Factor'!$B$30,IF('WP12 Condensed Sch. Level Costs'!C142="Compact Flourescent",'WP10 O&amp;M Weighting Factor'!$B$29, IF(C142="Incandescent", 'WP10 O&amp;M Weighting Factor'!$B$31, 0))))))</f>
        <v>0.2</v>
      </c>
      <c r="K142" s="282">
        <f t="shared" si="295"/>
        <v>0</v>
      </c>
      <c r="L142" s="74">
        <f t="shared" si="296"/>
        <v>0</v>
      </c>
      <c r="M142" s="283">
        <f t="shared" si="297"/>
        <v>0.76500000000000001</v>
      </c>
      <c r="N142" s="398">
        <f>'WP1 Light Inventory'!L143</f>
        <v>3213</v>
      </c>
      <c r="O142" s="284">
        <f t="shared" si="298"/>
        <v>89.25</v>
      </c>
      <c r="P142" s="261">
        <f>'BDJ-6 Unitized Lighting Costs'!D$20</f>
        <v>1.0137794003499056E-2</v>
      </c>
      <c r="Q142" s="261">
        <f>'BDJ-6 Unitized Lighting Costs'!$D$43</f>
        <v>2.2529806535397991</v>
      </c>
      <c r="R142" s="261">
        <f>'BDJ-6 Unitized Lighting Costs'!D$69</f>
        <v>1.9131568994526543E-2</v>
      </c>
      <c r="S142" s="261">
        <f>'BDJ-6 Unitized Lighting Costs'!D$100</f>
        <v>3.6511265600435805</v>
      </c>
      <c r="T142" s="261">
        <f>'BDJ-6 Unitized Lighting Costs'!$D$117</f>
        <v>5.4555747529966878E-2</v>
      </c>
      <c r="U142" s="43">
        <f t="shared" si="299"/>
        <v>0</v>
      </c>
      <c r="V142" s="43">
        <f t="shared" si="300"/>
        <v>0</v>
      </c>
      <c r="W142" s="43">
        <f t="shared" si="301"/>
        <v>1.7074925327614938</v>
      </c>
      <c r="X142" s="43">
        <f t="shared" si="302"/>
        <v>0.93103727281111304</v>
      </c>
      <c r="Y142" s="43">
        <f t="shared" si="303"/>
        <v>4.8691004670495435</v>
      </c>
      <c r="Z142" s="43">
        <f t="shared" si="304"/>
        <v>7.5076302726221504</v>
      </c>
      <c r="AA142" s="220"/>
      <c r="AB142" s="240">
        <f t="shared" si="305"/>
        <v>0</v>
      </c>
      <c r="AC142" s="240">
        <f t="shared" si="306"/>
        <v>0</v>
      </c>
      <c r="AD142" s="240">
        <f t="shared" si="307"/>
        <v>1.9131568994526543E-2</v>
      </c>
      <c r="AE142" s="240">
        <f t="shared" si="308"/>
        <v>1.0431790171553088E-2</v>
      </c>
      <c r="AF142" s="240">
        <f t="shared" si="309"/>
        <v>5.4555747529966871E-2</v>
      </c>
      <c r="AG142" s="240">
        <f t="shared" si="310"/>
        <v>8.4119106696046497E-2</v>
      </c>
      <c r="AH142" s="43">
        <f t="shared" si="311"/>
        <v>0</v>
      </c>
      <c r="AI142" s="43">
        <f t="shared" si="312"/>
        <v>0</v>
      </c>
      <c r="AJ142" s="43">
        <f t="shared" si="313"/>
        <v>5.1224775982844815</v>
      </c>
      <c r="AK142" s="43">
        <f t="shared" si="314"/>
        <v>2.793111818433339</v>
      </c>
      <c r="AL142" s="43">
        <f t="shared" si="315"/>
        <v>14.60730140114863</v>
      </c>
      <c r="AM142" s="43">
        <f t="shared" si="316"/>
        <v>22.52289081786645</v>
      </c>
      <c r="AN142" s="43">
        <f t="shared" si="317"/>
        <v>0</v>
      </c>
      <c r="AO142" s="43">
        <f t="shared" si="318"/>
        <v>0</v>
      </c>
      <c r="AP142" s="43">
        <f t="shared" si="319"/>
        <v>61.469731179413778</v>
      </c>
      <c r="AQ142" s="43">
        <f t="shared" si="320"/>
        <v>33.51734182120007</v>
      </c>
      <c r="AR142" s="43">
        <f t="shared" si="321"/>
        <v>175.28761681378356</v>
      </c>
      <c r="AS142" s="43">
        <f t="shared" si="322"/>
        <v>270.27468981439739</v>
      </c>
    </row>
    <row r="143" spans="1:45" x14ac:dyDescent="0.2">
      <c r="A143" s="58" t="str">
        <f>A141</f>
        <v>54E</v>
      </c>
      <c r="B143" s="22"/>
      <c r="C143" s="21" t="str">
        <f>'WP1 Light Inventory'!D144</f>
        <v>Light Emitting Diode</v>
      </c>
      <c r="D143" s="21" t="str">
        <f>'WP1 Light Inventory'!E144</f>
        <v>LED 270.01-300</v>
      </c>
      <c r="E143" s="21">
        <f>'WP1 Light Inventory'!F144</f>
        <v>285</v>
      </c>
      <c r="F143" s="21" t="str">
        <f>'WP1 Light Inventory'!H144</f>
        <v>Customer</v>
      </c>
      <c r="G143" s="397">
        <f>'WP1 Light Inventory'!J144</f>
        <v>0</v>
      </c>
      <c r="H143" s="74" t="s">
        <v>600</v>
      </c>
      <c r="I143" s="14" t="s">
        <v>159</v>
      </c>
      <c r="J143" s="19">
        <f>IF(C143="Light Emitting Diode",'WP10 O&amp;M Weighting Factor'!$B$26,IF('WP12 Condensed Sch. Level Costs'!C143="Sodium Vapor",'WP10 O&amp;M Weighting Factor'!$B$27,IF('WP12 Condensed Sch. Level Costs'!C143="Metal Halide",'WP10 O&amp;M Weighting Factor'!$B$28,IF('WP12 Condensed Sch. Level Costs'!C143="Mercury Vapor",'WP10 O&amp;M Weighting Factor'!$B$30,IF('WP12 Condensed Sch. Level Costs'!C143="Compact Flourescent",'WP10 O&amp;M Weighting Factor'!$B$29, IF(C143="Incandescent", 'WP10 O&amp;M Weighting Factor'!$B$31, 0))))))</f>
        <v>0.2</v>
      </c>
      <c r="K143" s="282">
        <f t="shared" si="295"/>
        <v>0</v>
      </c>
      <c r="L143" s="74">
        <f t="shared" si="296"/>
        <v>0</v>
      </c>
      <c r="M143" s="283">
        <f t="shared" si="297"/>
        <v>0</v>
      </c>
      <c r="N143" s="398">
        <f>'WP1 Light Inventory'!L144</f>
        <v>0</v>
      </c>
      <c r="O143" s="284">
        <f t="shared" si="298"/>
        <v>99.75</v>
      </c>
      <c r="P143" s="261">
        <f>'BDJ-6 Unitized Lighting Costs'!D$20</f>
        <v>1.0137794003499056E-2</v>
      </c>
      <c r="Q143" s="261">
        <f>'BDJ-6 Unitized Lighting Costs'!$D$43</f>
        <v>2.2529806535397991</v>
      </c>
      <c r="R143" s="261">
        <f>'BDJ-6 Unitized Lighting Costs'!D$69</f>
        <v>1.9131568994526543E-2</v>
      </c>
      <c r="S143" s="261">
        <f>'BDJ-6 Unitized Lighting Costs'!D$100</f>
        <v>3.6511265600435805</v>
      </c>
      <c r="T143" s="261">
        <f>'BDJ-6 Unitized Lighting Costs'!$D$117</f>
        <v>5.4555747529966878E-2</v>
      </c>
      <c r="U143" s="43">
        <f t="shared" si="299"/>
        <v>0</v>
      </c>
      <c r="V143" s="43">
        <f t="shared" si="300"/>
        <v>0</v>
      </c>
      <c r="W143" s="43">
        <f t="shared" si="301"/>
        <v>1.9083740072040227</v>
      </c>
      <c r="X143" s="43">
        <f t="shared" si="302"/>
        <v>1.0405710696124204</v>
      </c>
      <c r="Y143" s="43">
        <f t="shared" si="303"/>
        <v>5.4419358161141957</v>
      </c>
      <c r="Z143" s="43">
        <f t="shared" si="304"/>
        <v>8.3908808929306389</v>
      </c>
      <c r="AA143" s="220"/>
      <c r="AB143" s="240">
        <f t="shared" si="305"/>
        <v>0</v>
      </c>
      <c r="AC143" s="240">
        <f t="shared" si="306"/>
        <v>0</v>
      </c>
      <c r="AD143" s="240">
        <f t="shared" si="307"/>
        <v>1.9131568994526543E-2</v>
      </c>
      <c r="AE143" s="240">
        <f t="shared" si="308"/>
        <v>1.0431790171553088E-2</v>
      </c>
      <c r="AF143" s="240">
        <f t="shared" si="309"/>
        <v>5.4555747529966878E-2</v>
      </c>
      <c r="AG143" s="240">
        <f t="shared" si="310"/>
        <v>8.4119106696046511E-2</v>
      </c>
      <c r="AH143" s="43">
        <f t="shared" si="311"/>
        <v>0</v>
      </c>
      <c r="AI143" s="43">
        <f t="shared" si="312"/>
        <v>0</v>
      </c>
      <c r="AJ143" s="43">
        <f t="shared" si="313"/>
        <v>0</v>
      </c>
      <c r="AK143" s="43">
        <f t="shared" si="314"/>
        <v>0</v>
      </c>
      <c r="AL143" s="43">
        <f t="shared" si="315"/>
        <v>0</v>
      </c>
      <c r="AM143" s="43">
        <f t="shared" si="316"/>
        <v>0</v>
      </c>
      <c r="AN143" s="43">
        <f t="shared" si="317"/>
        <v>0</v>
      </c>
      <c r="AO143" s="43">
        <f t="shared" si="318"/>
        <v>0</v>
      </c>
      <c r="AP143" s="43">
        <f t="shared" si="319"/>
        <v>0</v>
      </c>
      <c r="AQ143" s="43">
        <f t="shared" si="320"/>
        <v>0</v>
      </c>
      <c r="AR143" s="43">
        <f t="shared" si="321"/>
        <v>0</v>
      </c>
      <c r="AS143" s="43">
        <f t="shared" si="322"/>
        <v>0</v>
      </c>
    </row>
    <row r="144" spans="1:45" x14ac:dyDescent="0.2">
      <c r="A144" s="388" t="s">
        <v>139</v>
      </c>
      <c r="B144" s="389"/>
      <c r="C144" s="15"/>
      <c r="D144" s="390"/>
      <c r="E144" s="391"/>
      <c r="F144" s="390"/>
      <c r="G144" s="392"/>
      <c r="H144" s="378"/>
      <c r="I144" s="15"/>
      <c r="J144" s="390"/>
      <c r="K144" s="377"/>
      <c r="L144" s="378"/>
      <c r="M144" s="379"/>
      <c r="N144" s="394"/>
      <c r="O144" s="395"/>
      <c r="P144" s="396"/>
      <c r="Q144" s="396"/>
      <c r="R144" s="396"/>
      <c r="S144" s="396"/>
      <c r="T144" s="396"/>
      <c r="U144" s="274"/>
      <c r="V144" s="274"/>
      <c r="W144" s="274"/>
      <c r="X144" s="274"/>
      <c r="Y144" s="274"/>
      <c r="Z144" s="274"/>
      <c r="AA144" s="220"/>
      <c r="AB144" s="240"/>
      <c r="AC144" s="240"/>
      <c r="AD144" s="240"/>
      <c r="AE144" s="240"/>
      <c r="AF144" s="240"/>
      <c r="AG144" s="240"/>
    </row>
    <row r="145" spans="1:45" x14ac:dyDescent="0.2">
      <c r="A145" s="58" t="s">
        <v>81</v>
      </c>
      <c r="B145" s="21" t="s">
        <v>605</v>
      </c>
      <c r="C145" s="21" t="str">
        <f>'WP1 Light Inventory'!D146</f>
        <v>Sodium Vapor</v>
      </c>
      <c r="D145" s="21" t="str">
        <f>'WP1 Light Inventory'!E146</f>
        <v>SV 070</v>
      </c>
      <c r="E145" s="21">
        <f>'WP1 Light Inventory'!F146</f>
        <v>70</v>
      </c>
      <c r="F145" s="21" t="str">
        <f>'WP1 Light Inventory'!H146</f>
        <v>Company</v>
      </c>
      <c r="G145" s="397">
        <f>'WP1 Light Inventory'!J146</f>
        <v>16</v>
      </c>
      <c r="H145" s="74">
        <f>'WP9 Sodium Vapor Cost Est.'!$D$20</f>
        <v>908.27</v>
      </c>
      <c r="I145" s="14" t="s">
        <v>133</v>
      </c>
      <c r="J145" s="19">
        <f>IF(C145="Light Emitting Diode",'WP10 O&amp;M Weighting Factor'!$B$26,IF('WP12 Condensed Sch. Level Costs'!C145="Sodium Vapor",'WP10 O&amp;M Weighting Factor'!$B$27,IF('WP12 Condensed Sch. Level Costs'!C145="Metal Halide",'WP10 O&amp;M Weighting Factor'!$B$28,IF('WP12 Condensed Sch. Level Costs'!C145="Mercury Vapor",'WP10 O&amp;M Weighting Factor'!$B$30,IF('WP12 Condensed Sch. Level Costs'!C145="Compact Flourescent",'WP10 O&amp;M Weighting Factor'!$B$29, IF(C145="Incandescent", 'WP10 O&amp;M Weighting Factor'!$B$31, 0))))))</f>
        <v>1</v>
      </c>
      <c r="K145" s="282">
        <f t="shared" ref="K145:K150" si="324">IF(I145="Yes",G145*J145,0)</f>
        <v>16</v>
      </c>
      <c r="L145" s="74">
        <f t="shared" ref="L145:L150" si="325">IF(F145="Company", G145*H145,0)</f>
        <v>14532.32</v>
      </c>
      <c r="M145" s="283">
        <f t="shared" ref="M145:M150" si="326">E145*G145/1000</f>
        <v>1.1200000000000001</v>
      </c>
      <c r="N145" s="398">
        <f>'WP1 Light Inventory'!L146</f>
        <v>4704</v>
      </c>
      <c r="O145" s="284">
        <f t="shared" ref="O145:O150" si="327">E145*4200/1000/12</f>
        <v>24.5</v>
      </c>
      <c r="P145" s="261">
        <f>'BDJ-6 Unitized Lighting Costs'!D$20</f>
        <v>1.0137794003499056E-2</v>
      </c>
      <c r="Q145" s="261">
        <f>'BDJ-6 Unitized Lighting Costs'!$D$43</f>
        <v>2.2529806535397991</v>
      </c>
      <c r="R145" s="261">
        <f>'BDJ-6 Unitized Lighting Costs'!D$69</f>
        <v>1.9131568994526543E-2</v>
      </c>
      <c r="S145" s="261">
        <f>'BDJ-6 Unitized Lighting Costs'!$D$110</f>
        <v>3.7045631694556067</v>
      </c>
      <c r="T145" s="261">
        <f>'BDJ-6 Unitized Lighting Costs'!$D$117</f>
        <v>5.4555747529966878E-2</v>
      </c>
      <c r="U145" s="43">
        <f t="shared" ref="U145:U150" si="328">IF(F145="Company", H145*P145, 0)</f>
        <v>9.2078541595580869</v>
      </c>
      <c r="V145" s="43">
        <f t="shared" ref="V145:V150" si="329">IF(I145="yes", J145*Q145, 0)</f>
        <v>2.2529806535397991</v>
      </c>
      <c r="W145" s="43">
        <f t="shared" ref="W145:W150" si="330">R145*O145</f>
        <v>0.4687234403659003</v>
      </c>
      <c r="X145" s="43">
        <f t="shared" ref="X145:X150" si="331">E145*S145/1000</f>
        <v>0.25931942186189244</v>
      </c>
      <c r="Y145" s="43">
        <f t="shared" ref="Y145:Y150" si="332">O145*T145</f>
        <v>1.3366158144841884</v>
      </c>
      <c r="Z145" s="43">
        <f t="shared" ref="Z145:Z150" si="333">SUM(U145:Y145)</f>
        <v>13.525493489809868</v>
      </c>
      <c r="AA145" s="220"/>
      <c r="AB145" s="240">
        <f t="shared" ref="AB145:AB150" si="334">IFERROR(U145/O145,0)</f>
        <v>0.37583078202277909</v>
      </c>
      <c r="AC145" s="240">
        <f t="shared" ref="AC145:AC150" si="335">IFERROR(V145/O145,0)</f>
        <v>9.1958394022032625E-2</v>
      </c>
      <c r="AD145" s="240">
        <f t="shared" ref="AD145:AD150" si="336">IFERROR(W145/O145,0)</f>
        <v>1.9131568994526543E-2</v>
      </c>
      <c r="AE145" s="240">
        <f t="shared" ref="AE145:AE150" si="337">IFERROR(X145/O145,0)</f>
        <v>1.058446619844459E-2</v>
      </c>
      <c r="AF145" s="240">
        <f t="shared" ref="AF145:AF150" si="338">IFERROR(Y145/O145,0)</f>
        <v>5.4555747529966878E-2</v>
      </c>
      <c r="AG145" s="240">
        <f t="shared" ref="AG145:AG150" si="339">SUM(AB145:AF145)</f>
        <v>0.55206095876774974</v>
      </c>
      <c r="AH145" s="43">
        <f t="shared" ref="AH145:AL150" si="340">(U145*$G145)</f>
        <v>147.32566655292939</v>
      </c>
      <c r="AI145" s="43">
        <f t="shared" si="340"/>
        <v>36.047690456636786</v>
      </c>
      <c r="AJ145" s="43">
        <f t="shared" si="340"/>
        <v>7.4995750458544048</v>
      </c>
      <c r="AK145" s="43">
        <f t="shared" si="340"/>
        <v>4.1491107497902791</v>
      </c>
      <c r="AL145" s="43">
        <f t="shared" si="340"/>
        <v>21.385853031747015</v>
      </c>
      <c r="AM145" s="43">
        <f t="shared" ref="AM145:AM150" si="341">SUM(AH145:AL145)</f>
        <v>216.40789583695789</v>
      </c>
      <c r="AN145" s="43">
        <f t="shared" ref="AN145:AS150" si="342">AH145*12</f>
        <v>1767.9079986351526</v>
      </c>
      <c r="AO145" s="43">
        <f t="shared" si="342"/>
        <v>432.57228547964144</v>
      </c>
      <c r="AP145" s="43">
        <f t="shared" si="342"/>
        <v>89.994900550252851</v>
      </c>
      <c r="AQ145" s="43">
        <f t="shared" si="342"/>
        <v>49.789328997483352</v>
      </c>
      <c r="AR145" s="43">
        <f t="shared" si="342"/>
        <v>256.63023638096416</v>
      </c>
      <c r="AS145" s="43">
        <f t="shared" si="342"/>
        <v>2596.8947500434947</v>
      </c>
    </row>
    <row r="146" spans="1:45" x14ac:dyDescent="0.2">
      <c r="A146" s="58" t="str">
        <f>+A145</f>
        <v>55E &amp; 56E</v>
      </c>
      <c r="B146" s="21" t="s">
        <v>605</v>
      </c>
      <c r="C146" s="21" t="str">
        <f>'WP1 Light Inventory'!D147</f>
        <v>Sodium Vapor</v>
      </c>
      <c r="D146" s="21" t="str">
        <f>'WP1 Light Inventory'!E147</f>
        <v>SV 100</v>
      </c>
      <c r="E146" s="21">
        <f>'WP1 Light Inventory'!F147</f>
        <v>100</v>
      </c>
      <c r="F146" s="21" t="str">
        <f>'WP1 Light Inventory'!H147</f>
        <v>Company</v>
      </c>
      <c r="G146" s="397">
        <f>'WP1 Light Inventory'!J147</f>
        <v>3646</v>
      </c>
      <c r="H146" s="74">
        <f>'WP9 Sodium Vapor Cost Est.'!$D$22</f>
        <v>855.82</v>
      </c>
      <c r="I146" s="14" t="s">
        <v>133</v>
      </c>
      <c r="J146" s="19">
        <f>IF(C146="Light Emitting Diode",'WP10 O&amp;M Weighting Factor'!$B$26,IF('WP12 Condensed Sch. Level Costs'!C146="Sodium Vapor",'WP10 O&amp;M Weighting Factor'!$B$27,IF('WP12 Condensed Sch. Level Costs'!C146="Metal Halide",'WP10 O&amp;M Weighting Factor'!$B$28,IF('WP12 Condensed Sch. Level Costs'!C146="Mercury Vapor",'WP10 O&amp;M Weighting Factor'!$B$30,IF('WP12 Condensed Sch. Level Costs'!C146="Compact Flourescent",'WP10 O&amp;M Weighting Factor'!$B$29, IF(C146="Incandescent", 'WP10 O&amp;M Weighting Factor'!$B$31, 0))))))</f>
        <v>1</v>
      </c>
      <c r="K146" s="282">
        <f t="shared" si="324"/>
        <v>3646</v>
      </c>
      <c r="L146" s="74">
        <f t="shared" si="325"/>
        <v>3120319.72</v>
      </c>
      <c r="M146" s="283">
        <f t="shared" si="326"/>
        <v>364.6</v>
      </c>
      <c r="N146" s="398">
        <f>'WP1 Light Inventory'!L147</f>
        <v>1531320</v>
      </c>
      <c r="O146" s="284">
        <f t="shared" si="327"/>
        <v>35</v>
      </c>
      <c r="P146" s="261">
        <f>'BDJ-6 Unitized Lighting Costs'!D$20</f>
        <v>1.0137794003499056E-2</v>
      </c>
      <c r="Q146" s="261">
        <f>'BDJ-6 Unitized Lighting Costs'!$D$43</f>
        <v>2.2529806535397991</v>
      </c>
      <c r="R146" s="261">
        <f>'BDJ-6 Unitized Lighting Costs'!D$69</f>
        <v>1.9131568994526543E-2</v>
      </c>
      <c r="S146" s="261">
        <f>'BDJ-6 Unitized Lighting Costs'!$D$110</f>
        <v>3.7045631694556067</v>
      </c>
      <c r="T146" s="261">
        <f>'BDJ-6 Unitized Lighting Costs'!$D$117</f>
        <v>5.4555747529966878E-2</v>
      </c>
      <c r="U146" s="43">
        <f t="shared" si="328"/>
        <v>8.676126864074563</v>
      </c>
      <c r="V146" s="43">
        <f t="shared" si="329"/>
        <v>2.2529806535397991</v>
      </c>
      <c r="W146" s="43">
        <f t="shared" si="330"/>
        <v>0.66960491480842899</v>
      </c>
      <c r="X146" s="43">
        <f t="shared" si="331"/>
        <v>0.37045631694556069</v>
      </c>
      <c r="Y146" s="43">
        <f t="shared" si="332"/>
        <v>1.9094511635488407</v>
      </c>
      <c r="Z146" s="43">
        <f t="shared" si="333"/>
        <v>13.878619912917193</v>
      </c>
      <c r="AA146" s="220"/>
      <c r="AB146" s="240">
        <f t="shared" si="334"/>
        <v>0.24788933897355894</v>
      </c>
      <c r="AC146" s="240">
        <f t="shared" si="335"/>
        <v>6.4370875815422834E-2</v>
      </c>
      <c r="AD146" s="240">
        <f t="shared" si="336"/>
        <v>1.9131568994526543E-2</v>
      </c>
      <c r="AE146" s="240">
        <f t="shared" si="337"/>
        <v>1.0584466198444591E-2</v>
      </c>
      <c r="AF146" s="240">
        <f t="shared" si="338"/>
        <v>5.4555747529966878E-2</v>
      </c>
      <c r="AG146" s="240">
        <f t="shared" si="339"/>
        <v>0.39653199751191986</v>
      </c>
      <c r="AH146" s="43">
        <f t="shared" si="340"/>
        <v>31633.158546415856</v>
      </c>
      <c r="AI146" s="43">
        <f t="shared" si="340"/>
        <v>8214.3674628061071</v>
      </c>
      <c r="AJ146" s="43">
        <f t="shared" si="340"/>
        <v>2441.3795193915321</v>
      </c>
      <c r="AK146" s="43">
        <f t="shared" si="340"/>
        <v>1350.6837315835144</v>
      </c>
      <c r="AL146" s="43">
        <f t="shared" si="340"/>
        <v>6961.8589422990735</v>
      </c>
      <c r="AM146" s="43">
        <f t="shared" si="341"/>
        <v>50601.448202496089</v>
      </c>
      <c r="AN146" s="43">
        <f t="shared" si="342"/>
        <v>379597.90255699027</v>
      </c>
      <c r="AO146" s="43">
        <f t="shared" si="342"/>
        <v>98572.409553673293</v>
      </c>
      <c r="AP146" s="43">
        <f t="shared" si="342"/>
        <v>29296.554232698385</v>
      </c>
      <c r="AQ146" s="43">
        <f t="shared" si="342"/>
        <v>16208.204779002172</v>
      </c>
      <c r="AR146" s="43">
        <f t="shared" si="342"/>
        <v>83542.307307588882</v>
      </c>
      <c r="AS146" s="43">
        <f t="shared" si="342"/>
        <v>607217.37842995301</v>
      </c>
    </row>
    <row r="147" spans="1:45" x14ac:dyDescent="0.2">
      <c r="A147" s="58" t="str">
        <f>+A146</f>
        <v>55E &amp; 56E</v>
      </c>
      <c r="B147" s="21" t="s">
        <v>605</v>
      </c>
      <c r="C147" s="21" t="str">
        <f>'WP1 Light Inventory'!D148</f>
        <v>Sodium Vapor</v>
      </c>
      <c r="D147" s="21" t="str">
        <f>'WP1 Light Inventory'!E148</f>
        <v>SV 150</v>
      </c>
      <c r="E147" s="21">
        <f>'WP1 Light Inventory'!F148</f>
        <v>150</v>
      </c>
      <c r="F147" s="21" t="str">
        <f>'WP1 Light Inventory'!H148</f>
        <v>Company</v>
      </c>
      <c r="G147" s="397">
        <f>'WP1 Light Inventory'!J148</f>
        <v>488</v>
      </c>
      <c r="H147" s="74">
        <f>'WP9 Sodium Vapor Cost Est.'!$D$23</f>
        <v>857.29</v>
      </c>
      <c r="I147" s="14" t="s">
        <v>133</v>
      </c>
      <c r="J147" s="19">
        <f>IF(C147="Light Emitting Diode",'WP10 O&amp;M Weighting Factor'!$B$26,IF('WP12 Condensed Sch. Level Costs'!C147="Sodium Vapor",'WP10 O&amp;M Weighting Factor'!$B$27,IF('WP12 Condensed Sch. Level Costs'!C147="Metal Halide",'WP10 O&amp;M Weighting Factor'!$B$28,IF('WP12 Condensed Sch. Level Costs'!C147="Mercury Vapor",'WP10 O&amp;M Weighting Factor'!$B$30,IF('WP12 Condensed Sch. Level Costs'!C147="Compact Flourescent",'WP10 O&amp;M Weighting Factor'!$B$29, IF(C147="Incandescent", 'WP10 O&amp;M Weighting Factor'!$B$31, 0))))))</f>
        <v>1</v>
      </c>
      <c r="K147" s="282">
        <f t="shared" si="324"/>
        <v>488</v>
      </c>
      <c r="L147" s="74">
        <f t="shared" si="325"/>
        <v>418357.51999999996</v>
      </c>
      <c r="M147" s="283">
        <f t="shared" si="326"/>
        <v>73.2</v>
      </c>
      <c r="N147" s="398">
        <f>'WP1 Light Inventory'!L148</f>
        <v>307440</v>
      </c>
      <c r="O147" s="284">
        <f t="shared" si="327"/>
        <v>52.5</v>
      </c>
      <c r="P147" s="261">
        <f>'BDJ-6 Unitized Lighting Costs'!D$20</f>
        <v>1.0137794003499056E-2</v>
      </c>
      <c r="Q147" s="261">
        <f>'BDJ-6 Unitized Lighting Costs'!$D$43</f>
        <v>2.2529806535397991</v>
      </c>
      <c r="R147" s="261">
        <f>'BDJ-6 Unitized Lighting Costs'!D$69</f>
        <v>1.9131568994526543E-2</v>
      </c>
      <c r="S147" s="261">
        <f>'BDJ-6 Unitized Lighting Costs'!$D$110</f>
        <v>3.7045631694556067</v>
      </c>
      <c r="T147" s="261">
        <f>'BDJ-6 Unitized Lighting Costs'!$D$117</f>
        <v>5.4555747529966878E-2</v>
      </c>
      <c r="U147" s="43">
        <f t="shared" si="328"/>
        <v>8.6910294212597048</v>
      </c>
      <c r="V147" s="43">
        <f t="shared" si="329"/>
        <v>2.2529806535397991</v>
      </c>
      <c r="W147" s="43">
        <f t="shared" si="330"/>
        <v>1.0044073722126434</v>
      </c>
      <c r="X147" s="43">
        <f t="shared" si="331"/>
        <v>0.55568447541834098</v>
      </c>
      <c r="Y147" s="43">
        <f t="shared" si="332"/>
        <v>2.8641767453232609</v>
      </c>
      <c r="Z147" s="43">
        <f t="shared" si="333"/>
        <v>15.368278667753749</v>
      </c>
      <c r="AA147" s="220"/>
      <c r="AB147" s="240">
        <f t="shared" si="334"/>
        <v>0.16554341754780391</v>
      </c>
      <c r="AC147" s="240">
        <f t="shared" si="335"/>
        <v>4.2913917210281892E-2</v>
      </c>
      <c r="AD147" s="240">
        <f t="shared" si="336"/>
        <v>1.9131568994526543E-2</v>
      </c>
      <c r="AE147" s="240">
        <f t="shared" si="337"/>
        <v>1.058446619844459E-2</v>
      </c>
      <c r="AF147" s="240">
        <f t="shared" si="338"/>
        <v>5.4555747529966878E-2</v>
      </c>
      <c r="AG147" s="240">
        <f t="shared" si="339"/>
        <v>0.29272911748102382</v>
      </c>
      <c r="AH147" s="43">
        <f t="shared" si="340"/>
        <v>4241.2223575747357</v>
      </c>
      <c r="AI147" s="43">
        <f t="shared" si="340"/>
        <v>1099.4545589274219</v>
      </c>
      <c r="AJ147" s="43">
        <f t="shared" si="340"/>
        <v>490.15079763976996</v>
      </c>
      <c r="AK147" s="43">
        <f t="shared" si="340"/>
        <v>271.1740240041504</v>
      </c>
      <c r="AL147" s="43">
        <f t="shared" si="340"/>
        <v>1397.7182517177514</v>
      </c>
      <c r="AM147" s="43">
        <f t="shared" si="341"/>
        <v>7499.7199898638301</v>
      </c>
      <c r="AN147" s="43">
        <f t="shared" si="342"/>
        <v>50894.668290896829</v>
      </c>
      <c r="AO147" s="43">
        <f t="shared" si="342"/>
        <v>13193.454707129062</v>
      </c>
      <c r="AP147" s="43">
        <f t="shared" si="342"/>
        <v>5881.8095716772395</v>
      </c>
      <c r="AQ147" s="43">
        <f t="shared" si="342"/>
        <v>3254.0882880498048</v>
      </c>
      <c r="AR147" s="43">
        <f t="shared" si="342"/>
        <v>16772.619020613016</v>
      </c>
      <c r="AS147" s="43">
        <f t="shared" si="342"/>
        <v>89996.639878365968</v>
      </c>
    </row>
    <row r="148" spans="1:45" x14ac:dyDescent="0.2">
      <c r="A148" s="58" t="str">
        <f>+A147</f>
        <v>55E &amp; 56E</v>
      </c>
      <c r="B148" s="21" t="s">
        <v>605</v>
      </c>
      <c r="C148" s="21" t="str">
        <f>'WP1 Light Inventory'!D149</f>
        <v>Sodium Vapor</v>
      </c>
      <c r="D148" s="21" t="str">
        <f>'WP1 Light Inventory'!E149</f>
        <v>SV 200</v>
      </c>
      <c r="E148" s="21">
        <f>'WP1 Light Inventory'!F149</f>
        <v>200</v>
      </c>
      <c r="F148" s="21" t="str">
        <f>'WP1 Light Inventory'!H149</f>
        <v>Company</v>
      </c>
      <c r="G148" s="397">
        <f>'WP1 Light Inventory'!J149</f>
        <v>1043</v>
      </c>
      <c r="H148" s="74">
        <f>'WP9 Sodium Vapor Cost Est.'!$D$25</f>
        <v>906.86</v>
      </c>
      <c r="I148" s="14" t="s">
        <v>133</v>
      </c>
      <c r="J148" s="19">
        <f>IF(C148="Light Emitting Diode",'WP10 O&amp;M Weighting Factor'!$B$26,IF('WP12 Condensed Sch. Level Costs'!C148="Sodium Vapor",'WP10 O&amp;M Weighting Factor'!$B$27,IF('WP12 Condensed Sch. Level Costs'!C148="Metal Halide",'WP10 O&amp;M Weighting Factor'!$B$28,IF('WP12 Condensed Sch. Level Costs'!C148="Mercury Vapor",'WP10 O&amp;M Weighting Factor'!$B$30,IF('WP12 Condensed Sch. Level Costs'!C148="Compact Flourescent",'WP10 O&amp;M Weighting Factor'!$B$29, IF(C148="Incandescent", 'WP10 O&amp;M Weighting Factor'!$B$31, 0))))))</f>
        <v>1</v>
      </c>
      <c r="K148" s="282">
        <f t="shared" si="324"/>
        <v>1043</v>
      </c>
      <c r="L148" s="74">
        <f t="shared" si="325"/>
        <v>945854.98</v>
      </c>
      <c r="M148" s="283">
        <f t="shared" si="326"/>
        <v>208.6</v>
      </c>
      <c r="N148" s="398">
        <f>'WP1 Light Inventory'!L149</f>
        <v>876120</v>
      </c>
      <c r="O148" s="284">
        <f t="shared" si="327"/>
        <v>70</v>
      </c>
      <c r="P148" s="261">
        <f>'BDJ-6 Unitized Lighting Costs'!D$20</f>
        <v>1.0137794003499056E-2</v>
      </c>
      <c r="Q148" s="261">
        <f>'BDJ-6 Unitized Lighting Costs'!$D$43</f>
        <v>2.2529806535397991</v>
      </c>
      <c r="R148" s="261">
        <f>'BDJ-6 Unitized Lighting Costs'!D$69</f>
        <v>1.9131568994526543E-2</v>
      </c>
      <c r="S148" s="261">
        <f>'BDJ-6 Unitized Lighting Costs'!$D$110</f>
        <v>3.7045631694556067</v>
      </c>
      <c r="T148" s="261">
        <f>'BDJ-6 Unitized Lighting Costs'!$D$117</f>
        <v>5.4555747529966878E-2</v>
      </c>
      <c r="U148" s="43">
        <f t="shared" si="328"/>
        <v>9.1935598700131536</v>
      </c>
      <c r="V148" s="43">
        <f t="shared" si="329"/>
        <v>2.2529806535397991</v>
      </c>
      <c r="W148" s="43">
        <f t="shared" si="330"/>
        <v>1.339209829616858</v>
      </c>
      <c r="X148" s="43">
        <f t="shared" si="331"/>
        <v>0.74091263389112139</v>
      </c>
      <c r="Y148" s="43">
        <f t="shared" si="332"/>
        <v>3.8189023270976814</v>
      </c>
      <c r="Z148" s="43">
        <f t="shared" si="333"/>
        <v>17.345565314158613</v>
      </c>
      <c r="AA148" s="220"/>
      <c r="AB148" s="240">
        <f t="shared" si="334"/>
        <v>0.13133656957161649</v>
      </c>
      <c r="AC148" s="240">
        <f t="shared" si="335"/>
        <v>3.2185437907711417E-2</v>
      </c>
      <c r="AD148" s="240">
        <f t="shared" si="336"/>
        <v>1.9131568994526543E-2</v>
      </c>
      <c r="AE148" s="240">
        <f t="shared" si="337"/>
        <v>1.0584466198444591E-2</v>
      </c>
      <c r="AF148" s="240">
        <f t="shared" si="338"/>
        <v>5.4555747529966878E-2</v>
      </c>
      <c r="AG148" s="240">
        <f t="shared" si="339"/>
        <v>0.24779379020226588</v>
      </c>
      <c r="AH148" s="43">
        <f t="shared" si="340"/>
        <v>9588.8829444237199</v>
      </c>
      <c r="AI148" s="43">
        <f t="shared" si="340"/>
        <v>2349.8588216420103</v>
      </c>
      <c r="AJ148" s="43">
        <f t="shared" si="340"/>
        <v>1396.7958522903828</v>
      </c>
      <c r="AK148" s="43">
        <f t="shared" si="340"/>
        <v>772.77187714843956</v>
      </c>
      <c r="AL148" s="43">
        <f t="shared" si="340"/>
        <v>3983.1151271628819</v>
      </c>
      <c r="AM148" s="43">
        <f t="shared" si="341"/>
        <v>18091.424622667433</v>
      </c>
      <c r="AN148" s="43">
        <f t="shared" si="342"/>
        <v>115066.59533308464</v>
      </c>
      <c r="AO148" s="43">
        <f t="shared" si="342"/>
        <v>28198.305859704124</v>
      </c>
      <c r="AP148" s="43">
        <f t="shared" si="342"/>
        <v>16761.550227484593</v>
      </c>
      <c r="AQ148" s="43">
        <f t="shared" si="342"/>
        <v>9273.2625257812742</v>
      </c>
      <c r="AR148" s="43">
        <f t="shared" si="342"/>
        <v>47797.381525954581</v>
      </c>
      <c r="AS148" s="43">
        <f t="shared" si="342"/>
        <v>217097.09547200921</v>
      </c>
    </row>
    <row r="149" spans="1:45" x14ac:dyDescent="0.2">
      <c r="A149" s="58" t="str">
        <f>+A148</f>
        <v>55E &amp; 56E</v>
      </c>
      <c r="B149" s="21" t="s">
        <v>605</v>
      </c>
      <c r="C149" s="21" t="str">
        <f>'WP1 Light Inventory'!D150</f>
        <v>Sodium Vapor</v>
      </c>
      <c r="D149" s="21" t="str">
        <f>'WP1 Light Inventory'!E150</f>
        <v>SV 250</v>
      </c>
      <c r="E149" s="21">
        <f>'WP1 Light Inventory'!F150</f>
        <v>250</v>
      </c>
      <c r="F149" s="21" t="str">
        <f>'WP1 Light Inventory'!H150</f>
        <v>Company</v>
      </c>
      <c r="G149" s="397">
        <f>'WP1 Light Inventory'!J150</f>
        <v>111</v>
      </c>
      <c r="H149" s="74">
        <f>'WP9 Sodium Vapor Cost Est.'!$D$26</f>
        <v>922.99</v>
      </c>
      <c r="I149" s="14" t="s">
        <v>133</v>
      </c>
      <c r="J149" s="19">
        <f>IF(C149="Light Emitting Diode",'WP10 O&amp;M Weighting Factor'!$B$26,IF('WP12 Condensed Sch. Level Costs'!C149="Sodium Vapor",'WP10 O&amp;M Weighting Factor'!$B$27,IF('WP12 Condensed Sch. Level Costs'!C149="Metal Halide",'WP10 O&amp;M Weighting Factor'!$B$28,IF('WP12 Condensed Sch. Level Costs'!C149="Mercury Vapor",'WP10 O&amp;M Weighting Factor'!$B$30,IF('WP12 Condensed Sch. Level Costs'!C149="Compact Flourescent",'WP10 O&amp;M Weighting Factor'!$B$29, IF(C149="Incandescent", 'WP10 O&amp;M Weighting Factor'!$B$31, 0))))))</f>
        <v>1</v>
      </c>
      <c r="K149" s="282">
        <f t="shared" si="324"/>
        <v>111</v>
      </c>
      <c r="L149" s="74">
        <f t="shared" si="325"/>
        <v>102451.89</v>
      </c>
      <c r="M149" s="283">
        <f t="shared" si="326"/>
        <v>27.75</v>
      </c>
      <c r="N149" s="398">
        <f>'WP1 Light Inventory'!L150</f>
        <v>116550</v>
      </c>
      <c r="O149" s="284">
        <f t="shared" si="327"/>
        <v>87.5</v>
      </c>
      <c r="P149" s="261">
        <f>'BDJ-6 Unitized Lighting Costs'!D$20</f>
        <v>1.0137794003499056E-2</v>
      </c>
      <c r="Q149" s="261">
        <f>'BDJ-6 Unitized Lighting Costs'!$D$43</f>
        <v>2.2529806535397991</v>
      </c>
      <c r="R149" s="261">
        <f>'BDJ-6 Unitized Lighting Costs'!D$69</f>
        <v>1.9131568994526543E-2</v>
      </c>
      <c r="S149" s="261">
        <f>'BDJ-6 Unitized Lighting Costs'!$D$110</f>
        <v>3.7045631694556067</v>
      </c>
      <c r="T149" s="261">
        <f>'BDJ-6 Unitized Lighting Costs'!$D$117</f>
        <v>5.4555747529966878E-2</v>
      </c>
      <c r="U149" s="43">
        <f t="shared" si="328"/>
        <v>9.3570824872895937</v>
      </c>
      <c r="V149" s="43">
        <f t="shared" si="329"/>
        <v>2.2529806535397991</v>
      </c>
      <c r="W149" s="43">
        <f t="shared" si="330"/>
        <v>1.6740122870210725</v>
      </c>
      <c r="X149" s="43">
        <f t="shared" si="331"/>
        <v>0.92614079236390168</v>
      </c>
      <c r="Y149" s="43">
        <f t="shared" si="332"/>
        <v>4.7736279088721014</v>
      </c>
      <c r="Z149" s="43">
        <f t="shared" si="333"/>
        <v>18.983844129086467</v>
      </c>
      <c r="AA149" s="220"/>
      <c r="AB149" s="240">
        <f t="shared" si="334"/>
        <v>0.10693808556902393</v>
      </c>
      <c r="AC149" s="240">
        <f t="shared" si="335"/>
        <v>2.5748350326169133E-2</v>
      </c>
      <c r="AD149" s="240">
        <f t="shared" si="336"/>
        <v>1.9131568994526543E-2</v>
      </c>
      <c r="AE149" s="240">
        <f t="shared" si="337"/>
        <v>1.0584466198444591E-2</v>
      </c>
      <c r="AF149" s="240">
        <f t="shared" si="338"/>
        <v>5.4555747529966871E-2</v>
      </c>
      <c r="AG149" s="240">
        <f t="shared" si="339"/>
        <v>0.21695821861813103</v>
      </c>
      <c r="AH149" s="43">
        <f t="shared" si="340"/>
        <v>1038.6361560891448</v>
      </c>
      <c r="AI149" s="43">
        <f t="shared" si="340"/>
        <v>250.08085254291771</v>
      </c>
      <c r="AJ149" s="43">
        <f t="shared" si="340"/>
        <v>185.81536385933904</v>
      </c>
      <c r="AK149" s="43">
        <f t="shared" si="340"/>
        <v>102.80162795239309</v>
      </c>
      <c r="AL149" s="43">
        <f t="shared" si="340"/>
        <v>529.8726978848033</v>
      </c>
      <c r="AM149" s="43">
        <f t="shared" si="341"/>
        <v>2107.2066983285977</v>
      </c>
      <c r="AN149" s="43">
        <f t="shared" si="342"/>
        <v>12463.633873069739</v>
      </c>
      <c r="AO149" s="43">
        <f t="shared" si="342"/>
        <v>3000.9702305150126</v>
      </c>
      <c r="AP149" s="43">
        <f t="shared" si="342"/>
        <v>2229.7843663120684</v>
      </c>
      <c r="AQ149" s="43">
        <f t="shared" si="342"/>
        <v>1233.619535428717</v>
      </c>
      <c r="AR149" s="43">
        <f t="shared" si="342"/>
        <v>6358.4723746176396</v>
      </c>
      <c r="AS149" s="43">
        <f t="shared" si="342"/>
        <v>25286.480379943172</v>
      </c>
    </row>
    <row r="150" spans="1:45" x14ac:dyDescent="0.2">
      <c r="A150" s="58" t="str">
        <f>+A149</f>
        <v>55E &amp; 56E</v>
      </c>
      <c r="B150" s="21" t="s">
        <v>605</v>
      </c>
      <c r="C150" s="21" t="str">
        <f>'WP1 Light Inventory'!D151</f>
        <v>Sodium Vapor</v>
      </c>
      <c r="D150" s="21" t="str">
        <f>'WP1 Light Inventory'!E151</f>
        <v>SV 400</v>
      </c>
      <c r="E150" s="21">
        <f>'WP1 Light Inventory'!F151</f>
        <v>400</v>
      </c>
      <c r="F150" s="21" t="str">
        <f>'WP1 Light Inventory'!H151</f>
        <v>Company</v>
      </c>
      <c r="G150" s="397">
        <f>'WP1 Light Inventory'!J151</f>
        <v>45</v>
      </c>
      <c r="H150" s="74">
        <f>'WP9 Sodium Vapor Cost Est.'!$D$28</f>
        <v>1029.9100000000001</v>
      </c>
      <c r="I150" s="14" t="s">
        <v>133</v>
      </c>
      <c r="J150" s="19">
        <f>IF(C150="Light Emitting Diode",'WP10 O&amp;M Weighting Factor'!$B$26,IF('WP12 Condensed Sch. Level Costs'!C150="Sodium Vapor",'WP10 O&amp;M Weighting Factor'!$B$27,IF('WP12 Condensed Sch. Level Costs'!C150="Metal Halide",'WP10 O&amp;M Weighting Factor'!$B$28,IF('WP12 Condensed Sch. Level Costs'!C150="Mercury Vapor",'WP10 O&amp;M Weighting Factor'!$B$30,IF('WP12 Condensed Sch. Level Costs'!C150="Compact Flourescent",'WP10 O&amp;M Weighting Factor'!$B$29, IF(C150="Incandescent", 'WP10 O&amp;M Weighting Factor'!$B$31, 0))))))</f>
        <v>1</v>
      </c>
      <c r="K150" s="282">
        <f t="shared" si="324"/>
        <v>45</v>
      </c>
      <c r="L150" s="74">
        <f t="shared" si="325"/>
        <v>46345.950000000004</v>
      </c>
      <c r="M150" s="283">
        <f t="shared" si="326"/>
        <v>18</v>
      </c>
      <c r="N150" s="398">
        <f>'WP1 Light Inventory'!L151</f>
        <v>75600</v>
      </c>
      <c r="O150" s="284">
        <f t="shared" si="327"/>
        <v>140</v>
      </c>
      <c r="P150" s="261">
        <f>'BDJ-6 Unitized Lighting Costs'!D$20</f>
        <v>1.0137794003499056E-2</v>
      </c>
      <c r="Q150" s="261">
        <f>'BDJ-6 Unitized Lighting Costs'!$D$43</f>
        <v>2.2529806535397991</v>
      </c>
      <c r="R150" s="261">
        <f>'BDJ-6 Unitized Lighting Costs'!D$69</f>
        <v>1.9131568994526543E-2</v>
      </c>
      <c r="S150" s="261">
        <f>'BDJ-6 Unitized Lighting Costs'!$D$110</f>
        <v>3.7045631694556067</v>
      </c>
      <c r="T150" s="261">
        <f>'BDJ-6 Unitized Lighting Costs'!$D$117</f>
        <v>5.4555747529966878E-2</v>
      </c>
      <c r="U150" s="43">
        <f t="shared" si="328"/>
        <v>10.441015422143714</v>
      </c>
      <c r="V150" s="43">
        <f t="shared" si="329"/>
        <v>2.2529806535397991</v>
      </c>
      <c r="W150" s="43">
        <f t="shared" si="330"/>
        <v>2.6784196592337159</v>
      </c>
      <c r="X150" s="43">
        <f t="shared" si="331"/>
        <v>1.4818252677822428</v>
      </c>
      <c r="Y150" s="43">
        <f t="shared" si="332"/>
        <v>7.6378046541953628</v>
      </c>
      <c r="Z150" s="43">
        <f t="shared" si="333"/>
        <v>24.492045656894835</v>
      </c>
      <c r="AA150" s="220"/>
      <c r="AB150" s="240">
        <f t="shared" si="334"/>
        <v>7.4578681586740816E-2</v>
      </c>
      <c r="AC150" s="240">
        <f t="shared" si="335"/>
        <v>1.6092718953855709E-2</v>
      </c>
      <c r="AD150" s="240">
        <f t="shared" si="336"/>
        <v>1.9131568994526543E-2</v>
      </c>
      <c r="AE150" s="240">
        <f t="shared" si="337"/>
        <v>1.0584466198444591E-2</v>
      </c>
      <c r="AF150" s="240">
        <f t="shared" si="338"/>
        <v>5.4555747529966878E-2</v>
      </c>
      <c r="AG150" s="240">
        <f t="shared" si="339"/>
        <v>0.17494318326353453</v>
      </c>
      <c r="AH150" s="43">
        <f t="shared" si="340"/>
        <v>469.84569399646711</v>
      </c>
      <c r="AI150" s="43">
        <f t="shared" si="340"/>
        <v>101.38412940929096</v>
      </c>
      <c r="AJ150" s="43">
        <f t="shared" si="340"/>
        <v>120.52888466551721</v>
      </c>
      <c r="AK150" s="43">
        <f t="shared" si="340"/>
        <v>66.682137050200922</v>
      </c>
      <c r="AL150" s="43">
        <f t="shared" si="340"/>
        <v>343.70120943879135</v>
      </c>
      <c r="AM150" s="43">
        <f t="shared" si="341"/>
        <v>1102.1420545602678</v>
      </c>
      <c r="AN150" s="43">
        <f t="shared" si="342"/>
        <v>5638.148327957605</v>
      </c>
      <c r="AO150" s="43">
        <f t="shared" si="342"/>
        <v>1216.6095529114916</v>
      </c>
      <c r="AP150" s="43">
        <f t="shared" si="342"/>
        <v>1446.3466159862064</v>
      </c>
      <c r="AQ150" s="43">
        <f t="shared" si="342"/>
        <v>800.185644602411</v>
      </c>
      <c r="AR150" s="43">
        <f t="shared" si="342"/>
        <v>4124.4145132654958</v>
      </c>
      <c r="AS150" s="43">
        <f t="shared" si="342"/>
        <v>13225.704654723213</v>
      </c>
    </row>
    <row r="151" spans="1:45" x14ac:dyDescent="0.2">
      <c r="A151" s="58"/>
      <c r="B151" s="18"/>
      <c r="C151" s="21"/>
      <c r="D151" s="21"/>
      <c r="E151" s="21"/>
      <c r="F151" s="21"/>
      <c r="G151" s="397"/>
      <c r="K151" s="282"/>
      <c r="L151" s="74"/>
      <c r="AA151" s="220"/>
      <c r="AB151" s="240"/>
      <c r="AC151" s="240"/>
      <c r="AD151" s="240"/>
      <c r="AE151" s="240"/>
      <c r="AF151" s="240"/>
      <c r="AG151" s="240"/>
    </row>
    <row r="152" spans="1:45" x14ac:dyDescent="0.2">
      <c r="A152" s="58" t="str">
        <f>+A150</f>
        <v>55E &amp; 56E</v>
      </c>
      <c r="B152" s="17"/>
      <c r="C152" s="21" t="str">
        <f>'WP1 Light Inventory'!D153</f>
        <v>Metal Halide</v>
      </c>
      <c r="D152" s="21" t="str">
        <f>'WP1 Light Inventory'!E153</f>
        <v>MH 250</v>
      </c>
      <c r="E152" s="21">
        <f>'WP1 Light Inventory'!F153</f>
        <v>250</v>
      </c>
      <c r="F152" s="21" t="str">
        <f>'WP1 Light Inventory'!H153</f>
        <v>Company</v>
      </c>
      <c r="G152" s="397">
        <f>'WP1 Light Inventory'!J153</f>
        <v>6</v>
      </c>
      <c r="H152" s="74">
        <f>'WP8 Metal Halide Cost Est.'!$D$20</f>
        <v>915.43</v>
      </c>
      <c r="I152" s="14" t="s">
        <v>133</v>
      </c>
      <c r="J152" s="19">
        <f>IF(C152="Light Emitting Diode",'WP10 O&amp;M Weighting Factor'!$B$26,IF('WP12 Condensed Sch. Level Costs'!C152="Sodium Vapor",'WP10 O&amp;M Weighting Factor'!$B$27,IF('WP12 Condensed Sch. Level Costs'!C152="Metal Halide",'WP10 O&amp;M Weighting Factor'!$B$28,IF('WP12 Condensed Sch. Level Costs'!C152="Mercury Vapor",'WP10 O&amp;M Weighting Factor'!$B$30,IF('WP12 Condensed Sch. Level Costs'!C152="Compact Flourescent",'WP10 O&amp;M Weighting Factor'!$B$29, IF(C152="Incandescent", 'WP10 O&amp;M Weighting Factor'!$B$31, 0))))))</f>
        <v>2</v>
      </c>
      <c r="K152" s="282">
        <f>IF(I152="Yes",G152*J152,0)</f>
        <v>12</v>
      </c>
      <c r="L152" s="74">
        <f>IF(F152="Company", G152*H152,0)</f>
        <v>5492.58</v>
      </c>
      <c r="M152" s="283">
        <f>E152*G152/1000</f>
        <v>1.5</v>
      </c>
      <c r="N152" s="398">
        <f>'WP1 Light Inventory'!L153</f>
        <v>6300</v>
      </c>
      <c r="O152" s="284">
        <f>E152*4200/1000/12</f>
        <v>87.5</v>
      </c>
      <c r="P152" s="261">
        <f>'BDJ-6 Unitized Lighting Costs'!D$20</f>
        <v>1.0137794003499056E-2</v>
      </c>
      <c r="Q152" s="261">
        <f>'BDJ-6 Unitized Lighting Costs'!$D$43</f>
        <v>2.2529806535397991</v>
      </c>
      <c r="R152" s="261">
        <f>'BDJ-6 Unitized Lighting Costs'!D$69</f>
        <v>1.9131568994526543E-2</v>
      </c>
      <c r="S152" s="261">
        <f>'BDJ-6 Unitized Lighting Costs'!$D$110</f>
        <v>3.7045631694556067</v>
      </c>
      <c r="T152" s="261">
        <f>'BDJ-6 Unitized Lighting Costs'!$D$117</f>
        <v>5.4555747529966878E-2</v>
      </c>
      <c r="U152" s="43">
        <f>IF(F152="Company", H152*P152, 0)</f>
        <v>9.2804407646231404</v>
      </c>
      <c r="V152" s="43">
        <f>IF(I152="yes", J152*Q152, 0)</f>
        <v>4.5059613070795983</v>
      </c>
      <c r="W152" s="43">
        <f>R152*O152</f>
        <v>1.6740122870210725</v>
      </c>
      <c r="X152" s="43">
        <f>E152*S152/1000</f>
        <v>0.92614079236390168</v>
      </c>
      <c r="Y152" s="43">
        <f>O152*T152</f>
        <v>4.7736279088721014</v>
      </c>
      <c r="Z152" s="43">
        <f>SUM(U152:Y152)</f>
        <v>21.160183059959813</v>
      </c>
      <c r="AA152" s="220"/>
      <c r="AB152" s="240">
        <f>IFERROR(U152/O152,0)</f>
        <v>0.1060621801671216</v>
      </c>
      <c r="AC152" s="240">
        <f>IFERROR(V152/O152,0)</f>
        <v>5.1496700652338266E-2</v>
      </c>
      <c r="AD152" s="240">
        <f>IFERROR(W152/O152,0)</f>
        <v>1.9131568994526543E-2</v>
      </c>
      <c r="AE152" s="240">
        <f>IFERROR(X152/O152,0)</f>
        <v>1.0584466198444591E-2</v>
      </c>
      <c r="AF152" s="240">
        <f>IFERROR(Y152/O152,0)</f>
        <v>5.4555747529966871E-2</v>
      </c>
      <c r="AG152" s="240">
        <f>SUM(AB152:AF152)</f>
        <v>0.24183066354239785</v>
      </c>
      <c r="AH152" s="43">
        <f>(U152*$G152)</f>
        <v>55.682644587738842</v>
      </c>
      <c r="AI152" s="43">
        <f>(V152*$G152)</f>
        <v>27.03576784247759</v>
      </c>
      <c r="AJ152" s="43">
        <f>(W152*$G152)</f>
        <v>10.044073722126434</v>
      </c>
      <c r="AK152" s="43">
        <f>(X152*$G152)</f>
        <v>5.5568447541834098</v>
      </c>
      <c r="AL152" s="43">
        <f>(Y152*$G152)</f>
        <v>28.64176745323261</v>
      </c>
      <c r="AM152" s="43">
        <f>SUM(AH152:AL152)</f>
        <v>126.96109835975889</v>
      </c>
      <c r="AN152" s="43">
        <f t="shared" ref="AN152:AS152" si="343">AH152*12</f>
        <v>668.19173505286608</v>
      </c>
      <c r="AO152" s="43">
        <f t="shared" si="343"/>
        <v>324.42921410973111</v>
      </c>
      <c r="AP152" s="43">
        <f t="shared" si="343"/>
        <v>120.52888466551721</v>
      </c>
      <c r="AQ152" s="43">
        <f t="shared" si="343"/>
        <v>66.682137050200922</v>
      </c>
      <c r="AR152" s="43">
        <f t="shared" si="343"/>
        <v>343.70120943879135</v>
      </c>
      <c r="AS152" s="43">
        <f t="shared" si="343"/>
        <v>1523.5331803171066</v>
      </c>
    </row>
    <row r="153" spans="1:45" x14ac:dyDescent="0.2">
      <c r="A153" s="58"/>
      <c r="B153" s="18"/>
      <c r="C153" s="21"/>
      <c r="D153" s="21"/>
      <c r="E153" s="21"/>
      <c r="F153" s="21"/>
      <c r="G153" s="397"/>
      <c r="K153" s="282"/>
      <c r="L153" s="74"/>
      <c r="AA153" s="220"/>
      <c r="AB153" s="240"/>
      <c r="AC153" s="240"/>
      <c r="AD153" s="240"/>
      <c r="AE153" s="240"/>
      <c r="AF153" s="240"/>
      <c r="AG153" s="240"/>
    </row>
    <row r="154" spans="1:45" x14ac:dyDescent="0.2">
      <c r="A154" s="58" t="s">
        <v>81</v>
      </c>
      <c r="B154" s="22" t="s">
        <v>925</v>
      </c>
      <c r="C154" s="21" t="str">
        <f>'WP1 Light Inventory'!D155</f>
        <v>Light Emitting Diode</v>
      </c>
      <c r="D154" s="21" t="str">
        <f>'WP1 Light Inventory'!E155</f>
        <v>LED 0-030</v>
      </c>
      <c r="E154" s="21">
        <f>'WP1 Light Inventory'!F155</f>
        <v>15</v>
      </c>
      <c r="F154" s="21" t="str">
        <f>'WP1 Light Inventory'!H155</f>
        <v>Company</v>
      </c>
      <c r="G154" s="397">
        <f>'WP1 Light Inventory'!J155</f>
        <v>0</v>
      </c>
      <c r="H154" s="74">
        <f>'WP7 Condensed LED Cost Est.'!$C29</f>
        <v>690.48333333333335</v>
      </c>
      <c r="I154" s="14" t="s">
        <v>133</v>
      </c>
      <c r="J154" s="19">
        <f>IF(C154="Light Emitting Diode",'WP10 O&amp;M Weighting Factor'!$B$26,IF('WP12 Condensed Sch. Level Costs'!C154="Sodium Vapor",'WP10 O&amp;M Weighting Factor'!$B$27,IF('WP12 Condensed Sch. Level Costs'!C154="Metal Halide",'WP10 O&amp;M Weighting Factor'!$B$28,IF('WP12 Condensed Sch. Level Costs'!C154="Mercury Vapor",'WP10 O&amp;M Weighting Factor'!$B$30,IF('WP12 Condensed Sch. Level Costs'!C154="Compact Flourescent",'WP10 O&amp;M Weighting Factor'!$B$29, IF(C154="Incandescent", 'WP10 O&amp;M Weighting Factor'!$B$31, 0))))))</f>
        <v>0.2</v>
      </c>
      <c r="K154" s="282">
        <f t="shared" ref="K154:K163" si="344">IF(I154="Yes",G154*J154,0)</f>
        <v>0</v>
      </c>
      <c r="L154" s="74">
        <f t="shared" ref="L154:L163" si="345">IF(F154="Company", G154*H154,0)</f>
        <v>0</v>
      </c>
      <c r="M154" s="283">
        <f t="shared" ref="M154:M163" si="346">E154*G154/1000</f>
        <v>0</v>
      </c>
      <c r="N154" s="398">
        <f>'WP1 Light Inventory'!L155</f>
        <v>0</v>
      </c>
      <c r="O154" s="284">
        <f t="shared" ref="O154:O163" si="347">E154*4200/1000/12</f>
        <v>5.25</v>
      </c>
      <c r="P154" s="261">
        <f>'BDJ-6 Unitized Lighting Costs'!D$20</f>
        <v>1.0137794003499056E-2</v>
      </c>
      <c r="Q154" s="261">
        <f>'BDJ-6 Unitized Lighting Costs'!$D$43</f>
        <v>2.2529806535397991</v>
      </c>
      <c r="R154" s="261">
        <f>'BDJ-6 Unitized Lighting Costs'!D$69</f>
        <v>1.9131568994526543E-2</v>
      </c>
      <c r="S154" s="261">
        <f>'BDJ-6 Unitized Lighting Costs'!$D$110</f>
        <v>3.7045631694556067</v>
      </c>
      <c r="T154" s="261">
        <f>'BDJ-6 Unitized Lighting Costs'!$D$117</f>
        <v>5.4555747529966878E-2</v>
      </c>
      <c r="U154" s="43">
        <f t="shared" ref="U154:U163" si="348">IF(F154="Company", H154*P154, 0)</f>
        <v>6.9999777961827068</v>
      </c>
      <c r="V154" s="43">
        <f t="shared" ref="V154:V163" si="349">IF(I154="yes", J154*Q154, 0)</f>
        <v>0.45059613070795984</v>
      </c>
      <c r="W154" s="43">
        <f t="shared" ref="W154:W163" si="350">R154*O154</f>
        <v>0.10044073722126434</v>
      </c>
      <c r="X154" s="43">
        <f t="shared" ref="X154:X163" si="351">E154*S154/1000</f>
        <v>5.5568447541834105E-2</v>
      </c>
      <c r="Y154" s="43">
        <f t="shared" ref="Y154:Y163" si="352">O154*T154</f>
        <v>0.28641767453232608</v>
      </c>
      <c r="Z154" s="43">
        <f t="shared" ref="Z154:Z163" si="353">SUM(U154:Y154)</f>
        <v>7.8930007861860911</v>
      </c>
      <c r="AA154" s="220"/>
      <c r="AB154" s="240">
        <f t="shared" ref="AB154:AB163" si="354">IFERROR(U154/O154,0)</f>
        <v>1.3333291040348012</v>
      </c>
      <c r="AC154" s="240">
        <f t="shared" ref="AC154:AC163" si="355">IFERROR(V154/O154,0)</f>
        <v>8.5827834420563784E-2</v>
      </c>
      <c r="AD154" s="240">
        <f t="shared" ref="AD154:AD163" si="356">IFERROR(W154/O154,0)</f>
        <v>1.9131568994526543E-2</v>
      </c>
      <c r="AE154" s="240">
        <f t="shared" ref="AE154:AE163" si="357">IFERROR(X154/O154,0)</f>
        <v>1.0584466198444591E-2</v>
      </c>
      <c r="AF154" s="240">
        <f t="shared" ref="AF154:AF163" si="358">IFERROR(Y154/O154,0)</f>
        <v>5.4555747529966871E-2</v>
      </c>
      <c r="AG154" s="240">
        <f t="shared" ref="AG154:AG163" si="359">SUM(AB154:AF154)</f>
        <v>1.5034287211783033</v>
      </c>
      <c r="AH154" s="43">
        <f t="shared" ref="AH154:AH163" si="360">(U154*$G154)</f>
        <v>0</v>
      </c>
      <c r="AI154" s="43">
        <f t="shared" ref="AI154:AI163" si="361">(V154*$G154)</f>
        <v>0</v>
      </c>
      <c r="AJ154" s="43">
        <f t="shared" ref="AJ154:AJ163" si="362">(W154*$G154)</f>
        <v>0</v>
      </c>
      <c r="AK154" s="43">
        <f t="shared" ref="AK154:AK163" si="363">(X154*$G154)</f>
        <v>0</v>
      </c>
      <c r="AL154" s="43">
        <f t="shared" ref="AL154:AL163" si="364">(Y154*$G154)</f>
        <v>0</v>
      </c>
      <c r="AM154" s="43">
        <f t="shared" ref="AM154:AM163" si="365">SUM(AH154:AL154)</f>
        <v>0</v>
      </c>
      <c r="AN154" s="43">
        <f t="shared" ref="AN154:AN163" si="366">AH154*12</f>
        <v>0</v>
      </c>
      <c r="AO154" s="43">
        <f t="shared" ref="AO154:AO163" si="367">AI154*12</f>
        <v>0</v>
      </c>
      <c r="AP154" s="43">
        <f t="shared" ref="AP154:AP163" si="368">AJ154*12</f>
        <v>0</v>
      </c>
      <c r="AQ154" s="43">
        <f t="shared" ref="AQ154:AQ163" si="369">AK154*12</f>
        <v>0</v>
      </c>
      <c r="AR154" s="43">
        <f t="shared" ref="AR154:AR163" si="370">AL154*12</f>
        <v>0</v>
      </c>
      <c r="AS154" s="43">
        <f t="shared" ref="AS154:AS163" si="371">AM154*12</f>
        <v>0</v>
      </c>
    </row>
    <row r="155" spans="1:45" x14ac:dyDescent="0.2">
      <c r="A155" s="58" t="str">
        <f>+A152</f>
        <v>55E &amp; 56E</v>
      </c>
      <c r="B155" s="22"/>
      <c r="C155" s="21" t="str">
        <f>'WP1 Light Inventory'!D156</f>
        <v>Light Emitting Diode</v>
      </c>
      <c r="D155" s="21" t="str">
        <f>'WP1 Light Inventory'!E156</f>
        <v>LED 030.01-060</v>
      </c>
      <c r="E155" s="21">
        <f>'WP1 Light Inventory'!F156</f>
        <v>45</v>
      </c>
      <c r="F155" s="21" t="str">
        <f>'WP1 Light Inventory'!H156</f>
        <v>Company</v>
      </c>
      <c r="G155" s="397">
        <f>'WP1 Light Inventory'!J156</f>
        <v>599</v>
      </c>
      <c r="H155" s="74">
        <f>'WP7 Condensed LED Cost Est.'!$C30</f>
        <v>799.17</v>
      </c>
      <c r="I155" s="14" t="s">
        <v>133</v>
      </c>
      <c r="J155" s="19">
        <f>IF(C155="Light Emitting Diode",'WP10 O&amp;M Weighting Factor'!$B$26,IF('WP12 Condensed Sch. Level Costs'!C155="Sodium Vapor",'WP10 O&amp;M Weighting Factor'!$B$27,IF('WP12 Condensed Sch. Level Costs'!C155="Metal Halide",'WP10 O&amp;M Weighting Factor'!$B$28,IF('WP12 Condensed Sch. Level Costs'!C155="Mercury Vapor",'WP10 O&amp;M Weighting Factor'!$B$30,IF('WP12 Condensed Sch. Level Costs'!C155="Compact Flourescent",'WP10 O&amp;M Weighting Factor'!$B$29, IF(C155="Incandescent", 'WP10 O&amp;M Weighting Factor'!$B$31, 0))))))</f>
        <v>0.2</v>
      </c>
      <c r="K155" s="282">
        <f t="shared" si="344"/>
        <v>119.80000000000001</v>
      </c>
      <c r="L155" s="74">
        <f t="shared" si="345"/>
        <v>478702.82999999996</v>
      </c>
      <c r="M155" s="283">
        <f t="shared" si="346"/>
        <v>26.954999999999998</v>
      </c>
      <c r="N155" s="398">
        <f>'WP1 Light Inventory'!L156</f>
        <v>113211</v>
      </c>
      <c r="O155" s="284">
        <f t="shared" si="347"/>
        <v>15.75</v>
      </c>
      <c r="P155" s="261">
        <f>'BDJ-6 Unitized Lighting Costs'!D$20</f>
        <v>1.0137794003499056E-2</v>
      </c>
      <c r="Q155" s="261">
        <f>'BDJ-6 Unitized Lighting Costs'!$D$43</f>
        <v>2.2529806535397991</v>
      </c>
      <c r="R155" s="261">
        <f>'BDJ-6 Unitized Lighting Costs'!D$69</f>
        <v>1.9131568994526543E-2</v>
      </c>
      <c r="S155" s="261">
        <f>'BDJ-6 Unitized Lighting Costs'!$D$110</f>
        <v>3.7045631694556067</v>
      </c>
      <c r="T155" s="261">
        <f>'BDJ-6 Unitized Lighting Costs'!$D$117</f>
        <v>5.4555747529966878E-2</v>
      </c>
      <c r="U155" s="43">
        <f t="shared" si="348"/>
        <v>8.1018208337763404</v>
      </c>
      <c r="V155" s="43">
        <f t="shared" si="349"/>
        <v>0.45059613070795984</v>
      </c>
      <c r="W155" s="43">
        <f t="shared" si="350"/>
        <v>0.30132221166379303</v>
      </c>
      <c r="X155" s="43">
        <f t="shared" si="351"/>
        <v>0.16670534262550232</v>
      </c>
      <c r="Y155" s="43">
        <f t="shared" si="352"/>
        <v>0.8592530235969783</v>
      </c>
      <c r="Z155" s="43">
        <f t="shared" si="353"/>
        <v>9.8796975423705717</v>
      </c>
      <c r="AA155" s="220"/>
      <c r="AB155" s="240">
        <f t="shared" si="354"/>
        <v>0.51440132277945017</v>
      </c>
      <c r="AC155" s="240">
        <f t="shared" si="355"/>
        <v>2.8609278140187926E-2</v>
      </c>
      <c r="AD155" s="240">
        <f t="shared" si="356"/>
        <v>1.9131568994526543E-2</v>
      </c>
      <c r="AE155" s="240">
        <f t="shared" si="357"/>
        <v>1.0584466198444591E-2</v>
      </c>
      <c r="AF155" s="240">
        <f t="shared" si="358"/>
        <v>5.4555747529966878E-2</v>
      </c>
      <c r="AG155" s="240">
        <f t="shared" si="359"/>
        <v>0.62728238364257594</v>
      </c>
      <c r="AH155" s="43">
        <f t="shared" si="360"/>
        <v>4852.9906794320277</v>
      </c>
      <c r="AI155" s="43">
        <f t="shared" si="361"/>
        <v>269.90708229406795</v>
      </c>
      <c r="AJ155" s="43">
        <f t="shared" si="362"/>
        <v>180.49200478661203</v>
      </c>
      <c r="AK155" s="43">
        <f t="shared" si="363"/>
        <v>99.856500232675884</v>
      </c>
      <c r="AL155" s="43">
        <f t="shared" si="364"/>
        <v>514.69256113459005</v>
      </c>
      <c r="AM155" s="43">
        <f t="shared" si="365"/>
        <v>5917.9388278799725</v>
      </c>
      <c r="AN155" s="43">
        <f t="shared" si="366"/>
        <v>58235.888153184336</v>
      </c>
      <c r="AO155" s="43">
        <f t="shared" si="367"/>
        <v>3238.8849875288151</v>
      </c>
      <c r="AP155" s="43">
        <f t="shared" si="368"/>
        <v>2165.9040574393443</v>
      </c>
      <c r="AQ155" s="43">
        <f t="shared" si="369"/>
        <v>1198.2780027921106</v>
      </c>
      <c r="AR155" s="43">
        <f t="shared" si="370"/>
        <v>6176.3107336150806</v>
      </c>
      <c r="AS155" s="43">
        <f t="shared" si="371"/>
        <v>71015.265934559662</v>
      </c>
    </row>
    <row r="156" spans="1:45" x14ac:dyDescent="0.2">
      <c r="A156" s="58" t="str">
        <f t="shared" ref="A156:A161" si="372">A155</f>
        <v>55E &amp; 56E</v>
      </c>
      <c r="B156" s="22"/>
      <c r="C156" s="21" t="str">
        <f>'WP1 Light Inventory'!D157</f>
        <v>Light Emitting Diode</v>
      </c>
      <c r="D156" s="21" t="str">
        <f>'WP1 Light Inventory'!E157</f>
        <v>LED 060.01-090</v>
      </c>
      <c r="E156" s="21">
        <f>'WP1 Light Inventory'!F157</f>
        <v>75</v>
      </c>
      <c r="F156" s="21" t="str">
        <f>'WP1 Light Inventory'!H157</f>
        <v>Company</v>
      </c>
      <c r="G156" s="397">
        <f>'WP1 Light Inventory'!J157</f>
        <v>6</v>
      </c>
      <c r="H156" s="74">
        <f>'WP7 Condensed LED Cost Est.'!$C31</f>
        <v>1061.43</v>
      </c>
      <c r="I156" s="14" t="s">
        <v>133</v>
      </c>
      <c r="J156" s="19">
        <f>IF(C156="Light Emitting Diode",'WP10 O&amp;M Weighting Factor'!$B$26,IF('WP12 Condensed Sch. Level Costs'!C156="Sodium Vapor",'WP10 O&amp;M Weighting Factor'!$B$27,IF('WP12 Condensed Sch. Level Costs'!C156="Metal Halide",'WP10 O&amp;M Weighting Factor'!$B$28,IF('WP12 Condensed Sch. Level Costs'!C156="Mercury Vapor",'WP10 O&amp;M Weighting Factor'!$B$30,IF('WP12 Condensed Sch. Level Costs'!C156="Compact Flourescent",'WP10 O&amp;M Weighting Factor'!$B$29, IF(C156="Incandescent", 'WP10 O&amp;M Weighting Factor'!$B$31, 0))))))</f>
        <v>0.2</v>
      </c>
      <c r="K156" s="282">
        <f t="shared" si="344"/>
        <v>1.2000000000000002</v>
      </c>
      <c r="L156" s="74">
        <f t="shared" si="345"/>
        <v>6368.58</v>
      </c>
      <c r="M156" s="283">
        <f t="shared" si="346"/>
        <v>0.45</v>
      </c>
      <c r="N156" s="398">
        <f>'WP1 Light Inventory'!L157</f>
        <v>1890</v>
      </c>
      <c r="O156" s="284">
        <f t="shared" si="347"/>
        <v>26.25</v>
      </c>
      <c r="P156" s="261">
        <f>'BDJ-6 Unitized Lighting Costs'!D$20</f>
        <v>1.0137794003499056E-2</v>
      </c>
      <c r="Q156" s="261">
        <f>'BDJ-6 Unitized Lighting Costs'!$D$43</f>
        <v>2.2529806535397991</v>
      </c>
      <c r="R156" s="261">
        <f>'BDJ-6 Unitized Lighting Costs'!D$69</f>
        <v>1.9131568994526543E-2</v>
      </c>
      <c r="S156" s="261">
        <f>'BDJ-6 Unitized Lighting Costs'!$D$110</f>
        <v>3.7045631694556067</v>
      </c>
      <c r="T156" s="261">
        <f>'BDJ-6 Unitized Lighting Costs'!$D$117</f>
        <v>5.4555747529966878E-2</v>
      </c>
      <c r="U156" s="43">
        <f t="shared" si="348"/>
        <v>10.760558689134003</v>
      </c>
      <c r="V156" s="43">
        <f t="shared" si="349"/>
        <v>0.45059613070795984</v>
      </c>
      <c r="W156" s="43">
        <f t="shared" si="350"/>
        <v>0.50220368610632171</v>
      </c>
      <c r="X156" s="43">
        <f t="shared" si="351"/>
        <v>0.27784223770917049</v>
      </c>
      <c r="Y156" s="43">
        <f t="shared" si="352"/>
        <v>1.4320883726616305</v>
      </c>
      <c r="Z156" s="43">
        <f t="shared" si="353"/>
        <v>13.423289116319085</v>
      </c>
      <c r="AA156" s="220"/>
      <c r="AB156" s="240">
        <f t="shared" si="354"/>
        <v>0.40992604530034299</v>
      </c>
      <c r="AC156" s="240">
        <f t="shared" si="355"/>
        <v>1.7165566884112755E-2</v>
      </c>
      <c r="AD156" s="240">
        <f t="shared" si="356"/>
        <v>1.9131568994526543E-2</v>
      </c>
      <c r="AE156" s="240">
        <f t="shared" si="357"/>
        <v>1.058446619844459E-2</v>
      </c>
      <c r="AF156" s="240">
        <f t="shared" si="358"/>
        <v>5.4555747529966878E-2</v>
      </c>
      <c r="AG156" s="240">
        <f t="shared" si="359"/>
        <v>0.5113633949073938</v>
      </c>
      <c r="AH156" s="43">
        <f t="shared" si="360"/>
        <v>64.56335213480402</v>
      </c>
      <c r="AI156" s="43">
        <f t="shared" si="361"/>
        <v>2.7035767842477592</v>
      </c>
      <c r="AJ156" s="43">
        <f t="shared" si="362"/>
        <v>3.0132221166379303</v>
      </c>
      <c r="AK156" s="43">
        <f t="shared" si="363"/>
        <v>1.667053426255023</v>
      </c>
      <c r="AL156" s="43">
        <f t="shared" si="364"/>
        <v>8.5925302359697824</v>
      </c>
      <c r="AM156" s="43">
        <f t="shared" si="365"/>
        <v>80.539734697914525</v>
      </c>
      <c r="AN156" s="43">
        <f t="shared" si="366"/>
        <v>774.7602256176483</v>
      </c>
      <c r="AO156" s="43">
        <f t="shared" si="367"/>
        <v>32.442921410973113</v>
      </c>
      <c r="AP156" s="43">
        <f t="shared" si="368"/>
        <v>36.158665399655163</v>
      </c>
      <c r="AQ156" s="43">
        <f t="shared" si="369"/>
        <v>20.004641115060274</v>
      </c>
      <c r="AR156" s="43">
        <f t="shared" si="370"/>
        <v>103.11036283163739</v>
      </c>
      <c r="AS156" s="43">
        <f t="shared" si="371"/>
        <v>966.47681637497431</v>
      </c>
    </row>
    <row r="157" spans="1:45" x14ac:dyDescent="0.2">
      <c r="A157" s="58" t="str">
        <f t="shared" si="372"/>
        <v>55E &amp; 56E</v>
      </c>
      <c r="B157" s="22"/>
      <c r="C157" s="21" t="str">
        <f>'WP1 Light Inventory'!D158</f>
        <v>Light Emitting Diode</v>
      </c>
      <c r="D157" s="21" t="str">
        <f>'WP1 Light Inventory'!E158</f>
        <v>LED 090.01-120</v>
      </c>
      <c r="E157" s="21">
        <f>'WP1 Light Inventory'!F158</f>
        <v>105</v>
      </c>
      <c r="F157" s="21" t="str">
        <f>'WP1 Light Inventory'!H158</f>
        <v>Company</v>
      </c>
      <c r="G157" s="397">
        <f>'WP1 Light Inventory'!J158</f>
        <v>150</v>
      </c>
      <c r="H157" s="74">
        <f>'WP7 Condensed LED Cost Est.'!$C32</f>
        <v>1093.33</v>
      </c>
      <c r="I157" s="14" t="s">
        <v>133</v>
      </c>
      <c r="J157" s="19">
        <f>IF(C157="Light Emitting Diode",'WP10 O&amp;M Weighting Factor'!$B$26,IF('WP12 Condensed Sch. Level Costs'!C157="Sodium Vapor",'WP10 O&amp;M Weighting Factor'!$B$27,IF('WP12 Condensed Sch. Level Costs'!C157="Metal Halide",'WP10 O&amp;M Weighting Factor'!$B$28,IF('WP12 Condensed Sch. Level Costs'!C157="Mercury Vapor",'WP10 O&amp;M Weighting Factor'!$B$30,IF('WP12 Condensed Sch. Level Costs'!C157="Compact Flourescent",'WP10 O&amp;M Weighting Factor'!$B$29, IF(C157="Incandescent", 'WP10 O&amp;M Weighting Factor'!$B$31, 0))))))</f>
        <v>0.2</v>
      </c>
      <c r="K157" s="282">
        <f t="shared" si="344"/>
        <v>30</v>
      </c>
      <c r="L157" s="74">
        <f t="shared" si="345"/>
        <v>163999.5</v>
      </c>
      <c r="M157" s="283">
        <f t="shared" si="346"/>
        <v>15.75</v>
      </c>
      <c r="N157" s="398">
        <f>'WP1 Light Inventory'!L158</f>
        <v>66150</v>
      </c>
      <c r="O157" s="284">
        <f t="shared" si="347"/>
        <v>36.75</v>
      </c>
      <c r="P157" s="261">
        <f>'BDJ-6 Unitized Lighting Costs'!D$20</f>
        <v>1.0137794003499056E-2</v>
      </c>
      <c r="Q157" s="261">
        <f>'BDJ-6 Unitized Lighting Costs'!$D$43</f>
        <v>2.2529806535397991</v>
      </c>
      <c r="R157" s="261">
        <f>'BDJ-6 Unitized Lighting Costs'!D$69</f>
        <v>1.9131568994526543E-2</v>
      </c>
      <c r="S157" s="261">
        <f>'BDJ-6 Unitized Lighting Costs'!$D$110</f>
        <v>3.7045631694556067</v>
      </c>
      <c r="T157" s="261">
        <f>'BDJ-6 Unitized Lighting Costs'!$D$117</f>
        <v>5.4555747529966878E-2</v>
      </c>
      <c r="U157" s="43">
        <f t="shared" si="348"/>
        <v>11.083954317845622</v>
      </c>
      <c r="V157" s="43">
        <f t="shared" si="349"/>
        <v>0.45059613070795984</v>
      </c>
      <c r="W157" s="43">
        <f t="shared" si="350"/>
        <v>0.7030851605488504</v>
      </c>
      <c r="X157" s="43">
        <f t="shared" si="351"/>
        <v>0.38897913279283869</v>
      </c>
      <c r="Y157" s="43">
        <f t="shared" si="352"/>
        <v>2.004923721726283</v>
      </c>
      <c r="Z157" s="43">
        <f t="shared" si="353"/>
        <v>14.631538463621553</v>
      </c>
      <c r="AA157" s="220"/>
      <c r="AB157" s="240">
        <f t="shared" si="354"/>
        <v>0.30160419912505093</v>
      </c>
      <c r="AC157" s="240">
        <f t="shared" si="355"/>
        <v>1.2261119202937683E-2</v>
      </c>
      <c r="AD157" s="240">
        <f t="shared" si="356"/>
        <v>1.9131568994526543E-2</v>
      </c>
      <c r="AE157" s="240">
        <f t="shared" si="357"/>
        <v>1.058446619844459E-2</v>
      </c>
      <c r="AF157" s="240">
        <f t="shared" si="358"/>
        <v>5.4555747529966885E-2</v>
      </c>
      <c r="AG157" s="240">
        <f t="shared" si="359"/>
        <v>0.3981371010509267</v>
      </c>
      <c r="AH157" s="43">
        <f t="shared" si="360"/>
        <v>1662.5931476768433</v>
      </c>
      <c r="AI157" s="43">
        <f t="shared" si="361"/>
        <v>67.589419606193971</v>
      </c>
      <c r="AJ157" s="43">
        <f t="shared" si="362"/>
        <v>105.46277408232756</v>
      </c>
      <c r="AK157" s="43">
        <f t="shared" si="363"/>
        <v>58.346869918925805</v>
      </c>
      <c r="AL157" s="43">
        <f t="shared" si="364"/>
        <v>300.73855825894242</v>
      </c>
      <c r="AM157" s="43">
        <f t="shared" si="365"/>
        <v>2194.7307695432332</v>
      </c>
      <c r="AN157" s="43">
        <f t="shared" si="366"/>
        <v>19951.117772122117</v>
      </c>
      <c r="AO157" s="43">
        <f t="shared" si="367"/>
        <v>811.07303527432759</v>
      </c>
      <c r="AP157" s="43">
        <f t="shared" si="368"/>
        <v>1265.5532889879307</v>
      </c>
      <c r="AQ157" s="43">
        <f t="shared" si="369"/>
        <v>700.16243902710971</v>
      </c>
      <c r="AR157" s="43">
        <f t="shared" si="370"/>
        <v>3608.8626991073088</v>
      </c>
      <c r="AS157" s="43">
        <f t="shared" si="371"/>
        <v>26336.769234518797</v>
      </c>
    </row>
    <row r="158" spans="1:45" x14ac:dyDescent="0.2">
      <c r="A158" s="58" t="str">
        <f t="shared" si="372"/>
        <v>55E &amp; 56E</v>
      </c>
      <c r="B158" s="22"/>
      <c r="C158" s="21" t="str">
        <f>'WP1 Light Inventory'!D159</f>
        <v>Light Emitting Diode</v>
      </c>
      <c r="D158" s="21" t="str">
        <f>'WP1 Light Inventory'!E159</f>
        <v>LED 120.01-150</v>
      </c>
      <c r="E158" s="21">
        <f>'WP1 Light Inventory'!F159</f>
        <v>135</v>
      </c>
      <c r="F158" s="21" t="str">
        <f>'WP1 Light Inventory'!H159</f>
        <v>Company</v>
      </c>
      <c r="G158" s="397">
        <f>'WP1 Light Inventory'!J159</f>
        <v>0</v>
      </c>
      <c r="H158" s="74">
        <f>'WP7 Condensed LED Cost Est.'!$C33</f>
        <v>1278.8033333333333</v>
      </c>
      <c r="I158" s="14" t="s">
        <v>133</v>
      </c>
      <c r="J158" s="19">
        <f>IF(C158="Light Emitting Diode",'WP10 O&amp;M Weighting Factor'!$B$26,IF('WP12 Condensed Sch. Level Costs'!C158="Sodium Vapor",'WP10 O&amp;M Weighting Factor'!$B$27,IF('WP12 Condensed Sch. Level Costs'!C158="Metal Halide",'WP10 O&amp;M Weighting Factor'!$B$28,IF('WP12 Condensed Sch. Level Costs'!C158="Mercury Vapor",'WP10 O&amp;M Weighting Factor'!$B$30,IF('WP12 Condensed Sch. Level Costs'!C158="Compact Flourescent",'WP10 O&amp;M Weighting Factor'!$B$29, IF(C158="Incandescent", 'WP10 O&amp;M Weighting Factor'!$B$31, 0))))))</f>
        <v>0.2</v>
      </c>
      <c r="K158" s="282">
        <f t="shared" si="344"/>
        <v>0</v>
      </c>
      <c r="L158" s="74">
        <f t="shared" si="345"/>
        <v>0</v>
      </c>
      <c r="M158" s="283">
        <f t="shared" si="346"/>
        <v>0</v>
      </c>
      <c r="N158" s="398">
        <f>'WP1 Light Inventory'!L159</f>
        <v>0</v>
      </c>
      <c r="O158" s="284">
        <f t="shared" si="347"/>
        <v>47.25</v>
      </c>
      <c r="P158" s="261">
        <f>'BDJ-6 Unitized Lighting Costs'!D$20</f>
        <v>1.0137794003499056E-2</v>
      </c>
      <c r="Q158" s="261">
        <f>'BDJ-6 Unitized Lighting Costs'!$D$43</f>
        <v>2.2529806535397991</v>
      </c>
      <c r="R158" s="261">
        <f>'BDJ-6 Unitized Lighting Costs'!D$69</f>
        <v>1.9131568994526543E-2</v>
      </c>
      <c r="S158" s="261">
        <f>'BDJ-6 Unitized Lighting Costs'!$D$110</f>
        <v>3.7045631694556067</v>
      </c>
      <c r="T158" s="261">
        <f>'BDJ-6 Unitized Lighting Costs'!$D$117</f>
        <v>5.4555747529966878E-2</v>
      </c>
      <c r="U158" s="43">
        <f t="shared" si="348"/>
        <v>12.96424476432127</v>
      </c>
      <c r="V158" s="43">
        <f t="shared" si="349"/>
        <v>0.45059613070795984</v>
      </c>
      <c r="W158" s="43">
        <f t="shared" si="350"/>
        <v>0.90396663499137908</v>
      </c>
      <c r="X158" s="43">
        <f t="shared" si="351"/>
        <v>0.50011602787650689</v>
      </c>
      <c r="Y158" s="43">
        <f t="shared" si="352"/>
        <v>2.5777590707909348</v>
      </c>
      <c r="Z158" s="43">
        <f t="shared" si="353"/>
        <v>17.396682628688051</v>
      </c>
      <c r="AA158" s="220"/>
      <c r="AB158" s="240">
        <f t="shared" si="354"/>
        <v>0.27437555056764595</v>
      </c>
      <c r="AC158" s="240">
        <f t="shared" si="355"/>
        <v>9.5364260467293085E-3</v>
      </c>
      <c r="AD158" s="240">
        <f t="shared" si="356"/>
        <v>1.9131568994526543E-2</v>
      </c>
      <c r="AE158" s="240">
        <f t="shared" si="357"/>
        <v>1.058446619844459E-2</v>
      </c>
      <c r="AF158" s="240">
        <f t="shared" si="358"/>
        <v>5.4555747529966878E-2</v>
      </c>
      <c r="AG158" s="240">
        <f t="shared" si="359"/>
        <v>0.36818375933731334</v>
      </c>
      <c r="AH158" s="43">
        <f t="shared" si="360"/>
        <v>0</v>
      </c>
      <c r="AI158" s="43">
        <f t="shared" si="361"/>
        <v>0</v>
      </c>
      <c r="AJ158" s="43">
        <f t="shared" si="362"/>
        <v>0</v>
      </c>
      <c r="AK158" s="43">
        <f t="shared" si="363"/>
        <v>0</v>
      </c>
      <c r="AL158" s="43">
        <f t="shared" si="364"/>
        <v>0</v>
      </c>
      <c r="AM158" s="43">
        <f t="shared" si="365"/>
        <v>0</v>
      </c>
      <c r="AN158" s="43">
        <f t="shared" si="366"/>
        <v>0</v>
      </c>
      <c r="AO158" s="43">
        <f t="shared" si="367"/>
        <v>0</v>
      </c>
      <c r="AP158" s="43">
        <f t="shared" si="368"/>
        <v>0</v>
      </c>
      <c r="AQ158" s="43">
        <f t="shared" si="369"/>
        <v>0</v>
      </c>
      <c r="AR158" s="43">
        <f t="shared" si="370"/>
        <v>0</v>
      </c>
      <c r="AS158" s="43">
        <f t="shared" si="371"/>
        <v>0</v>
      </c>
    </row>
    <row r="159" spans="1:45" x14ac:dyDescent="0.2">
      <c r="A159" s="58" t="str">
        <f t="shared" si="372"/>
        <v>55E &amp; 56E</v>
      </c>
      <c r="B159" s="22"/>
      <c r="C159" s="21" t="str">
        <f>'WP1 Light Inventory'!D160</f>
        <v>Light Emitting Diode</v>
      </c>
      <c r="D159" s="21" t="str">
        <f>'WP1 Light Inventory'!E160</f>
        <v>LED 150.01-180</v>
      </c>
      <c r="E159" s="21">
        <f>'WP1 Light Inventory'!F160</f>
        <v>165</v>
      </c>
      <c r="F159" s="21" t="str">
        <f>'WP1 Light Inventory'!H160</f>
        <v>Company</v>
      </c>
      <c r="G159" s="397">
        <f>'WP1 Light Inventory'!J160</f>
        <v>0</v>
      </c>
      <c r="H159" s="74">
        <f>'WP7 Condensed LED Cost Est.'!$C34</f>
        <v>1425.8833333333332</v>
      </c>
      <c r="I159" s="14" t="s">
        <v>133</v>
      </c>
      <c r="J159" s="19">
        <f>IF(C159="Light Emitting Diode",'WP10 O&amp;M Weighting Factor'!$B$26,IF('WP12 Condensed Sch. Level Costs'!C159="Sodium Vapor",'WP10 O&amp;M Weighting Factor'!$B$27,IF('WP12 Condensed Sch. Level Costs'!C159="Metal Halide",'WP10 O&amp;M Weighting Factor'!$B$28,IF('WP12 Condensed Sch. Level Costs'!C159="Mercury Vapor",'WP10 O&amp;M Weighting Factor'!$B$30,IF('WP12 Condensed Sch. Level Costs'!C159="Compact Flourescent",'WP10 O&amp;M Weighting Factor'!$B$29, IF(C159="Incandescent", 'WP10 O&amp;M Weighting Factor'!$B$31, 0))))))</f>
        <v>0.2</v>
      </c>
      <c r="K159" s="282">
        <f t="shared" si="344"/>
        <v>0</v>
      </c>
      <c r="L159" s="74">
        <f t="shared" si="345"/>
        <v>0</v>
      </c>
      <c r="M159" s="283">
        <f t="shared" si="346"/>
        <v>0</v>
      </c>
      <c r="N159" s="398">
        <f>'WP1 Light Inventory'!L160</f>
        <v>0</v>
      </c>
      <c r="O159" s="284">
        <f t="shared" si="347"/>
        <v>57.75</v>
      </c>
      <c r="P159" s="261">
        <f>'BDJ-6 Unitized Lighting Costs'!D$20</f>
        <v>1.0137794003499056E-2</v>
      </c>
      <c r="Q159" s="261">
        <f>'BDJ-6 Unitized Lighting Costs'!$D$43</f>
        <v>2.2529806535397991</v>
      </c>
      <c r="R159" s="261">
        <f>'BDJ-6 Unitized Lighting Costs'!D$69</f>
        <v>1.9131568994526543E-2</v>
      </c>
      <c r="S159" s="261">
        <f>'BDJ-6 Unitized Lighting Costs'!$D$110</f>
        <v>3.7045631694556067</v>
      </c>
      <c r="T159" s="261">
        <f>'BDJ-6 Unitized Lighting Costs'!$D$117</f>
        <v>5.4555747529966878E-2</v>
      </c>
      <c r="U159" s="43">
        <f t="shared" si="348"/>
        <v>14.45531150635591</v>
      </c>
      <c r="V159" s="43">
        <f t="shared" si="349"/>
        <v>0.45059613070795984</v>
      </c>
      <c r="W159" s="43">
        <f t="shared" si="350"/>
        <v>1.1048481094339078</v>
      </c>
      <c r="X159" s="43">
        <f t="shared" si="351"/>
        <v>0.61125292296017508</v>
      </c>
      <c r="Y159" s="43">
        <f t="shared" si="352"/>
        <v>3.1505944198555871</v>
      </c>
      <c r="Z159" s="43">
        <f t="shared" si="353"/>
        <v>19.772603089313542</v>
      </c>
      <c r="AA159" s="220"/>
      <c r="AB159" s="240">
        <f t="shared" si="354"/>
        <v>0.25030842435248329</v>
      </c>
      <c r="AC159" s="240">
        <f t="shared" si="355"/>
        <v>7.8025304018694347E-3</v>
      </c>
      <c r="AD159" s="240">
        <f t="shared" si="356"/>
        <v>1.9131568994526543E-2</v>
      </c>
      <c r="AE159" s="240">
        <f t="shared" si="357"/>
        <v>1.058446619844459E-2</v>
      </c>
      <c r="AF159" s="240">
        <f t="shared" si="358"/>
        <v>5.4555747529966878E-2</v>
      </c>
      <c r="AG159" s="240">
        <f t="shared" si="359"/>
        <v>0.34238273747729081</v>
      </c>
      <c r="AH159" s="43">
        <f t="shared" si="360"/>
        <v>0</v>
      </c>
      <c r="AI159" s="43">
        <f t="shared" si="361"/>
        <v>0</v>
      </c>
      <c r="AJ159" s="43">
        <f t="shared" si="362"/>
        <v>0</v>
      </c>
      <c r="AK159" s="43">
        <f t="shared" si="363"/>
        <v>0</v>
      </c>
      <c r="AL159" s="43">
        <f t="shared" si="364"/>
        <v>0</v>
      </c>
      <c r="AM159" s="43">
        <f t="shared" si="365"/>
        <v>0</v>
      </c>
      <c r="AN159" s="43">
        <f t="shared" si="366"/>
        <v>0</v>
      </c>
      <c r="AO159" s="43">
        <f t="shared" si="367"/>
        <v>0</v>
      </c>
      <c r="AP159" s="43">
        <f t="shared" si="368"/>
        <v>0</v>
      </c>
      <c r="AQ159" s="43">
        <f t="shared" si="369"/>
        <v>0</v>
      </c>
      <c r="AR159" s="43">
        <f t="shared" si="370"/>
        <v>0</v>
      </c>
      <c r="AS159" s="43">
        <f t="shared" si="371"/>
        <v>0</v>
      </c>
    </row>
    <row r="160" spans="1:45" x14ac:dyDescent="0.2">
      <c r="A160" s="58" t="str">
        <f t="shared" si="372"/>
        <v>55E &amp; 56E</v>
      </c>
      <c r="B160" s="22"/>
      <c r="C160" s="21" t="str">
        <f>'WP1 Light Inventory'!D161</f>
        <v>Light Emitting Diode</v>
      </c>
      <c r="D160" s="21" t="str">
        <f>'WP1 Light Inventory'!E161</f>
        <v>LED 180.01-210</v>
      </c>
      <c r="E160" s="21">
        <f>'WP1 Light Inventory'!F161</f>
        <v>195</v>
      </c>
      <c r="F160" s="21" t="str">
        <f>'WP1 Light Inventory'!H161</f>
        <v>Company</v>
      </c>
      <c r="G160" s="397">
        <f>'WP1 Light Inventory'!J161</f>
        <v>0</v>
      </c>
      <c r="H160" s="74">
        <f>'WP7 Condensed LED Cost Est.'!$C35</f>
        <v>1572.9633333333331</v>
      </c>
      <c r="I160" s="14" t="s">
        <v>133</v>
      </c>
      <c r="J160" s="19">
        <f>IF(C160="Light Emitting Diode",'WP10 O&amp;M Weighting Factor'!$B$26,IF('WP12 Condensed Sch. Level Costs'!C160="Sodium Vapor",'WP10 O&amp;M Weighting Factor'!$B$27,IF('WP12 Condensed Sch. Level Costs'!C160="Metal Halide",'WP10 O&amp;M Weighting Factor'!$B$28,IF('WP12 Condensed Sch. Level Costs'!C160="Mercury Vapor",'WP10 O&amp;M Weighting Factor'!$B$30,IF('WP12 Condensed Sch. Level Costs'!C160="Compact Flourescent",'WP10 O&amp;M Weighting Factor'!$B$29, IF(C160="Incandescent", 'WP10 O&amp;M Weighting Factor'!$B$31, 0))))))</f>
        <v>0.2</v>
      </c>
      <c r="K160" s="282">
        <f t="shared" si="344"/>
        <v>0</v>
      </c>
      <c r="L160" s="74">
        <f t="shared" si="345"/>
        <v>0</v>
      </c>
      <c r="M160" s="283">
        <f t="shared" si="346"/>
        <v>0</v>
      </c>
      <c r="N160" s="398">
        <f>'WP1 Light Inventory'!L161</f>
        <v>0</v>
      </c>
      <c r="O160" s="284">
        <f t="shared" si="347"/>
        <v>68.25</v>
      </c>
      <c r="P160" s="261">
        <f>'BDJ-6 Unitized Lighting Costs'!D$20</f>
        <v>1.0137794003499056E-2</v>
      </c>
      <c r="Q160" s="261">
        <f>'BDJ-6 Unitized Lighting Costs'!$D$43</f>
        <v>2.2529806535397991</v>
      </c>
      <c r="R160" s="261">
        <f>'BDJ-6 Unitized Lighting Costs'!D$69</f>
        <v>1.9131568994526543E-2</v>
      </c>
      <c r="S160" s="261">
        <f>'BDJ-6 Unitized Lighting Costs'!$D$110</f>
        <v>3.7045631694556067</v>
      </c>
      <c r="T160" s="261">
        <f>'BDJ-6 Unitized Lighting Costs'!$D$117</f>
        <v>5.4555747529966878E-2</v>
      </c>
      <c r="U160" s="43">
        <f t="shared" si="348"/>
        <v>15.94637824839055</v>
      </c>
      <c r="V160" s="43">
        <f t="shared" si="349"/>
        <v>0.45059613070795984</v>
      </c>
      <c r="W160" s="43">
        <f t="shared" si="350"/>
        <v>1.3057295838764365</v>
      </c>
      <c r="X160" s="43">
        <f t="shared" si="351"/>
        <v>0.72238981804384328</v>
      </c>
      <c r="Y160" s="43">
        <f t="shared" si="352"/>
        <v>3.7234297689202394</v>
      </c>
      <c r="Z160" s="43">
        <f t="shared" si="353"/>
        <v>22.148523549939028</v>
      </c>
      <c r="AA160" s="220"/>
      <c r="AB160" s="240">
        <f t="shared" si="354"/>
        <v>0.23364656774198608</v>
      </c>
      <c r="AC160" s="240">
        <f t="shared" si="355"/>
        <v>6.6021411092741372E-3</v>
      </c>
      <c r="AD160" s="240">
        <f t="shared" si="356"/>
        <v>1.9131568994526543E-2</v>
      </c>
      <c r="AE160" s="240">
        <f t="shared" si="357"/>
        <v>1.058446619844459E-2</v>
      </c>
      <c r="AF160" s="240">
        <f t="shared" si="358"/>
        <v>5.4555747529966878E-2</v>
      </c>
      <c r="AG160" s="240">
        <f t="shared" si="359"/>
        <v>0.32452049157419827</v>
      </c>
      <c r="AH160" s="43">
        <f t="shared" si="360"/>
        <v>0</v>
      </c>
      <c r="AI160" s="43">
        <f t="shared" si="361"/>
        <v>0</v>
      </c>
      <c r="AJ160" s="43">
        <f t="shared" si="362"/>
        <v>0</v>
      </c>
      <c r="AK160" s="43">
        <f t="shared" si="363"/>
        <v>0</v>
      </c>
      <c r="AL160" s="43">
        <f t="shared" si="364"/>
        <v>0</v>
      </c>
      <c r="AM160" s="43">
        <f t="shared" si="365"/>
        <v>0</v>
      </c>
      <c r="AN160" s="43">
        <f t="shared" si="366"/>
        <v>0</v>
      </c>
      <c r="AO160" s="43">
        <f t="shared" si="367"/>
        <v>0</v>
      </c>
      <c r="AP160" s="43">
        <f t="shared" si="368"/>
        <v>0</v>
      </c>
      <c r="AQ160" s="43">
        <f t="shared" si="369"/>
        <v>0</v>
      </c>
      <c r="AR160" s="43">
        <f t="shared" si="370"/>
        <v>0</v>
      </c>
      <c r="AS160" s="43">
        <f t="shared" si="371"/>
        <v>0</v>
      </c>
    </row>
    <row r="161" spans="1:45" x14ac:dyDescent="0.2">
      <c r="A161" s="58" t="str">
        <f t="shared" si="372"/>
        <v>55E &amp; 56E</v>
      </c>
      <c r="B161" s="22"/>
      <c r="C161" s="21" t="str">
        <f>'WP1 Light Inventory'!D162</f>
        <v>Light Emitting Diode</v>
      </c>
      <c r="D161" s="21" t="str">
        <f>'WP1 Light Inventory'!E162</f>
        <v>LED 210.01-240</v>
      </c>
      <c r="E161" s="21">
        <f>'WP1 Light Inventory'!F162</f>
        <v>225</v>
      </c>
      <c r="F161" s="21" t="str">
        <f>'WP1 Light Inventory'!H162</f>
        <v>Company</v>
      </c>
      <c r="G161" s="397">
        <f>'WP1 Light Inventory'!J162</f>
        <v>0</v>
      </c>
      <c r="H161" s="74">
        <f>'WP7 Condensed LED Cost Est.'!$C36</f>
        <v>1720.0433333333333</v>
      </c>
      <c r="I161" s="14" t="s">
        <v>133</v>
      </c>
      <c r="J161" s="19">
        <f>IF(C161="Light Emitting Diode",'WP10 O&amp;M Weighting Factor'!$B$26,IF('WP12 Condensed Sch. Level Costs'!C161="Sodium Vapor",'WP10 O&amp;M Weighting Factor'!$B$27,IF('WP12 Condensed Sch. Level Costs'!C161="Metal Halide",'WP10 O&amp;M Weighting Factor'!$B$28,IF('WP12 Condensed Sch. Level Costs'!C161="Mercury Vapor",'WP10 O&amp;M Weighting Factor'!$B$30,IF('WP12 Condensed Sch. Level Costs'!C161="Compact Flourescent",'WP10 O&amp;M Weighting Factor'!$B$29, IF(C161="Incandescent", 'WP10 O&amp;M Weighting Factor'!$B$31, 0))))))</f>
        <v>0.2</v>
      </c>
      <c r="K161" s="282">
        <f t="shared" si="344"/>
        <v>0</v>
      </c>
      <c r="L161" s="74">
        <f t="shared" si="345"/>
        <v>0</v>
      </c>
      <c r="M161" s="283">
        <f t="shared" si="346"/>
        <v>0</v>
      </c>
      <c r="N161" s="398">
        <f>'WP1 Light Inventory'!L162</f>
        <v>0</v>
      </c>
      <c r="O161" s="284">
        <f t="shared" si="347"/>
        <v>78.75</v>
      </c>
      <c r="P161" s="261">
        <f>'BDJ-6 Unitized Lighting Costs'!D$20</f>
        <v>1.0137794003499056E-2</v>
      </c>
      <c r="Q161" s="261">
        <f>'BDJ-6 Unitized Lighting Costs'!$D$43</f>
        <v>2.2529806535397991</v>
      </c>
      <c r="R161" s="261">
        <f>'BDJ-6 Unitized Lighting Costs'!D$69</f>
        <v>1.9131568994526543E-2</v>
      </c>
      <c r="S161" s="261">
        <f>'BDJ-6 Unitized Lighting Costs'!$D$110</f>
        <v>3.7045631694556067</v>
      </c>
      <c r="T161" s="261">
        <f>'BDJ-6 Unitized Lighting Costs'!$D$117</f>
        <v>5.4555747529966878E-2</v>
      </c>
      <c r="U161" s="43">
        <f t="shared" si="348"/>
        <v>17.437444990425192</v>
      </c>
      <c r="V161" s="43">
        <f t="shared" si="349"/>
        <v>0.45059613070795984</v>
      </c>
      <c r="W161" s="43">
        <f t="shared" si="350"/>
        <v>1.5066110583189651</v>
      </c>
      <c r="X161" s="43">
        <f t="shared" si="351"/>
        <v>0.83352671312751148</v>
      </c>
      <c r="Y161" s="43">
        <f t="shared" si="352"/>
        <v>4.2962651179848912</v>
      </c>
      <c r="Z161" s="43">
        <f t="shared" si="353"/>
        <v>24.524444010564519</v>
      </c>
      <c r="AA161" s="220"/>
      <c r="AB161" s="240">
        <f t="shared" si="354"/>
        <v>0.22142787289428814</v>
      </c>
      <c r="AC161" s="240">
        <f t="shared" si="355"/>
        <v>5.7218556280375851E-3</v>
      </c>
      <c r="AD161" s="240">
        <f t="shared" si="356"/>
        <v>1.9131568994526543E-2</v>
      </c>
      <c r="AE161" s="240">
        <f t="shared" si="357"/>
        <v>1.058446619844459E-2</v>
      </c>
      <c r="AF161" s="240">
        <f t="shared" si="358"/>
        <v>5.4555747529966871E-2</v>
      </c>
      <c r="AG161" s="240">
        <f t="shared" si="359"/>
        <v>0.31142151124526374</v>
      </c>
      <c r="AH161" s="43">
        <f t="shared" si="360"/>
        <v>0</v>
      </c>
      <c r="AI161" s="43">
        <f t="shared" si="361"/>
        <v>0</v>
      </c>
      <c r="AJ161" s="43">
        <f t="shared" si="362"/>
        <v>0</v>
      </c>
      <c r="AK161" s="43">
        <f t="shared" si="363"/>
        <v>0</v>
      </c>
      <c r="AL161" s="43">
        <f t="shared" si="364"/>
        <v>0</v>
      </c>
      <c r="AM161" s="43">
        <f t="shared" si="365"/>
        <v>0</v>
      </c>
      <c r="AN161" s="43">
        <f t="shared" si="366"/>
        <v>0</v>
      </c>
      <c r="AO161" s="43">
        <f t="shared" si="367"/>
        <v>0</v>
      </c>
      <c r="AP161" s="43">
        <f t="shared" si="368"/>
        <v>0</v>
      </c>
      <c r="AQ161" s="43">
        <f t="shared" si="369"/>
        <v>0</v>
      </c>
      <c r="AR161" s="43">
        <f t="shared" si="370"/>
        <v>0</v>
      </c>
      <c r="AS161" s="43">
        <f t="shared" si="371"/>
        <v>0</v>
      </c>
    </row>
    <row r="162" spans="1:45" x14ac:dyDescent="0.2">
      <c r="A162" s="58" t="str">
        <f>A160</f>
        <v>55E &amp; 56E</v>
      </c>
      <c r="B162" s="22"/>
      <c r="C162" s="21" t="str">
        <f>'WP1 Light Inventory'!D163</f>
        <v>Light Emitting Diode</v>
      </c>
      <c r="D162" s="21" t="str">
        <f>'WP1 Light Inventory'!E163</f>
        <v>LED 240.01-270</v>
      </c>
      <c r="E162" s="21">
        <f>'WP1 Light Inventory'!F163</f>
        <v>255</v>
      </c>
      <c r="F162" s="21" t="str">
        <f>'WP1 Light Inventory'!H163</f>
        <v>Company</v>
      </c>
      <c r="G162" s="397">
        <f>'WP1 Light Inventory'!J163</f>
        <v>0</v>
      </c>
      <c r="H162" s="74">
        <f>'WP7 Condensed LED Cost Est.'!$C37</f>
        <v>1867.1233333333332</v>
      </c>
      <c r="I162" s="14" t="s">
        <v>133</v>
      </c>
      <c r="J162" s="19">
        <f>IF(C162="Light Emitting Diode",'WP10 O&amp;M Weighting Factor'!$B$26,IF('WP12 Condensed Sch. Level Costs'!C162="Sodium Vapor",'WP10 O&amp;M Weighting Factor'!$B$27,IF('WP12 Condensed Sch. Level Costs'!C162="Metal Halide",'WP10 O&amp;M Weighting Factor'!$B$28,IF('WP12 Condensed Sch. Level Costs'!C162="Mercury Vapor",'WP10 O&amp;M Weighting Factor'!$B$30,IF('WP12 Condensed Sch. Level Costs'!C162="Compact Flourescent",'WP10 O&amp;M Weighting Factor'!$B$29, IF(C162="Incandescent", 'WP10 O&amp;M Weighting Factor'!$B$31, 0))))))</f>
        <v>0.2</v>
      </c>
      <c r="K162" s="282">
        <f t="shared" si="344"/>
        <v>0</v>
      </c>
      <c r="L162" s="74">
        <f t="shared" si="345"/>
        <v>0</v>
      </c>
      <c r="M162" s="283">
        <f t="shared" si="346"/>
        <v>0</v>
      </c>
      <c r="N162" s="398">
        <f>'WP1 Light Inventory'!L163</f>
        <v>0</v>
      </c>
      <c r="O162" s="284">
        <f t="shared" si="347"/>
        <v>89.25</v>
      </c>
      <c r="P162" s="261">
        <f>'BDJ-6 Unitized Lighting Costs'!D$20</f>
        <v>1.0137794003499056E-2</v>
      </c>
      <c r="Q162" s="261">
        <f>'BDJ-6 Unitized Lighting Costs'!$D$43</f>
        <v>2.2529806535397991</v>
      </c>
      <c r="R162" s="261">
        <f>'BDJ-6 Unitized Lighting Costs'!D$69</f>
        <v>1.9131568994526543E-2</v>
      </c>
      <c r="S162" s="261">
        <f>'BDJ-6 Unitized Lighting Costs'!$D$110</f>
        <v>3.7045631694556067</v>
      </c>
      <c r="T162" s="261">
        <f>'BDJ-6 Unitized Lighting Costs'!$D$117</f>
        <v>5.4555747529966878E-2</v>
      </c>
      <c r="U162" s="43">
        <f t="shared" si="348"/>
        <v>18.928511732459835</v>
      </c>
      <c r="V162" s="43">
        <f t="shared" si="349"/>
        <v>0.45059613070795984</v>
      </c>
      <c r="W162" s="43">
        <f t="shared" si="350"/>
        <v>1.7074925327614938</v>
      </c>
      <c r="X162" s="43">
        <f t="shared" si="351"/>
        <v>0.94466360821117978</v>
      </c>
      <c r="Y162" s="43">
        <f t="shared" si="352"/>
        <v>4.8691004670495435</v>
      </c>
      <c r="Z162" s="43">
        <f t="shared" si="353"/>
        <v>26.900364471190009</v>
      </c>
      <c r="AA162" s="220"/>
      <c r="AB162" s="240">
        <f t="shared" si="354"/>
        <v>0.21208416506957797</v>
      </c>
      <c r="AC162" s="240">
        <f t="shared" si="355"/>
        <v>5.0486961423861047E-3</v>
      </c>
      <c r="AD162" s="240">
        <f t="shared" si="356"/>
        <v>1.9131568994526543E-2</v>
      </c>
      <c r="AE162" s="240">
        <f t="shared" si="357"/>
        <v>1.0584466198444591E-2</v>
      </c>
      <c r="AF162" s="240">
        <f t="shared" si="358"/>
        <v>5.4555747529966871E-2</v>
      </c>
      <c r="AG162" s="240">
        <f t="shared" si="359"/>
        <v>0.30140464393490207</v>
      </c>
      <c r="AH162" s="43">
        <f t="shared" si="360"/>
        <v>0</v>
      </c>
      <c r="AI162" s="43">
        <f t="shared" si="361"/>
        <v>0</v>
      </c>
      <c r="AJ162" s="43">
        <f t="shared" si="362"/>
        <v>0</v>
      </c>
      <c r="AK162" s="43">
        <f t="shared" si="363"/>
        <v>0</v>
      </c>
      <c r="AL162" s="43">
        <f t="shared" si="364"/>
        <v>0</v>
      </c>
      <c r="AM162" s="43">
        <f t="shared" si="365"/>
        <v>0</v>
      </c>
      <c r="AN162" s="43">
        <f t="shared" si="366"/>
        <v>0</v>
      </c>
      <c r="AO162" s="43">
        <f t="shared" si="367"/>
        <v>0</v>
      </c>
      <c r="AP162" s="43">
        <f t="shared" si="368"/>
        <v>0</v>
      </c>
      <c r="AQ162" s="43">
        <f t="shared" si="369"/>
        <v>0</v>
      </c>
      <c r="AR162" s="43">
        <f t="shared" si="370"/>
        <v>0</v>
      </c>
      <c r="AS162" s="43">
        <f t="shared" si="371"/>
        <v>0</v>
      </c>
    </row>
    <row r="163" spans="1:45" x14ac:dyDescent="0.2">
      <c r="A163" s="58" t="str">
        <f>A161</f>
        <v>55E &amp; 56E</v>
      </c>
      <c r="B163" s="22"/>
      <c r="C163" s="21" t="str">
        <f>'WP1 Light Inventory'!D164</f>
        <v>Light Emitting Diode</v>
      </c>
      <c r="D163" s="21" t="str">
        <f>'WP1 Light Inventory'!E164</f>
        <v>LED 270.01-300</v>
      </c>
      <c r="E163" s="21">
        <f>'WP1 Light Inventory'!F164</f>
        <v>285</v>
      </c>
      <c r="F163" s="21" t="str">
        <f>'WP1 Light Inventory'!H164</f>
        <v>Company</v>
      </c>
      <c r="G163" s="397">
        <f>'WP1 Light Inventory'!J164</f>
        <v>0</v>
      </c>
      <c r="H163" s="74">
        <f>'WP7 Condensed LED Cost Est.'!$C38</f>
        <v>2014.2033333333331</v>
      </c>
      <c r="I163" s="14" t="s">
        <v>133</v>
      </c>
      <c r="J163" s="19">
        <f>IF(C163="Light Emitting Diode",'WP10 O&amp;M Weighting Factor'!$B$26,IF('WP12 Condensed Sch. Level Costs'!C163="Sodium Vapor",'WP10 O&amp;M Weighting Factor'!$B$27,IF('WP12 Condensed Sch. Level Costs'!C163="Metal Halide",'WP10 O&amp;M Weighting Factor'!$B$28,IF('WP12 Condensed Sch. Level Costs'!C163="Mercury Vapor",'WP10 O&amp;M Weighting Factor'!$B$30,IF('WP12 Condensed Sch. Level Costs'!C163="Compact Flourescent",'WP10 O&amp;M Weighting Factor'!$B$29, IF(C163="Incandescent", 'WP10 O&amp;M Weighting Factor'!$B$31, 0))))))</f>
        <v>0.2</v>
      </c>
      <c r="K163" s="282">
        <f t="shared" si="344"/>
        <v>0</v>
      </c>
      <c r="L163" s="74">
        <f t="shared" si="345"/>
        <v>0</v>
      </c>
      <c r="M163" s="283">
        <f t="shared" si="346"/>
        <v>0</v>
      </c>
      <c r="N163" s="398">
        <f>'WP1 Light Inventory'!L164</f>
        <v>0</v>
      </c>
      <c r="O163" s="284">
        <f t="shared" si="347"/>
        <v>99.75</v>
      </c>
      <c r="P163" s="261">
        <f>'BDJ-6 Unitized Lighting Costs'!D$20</f>
        <v>1.0137794003499056E-2</v>
      </c>
      <c r="Q163" s="261">
        <f>'BDJ-6 Unitized Lighting Costs'!$D$43</f>
        <v>2.2529806535397991</v>
      </c>
      <c r="R163" s="261">
        <f>'BDJ-6 Unitized Lighting Costs'!D$69</f>
        <v>1.9131568994526543E-2</v>
      </c>
      <c r="S163" s="261">
        <f>'BDJ-6 Unitized Lighting Costs'!$D$110</f>
        <v>3.7045631694556067</v>
      </c>
      <c r="T163" s="261">
        <f>'BDJ-6 Unitized Lighting Costs'!$D$117</f>
        <v>5.4555747529966878E-2</v>
      </c>
      <c r="U163" s="43">
        <f t="shared" si="348"/>
        <v>20.419578474494475</v>
      </c>
      <c r="V163" s="43">
        <f t="shared" si="349"/>
        <v>0.45059613070795984</v>
      </c>
      <c r="W163" s="43">
        <f t="shared" si="350"/>
        <v>1.9083740072040227</v>
      </c>
      <c r="X163" s="43">
        <f t="shared" si="351"/>
        <v>1.0558005032948479</v>
      </c>
      <c r="Y163" s="43">
        <f t="shared" si="352"/>
        <v>5.4419358161141957</v>
      </c>
      <c r="Z163" s="43">
        <f t="shared" si="353"/>
        <v>29.276284931815503</v>
      </c>
      <c r="AA163" s="220"/>
      <c r="AB163" s="240">
        <f t="shared" si="354"/>
        <v>0.2047075536290173</v>
      </c>
      <c r="AC163" s="240">
        <f t="shared" si="355"/>
        <v>4.5172544431875674E-3</v>
      </c>
      <c r="AD163" s="240">
        <f t="shared" si="356"/>
        <v>1.9131568994526543E-2</v>
      </c>
      <c r="AE163" s="240">
        <f t="shared" si="357"/>
        <v>1.058446619844459E-2</v>
      </c>
      <c r="AF163" s="240">
        <f t="shared" si="358"/>
        <v>5.4555747529966878E-2</v>
      </c>
      <c r="AG163" s="240">
        <f t="shared" si="359"/>
        <v>0.29349659079514284</v>
      </c>
      <c r="AH163" s="43">
        <f t="shared" si="360"/>
        <v>0</v>
      </c>
      <c r="AI163" s="43">
        <f t="shared" si="361"/>
        <v>0</v>
      </c>
      <c r="AJ163" s="43">
        <f t="shared" si="362"/>
        <v>0</v>
      </c>
      <c r="AK163" s="43">
        <f t="shared" si="363"/>
        <v>0</v>
      </c>
      <c r="AL163" s="43">
        <f t="shared" si="364"/>
        <v>0</v>
      </c>
      <c r="AM163" s="43">
        <f t="shared" si="365"/>
        <v>0</v>
      </c>
      <c r="AN163" s="43">
        <f t="shared" si="366"/>
        <v>0</v>
      </c>
      <c r="AO163" s="43">
        <f t="shared" si="367"/>
        <v>0</v>
      </c>
      <c r="AP163" s="43">
        <f t="shared" si="368"/>
        <v>0</v>
      </c>
      <c r="AQ163" s="43">
        <f t="shared" si="369"/>
        <v>0</v>
      </c>
      <c r="AR163" s="43">
        <f t="shared" si="370"/>
        <v>0</v>
      </c>
      <c r="AS163" s="43">
        <f t="shared" si="371"/>
        <v>0</v>
      </c>
    </row>
    <row r="164" spans="1:45" x14ac:dyDescent="0.2">
      <c r="A164" s="388" t="s">
        <v>140</v>
      </c>
      <c r="B164" s="389"/>
      <c r="C164" s="15"/>
      <c r="D164" s="390"/>
      <c r="E164" s="391"/>
      <c r="F164" s="390"/>
      <c r="G164" s="392"/>
      <c r="H164" s="378"/>
      <c r="I164" s="15"/>
      <c r="J164" s="390"/>
      <c r="K164" s="377"/>
      <c r="L164" s="378"/>
      <c r="M164" s="379"/>
      <c r="N164" s="394"/>
      <c r="O164" s="395"/>
      <c r="P164" s="396"/>
      <c r="Q164" s="396"/>
      <c r="R164" s="396"/>
      <c r="S164" s="396"/>
      <c r="T164" s="396"/>
      <c r="U164" s="274"/>
      <c r="V164" s="274"/>
      <c r="W164" s="274"/>
      <c r="X164" s="274"/>
      <c r="Y164" s="274"/>
      <c r="Z164" s="274"/>
      <c r="AA164" s="220"/>
      <c r="AB164" s="240"/>
      <c r="AC164" s="240"/>
      <c r="AD164" s="240"/>
      <c r="AE164" s="240"/>
      <c r="AF164" s="240"/>
      <c r="AG164" s="240"/>
    </row>
    <row r="165" spans="1:45" x14ac:dyDescent="0.2">
      <c r="A165" s="58" t="s">
        <v>82</v>
      </c>
      <c r="B165" s="18" t="s">
        <v>83</v>
      </c>
      <c r="C165" s="21" t="str">
        <f>'WP1 Light Inventory'!D166</f>
        <v>Sodium Vapor</v>
      </c>
      <c r="D165" s="21" t="str">
        <f>'WP1 Light Inventory'!E166</f>
        <v>DSV 070</v>
      </c>
      <c r="E165" s="21">
        <f>'WP1 Light Inventory'!F166</f>
        <v>70</v>
      </c>
      <c r="F165" s="21" t="str">
        <f>'WP1 Light Inventory'!H166</f>
        <v>Company</v>
      </c>
      <c r="G165" s="397">
        <f>'WP1 Light Inventory'!J166</f>
        <v>53</v>
      </c>
      <c r="H165" s="74">
        <f>'WP9 Sodium Vapor Cost Est.'!$D$20</f>
        <v>908.27</v>
      </c>
      <c r="I165" s="14" t="s">
        <v>133</v>
      </c>
      <c r="J165" s="19">
        <f>IF(C165="Light Emitting Diode",'WP10 O&amp;M Weighting Factor'!$B$26,IF('WP12 Condensed Sch. Level Costs'!C165="Sodium Vapor",'WP10 O&amp;M Weighting Factor'!$B$27,IF('WP12 Condensed Sch. Level Costs'!C165="Metal Halide",'WP10 O&amp;M Weighting Factor'!$B$28,IF('WP12 Condensed Sch. Level Costs'!C165="Mercury Vapor",'WP10 O&amp;M Weighting Factor'!$B$30,IF('WP12 Condensed Sch. Level Costs'!C165="Compact Flourescent",'WP10 O&amp;M Weighting Factor'!$B$29, IF(C165="Incandescent", 'WP10 O&amp;M Weighting Factor'!$B$31, 0))))))</f>
        <v>1</v>
      </c>
      <c r="K165" s="282">
        <f t="shared" ref="K165:K170" si="373">IF(I165="Yes",G165*J165,0)</f>
        <v>53</v>
      </c>
      <c r="L165" s="74">
        <f t="shared" ref="L165:L170" si="374">IF(F165="Company", G165*H165,0)</f>
        <v>48138.31</v>
      </c>
      <c r="M165" s="283">
        <f t="shared" ref="M165:M170" si="375">E165*G165/1000</f>
        <v>3.71</v>
      </c>
      <c r="N165" s="398">
        <f>'WP1 Light Inventory'!L166</f>
        <v>15582.000000000002</v>
      </c>
      <c r="O165" s="284">
        <f t="shared" ref="O165:O170" si="376">E165*4200/1000/12</f>
        <v>24.5</v>
      </c>
      <c r="P165" s="261">
        <f>'BDJ-6 Unitized Lighting Costs'!D$20</f>
        <v>1.0137794003499056E-2</v>
      </c>
      <c r="Q165" s="261">
        <f>'BDJ-6 Unitized Lighting Costs'!$D$43</f>
        <v>2.2529806535397991</v>
      </c>
      <c r="R165" s="261">
        <f>'BDJ-6 Unitized Lighting Costs'!D$69</f>
        <v>1.9131568994526543E-2</v>
      </c>
      <c r="S165" s="261">
        <f>'BDJ-6 Unitized Lighting Costs'!$D$110</f>
        <v>3.7045631694556067</v>
      </c>
      <c r="T165" s="261">
        <f>'BDJ-6 Unitized Lighting Costs'!$D$117</f>
        <v>5.4555747529966878E-2</v>
      </c>
      <c r="U165" s="43">
        <f t="shared" ref="U165:U170" si="377">IF(F165="Company", H165*P165, 0)</f>
        <v>9.2078541595580869</v>
      </c>
      <c r="V165" s="43">
        <f t="shared" ref="V165:V170" si="378">IF(I165="yes", J165*Q165, 0)</f>
        <v>2.2529806535397991</v>
      </c>
      <c r="W165" s="43">
        <f t="shared" ref="W165:W170" si="379">R165*O165</f>
        <v>0.4687234403659003</v>
      </c>
      <c r="X165" s="43">
        <f t="shared" ref="X165:X170" si="380">E165*S165/1000</f>
        <v>0.25931942186189244</v>
      </c>
      <c r="Y165" s="43">
        <f t="shared" ref="Y165:Y170" si="381">O165*T165</f>
        <v>1.3366158144841884</v>
      </c>
      <c r="Z165" s="43">
        <f t="shared" ref="Z165:Z170" si="382">SUM(U165:Y165)</f>
        <v>13.525493489809868</v>
      </c>
      <c r="AA165" s="220"/>
      <c r="AB165" s="240">
        <f t="shared" ref="AB165:AB170" si="383">IFERROR(U165/O165,0)</f>
        <v>0.37583078202277909</v>
      </c>
      <c r="AC165" s="240">
        <f t="shared" ref="AC165:AC170" si="384">IFERROR(V165/O165,0)</f>
        <v>9.1958394022032625E-2</v>
      </c>
      <c r="AD165" s="240">
        <f t="shared" ref="AD165:AD170" si="385">IFERROR(W165/O165,0)</f>
        <v>1.9131568994526543E-2</v>
      </c>
      <c r="AE165" s="240">
        <f t="shared" ref="AE165:AE170" si="386">IFERROR(X165/O165,0)</f>
        <v>1.058446619844459E-2</v>
      </c>
      <c r="AF165" s="240">
        <f t="shared" ref="AF165:AF170" si="387">IFERROR(Y165/O165,0)</f>
        <v>5.4555747529966878E-2</v>
      </c>
      <c r="AG165" s="240">
        <f t="shared" ref="AG165:AG170" si="388">SUM(AB165:AF165)</f>
        <v>0.55206095876774974</v>
      </c>
      <c r="AH165" s="43">
        <f t="shared" ref="AH165:AL170" si="389">(U165*$G165)</f>
        <v>488.01627045657858</v>
      </c>
      <c r="AI165" s="43">
        <f t="shared" si="389"/>
        <v>119.40797463760936</v>
      </c>
      <c r="AJ165" s="43">
        <f t="shared" si="389"/>
        <v>24.842342339392715</v>
      </c>
      <c r="AK165" s="43">
        <f t="shared" si="389"/>
        <v>13.743929358680299</v>
      </c>
      <c r="AL165" s="43">
        <f t="shared" si="389"/>
        <v>70.840638167661993</v>
      </c>
      <c r="AM165" s="43">
        <f t="shared" ref="AM165:AM170" si="390">SUM(AH165:AL165)</f>
        <v>716.85115495992284</v>
      </c>
      <c r="AN165" s="43">
        <f t="shared" ref="AN165:AS170" si="391">AH165*12</f>
        <v>5856.1952454789425</v>
      </c>
      <c r="AO165" s="43">
        <f t="shared" si="391"/>
        <v>1432.8956956513123</v>
      </c>
      <c r="AP165" s="43">
        <f t="shared" si="391"/>
        <v>298.10810807271258</v>
      </c>
      <c r="AQ165" s="43">
        <f t="shared" si="391"/>
        <v>164.9271523041636</v>
      </c>
      <c r="AR165" s="43">
        <f t="shared" si="391"/>
        <v>850.08765801194386</v>
      </c>
      <c r="AS165" s="43">
        <f t="shared" si="391"/>
        <v>8602.2138595190736</v>
      </c>
    </row>
    <row r="166" spans="1:45" x14ac:dyDescent="0.2">
      <c r="A166" s="57" t="str">
        <f>+A165</f>
        <v>58E &amp; 59E</v>
      </c>
      <c r="B166" s="18" t="s">
        <v>83</v>
      </c>
      <c r="C166" s="21" t="str">
        <f>'WP1 Light Inventory'!D167</f>
        <v>Sodium Vapor</v>
      </c>
      <c r="D166" s="21" t="str">
        <f>'WP1 Light Inventory'!E167</f>
        <v>DSV 100</v>
      </c>
      <c r="E166" s="21">
        <f>'WP1 Light Inventory'!F167</f>
        <v>100</v>
      </c>
      <c r="F166" s="21" t="str">
        <f>'WP1 Light Inventory'!H167</f>
        <v>Company</v>
      </c>
      <c r="G166" s="397">
        <f>'WP1 Light Inventory'!J167</f>
        <v>10</v>
      </c>
      <c r="H166" s="74">
        <f>'WP9 Sodium Vapor Cost Est.'!$D$22</f>
        <v>855.82</v>
      </c>
      <c r="I166" s="14" t="s">
        <v>133</v>
      </c>
      <c r="J166" s="19">
        <f>IF(C166="Light Emitting Diode",'WP10 O&amp;M Weighting Factor'!$B$26,IF('WP12 Condensed Sch. Level Costs'!C166="Sodium Vapor",'WP10 O&amp;M Weighting Factor'!$B$27,IF('WP12 Condensed Sch. Level Costs'!C166="Metal Halide",'WP10 O&amp;M Weighting Factor'!$B$28,IF('WP12 Condensed Sch. Level Costs'!C166="Mercury Vapor",'WP10 O&amp;M Weighting Factor'!$B$30,IF('WP12 Condensed Sch. Level Costs'!C166="Compact Flourescent",'WP10 O&amp;M Weighting Factor'!$B$29, IF(C166="Incandescent", 'WP10 O&amp;M Weighting Factor'!$B$31, 0))))))</f>
        <v>1</v>
      </c>
      <c r="K166" s="282">
        <f t="shared" si="373"/>
        <v>10</v>
      </c>
      <c r="L166" s="74">
        <f t="shared" si="374"/>
        <v>8558.2000000000007</v>
      </c>
      <c r="M166" s="283">
        <f t="shared" si="375"/>
        <v>1</v>
      </c>
      <c r="N166" s="398">
        <f>'WP1 Light Inventory'!L167</f>
        <v>4200</v>
      </c>
      <c r="O166" s="284">
        <f t="shared" si="376"/>
        <v>35</v>
      </c>
      <c r="P166" s="261">
        <f>'BDJ-6 Unitized Lighting Costs'!D$20</f>
        <v>1.0137794003499056E-2</v>
      </c>
      <c r="Q166" s="261">
        <f>'BDJ-6 Unitized Lighting Costs'!$D$43</f>
        <v>2.2529806535397991</v>
      </c>
      <c r="R166" s="261">
        <f>'BDJ-6 Unitized Lighting Costs'!D$69</f>
        <v>1.9131568994526543E-2</v>
      </c>
      <c r="S166" s="261">
        <f>'BDJ-6 Unitized Lighting Costs'!$D$110</f>
        <v>3.7045631694556067</v>
      </c>
      <c r="T166" s="261">
        <f>'BDJ-6 Unitized Lighting Costs'!$D$117</f>
        <v>5.4555747529966878E-2</v>
      </c>
      <c r="U166" s="43">
        <f t="shared" si="377"/>
        <v>8.676126864074563</v>
      </c>
      <c r="V166" s="43">
        <f t="shared" si="378"/>
        <v>2.2529806535397991</v>
      </c>
      <c r="W166" s="43">
        <f t="shared" si="379"/>
        <v>0.66960491480842899</v>
      </c>
      <c r="X166" s="43">
        <f t="shared" si="380"/>
        <v>0.37045631694556069</v>
      </c>
      <c r="Y166" s="43">
        <f t="shared" si="381"/>
        <v>1.9094511635488407</v>
      </c>
      <c r="Z166" s="43">
        <f t="shared" si="382"/>
        <v>13.878619912917193</v>
      </c>
      <c r="AA166" s="220"/>
      <c r="AB166" s="240">
        <f t="shared" si="383"/>
        <v>0.24788933897355894</v>
      </c>
      <c r="AC166" s="240">
        <f t="shared" si="384"/>
        <v>6.4370875815422834E-2</v>
      </c>
      <c r="AD166" s="240">
        <f t="shared" si="385"/>
        <v>1.9131568994526543E-2</v>
      </c>
      <c r="AE166" s="240">
        <f t="shared" si="386"/>
        <v>1.0584466198444591E-2</v>
      </c>
      <c r="AF166" s="240">
        <f t="shared" si="387"/>
        <v>5.4555747529966878E-2</v>
      </c>
      <c r="AG166" s="240">
        <f t="shared" si="388"/>
        <v>0.39653199751191986</v>
      </c>
      <c r="AH166" s="43">
        <f t="shared" si="389"/>
        <v>86.761268640745627</v>
      </c>
      <c r="AI166" s="43">
        <f t="shared" si="389"/>
        <v>22.529806535397991</v>
      </c>
      <c r="AJ166" s="43">
        <f t="shared" si="389"/>
        <v>6.6960491480842901</v>
      </c>
      <c r="AK166" s="43">
        <f t="shared" si="389"/>
        <v>3.7045631694556072</v>
      </c>
      <c r="AL166" s="43">
        <f t="shared" si="389"/>
        <v>19.094511635488406</v>
      </c>
      <c r="AM166" s="43">
        <f t="shared" si="390"/>
        <v>138.78619912917193</v>
      </c>
      <c r="AN166" s="43">
        <f t="shared" si="391"/>
        <v>1041.1352236889475</v>
      </c>
      <c r="AO166" s="43">
        <f t="shared" si="391"/>
        <v>270.35767842477588</v>
      </c>
      <c r="AP166" s="43">
        <f t="shared" si="391"/>
        <v>80.352589777011474</v>
      </c>
      <c r="AQ166" s="43">
        <f t="shared" si="391"/>
        <v>44.454758033467286</v>
      </c>
      <c r="AR166" s="43">
        <f t="shared" si="391"/>
        <v>229.13413962586088</v>
      </c>
      <c r="AS166" s="43">
        <f t="shared" si="391"/>
        <v>1665.4343895500633</v>
      </c>
    </row>
    <row r="167" spans="1:45" x14ac:dyDescent="0.2">
      <c r="A167" s="57" t="str">
        <f>+A166</f>
        <v>58E &amp; 59E</v>
      </c>
      <c r="B167" s="18" t="s">
        <v>83</v>
      </c>
      <c r="C167" s="21" t="str">
        <f>'WP1 Light Inventory'!D168</f>
        <v>Sodium Vapor</v>
      </c>
      <c r="D167" s="21" t="str">
        <f>'WP1 Light Inventory'!E168</f>
        <v>DSV 150</v>
      </c>
      <c r="E167" s="21">
        <f>'WP1 Light Inventory'!F168</f>
        <v>150</v>
      </c>
      <c r="F167" s="21" t="str">
        <f>'WP1 Light Inventory'!H168</f>
        <v>Company</v>
      </c>
      <c r="G167" s="397">
        <f>'WP1 Light Inventory'!J168</f>
        <v>145</v>
      </c>
      <c r="H167" s="74">
        <f>'WP9 Sodium Vapor Cost Est.'!$D$23</f>
        <v>857.29</v>
      </c>
      <c r="I167" s="14" t="s">
        <v>133</v>
      </c>
      <c r="J167" s="19">
        <f>IF(C167="Light Emitting Diode",'WP10 O&amp;M Weighting Factor'!$B$26,IF('WP12 Condensed Sch. Level Costs'!C167="Sodium Vapor",'WP10 O&amp;M Weighting Factor'!$B$27,IF('WP12 Condensed Sch. Level Costs'!C167="Metal Halide",'WP10 O&amp;M Weighting Factor'!$B$28,IF('WP12 Condensed Sch. Level Costs'!C167="Mercury Vapor",'WP10 O&amp;M Weighting Factor'!$B$30,IF('WP12 Condensed Sch. Level Costs'!C167="Compact Flourescent",'WP10 O&amp;M Weighting Factor'!$B$29, IF(C167="Incandescent", 'WP10 O&amp;M Weighting Factor'!$B$31, 0))))))</f>
        <v>1</v>
      </c>
      <c r="K167" s="282">
        <f t="shared" si="373"/>
        <v>145</v>
      </c>
      <c r="L167" s="74">
        <f t="shared" si="374"/>
        <v>124307.04999999999</v>
      </c>
      <c r="M167" s="283">
        <f t="shared" si="375"/>
        <v>21.75</v>
      </c>
      <c r="N167" s="398">
        <f>'WP1 Light Inventory'!L168</f>
        <v>91350</v>
      </c>
      <c r="O167" s="284">
        <f t="shared" si="376"/>
        <v>52.5</v>
      </c>
      <c r="P167" s="261">
        <f>'BDJ-6 Unitized Lighting Costs'!D$20</f>
        <v>1.0137794003499056E-2</v>
      </c>
      <c r="Q167" s="261">
        <f>'BDJ-6 Unitized Lighting Costs'!$D$43</f>
        <v>2.2529806535397991</v>
      </c>
      <c r="R167" s="261">
        <f>'BDJ-6 Unitized Lighting Costs'!D$69</f>
        <v>1.9131568994526543E-2</v>
      </c>
      <c r="S167" s="261">
        <f>'BDJ-6 Unitized Lighting Costs'!$D$110</f>
        <v>3.7045631694556067</v>
      </c>
      <c r="T167" s="261">
        <f>'BDJ-6 Unitized Lighting Costs'!$D$117</f>
        <v>5.4555747529966878E-2</v>
      </c>
      <c r="U167" s="43">
        <f t="shared" si="377"/>
        <v>8.6910294212597048</v>
      </c>
      <c r="V167" s="43">
        <f t="shared" si="378"/>
        <v>2.2529806535397991</v>
      </c>
      <c r="W167" s="43">
        <f t="shared" si="379"/>
        <v>1.0044073722126434</v>
      </c>
      <c r="X167" s="43">
        <f t="shared" si="380"/>
        <v>0.55568447541834098</v>
      </c>
      <c r="Y167" s="43">
        <f t="shared" si="381"/>
        <v>2.8641767453232609</v>
      </c>
      <c r="Z167" s="43">
        <f t="shared" si="382"/>
        <v>15.368278667753749</v>
      </c>
      <c r="AA167" s="220"/>
      <c r="AB167" s="240">
        <f t="shared" si="383"/>
        <v>0.16554341754780391</v>
      </c>
      <c r="AC167" s="240">
        <f t="shared" si="384"/>
        <v>4.2913917210281892E-2</v>
      </c>
      <c r="AD167" s="240">
        <f t="shared" si="385"/>
        <v>1.9131568994526543E-2</v>
      </c>
      <c r="AE167" s="240">
        <f t="shared" si="386"/>
        <v>1.058446619844459E-2</v>
      </c>
      <c r="AF167" s="240">
        <f t="shared" si="387"/>
        <v>5.4555747529966878E-2</v>
      </c>
      <c r="AG167" s="240">
        <f t="shared" si="388"/>
        <v>0.29272911748102382</v>
      </c>
      <c r="AH167" s="43">
        <f t="shared" si="389"/>
        <v>1260.1992660826572</v>
      </c>
      <c r="AI167" s="43">
        <f t="shared" si="389"/>
        <v>326.6821947632709</v>
      </c>
      <c r="AJ167" s="43">
        <f t="shared" si="389"/>
        <v>145.63906897083331</v>
      </c>
      <c r="AK167" s="43">
        <f t="shared" si="389"/>
        <v>80.57424893565944</v>
      </c>
      <c r="AL167" s="43">
        <f t="shared" si="389"/>
        <v>415.30562807187283</v>
      </c>
      <c r="AM167" s="43">
        <f t="shared" si="390"/>
        <v>2228.4004068242934</v>
      </c>
      <c r="AN167" s="43">
        <f t="shared" si="391"/>
        <v>15122.391192991887</v>
      </c>
      <c r="AO167" s="43">
        <f t="shared" si="391"/>
        <v>3920.1863371592508</v>
      </c>
      <c r="AP167" s="43">
        <f t="shared" si="391"/>
        <v>1747.6688276499997</v>
      </c>
      <c r="AQ167" s="43">
        <f t="shared" si="391"/>
        <v>966.89098722791323</v>
      </c>
      <c r="AR167" s="43">
        <f t="shared" si="391"/>
        <v>4983.6675368624738</v>
      </c>
      <c r="AS167" s="43">
        <f t="shared" si="391"/>
        <v>26740.804881891519</v>
      </c>
    </row>
    <row r="168" spans="1:45" x14ac:dyDescent="0.2">
      <c r="A168" s="57" t="str">
        <f>+A167</f>
        <v>58E &amp; 59E</v>
      </c>
      <c r="B168" s="18" t="s">
        <v>83</v>
      </c>
      <c r="C168" s="21" t="str">
        <f>'WP1 Light Inventory'!D169</f>
        <v>Sodium Vapor</v>
      </c>
      <c r="D168" s="21" t="str">
        <f>'WP1 Light Inventory'!E169</f>
        <v>DSV 200</v>
      </c>
      <c r="E168" s="21">
        <f>'WP1 Light Inventory'!F169</f>
        <v>200</v>
      </c>
      <c r="F168" s="21" t="str">
        <f>'WP1 Light Inventory'!H169</f>
        <v>Company</v>
      </c>
      <c r="G168" s="397">
        <f>'WP1 Light Inventory'!J169</f>
        <v>266</v>
      </c>
      <c r="H168" s="74">
        <f>'WP9 Sodium Vapor Cost Est.'!$D$25</f>
        <v>906.86</v>
      </c>
      <c r="I168" s="14" t="s">
        <v>133</v>
      </c>
      <c r="J168" s="19">
        <f>IF(C168="Light Emitting Diode",'WP10 O&amp;M Weighting Factor'!$B$26,IF('WP12 Condensed Sch. Level Costs'!C168="Sodium Vapor",'WP10 O&amp;M Weighting Factor'!$B$27,IF('WP12 Condensed Sch. Level Costs'!C168="Metal Halide",'WP10 O&amp;M Weighting Factor'!$B$28,IF('WP12 Condensed Sch. Level Costs'!C168="Mercury Vapor",'WP10 O&amp;M Weighting Factor'!$B$30,IF('WP12 Condensed Sch. Level Costs'!C168="Compact Flourescent",'WP10 O&amp;M Weighting Factor'!$B$29, IF(C168="Incandescent", 'WP10 O&amp;M Weighting Factor'!$B$31, 0))))))</f>
        <v>1</v>
      </c>
      <c r="K168" s="282">
        <f t="shared" si="373"/>
        <v>266</v>
      </c>
      <c r="L168" s="74">
        <f t="shared" si="374"/>
        <v>241224.76</v>
      </c>
      <c r="M168" s="283">
        <f t="shared" si="375"/>
        <v>53.2</v>
      </c>
      <c r="N168" s="398">
        <f>'WP1 Light Inventory'!L169</f>
        <v>223440</v>
      </c>
      <c r="O168" s="284">
        <f t="shared" si="376"/>
        <v>70</v>
      </c>
      <c r="P168" s="261">
        <f>'BDJ-6 Unitized Lighting Costs'!D$20</f>
        <v>1.0137794003499056E-2</v>
      </c>
      <c r="Q168" s="261">
        <f>'BDJ-6 Unitized Lighting Costs'!$D$43</f>
        <v>2.2529806535397991</v>
      </c>
      <c r="R168" s="261">
        <f>'BDJ-6 Unitized Lighting Costs'!D$69</f>
        <v>1.9131568994526543E-2</v>
      </c>
      <c r="S168" s="261">
        <f>'BDJ-6 Unitized Lighting Costs'!$D$110</f>
        <v>3.7045631694556067</v>
      </c>
      <c r="T168" s="261">
        <f>'BDJ-6 Unitized Lighting Costs'!$D$117</f>
        <v>5.4555747529966878E-2</v>
      </c>
      <c r="U168" s="43">
        <f t="shared" si="377"/>
        <v>9.1935598700131536</v>
      </c>
      <c r="V168" s="43">
        <f t="shared" si="378"/>
        <v>2.2529806535397991</v>
      </c>
      <c r="W168" s="43">
        <f t="shared" si="379"/>
        <v>1.339209829616858</v>
      </c>
      <c r="X168" s="43">
        <f t="shared" si="380"/>
        <v>0.74091263389112139</v>
      </c>
      <c r="Y168" s="43">
        <f t="shared" si="381"/>
        <v>3.8189023270976814</v>
      </c>
      <c r="Z168" s="43">
        <f t="shared" si="382"/>
        <v>17.345565314158613</v>
      </c>
      <c r="AA168" s="220"/>
      <c r="AB168" s="240">
        <f t="shared" si="383"/>
        <v>0.13133656957161649</v>
      </c>
      <c r="AC168" s="240">
        <f t="shared" si="384"/>
        <v>3.2185437907711417E-2</v>
      </c>
      <c r="AD168" s="240">
        <f t="shared" si="385"/>
        <v>1.9131568994526543E-2</v>
      </c>
      <c r="AE168" s="240">
        <f t="shared" si="386"/>
        <v>1.0584466198444591E-2</v>
      </c>
      <c r="AF168" s="240">
        <f t="shared" si="387"/>
        <v>5.4555747529966878E-2</v>
      </c>
      <c r="AG168" s="240">
        <f t="shared" si="388"/>
        <v>0.24779379020226588</v>
      </c>
      <c r="AH168" s="43">
        <f t="shared" si="389"/>
        <v>2445.4869254234986</v>
      </c>
      <c r="AI168" s="43">
        <f t="shared" si="389"/>
        <v>599.29285384158652</v>
      </c>
      <c r="AJ168" s="43">
        <f t="shared" si="389"/>
        <v>356.22981467808421</v>
      </c>
      <c r="AK168" s="43">
        <f t="shared" si="389"/>
        <v>197.0827606150383</v>
      </c>
      <c r="AL168" s="43">
        <f t="shared" si="389"/>
        <v>1015.8280190079832</v>
      </c>
      <c r="AM168" s="43">
        <f t="shared" si="390"/>
        <v>4613.9203735661913</v>
      </c>
      <c r="AN168" s="43">
        <f t="shared" si="391"/>
        <v>29345.843105081985</v>
      </c>
      <c r="AO168" s="43">
        <f t="shared" si="391"/>
        <v>7191.5142460990382</v>
      </c>
      <c r="AP168" s="43">
        <f t="shared" si="391"/>
        <v>4274.7577761370103</v>
      </c>
      <c r="AQ168" s="43">
        <f t="shared" si="391"/>
        <v>2364.9931273804596</v>
      </c>
      <c r="AR168" s="43">
        <f t="shared" si="391"/>
        <v>12189.936228095799</v>
      </c>
      <c r="AS168" s="43">
        <f t="shared" si="391"/>
        <v>55367.044482794299</v>
      </c>
    </row>
    <row r="169" spans="1:45" x14ac:dyDescent="0.2">
      <c r="A169" s="57" t="str">
        <f>+A168</f>
        <v>58E &amp; 59E</v>
      </c>
      <c r="B169" s="18" t="s">
        <v>83</v>
      </c>
      <c r="C169" s="21" t="str">
        <f>'WP1 Light Inventory'!D170</f>
        <v>Sodium Vapor</v>
      </c>
      <c r="D169" s="21" t="str">
        <f>'WP1 Light Inventory'!E170</f>
        <v>DSV 250</v>
      </c>
      <c r="E169" s="21">
        <f>'WP1 Light Inventory'!F170</f>
        <v>250</v>
      </c>
      <c r="F169" s="21" t="str">
        <f>'WP1 Light Inventory'!H170</f>
        <v>Company</v>
      </c>
      <c r="G169" s="397">
        <f>'WP1 Light Inventory'!J170</f>
        <v>39</v>
      </c>
      <c r="H169" s="74">
        <f>'WP9 Sodium Vapor Cost Est.'!$D$26</f>
        <v>922.99</v>
      </c>
      <c r="I169" s="14" t="s">
        <v>133</v>
      </c>
      <c r="J169" s="19">
        <f>IF(C169="Light Emitting Diode",'WP10 O&amp;M Weighting Factor'!$B$26,IF('WP12 Condensed Sch. Level Costs'!C169="Sodium Vapor",'WP10 O&amp;M Weighting Factor'!$B$27,IF('WP12 Condensed Sch. Level Costs'!C169="Metal Halide",'WP10 O&amp;M Weighting Factor'!$B$28,IF('WP12 Condensed Sch. Level Costs'!C169="Mercury Vapor",'WP10 O&amp;M Weighting Factor'!$B$30,IF('WP12 Condensed Sch. Level Costs'!C169="Compact Flourescent",'WP10 O&amp;M Weighting Factor'!$B$29, IF(C169="Incandescent", 'WP10 O&amp;M Weighting Factor'!$B$31, 0))))))</f>
        <v>1</v>
      </c>
      <c r="K169" s="282">
        <f t="shared" si="373"/>
        <v>39</v>
      </c>
      <c r="L169" s="74">
        <f t="shared" si="374"/>
        <v>35996.61</v>
      </c>
      <c r="M169" s="283">
        <f t="shared" si="375"/>
        <v>9.75</v>
      </c>
      <c r="N169" s="398">
        <f>'WP1 Light Inventory'!L170</f>
        <v>40950</v>
      </c>
      <c r="O169" s="284">
        <f t="shared" si="376"/>
        <v>87.5</v>
      </c>
      <c r="P169" s="261">
        <f>'BDJ-6 Unitized Lighting Costs'!D$20</f>
        <v>1.0137794003499056E-2</v>
      </c>
      <c r="Q169" s="261">
        <f>'BDJ-6 Unitized Lighting Costs'!$D$43</f>
        <v>2.2529806535397991</v>
      </c>
      <c r="R169" s="261">
        <f>'BDJ-6 Unitized Lighting Costs'!D$69</f>
        <v>1.9131568994526543E-2</v>
      </c>
      <c r="S169" s="261">
        <f>'BDJ-6 Unitized Lighting Costs'!$D$110</f>
        <v>3.7045631694556067</v>
      </c>
      <c r="T169" s="261">
        <f>'BDJ-6 Unitized Lighting Costs'!$D$117</f>
        <v>5.4555747529966878E-2</v>
      </c>
      <c r="U169" s="43">
        <f t="shared" si="377"/>
        <v>9.3570824872895937</v>
      </c>
      <c r="V169" s="43">
        <f t="shared" si="378"/>
        <v>2.2529806535397991</v>
      </c>
      <c r="W169" s="43">
        <f t="shared" si="379"/>
        <v>1.6740122870210725</v>
      </c>
      <c r="X169" s="43">
        <f t="shared" si="380"/>
        <v>0.92614079236390168</v>
      </c>
      <c r="Y169" s="43">
        <f t="shared" si="381"/>
        <v>4.7736279088721014</v>
      </c>
      <c r="Z169" s="43">
        <f t="shared" si="382"/>
        <v>18.983844129086467</v>
      </c>
      <c r="AA169" s="220"/>
      <c r="AB169" s="240">
        <f t="shared" si="383"/>
        <v>0.10693808556902393</v>
      </c>
      <c r="AC169" s="240">
        <f t="shared" si="384"/>
        <v>2.5748350326169133E-2</v>
      </c>
      <c r="AD169" s="240">
        <f t="shared" si="385"/>
        <v>1.9131568994526543E-2</v>
      </c>
      <c r="AE169" s="240">
        <f t="shared" si="386"/>
        <v>1.0584466198444591E-2</v>
      </c>
      <c r="AF169" s="240">
        <f t="shared" si="387"/>
        <v>5.4555747529966871E-2</v>
      </c>
      <c r="AG169" s="240">
        <f t="shared" si="388"/>
        <v>0.21695821861813103</v>
      </c>
      <c r="AH169" s="43">
        <f t="shared" si="389"/>
        <v>364.92621700429413</v>
      </c>
      <c r="AI169" s="43">
        <f t="shared" si="389"/>
        <v>87.866245488052172</v>
      </c>
      <c r="AJ169" s="43">
        <f t="shared" si="389"/>
        <v>65.286479193821833</v>
      </c>
      <c r="AK169" s="43">
        <f t="shared" si="389"/>
        <v>36.119490902192169</v>
      </c>
      <c r="AL169" s="43">
        <f t="shared" si="389"/>
        <v>186.17148844601195</v>
      </c>
      <c r="AM169" s="43">
        <f t="shared" si="390"/>
        <v>740.36992103437228</v>
      </c>
      <c r="AN169" s="43">
        <f t="shared" si="391"/>
        <v>4379.1146040515296</v>
      </c>
      <c r="AO169" s="43">
        <f t="shared" si="391"/>
        <v>1054.394945856626</v>
      </c>
      <c r="AP169" s="43">
        <f t="shared" si="391"/>
        <v>783.437750325862</v>
      </c>
      <c r="AQ169" s="43">
        <f t="shared" si="391"/>
        <v>433.43389082630603</v>
      </c>
      <c r="AR169" s="43">
        <f t="shared" si="391"/>
        <v>2234.0578613521434</v>
      </c>
      <c r="AS169" s="43">
        <f t="shared" si="391"/>
        <v>8884.4390524124683</v>
      </c>
    </row>
    <row r="170" spans="1:45" x14ac:dyDescent="0.2">
      <c r="A170" s="57" t="str">
        <f>+A169</f>
        <v>58E &amp; 59E</v>
      </c>
      <c r="B170" s="18" t="s">
        <v>83</v>
      </c>
      <c r="C170" s="21" t="str">
        <f>'WP1 Light Inventory'!D171</f>
        <v>Sodium Vapor</v>
      </c>
      <c r="D170" s="21" t="str">
        <f>'WP1 Light Inventory'!E171</f>
        <v>DSV 400</v>
      </c>
      <c r="E170" s="21">
        <f>'WP1 Light Inventory'!F171</f>
        <v>400</v>
      </c>
      <c r="F170" s="21" t="str">
        <f>'WP1 Light Inventory'!H171</f>
        <v>Company</v>
      </c>
      <c r="G170" s="397">
        <f>'WP1 Light Inventory'!J171</f>
        <v>354</v>
      </c>
      <c r="H170" s="74">
        <f>'WP9 Sodium Vapor Cost Est.'!$D$28</f>
        <v>1029.9100000000001</v>
      </c>
      <c r="I170" s="14" t="s">
        <v>133</v>
      </c>
      <c r="J170" s="19">
        <f>IF(C170="Light Emitting Diode",'WP10 O&amp;M Weighting Factor'!$B$26,IF('WP12 Condensed Sch. Level Costs'!C170="Sodium Vapor",'WP10 O&amp;M Weighting Factor'!$B$27,IF('WP12 Condensed Sch. Level Costs'!C170="Metal Halide",'WP10 O&amp;M Weighting Factor'!$B$28,IF('WP12 Condensed Sch. Level Costs'!C170="Mercury Vapor",'WP10 O&amp;M Weighting Factor'!$B$30,IF('WP12 Condensed Sch. Level Costs'!C170="Compact Flourescent",'WP10 O&amp;M Weighting Factor'!$B$29, IF(C170="Incandescent", 'WP10 O&amp;M Weighting Factor'!$B$31, 0))))))</f>
        <v>1</v>
      </c>
      <c r="K170" s="282">
        <f t="shared" si="373"/>
        <v>354</v>
      </c>
      <c r="L170" s="74">
        <f t="shared" si="374"/>
        <v>364588.14</v>
      </c>
      <c r="M170" s="283">
        <f t="shared" si="375"/>
        <v>141.6</v>
      </c>
      <c r="N170" s="398">
        <f>'WP1 Light Inventory'!L171</f>
        <v>594720</v>
      </c>
      <c r="O170" s="284">
        <f t="shared" si="376"/>
        <v>140</v>
      </c>
      <c r="P170" s="261">
        <f>'BDJ-6 Unitized Lighting Costs'!D$20</f>
        <v>1.0137794003499056E-2</v>
      </c>
      <c r="Q170" s="261">
        <f>'BDJ-6 Unitized Lighting Costs'!$D$43</f>
        <v>2.2529806535397991</v>
      </c>
      <c r="R170" s="261">
        <f>'BDJ-6 Unitized Lighting Costs'!D$69</f>
        <v>1.9131568994526543E-2</v>
      </c>
      <c r="S170" s="261">
        <f>'BDJ-6 Unitized Lighting Costs'!$D$110</f>
        <v>3.7045631694556067</v>
      </c>
      <c r="T170" s="261">
        <f>'BDJ-6 Unitized Lighting Costs'!$D$117</f>
        <v>5.4555747529966878E-2</v>
      </c>
      <c r="U170" s="43">
        <f t="shared" si="377"/>
        <v>10.441015422143714</v>
      </c>
      <c r="V170" s="43">
        <f t="shared" si="378"/>
        <v>2.2529806535397991</v>
      </c>
      <c r="W170" s="43">
        <f t="shared" si="379"/>
        <v>2.6784196592337159</v>
      </c>
      <c r="X170" s="43">
        <f t="shared" si="380"/>
        <v>1.4818252677822428</v>
      </c>
      <c r="Y170" s="43">
        <f t="shared" si="381"/>
        <v>7.6378046541953628</v>
      </c>
      <c r="Z170" s="43">
        <f t="shared" si="382"/>
        <v>24.492045656894835</v>
      </c>
      <c r="AA170" s="220"/>
      <c r="AB170" s="240">
        <f t="shared" si="383"/>
        <v>7.4578681586740816E-2</v>
      </c>
      <c r="AC170" s="240">
        <f t="shared" si="384"/>
        <v>1.6092718953855709E-2</v>
      </c>
      <c r="AD170" s="240">
        <f t="shared" si="385"/>
        <v>1.9131568994526543E-2</v>
      </c>
      <c r="AE170" s="240">
        <f t="shared" si="386"/>
        <v>1.0584466198444591E-2</v>
      </c>
      <c r="AF170" s="240">
        <f t="shared" si="387"/>
        <v>5.4555747529966878E-2</v>
      </c>
      <c r="AG170" s="240">
        <f t="shared" si="388"/>
        <v>0.17494318326353453</v>
      </c>
      <c r="AH170" s="43">
        <f t="shared" si="389"/>
        <v>3696.1194594388749</v>
      </c>
      <c r="AI170" s="43">
        <f t="shared" si="389"/>
        <v>797.55515135308895</v>
      </c>
      <c r="AJ170" s="43">
        <f t="shared" si="389"/>
        <v>948.16055936873545</v>
      </c>
      <c r="AK170" s="43">
        <f t="shared" si="389"/>
        <v>524.56614479491395</v>
      </c>
      <c r="AL170" s="43">
        <f t="shared" si="389"/>
        <v>2703.7828475851584</v>
      </c>
      <c r="AM170" s="43">
        <f t="shared" si="390"/>
        <v>8670.1841625407724</v>
      </c>
      <c r="AN170" s="43">
        <f t="shared" si="391"/>
        <v>44353.4335132665</v>
      </c>
      <c r="AO170" s="43">
        <f t="shared" si="391"/>
        <v>9570.6618162370669</v>
      </c>
      <c r="AP170" s="43">
        <f t="shared" si="391"/>
        <v>11377.926712424825</v>
      </c>
      <c r="AQ170" s="43">
        <f t="shared" si="391"/>
        <v>6294.7937375389674</v>
      </c>
      <c r="AR170" s="43">
        <f t="shared" si="391"/>
        <v>32445.394171021901</v>
      </c>
      <c r="AS170" s="43">
        <f t="shared" si="391"/>
        <v>104042.20995048927</v>
      </c>
    </row>
    <row r="171" spans="1:45" x14ac:dyDescent="0.2">
      <c r="A171" s="57"/>
      <c r="B171" s="18"/>
      <c r="C171" s="21"/>
      <c r="D171" s="21"/>
      <c r="E171" s="21"/>
      <c r="F171" s="21"/>
      <c r="G171" s="397"/>
      <c r="K171" s="282"/>
      <c r="L171" s="74"/>
      <c r="AA171" s="220"/>
      <c r="AB171" s="240"/>
      <c r="AC171" s="240"/>
      <c r="AD171" s="240"/>
      <c r="AE171" s="240"/>
      <c r="AF171" s="240"/>
      <c r="AG171" s="240"/>
    </row>
    <row r="172" spans="1:45" x14ac:dyDescent="0.2">
      <c r="A172" s="57" t="str">
        <f>+A166</f>
        <v>58E &amp; 59E</v>
      </c>
      <c r="B172" s="18" t="s">
        <v>84</v>
      </c>
      <c r="C172" s="21" t="str">
        <f>'WP1 Light Inventory'!D173</f>
        <v>Sodium Vapor</v>
      </c>
      <c r="D172" s="21" t="str">
        <f>'WP1 Light Inventory'!E173</f>
        <v>HSV 100</v>
      </c>
      <c r="E172" s="21">
        <f>'WP1 Light Inventory'!F173</f>
        <v>100</v>
      </c>
      <c r="F172" s="21" t="str">
        <f>'WP1 Light Inventory'!H173</f>
        <v>Company</v>
      </c>
      <c r="G172" s="397">
        <f>'WP1 Light Inventory'!J173</f>
        <v>1</v>
      </c>
      <c r="H172" s="74">
        <f>'WP9 Sodium Vapor Cost Est.'!$D$22</f>
        <v>855.82</v>
      </c>
      <c r="I172" s="14" t="s">
        <v>133</v>
      </c>
      <c r="J172" s="19">
        <f>IF(C172="Light Emitting Diode",'WP10 O&amp;M Weighting Factor'!$B$26,IF('WP12 Condensed Sch. Level Costs'!C172="Sodium Vapor",'WP10 O&amp;M Weighting Factor'!$B$27,IF('WP12 Condensed Sch. Level Costs'!C172="Metal Halide",'WP10 O&amp;M Weighting Factor'!$B$28,IF('WP12 Condensed Sch. Level Costs'!C172="Mercury Vapor",'WP10 O&amp;M Weighting Factor'!$B$30,IF('WP12 Condensed Sch. Level Costs'!C172="Compact Flourescent",'WP10 O&amp;M Weighting Factor'!$B$29, IF(C172="Incandescent", 'WP10 O&amp;M Weighting Factor'!$B$31, 0))))))</f>
        <v>1</v>
      </c>
      <c r="K172" s="282">
        <f>IF(I172="Yes",G172*J172,0)</f>
        <v>1</v>
      </c>
      <c r="L172" s="74">
        <f>IF(F172="Company", G172*H172,0)</f>
        <v>855.82</v>
      </c>
      <c r="M172" s="283">
        <f>E172*G172/1000</f>
        <v>0.1</v>
      </c>
      <c r="N172" s="398">
        <f>'WP1 Light Inventory'!L173</f>
        <v>420</v>
      </c>
      <c r="O172" s="284">
        <f>E172*4200/1000/12</f>
        <v>35</v>
      </c>
      <c r="P172" s="261">
        <f>'BDJ-6 Unitized Lighting Costs'!D$20</f>
        <v>1.0137794003499056E-2</v>
      </c>
      <c r="Q172" s="261">
        <f>'BDJ-6 Unitized Lighting Costs'!$D$43</f>
        <v>2.2529806535397991</v>
      </c>
      <c r="R172" s="261">
        <f>'BDJ-6 Unitized Lighting Costs'!D$69</f>
        <v>1.9131568994526543E-2</v>
      </c>
      <c r="S172" s="261">
        <f>'BDJ-6 Unitized Lighting Costs'!$D$110</f>
        <v>3.7045631694556067</v>
      </c>
      <c r="T172" s="261">
        <f>'BDJ-6 Unitized Lighting Costs'!$D$117</f>
        <v>5.4555747529966878E-2</v>
      </c>
      <c r="U172" s="43">
        <f>IF(F172="Company", H172*P172, 0)</f>
        <v>8.676126864074563</v>
      </c>
      <c r="V172" s="43">
        <f>IF(I172="yes", J172*Q172, 0)</f>
        <v>2.2529806535397991</v>
      </c>
      <c r="W172" s="43">
        <f>R172*O172</f>
        <v>0.66960491480842899</v>
      </c>
      <c r="X172" s="43">
        <f>E172*S172/1000</f>
        <v>0.37045631694556069</v>
      </c>
      <c r="Y172" s="43">
        <f>O172*T172</f>
        <v>1.9094511635488407</v>
      </c>
      <c r="Z172" s="43">
        <f>SUM(U172:Y172)</f>
        <v>13.878619912917193</v>
      </c>
      <c r="AA172" s="220"/>
      <c r="AB172" s="240">
        <f>IFERROR(U172/O172,0)</f>
        <v>0.24788933897355894</v>
      </c>
      <c r="AC172" s="240">
        <f>IFERROR(V172/O172,0)</f>
        <v>6.4370875815422834E-2</v>
      </c>
      <c r="AD172" s="240">
        <f>IFERROR(W172/O172,0)</f>
        <v>1.9131568994526543E-2</v>
      </c>
      <c r="AE172" s="240">
        <f>IFERROR(X172/O172,0)</f>
        <v>1.0584466198444591E-2</v>
      </c>
      <c r="AF172" s="240">
        <f>IFERROR(Y172/O172,0)</f>
        <v>5.4555747529966878E-2</v>
      </c>
      <c r="AG172" s="240">
        <f>SUM(AB172:AF172)</f>
        <v>0.39653199751191986</v>
      </c>
      <c r="AH172" s="43">
        <f t="shared" ref="AH172:AL176" si="392">(U172*$G172)</f>
        <v>8.676126864074563</v>
      </c>
      <c r="AI172" s="43">
        <f t="shared" si="392"/>
        <v>2.2529806535397991</v>
      </c>
      <c r="AJ172" s="43">
        <f t="shared" si="392"/>
        <v>0.66960491480842899</v>
      </c>
      <c r="AK172" s="43">
        <f t="shared" si="392"/>
        <v>0.37045631694556069</v>
      </c>
      <c r="AL172" s="43">
        <f t="shared" si="392"/>
        <v>1.9094511635488407</v>
      </c>
      <c r="AM172" s="43">
        <f>SUM(AH172:AL172)</f>
        <v>13.878619912917193</v>
      </c>
      <c r="AN172" s="43">
        <f t="shared" ref="AN172:AS176" si="393">AH172*12</f>
        <v>104.11352236889476</v>
      </c>
      <c r="AO172" s="43">
        <f t="shared" si="393"/>
        <v>27.03576784247759</v>
      </c>
      <c r="AP172" s="43">
        <f t="shared" si="393"/>
        <v>8.0352589777011474</v>
      </c>
      <c r="AQ172" s="43">
        <f t="shared" si="393"/>
        <v>4.4454758033467279</v>
      </c>
      <c r="AR172" s="43">
        <f t="shared" si="393"/>
        <v>22.913413962586088</v>
      </c>
      <c r="AS172" s="43">
        <f t="shared" si="393"/>
        <v>166.54343895500631</v>
      </c>
    </row>
    <row r="173" spans="1:45" x14ac:dyDescent="0.2">
      <c r="A173" s="57" t="str">
        <f>+A167</f>
        <v>58E &amp; 59E</v>
      </c>
      <c r="B173" s="18" t="s">
        <v>84</v>
      </c>
      <c r="C173" s="21" t="str">
        <f>'WP1 Light Inventory'!D174</f>
        <v>Sodium Vapor</v>
      </c>
      <c r="D173" s="21" t="str">
        <f>'WP1 Light Inventory'!E174</f>
        <v>HSV 150</v>
      </c>
      <c r="E173" s="21">
        <f>'WP1 Light Inventory'!F174</f>
        <v>150</v>
      </c>
      <c r="F173" s="21" t="str">
        <f>'WP1 Light Inventory'!H174</f>
        <v>Company</v>
      </c>
      <c r="G173" s="397">
        <f>'WP1 Light Inventory'!J174</f>
        <v>16</v>
      </c>
      <c r="H173" s="74">
        <f>'WP9 Sodium Vapor Cost Est.'!$D$23</f>
        <v>857.29</v>
      </c>
      <c r="I173" s="14" t="s">
        <v>133</v>
      </c>
      <c r="J173" s="19">
        <f>IF(C173="Light Emitting Diode",'WP10 O&amp;M Weighting Factor'!$B$26,IF('WP12 Condensed Sch. Level Costs'!C173="Sodium Vapor",'WP10 O&amp;M Weighting Factor'!$B$27,IF('WP12 Condensed Sch. Level Costs'!C173="Metal Halide",'WP10 O&amp;M Weighting Factor'!$B$28,IF('WP12 Condensed Sch. Level Costs'!C173="Mercury Vapor",'WP10 O&amp;M Weighting Factor'!$B$30,IF('WP12 Condensed Sch. Level Costs'!C173="Compact Flourescent",'WP10 O&amp;M Weighting Factor'!$B$29, IF(C173="Incandescent", 'WP10 O&amp;M Weighting Factor'!$B$31, 0))))))</f>
        <v>1</v>
      </c>
      <c r="K173" s="282">
        <f>IF(I173="Yes",G173*J173,0)</f>
        <v>16</v>
      </c>
      <c r="L173" s="74">
        <f>IF(F173="Company", G173*H173,0)</f>
        <v>13716.64</v>
      </c>
      <c r="M173" s="283">
        <f>E173*G173/1000</f>
        <v>2.4</v>
      </c>
      <c r="N173" s="398">
        <f>'WP1 Light Inventory'!L174</f>
        <v>10080</v>
      </c>
      <c r="O173" s="284">
        <f>E173*4200/1000/12</f>
        <v>52.5</v>
      </c>
      <c r="P173" s="261">
        <f>'BDJ-6 Unitized Lighting Costs'!D$20</f>
        <v>1.0137794003499056E-2</v>
      </c>
      <c r="Q173" s="261">
        <f>'BDJ-6 Unitized Lighting Costs'!$D$43</f>
        <v>2.2529806535397991</v>
      </c>
      <c r="R173" s="261">
        <f>'BDJ-6 Unitized Lighting Costs'!D$69</f>
        <v>1.9131568994526543E-2</v>
      </c>
      <c r="S173" s="261">
        <f>'BDJ-6 Unitized Lighting Costs'!$D$110</f>
        <v>3.7045631694556067</v>
      </c>
      <c r="T173" s="261">
        <f>'BDJ-6 Unitized Lighting Costs'!$D$117</f>
        <v>5.4555747529966878E-2</v>
      </c>
      <c r="U173" s="43">
        <f>IF(F173="Company", H173*P173, 0)</f>
        <v>8.6910294212597048</v>
      </c>
      <c r="V173" s="43">
        <f>IF(I173="yes", J173*Q173, 0)</f>
        <v>2.2529806535397991</v>
      </c>
      <c r="W173" s="43">
        <f>R173*O173</f>
        <v>1.0044073722126434</v>
      </c>
      <c r="X173" s="43">
        <f>E173*S173/1000</f>
        <v>0.55568447541834098</v>
      </c>
      <c r="Y173" s="43">
        <f>O173*T173</f>
        <v>2.8641767453232609</v>
      </c>
      <c r="Z173" s="43">
        <f>SUM(U173:Y173)</f>
        <v>15.368278667753749</v>
      </c>
      <c r="AA173" s="220"/>
      <c r="AB173" s="240">
        <f>IFERROR(U173/O173,0)</f>
        <v>0.16554341754780391</v>
      </c>
      <c r="AC173" s="240">
        <f>IFERROR(V173/O173,0)</f>
        <v>4.2913917210281892E-2</v>
      </c>
      <c r="AD173" s="240">
        <f>IFERROR(W173/O173,0)</f>
        <v>1.9131568994526543E-2</v>
      </c>
      <c r="AE173" s="240">
        <f>IFERROR(X173/O173,0)</f>
        <v>1.058446619844459E-2</v>
      </c>
      <c r="AF173" s="240">
        <f>IFERROR(Y173/O173,0)</f>
        <v>5.4555747529966878E-2</v>
      </c>
      <c r="AG173" s="240">
        <f>SUM(AB173:AF173)</f>
        <v>0.29272911748102382</v>
      </c>
      <c r="AH173" s="43">
        <f t="shared" si="392"/>
        <v>139.05647074015528</v>
      </c>
      <c r="AI173" s="43">
        <f t="shared" si="392"/>
        <v>36.047690456636786</v>
      </c>
      <c r="AJ173" s="43">
        <f t="shared" si="392"/>
        <v>16.070517955402295</v>
      </c>
      <c r="AK173" s="43">
        <f t="shared" si="392"/>
        <v>8.8909516066934557</v>
      </c>
      <c r="AL173" s="43">
        <f t="shared" si="392"/>
        <v>45.826827925172175</v>
      </c>
      <c r="AM173" s="43">
        <f>SUM(AH173:AL173)</f>
        <v>245.89245868405999</v>
      </c>
      <c r="AN173" s="43">
        <f t="shared" si="393"/>
        <v>1668.6776488818632</v>
      </c>
      <c r="AO173" s="43">
        <f t="shared" si="393"/>
        <v>432.57228547964144</v>
      </c>
      <c r="AP173" s="43">
        <f t="shared" si="393"/>
        <v>192.84621546482754</v>
      </c>
      <c r="AQ173" s="43">
        <f t="shared" si="393"/>
        <v>106.69141928032147</v>
      </c>
      <c r="AR173" s="43">
        <f t="shared" si="393"/>
        <v>549.92193510206607</v>
      </c>
      <c r="AS173" s="43">
        <f t="shared" si="393"/>
        <v>2950.7095042087199</v>
      </c>
    </row>
    <row r="174" spans="1:45" x14ac:dyDescent="0.2">
      <c r="A174" s="57" t="str">
        <f>+A168</f>
        <v>58E &amp; 59E</v>
      </c>
      <c r="B174" s="18" t="s">
        <v>84</v>
      </c>
      <c r="C174" s="21" t="str">
        <f>'WP1 Light Inventory'!D175</f>
        <v>Sodium Vapor</v>
      </c>
      <c r="D174" s="21" t="str">
        <f>'WP1 Light Inventory'!E175</f>
        <v>HSV 200</v>
      </c>
      <c r="E174" s="21">
        <f>'WP1 Light Inventory'!F175</f>
        <v>200</v>
      </c>
      <c r="F174" s="21" t="str">
        <f>'WP1 Light Inventory'!H175</f>
        <v>Company</v>
      </c>
      <c r="G174" s="397">
        <f>'WP1 Light Inventory'!J175</f>
        <v>9</v>
      </c>
      <c r="H174" s="74">
        <f>'WP9 Sodium Vapor Cost Est.'!$D$25</f>
        <v>906.86</v>
      </c>
      <c r="I174" s="14" t="s">
        <v>133</v>
      </c>
      <c r="J174" s="19">
        <f>IF(C174="Light Emitting Diode",'WP10 O&amp;M Weighting Factor'!$B$26,IF('WP12 Condensed Sch. Level Costs'!C174="Sodium Vapor",'WP10 O&amp;M Weighting Factor'!$B$27,IF('WP12 Condensed Sch. Level Costs'!C174="Metal Halide",'WP10 O&amp;M Weighting Factor'!$B$28,IF('WP12 Condensed Sch. Level Costs'!C174="Mercury Vapor",'WP10 O&amp;M Weighting Factor'!$B$30,IF('WP12 Condensed Sch. Level Costs'!C174="Compact Flourescent",'WP10 O&amp;M Weighting Factor'!$B$29, IF(C174="Incandescent", 'WP10 O&amp;M Weighting Factor'!$B$31, 0))))))</f>
        <v>1</v>
      </c>
      <c r="K174" s="282">
        <f>IF(I174="Yes",G174*J174,0)</f>
        <v>9</v>
      </c>
      <c r="L174" s="74">
        <f>IF(F174="Company", G174*H174,0)</f>
        <v>8161.74</v>
      </c>
      <c r="M174" s="283">
        <f>E174*G174/1000</f>
        <v>1.8</v>
      </c>
      <c r="N174" s="398">
        <f>'WP1 Light Inventory'!L175</f>
        <v>7560</v>
      </c>
      <c r="O174" s="284">
        <f>E174*4200/1000/12</f>
        <v>70</v>
      </c>
      <c r="P174" s="261">
        <f>'BDJ-6 Unitized Lighting Costs'!D$20</f>
        <v>1.0137794003499056E-2</v>
      </c>
      <c r="Q174" s="261">
        <f>'BDJ-6 Unitized Lighting Costs'!$D$43</f>
        <v>2.2529806535397991</v>
      </c>
      <c r="R174" s="261">
        <f>'BDJ-6 Unitized Lighting Costs'!D$69</f>
        <v>1.9131568994526543E-2</v>
      </c>
      <c r="S174" s="261">
        <f>'BDJ-6 Unitized Lighting Costs'!$D$110</f>
        <v>3.7045631694556067</v>
      </c>
      <c r="T174" s="261">
        <f>'BDJ-6 Unitized Lighting Costs'!$D$117</f>
        <v>5.4555747529966878E-2</v>
      </c>
      <c r="U174" s="43">
        <f>IF(F174="Company", H174*P174, 0)</f>
        <v>9.1935598700131536</v>
      </c>
      <c r="V174" s="43">
        <f>IF(I174="yes", J174*Q174, 0)</f>
        <v>2.2529806535397991</v>
      </c>
      <c r="W174" s="43">
        <f>R174*O174</f>
        <v>1.339209829616858</v>
      </c>
      <c r="X174" s="43">
        <f>E174*S174/1000</f>
        <v>0.74091263389112139</v>
      </c>
      <c r="Y174" s="43">
        <f>O174*T174</f>
        <v>3.8189023270976814</v>
      </c>
      <c r="Z174" s="43">
        <f>SUM(U174:Y174)</f>
        <v>17.345565314158613</v>
      </c>
      <c r="AA174" s="220"/>
      <c r="AB174" s="240">
        <f>IFERROR(U174/O174,0)</f>
        <v>0.13133656957161649</v>
      </c>
      <c r="AC174" s="240">
        <f>IFERROR(V174/O174,0)</f>
        <v>3.2185437907711417E-2</v>
      </c>
      <c r="AD174" s="240">
        <f>IFERROR(W174/O174,0)</f>
        <v>1.9131568994526543E-2</v>
      </c>
      <c r="AE174" s="240">
        <f>IFERROR(X174/O174,0)</f>
        <v>1.0584466198444591E-2</v>
      </c>
      <c r="AF174" s="240">
        <f>IFERROR(Y174/O174,0)</f>
        <v>5.4555747529966878E-2</v>
      </c>
      <c r="AG174" s="240">
        <f>SUM(AB174:AF174)</f>
        <v>0.24779379020226588</v>
      </c>
      <c r="AH174" s="43">
        <f t="shared" si="392"/>
        <v>82.742038830118389</v>
      </c>
      <c r="AI174" s="43">
        <f t="shared" si="392"/>
        <v>20.276825881858194</v>
      </c>
      <c r="AJ174" s="43">
        <f t="shared" si="392"/>
        <v>12.052888466551721</v>
      </c>
      <c r="AK174" s="43">
        <f t="shared" si="392"/>
        <v>6.6682137050200927</v>
      </c>
      <c r="AL174" s="43">
        <f t="shared" si="392"/>
        <v>34.37012094387913</v>
      </c>
      <c r="AM174" s="43">
        <f>SUM(AH174:AL174)</f>
        <v>156.11008782742755</v>
      </c>
      <c r="AN174" s="43">
        <f t="shared" si="393"/>
        <v>992.90446596142067</v>
      </c>
      <c r="AO174" s="43">
        <f t="shared" si="393"/>
        <v>243.32191058229833</v>
      </c>
      <c r="AP174" s="43">
        <f t="shared" si="393"/>
        <v>144.63466159862065</v>
      </c>
      <c r="AQ174" s="43">
        <f t="shared" si="393"/>
        <v>80.018564460241109</v>
      </c>
      <c r="AR174" s="43">
        <f t="shared" si="393"/>
        <v>412.44145132654955</v>
      </c>
      <c r="AS174" s="43">
        <f t="shared" si="393"/>
        <v>1873.3210539291306</v>
      </c>
    </row>
    <row r="175" spans="1:45" x14ac:dyDescent="0.2">
      <c r="A175" s="57" t="str">
        <f>+A169</f>
        <v>58E &amp; 59E</v>
      </c>
      <c r="B175" s="18" t="s">
        <v>84</v>
      </c>
      <c r="C175" s="21" t="str">
        <f>'WP1 Light Inventory'!D176</f>
        <v>Sodium Vapor</v>
      </c>
      <c r="D175" s="21" t="str">
        <f>'WP1 Light Inventory'!E176</f>
        <v>HSV 250</v>
      </c>
      <c r="E175" s="21">
        <f>'WP1 Light Inventory'!F176</f>
        <v>250</v>
      </c>
      <c r="F175" s="21" t="str">
        <f>'WP1 Light Inventory'!H176</f>
        <v>Company</v>
      </c>
      <c r="G175" s="397">
        <f>'WP1 Light Inventory'!J176</f>
        <v>34</v>
      </c>
      <c r="H175" s="74">
        <f>'WP9 Sodium Vapor Cost Est.'!$D$26</f>
        <v>922.99</v>
      </c>
      <c r="I175" s="14" t="s">
        <v>133</v>
      </c>
      <c r="J175" s="19">
        <f>IF(C175="Light Emitting Diode",'WP10 O&amp;M Weighting Factor'!$B$26,IF('WP12 Condensed Sch. Level Costs'!C175="Sodium Vapor",'WP10 O&amp;M Weighting Factor'!$B$27,IF('WP12 Condensed Sch. Level Costs'!C175="Metal Halide",'WP10 O&amp;M Weighting Factor'!$B$28,IF('WP12 Condensed Sch. Level Costs'!C175="Mercury Vapor",'WP10 O&amp;M Weighting Factor'!$B$30,IF('WP12 Condensed Sch. Level Costs'!C175="Compact Flourescent",'WP10 O&amp;M Weighting Factor'!$B$29, IF(C175="Incandescent", 'WP10 O&amp;M Weighting Factor'!$B$31, 0))))))</f>
        <v>1</v>
      </c>
      <c r="K175" s="282">
        <f>IF(I175="Yes",G175*J175,0)</f>
        <v>34</v>
      </c>
      <c r="L175" s="74">
        <f>IF(F175="Company", G175*H175,0)</f>
        <v>31381.66</v>
      </c>
      <c r="M175" s="283">
        <f>E175*G175/1000</f>
        <v>8.5</v>
      </c>
      <c r="N175" s="398">
        <f>'WP1 Light Inventory'!L176</f>
        <v>35700</v>
      </c>
      <c r="O175" s="284">
        <f>E175*4200/1000/12</f>
        <v>87.5</v>
      </c>
      <c r="P175" s="261">
        <f>'BDJ-6 Unitized Lighting Costs'!D$20</f>
        <v>1.0137794003499056E-2</v>
      </c>
      <c r="Q175" s="261">
        <f>'BDJ-6 Unitized Lighting Costs'!$D$43</f>
        <v>2.2529806535397991</v>
      </c>
      <c r="R175" s="261">
        <f>'BDJ-6 Unitized Lighting Costs'!D$69</f>
        <v>1.9131568994526543E-2</v>
      </c>
      <c r="S175" s="261">
        <f>'BDJ-6 Unitized Lighting Costs'!$D$110</f>
        <v>3.7045631694556067</v>
      </c>
      <c r="T175" s="261">
        <f>'BDJ-6 Unitized Lighting Costs'!$D$117</f>
        <v>5.4555747529966878E-2</v>
      </c>
      <c r="U175" s="43">
        <f>IF(F175="Company", H175*P175, 0)</f>
        <v>9.3570824872895937</v>
      </c>
      <c r="V175" s="43">
        <f>IF(I175="yes", J175*Q175, 0)</f>
        <v>2.2529806535397991</v>
      </c>
      <c r="W175" s="43">
        <f>R175*O175</f>
        <v>1.6740122870210725</v>
      </c>
      <c r="X175" s="43">
        <f>E175*S175/1000</f>
        <v>0.92614079236390168</v>
      </c>
      <c r="Y175" s="43">
        <f>O175*T175</f>
        <v>4.7736279088721014</v>
      </c>
      <c r="Z175" s="43">
        <f>SUM(U175:Y175)</f>
        <v>18.983844129086467</v>
      </c>
      <c r="AA175" s="220"/>
      <c r="AB175" s="240">
        <f>IFERROR(U175/O175,0)</f>
        <v>0.10693808556902393</v>
      </c>
      <c r="AC175" s="240">
        <f>IFERROR(V175/O175,0)</f>
        <v>2.5748350326169133E-2</v>
      </c>
      <c r="AD175" s="240">
        <f>IFERROR(W175/O175,0)</f>
        <v>1.9131568994526543E-2</v>
      </c>
      <c r="AE175" s="240">
        <f>IFERROR(X175/O175,0)</f>
        <v>1.0584466198444591E-2</v>
      </c>
      <c r="AF175" s="240">
        <f>IFERROR(Y175/O175,0)</f>
        <v>5.4555747529966871E-2</v>
      </c>
      <c r="AG175" s="240">
        <f>SUM(AB175:AF175)</f>
        <v>0.21695821861813103</v>
      </c>
      <c r="AH175" s="43">
        <f t="shared" si="392"/>
        <v>318.1408045678462</v>
      </c>
      <c r="AI175" s="43">
        <f t="shared" si="392"/>
        <v>76.601342220353175</v>
      </c>
      <c r="AJ175" s="43">
        <f t="shared" si="392"/>
        <v>56.916417758716463</v>
      </c>
      <c r="AK175" s="43">
        <f t="shared" si="392"/>
        <v>31.488786940372655</v>
      </c>
      <c r="AL175" s="43">
        <f t="shared" si="392"/>
        <v>162.30334890165145</v>
      </c>
      <c r="AM175" s="43">
        <f>SUM(AH175:AL175)</f>
        <v>645.45070038893994</v>
      </c>
      <c r="AN175" s="43">
        <f t="shared" si="393"/>
        <v>3817.6896548141544</v>
      </c>
      <c r="AO175" s="43">
        <f t="shared" si="393"/>
        <v>919.21610664423815</v>
      </c>
      <c r="AP175" s="43">
        <f t="shared" si="393"/>
        <v>682.9970131045975</v>
      </c>
      <c r="AQ175" s="43">
        <f t="shared" si="393"/>
        <v>377.86544328447189</v>
      </c>
      <c r="AR175" s="43">
        <f t="shared" si="393"/>
        <v>1947.6401868198172</v>
      </c>
      <c r="AS175" s="43">
        <f t="shared" si="393"/>
        <v>7745.4084046672797</v>
      </c>
    </row>
    <row r="176" spans="1:45" x14ac:dyDescent="0.2">
      <c r="A176" s="57" t="str">
        <f>+A168</f>
        <v>58E &amp; 59E</v>
      </c>
      <c r="B176" s="18" t="s">
        <v>84</v>
      </c>
      <c r="C176" s="21" t="str">
        <f>'WP1 Light Inventory'!D177</f>
        <v>Sodium Vapor</v>
      </c>
      <c r="D176" s="21" t="str">
        <f>'WP1 Light Inventory'!E177</f>
        <v>HSV 400</v>
      </c>
      <c r="E176" s="21">
        <f>'WP1 Light Inventory'!F177</f>
        <v>400</v>
      </c>
      <c r="F176" s="21" t="str">
        <f>'WP1 Light Inventory'!H177</f>
        <v>Company</v>
      </c>
      <c r="G176" s="397">
        <f>'WP1 Light Inventory'!J177</f>
        <v>48</v>
      </c>
      <c r="H176" s="74">
        <f>'WP9 Sodium Vapor Cost Est.'!$D$28</f>
        <v>1029.9100000000001</v>
      </c>
      <c r="I176" s="14" t="s">
        <v>133</v>
      </c>
      <c r="J176" s="19">
        <f>IF(C176="Light Emitting Diode",'WP10 O&amp;M Weighting Factor'!$B$26,IF('WP12 Condensed Sch. Level Costs'!C176="Sodium Vapor",'WP10 O&amp;M Weighting Factor'!$B$27,IF('WP12 Condensed Sch. Level Costs'!C176="Metal Halide",'WP10 O&amp;M Weighting Factor'!$B$28,IF('WP12 Condensed Sch. Level Costs'!C176="Mercury Vapor",'WP10 O&amp;M Weighting Factor'!$B$30,IF('WP12 Condensed Sch. Level Costs'!C176="Compact Flourescent",'WP10 O&amp;M Weighting Factor'!$B$29, IF(C176="Incandescent", 'WP10 O&amp;M Weighting Factor'!$B$31, 0))))))</f>
        <v>1</v>
      </c>
      <c r="K176" s="282">
        <f>IF(I176="Yes",G176*J176,0)</f>
        <v>48</v>
      </c>
      <c r="L176" s="74">
        <f>IF(F176="Company", G176*H176,0)</f>
        <v>49435.680000000008</v>
      </c>
      <c r="M176" s="283">
        <f>E176*G176/1000</f>
        <v>19.2</v>
      </c>
      <c r="N176" s="398">
        <f>'WP1 Light Inventory'!L177</f>
        <v>80640</v>
      </c>
      <c r="O176" s="284">
        <f>E176*4200/1000/12</f>
        <v>140</v>
      </c>
      <c r="P176" s="261">
        <f>'BDJ-6 Unitized Lighting Costs'!D$20</f>
        <v>1.0137794003499056E-2</v>
      </c>
      <c r="Q176" s="261">
        <f>'BDJ-6 Unitized Lighting Costs'!$D$43</f>
        <v>2.2529806535397991</v>
      </c>
      <c r="R176" s="261">
        <f>'BDJ-6 Unitized Lighting Costs'!D$69</f>
        <v>1.9131568994526543E-2</v>
      </c>
      <c r="S176" s="261">
        <f>'BDJ-6 Unitized Lighting Costs'!$D$110</f>
        <v>3.7045631694556067</v>
      </c>
      <c r="T176" s="261">
        <f>'BDJ-6 Unitized Lighting Costs'!$D$117</f>
        <v>5.4555747529966878E-2</v>
      </c>
      <c r="U176" s="43">
        <f>IF(F176="Company", H176*P176, 0)</f>
        <v>10.441015422143714</v>
      </c>
      <c r="V176" s="43">
        <f>IF(I176="yes", J176*Q176, 0)</f>
        <v>2.2529806535397991</v>
      </c>
      <c r="W176" s="43">
        <f>R176*O176</f>
        <v>2.6784196592337159</v>
      </c>
      <c r="X176" s="43">
        <f>E176*S176/1000</f>
        <v>1.4818252677822428</v>
      </c>
      <c r="Y176" s="43">
        <f>O176*T176</f>
        <v>7.6378046541953628</v>
      </c>
      <c r="Z176" s="43">
        <f>SUM(U176:Y176)</f>
        <v>24.492045656894835</v>
      </c>
      <c r="AA176" s="220"/>
      <c r="AB176" s="240">
        <f>IFERROR(U176/O176,0)</f>
        <v>7.4578681586740816E-2</v>
      </c>
      <c r="AC176" s="240">
        <f>IFERROR(V176/O176,0)</f>
        <v>1.6092718953855709E-2</v>
      </c>
      <c r="AD176" s="240">
        <f>IFERROR(W176/O176,0)</f>
        <v>1.9131568994526543E-2</v>
      </c>
      <c r="AE176" s="240">
        <f>IFERROR(X176/O176,0)</f>
        <v>1.0584466198444591E-2</v>
      </c>
      <c r="AF176" s="240">
        <f>IFERROR(Y176/O176,0)</f>
        <v>5.4555747529966878E-2</v>
      </c>
      <c r="AG176" s="240">
        <f>SUM(AB176:AF176)</f>
        <v>0.17494318326353453</v>
      </c>
      <c r="AH176" s="43">
        <f t="shared" si="392"/>
        <v>501.16874026289827</v>
      </c>
      <c r="AI176" s="43">
        <f t="shared" si="392"/>
        <v>108.14307136991036</v>
      </c>
      <c r="AJ176" s="43">
        <f t="shared" si="392"/>
        <v>128.56414364321836</v>
      </c>
      <c r="AK176" s="43">
        <f t="shared" si="392"/>
        <v>71.127612853547646</v>
      </c>
      <c r="AL176" s="43">
        <f t="shared" si="392"/>
        <v>366.6146234013774</v>
      </c>
      <c r="AM176" s="43">
        <f>SUM(AH176:AL176)</f>
        <v>1175.6181915309521</v>
      </c>
      <c r="AN176" s="43">
        <f t="shared" si="393"/>
        <v>6014.0248831547797</v>
      </c>
      <c r="AO176" s="43">
        <f t="shared" si="393"/>
        <v>1297.7168564389244</v>
      </c>
      <c r="AP176" s="43">
        <f t="shared" si="393"/>
        <v>1542.7697237186203</v>
      </c>
      <c r="AQ176" s="43">
        <f t="shared" si="393"/>
        <v>853.53135424257175</v>
      </c>
      <c r="AR176" s="43">
        <f t="shared" si="393"/>
        <v>4399.3754808165286</v>
      </c>
      <c r="AS176" s="43">
        <f t="shared" si="393"/>
        <v>14107.418298371425</v>
      </c>
    </row>
    <row r="177" spans="1:45" x14ac:dyDescent="0.2">
      <c r="A177" s="57"/>
      <c r="B177" s="18"/>
      <c r="C177" s="21"/>
      <c r="D177" s="21"/>
      <c r="E177" s="21"/>
      <c r="F177" s="21"/>
      <c r="G177" s="397"/>
      <c r="K177" s="282"/>
      <c r="L177" s="74"/>
      <c r="AA177" s="220"/>
      <c r="AB177" s="240"/>
      <c r="AC177" s="240"/>
      <c r="AD177" s="240"/>
      <c r="AE177" s="240"/>
      <c r="AF177" s="240"/>
      <c r="AG177" s="240"/>
    </row>
    <row r="178" spans="1:45" x14ac:dyDescent="0.2">
      <c r="A178" s="57" t="str">
        <f>+A169</f>
        <v>58E &amp; 59E</v>
      </c>
      <c r="B178" s="18" t="s">
        <v>83</v>
      </c>
      <c r="C178" s="21" t="str">
        <f>'WP1 Light Inventory'!D179</f>
        <v>Metal Halide</v>
      </c>
      <c r="D178" s="21" t="str">
        <f>'WP1 Light Inventory'!E179</f>
        <v>DMH 175</v>
      </c>
      <c r="E178" s="21">
        <f>'WP1 Light Inventory'!F179</f>
        <v>175</v>
      </c>
      <c r="F178" s="21" t="str">
        <f>'WP1 Light Inventory'!H179</f>
        <v>Company</v>
      </c>
      <c r="G178" s="397">
        <f>'WP1 Light Inventory'!J179</f>
        <v>3</v>
      </c>
      <c r="H178" s="74">
        <f>'WP8 Metal Halide Cost Est.'!$D$19</f>
        <v>852.23392857142869</v>
      </c>
      <c r="I178" s="14" t="s">
        <v>133</v>
      </c>
      <c r="J178" s="19">
        <f>IF(C178="Light Emitting Diode",'WP10 O&amp;M Weighting Factor'!$B$26,IF('WP12 Condensed Sch. Level Costs'!C178="Sodium Vapor",'WP10 O&amp;M Weighting Factor'!$B$27,IF('WP12 Condensed Sch. Level Costs'!C178="Metal Halide",'WP10 O&amp;M Weighting Factor'!$B$28,IF('WP12 Condensed Sch. Level Costs'!C178="Mercury Vapor",'WP10 O&amp;M Weighting Factor'!$B$30,IF('WP12 Condensed Sch. Level Costs'!C178="Compact Flourescent",'WP10 O&amp;M Weighting Factor'!$B$29, IF(C178="Incandescent", 'WP10 O&amp;M Weighting Factor'!$B$31, 0))))))</f>
        <v>2</v>
      </c>
      <c r="K178" s="282">
        <f>IF(I178="Yes",G178*J178,0)</f>
        <v>6</v>
      </c>
      <c r="L178" s="74">
        <f>IF(F178="Company", G178*H178,0)</f>
        <v>2556.701785714286</v>
      </c>
      <c r="M178" s="283">
        <f>E178*G178/1000</f>
        <v>0.52500000000000002</v>
      </c>
      <c r="N178" s="398">
        <f>'WP1 Light Inventory'!L179</f>
        <v>2205</v>
      </c>
      <c r="O178" s="284">
        <f>E178*4200/1000/12</f>
        <v>61.25</v>
      </c>
      <c r="P178" s="261">
        <f>'BDJ-6 Unitized Lighting Costs'!D$20</f>
        <v>1.0137794003499056E-2</v>
      </c>
      <c r="Q178" s="261">
        <f>'BDJ-6 Unitized Lighting Costs'!$D$43</f>
        <v>2.2529806535397991</v>
      </c>
      <c r="R178" s="261">
        <f>'BDJ-6 Unitized Lighting Costs'!D$69</f>
        <v>1.9131568994526543E-2</v>
      </c>
      <c r="S178" s="261">
        <f>'BDJ-6 Unitized Lighting Costs'!$D$110</f>
        <v>3.7045631694556067</v>
      </c>
      <c r="T178" s="261">
        <f>'BDJ-6 Unitized Lighting Costs'!$D$117</f>
        <v>5.4555747529966878E-2</v>
      </c>
      <c r="U178" s="43">
        <f>IF(F178="Company", H178*P178, 0)</f>
        <v>8.6397720106498728</v>
      </c>
      <c r="V178" s="43">
        <f>IF(I178="yes", J178*Q178, 0)</f>
        <v>4.5059613070795983</v>
      </c>
      <c r="W178" s="43">
        <f>R178*O178</f>
        <v>1.1718086009147508</v>
      </c>
      <c r="X178" s="43">
        <f>E178*S178/1000</f>
        <v>0.64829855465473119</v>
      </c>
      <c r="Y178" s="43">
        <f>O178*T178</f>
        <v>3.3415395362104712</v>
      </c>
      <c r="Z178" s="43">
        <f>SUM(U178:Y178)</f>
        <v>18.307380009509426</v>
      </c>
      <c r="AA178" s="220"/>
      <c r="AB178" s="240">
        <f>IFERROR(U178/O178,0)</f>
        <v>0.14105750221469179</v>
      </c>
      <c r="AC178" s="240">
        <f>IFERROR(V178/O178,0)</f>
        <v>7.3566715217626089E-2</v>
      </c>
      <c r="AD178" s="240">
        <f>IFERROR(W178/O178,0)</f>
        <v>1.9131568994526543E-2</v>
      </c>
      <c r="AE178" s="240">
        <f>IFERROR(X178/O178,0)</f>
        <v>1.0584466198444591E-2</v>
      </c>
      <c r="AF178" s="240">
        <f>IFERROR(Y178/O178,0)</f>
        <v>5.4555747529966878E-2</v>
      </c>
      <c r="AG178" s="240">
        <f>SUM(AB178:AF178)</f>
        <v>0.29889600015525586</v>
      </c>
      <c r="AH178" s="43">
        <f t="shared" ref="AH178:AL181" si="394">(U178*$G178)</f>
        <v>25.91931603194962</v>
      </c>
      <c r="AI178" s="43">
        <f t="shared" si="394"/>
        <v>13.517883921238795</v>
      </c>
      <c r="AJ178" s="43">
        <f t="shared" si="394"/>
        <v>3.5154258027442524</v>
      </c>
      <c r="AK178" s="43">
        <f t="shared" si="394"/>
        <v>1.9448956639641937</v>
      </c>
      <c r="AL178" s="43">
        <f t="shared" si="394"/>
        <v>10.024618608631414</v>
      </c>
      <c r="AM178" s="43">
        <f>SUM(AH178:AL178)</f>
        <v>54.922140028528275</v>
      </c>
      <c r="AN178" s="43">
        <f t="shared" ref="AN178:AS181" si="395">AH178*12</f>
        <v>311.03179238339544</v>
      </c>
      <c r="AO178" s="43">
        <f t="shared" si="395"/>
        <v>162.21460705486555</v>
      </c>
      <c r="AP178" s="43">
        <f t="shared" si="395"/>
        <v>42.185109632931031</v>
      </c>
      <c r="AQ178" s="43">
        <f t="shared" si="395"/>
        <v>23.338747967570324</v>
      </c>
      <c r="AR178" s="43">
        <f t="shared" si="395"/>
        <v>120.29542330357697</v>
      </c>
      <c r="AS178" s="43">
        <f t="shared" si="395"/>
        <v>659.06568034233931</v>
      </c>
    </row>
    <row r="179" spans="1:45" x14ac:dyDescent="0.2">
      <c r="A179" s="57" t="str">
        <f>+A170</f>
        <v>58E &amp; 59E</v>
      </c>
      <c r="B179" s="18" t="s">
        <v>83</v>
      </c>
      <c r="C179" s="21" t="str">
        <f>'WP1 Light Inventory'!D180</f>
        <v>Metal Halide</v>
      </c>
      <c r="D179" s="21" t="str">
        <f>'WP1 Light Inventory'!E180</f>
        <v>DMH 250</v>
      </c>
      <c r="E179" s="21">
        <f>'WP1 Light Inventory'!F180</f>
        <v>250</v>
      </c>
      <c r="F179" s="21" t="str">
        <f>'WP1 Light Inventory'!H180</f>
        <v>Company</v>
      </c>
      <c r="G179" s="397">
        <f>'WP1 Light Inventory'!J180</f>
        <v>17</v>
      </c>
      <c r="H179" s="74">
        <f>'WP8 Metal Halide Cost Est.'!$D$20</f>
        <v>915.43</v>
      </c>
      <c r="I179" s="14" t="s">
        <v>133</v>
      </c>
      <c r="J179" s="19">
        <f>IF(C179="Light Emitting Diode",'WP10 O&amp;M Weighting Factor'!$B$26,IF('WP12 Condensed Sch. Level Costs'!C179="Sodium Vapor",'WP10 O&amp;M Weighting Factor'!$B$27,IF('WP12 Condensed Sch. Level Costs'!C179="Metal Halide",'WP10 O&amp;M Weighting Factor'!$B$28,IF('WP12 Condensed Sch. Level Costs'!C179="Mercury Vapor",'WP10 O&amp;M Weighting Factor'!$B$30,IF('WP12 Condensed Sch. Level Costs'!C179="Compact Flourescent",'WP10 O&amp;M Weighting Factor'!$B$29, IF(C179="Incandescent", 'WP10 O&amp;M Weighting Factor'!$B$31, 0))))))</f>
        <v>2</v>
      </c>
      <c r="K179" s="282">
        <f>IF(I179="Yes",G179*J179,0)</f>
        <v>34</v>
      </c>
      <c r="L179" s="74">
        <f>IF(F179="Company", G179*H179,0)</f>
        <v>15562.31</v>
      </c>
      <c r="M179" s="283">
        <f>E179*G179/1000</f>
        <v>4.25</v>
      </c>
      <c r="N179" s="398">
        <f>'WP1 Light Inventory'!L180</f>
        <v>17850</v>
      </c>
      <c r="O179" s="284">
        <f>E179*4200/1000/12</f>
        <v>87.5</v>
      </c>
      <c r="P179" s="261">
        <f>'BDJ-6 Unitized Lighting Costs'!D$20</f>
        <v>1.0137794003499056E-2</v>
      </c>
      <c r="Q179" s="261">
        <f>'BDJ-6 Unitized Lighting Costs'!$D$43</f>
        <v>2.2529806535397991</v>
      </c>
      <c r="R179" s="261">
        <f>'BDJ-6 Unitized Lighting Costs'!D$69</f>
        <v>1.9131568994526543E-2</v>
      </c>
      <c r="S179" s="261">
        <f>'BDJ-6 Unitized Lighting Costs'!$D$110</f>
        <v>3.7045631694556067</v>
      </c>
      <c r="T179" s="261">
        <f>'BDJ-6 Unitized Lighting Costs'!$D$117</f>
        <v>5.4555747529966878E-2</v>
      </c>
      <c r="U179" s="43">
        <f>IF(F179="Company", H179*P179, 0)</f>
        <v>9.2804407646231404</v>
      </c>
      <c r="V179" s="43">
        <f>IF(I179="yes", J179*Q179, 0)</f>
        <v>4.5059613070795983</v>
      </c>
      <c r="W179" s="43">
        <f>R179*O179</f>
        <v>1.6740122870210725</v>
      </c>
      <c r="X179" s="43">
        <f>E179*S179/1000</f>
        <v>0.92614079236390168</v>
      </c>
      <c r="Y179" s="43">
        <f>O179*T179</f>
        <v>4.7736279088721014</v>
      </c>
      <c r="Z179" s="43">
        <f>SUM(U179:Y179)</f>
        <v>21.160183059959813</v>
      </c>
      <c r="AA179" s="220"/>
      <c r="AB179" s="240">
        <f>IFERROR(U179/O179,0)</f>
        <v>0.1060621801671216</v>
      </c>
      <c r="AC179" s="240">
        <f>IFERROR(V179/O179,0)</f>
        <v>5.1496700652338266E-2</v>
      </c>
      <c r="AD179" s="240">
        <f>IFERROR(W179/O179,0)</f>
        <v>1.9131568994526543E-2</v>
      </c>
      <c r="AE179" s="240">
        <f>IFERROR(X179/O179,0)</f>
        <v>1.0584466198444591E-2</v>
      </c>
      <c r="AF179" s="240">
        <f>IFERROR(Y179/O179,0)</f>
        <v>5.4555747529966871E-2</v>
      </c>
      <c r="AG179" s="240">
        <f>SUM(AB179:AF179)</f>
        <v>0.24183066354239785</v>
      </c>
      <c r="AH179" s="43">
        <f t="shared" si="394"/>
        <v>157.76749299859338</v>
      </c>
      <c r="AI179" s="43">
        <f t="shared" si="394"/>
        <v>76.601342220353175</v>
      </c>
      <c r="AJ179" s="43">
        <f t="shared" si="394"/>
        <v>28.458208879358232</v>
      </c>
      <c r="AK179" s="43">
        <f t="shared" si="394"/>
        <v>15.744393470186328</v>
      </c>
      <c r="AL179" s="43">
        <f t="shared" si="394"/>
        <v>81.151674450825723</v>
      </c>
      <c r="AM179" s="43">
        <f>SUM(AH179:AL179)</f>
        <v>359.72311201931683</v>
      </c>
      <c r="AN179" s="43">
        <f t="shared" si="395"/>
        <v>1893.2099159831205</v>
      </c>
      <c r="AO179" s="43">
        <f t="shared" si="395"/>
        <v>919.21610664423815</v>
      </c>
      <c r="AP179" s="43">
        <f t="shared" si="395"/>
        <v>341.49850655229875</v>
      </c>
      <c r="AQ179" s="43">
        <f t="shared" si="395"/>
        <v>188.93272164223595</v>
      </c>
      <c r="AR179" s="43">
        <f t="shared" si="395"/>
        <v>973.82009340990862</v>
      </c>
      <c r="AS179" s="43">
        <f t="shared" si="395"/>
        <v>4316.6773442318017</v>
      </c>
    </row>
    <row r="180" spans="1:45" x14ac:dyDescent="0.2">
      <c r="A180" s="57" t="str">
        <f>+A170</f>
        <v>58E &amp; 59E</v>
      </c>
      <c r="B180" s="18" t="s">
        <v>83</v>
      </c>
      <c r="C180" s="21" t="str">
        <f>'WP1 Light Inventory'!D181</f>
        <v>Metal Halide</v>
      </c>
      <c r="D180" s="21" t="str">
        <f>'WP1 Light Inventory'!E181</f>
        <v>DMH 400</v>
      </c>
      <c r="E180" s="21">
        <f>'WP1 Light Inventory'!F181</f>
        <v>400</v>
      </c>
      <c r="F180" s="21" t="str">
        <f>'WP1 Light Inventory'!H181</f>
        <v>Company</v>
      </c>
      <c r="G180" s="397">
        <f>'WP1 Light Inventory'!J181</f>
        <v>88</v>
      </c>
      <c r="H180" s="74">
        <f>'WP8 Metal Halide Cost Est.'!$D$21</f>
        <v>919.24</v>
      </c>
      <c r="I180" s="14" t="s">
        <v>133</v>
      </c>
      <c r="J180" s="19">
        <f>IF(C180="Light Emitting Diode",'WP10 O&amp;M Weighting Factor'!$B$26,IF('WP12 Condensed Sch. Level Costs'!C180="Sodium Vapor",'WP10 O&amp;M Weighting Factor'!$B$27,IF('WP12 Condensed Sch. Level Costs'!C180="Metal Halide",'WP10 O&amp;M Weighting Factor'!$B$28,IF('WP12 Condensed Sch. Level Costs'!C180="Mercury Vapor",'WP10 O&amp;M Weighting Factor'!$B$30,IF('WP12 Condensed Sch. Level Costs'!C180="Compact Flourescent",'WP10 O&amp;M Weighting Factor'!$B$29, IF(C180="Incandescent", 'WP10 O&amp;M Weighting Factor'!$B$31, 0))))))</f>
        <v>2</v>
      </c>
      <c r="K180" s="282">
        <f>IF(I180="Yes",G180*J180,0)</f>
        <v>176</v>
      </c>
      <c r="L180" s="74">
        <f>IF(F180="Company", G180*H180,0)</f>
        <v>80893.119999999995</v>
      </c>
      <c r="M180" s="283">
        <f>E180*G180/1000</f>
        <v>35.200000000000003</v>
      </c>
      <c r="N180" s="398">
        <f>'WP1 Light Inventory'!L181</f>
        <v>147840</v>
      </c>
      <c r="O180" s="284">
        <f>E180*4200/1000/12</f>
        <v>140</v>
      </c>
      <c r="P180" s="261">
        <f>'BDJ-6 Unitized Lighting Costs'!D$20</f>
        <v>1.0137794003499056E-2</v>
      </c>
      <c r="Q180" s="261">
        <f>'BDJ-6 Unitized Lighting Costs'!$D$43</f>
        <v>2.2529806535397991</v>
      </c>
      <c r="R180" s="261">
        <f>'BDJ-6 Unitized Lighting Costs'!D$69</f>
        <v>1.9131568994526543E-2</v>
      </c>
      <c r="S180" s="261">
        <f>'BDJ-6 Unitized Lighting Costs'!$D$110</f>
        <v>3.7045631694556067</v>
      </c>
      <c r="T180" s="261">
        <f>'BDJ-6 Unitized Lighting Costs'!$D$117</f>
        <v>5.4555747529966878E-2</v>
      </c>
      <c r="U180" s="43">
        <f>IF(F180="Company", H180*P180, 0)</f>
        <v>9.3190657597764712</v>
      </c>
      <c r="V180" s="43">
        <f>IF(I180="yes", J180*Q180, 0)</f>
        <v>4.5059613070795983</v>
      </c>
      <c r="W180" s="43">
        <f>R180*O180</f>
        <v>2.6784196592337159</v>
      </c>
      <c r="X180" s="43">
        <f>E180*S180/1000</f>
        <v>1.4818252677822428</v>
      </c>
      <c r="Y180" s="43">
        <f>O180*T180</f>
        <v>7.6378046541953628</v>
      </c>
      <c r="Z180" s="43">
        <f>SUM(U180:Y180)</f>
        <v>25.623076648067389</v>
      </c>
      <c r="AA180" s="220"/>
      <c r="AB180" s="240">
        <f>IFERROR(U180/O180,0)</f>
        <v>6.6564755426974792E-2</v>
      </c>
      <c r="AC180" s="240">
        <f>IFERROR(V180/O180,0)</f>
        <v>3.2185437907711417E-2</v>
      </c>
      <c r="AD180" s="240">
        <f>IFERROR(W180/O180,0)</f>
        <v>1.9131568994526543E-2</v>
      </c>
      <c r="AE180" s="240">
        <f>IFERROR(X180/O180,0)</f>
        <v>1.0584466198444591E-2</v>
      </c>
      <c r="AF180" s="240">
        <f>IFERROR(Y180/O180,0)</f>
        <v>5.4555747529966878E-2</v>
      </c>
      <c r="AG180" s="240">
        <f>SUM(AB180:AF180)</f>
        <v>0.18302197605762421</v>
      </c>
      <c r="AH180" s="43">
        <f t="shared" si="394"/>
        <v>820.07778686032952</v>
      </c>
      <c r="AI180" s="43">
        <f t="shared" si="394"/>
        <v>396.52459502300462</v>
      </c>
      <c r="AJ180" s="43">
        <f t="shared" si="394"/>
        <v>235.700930012567</v>
      </c>
      <c r="AK180" s="43">
        <f t="shared" si="394"/>
        <v>130.40062356483736</v>
      </c>
      <c r="AL180" s="43">
        <f t="shared" si="394"/>
        <v>672.12680956919189</v>
      </c>
      <c r="AM180" s="43">
        <f>SUM(AH180:AL180)</f>
        <v>2254.8307450299303</v>
      </c>
      <c r="AN180" s="43">
        <f t="shared" si="395"/>
        <v>9840.9334423239543</v>
      </c>
      <c r="AO180" s="43">
        <f t="shared" si="395"/>
        <v>4758.2951402760555</v>
      </c>
      <c r="AP180" s="43">
        <f t="shared" si="395"/>
        <v>2828.4111601508039</v>
      </c>
      <c r="AQ180" s="43">
        <f t="shared" si="395"/>
        <v>1564.8074827780483</v>
      </c>
      <c r="AR180" s="43">
        <f t="shared" si="395"/>
        <v>8065.5217148303027</v>
      </c>
      <c r="AS180" s="43">
        <f t="shared" si="395"/>
        <v>27057.968940359162</v>
      </c>
    </row>
    <row r="181" spans="1:45" x14ac:dyDescent="0.2">
      <c r="A181" s="57" t="str">
        <f>+A184</f>
        <v>58E &amp; 59E</v>
      </c>
      <c r="B181" s="18" t="s">
        <v>83</v>
      </c>
      <c r="C181" s="21" t="str">
        <f>'WP1 Light Inventory'!D182</f>
        <v>Metal Halide</v>
      </c>
      <c r="D181" s="21" t="str">
        <f>'WP1 Light Inventory'!E182</f>
        <v>DMH 1000</v>
      </c>
      <c r="E181" s="21">
        <f>'WP1 Light Inventory'!F182</f>
        <v>1000</v>
      </c>
      <c r="F181" s="21" t="str">
        <f>'WP1 Light Inventory'!H182</f>
        <v>Company</v>
      </c>
      <c r="G181" s="397">
        <f>'WP1 Light Inventory'!J182</f>
        <v>128</v>
      </c>
      <c r="H181" s="74">
        <f>'WP8 Metal Halide Cost Est.'!$D$22</f>
        <v>1237.33</v>
      </c>
      <c r="I181" s="14" t="s">
        <v>133</v>
      </c>
      <c r="J181" s="19">
        <f>IF(C181="Light Emitting Diode",'WP10 O&amp;M Weighting Factor'!$B$26,IF('WP12 Condensed Sch. Level Costs'!C181="Sodium Vapor",'WP10 O&amp;M Weighting Factor'!$B$27,IF('WP12 Condensed Sch. Level Costs'!C181="Metal Halide",'WP10 O&amp;M Weighting Factor'!$B$28,IF('WP12 Condensed Sch. Level Costs'!C181="Mercury Vapor",'WP10 O&amp;M Weighting Factor'!$B$30,IF('WP12 Condensed Sch. Level Costs'!C181="Compact Flourescent",'WP10 O&amp;M Weighting Factor'!$B$29, IF(C181="Incandescent", 'WP10 O&amp;M Weighting Factor'!$B$31, 0))))))</f>
        <v>2</v>
      </c>
      <c r="K181" s="282">
        <f>IF(I181="Yes",G181*J181,0)</f>
        <v>256</v>
      </c>
      <c r="L181" s="74">
        <f>IF(F181="Company", G181*H181,0)</f>
        <v>158378.23999999999</v>
      </c>
      <c r="M181" s="283">
        <f>E181*G181/1000</f>
        <v>128</v>
      </c>
      <c r="N181" s="398">
        <f>'WP1 Light Inventory'!L182</f>
        <v>537600</v>
      </c>
      <c r="O181" s="284">
        <f>E181*4200/1000/12</f>
        <v>350</v>
      </c>
      <c r="P181" s="261">
        <f>'BDJ-6 Unitized Lighting Costs'!D$20</f>
        <v>1.0137794003499056E-2</v>
      </c>
      <c r="Q181" s="261">
        <f>'BDJ-6 Unitized Lighting Costs'!$D$43</f>
        <v>2.2529806535397991</v>
      </c>
      <c r="R181" s="261">
        <f>'BDJ-6 Unitized Lighting Costs'!D$69</f>
        <v>1.9131568994526543E-2</v>
      </c>
      <c r="S181" s="261">
        <f>'BDJ-6 Unitized Lighting Costs'!$D$110</f>
        <v>3.7045631694556067</v>
      </c>
      <c r="T181" s="261">
        <f>'BDJ-6 Unitized Lighting Costs'!$D$117</f>
        <v>5.4555747529966878E-2</v>
      </c>
      <c r="U181" s="43">
        <f>IF(F181="Company", H181*P181, 0)</f>
        <v>12.543796654349485</v>
      </c>
      <c r="V181" s="43">
        <f>IF(I181="yes", J181*Q181, 0)</f>
        <v>4.5059613070795983</v>
      </c>
      <c r="W181" s="43">
        <f>R181*O181</f>
        <v>6.6960491480842901</v>
      </c>
      <c r="X181" s="43">
        <f>E181*S181/1000</f>
        <v>3.7045631694556067</v>
      </c>
      <c r="Y181" s="43">
        <f>O181*T181</f>
        <v>19.094511635488406</v>
      </c>
      <c r="Z181" s="43">
        <f>SUM(U181:Y181)</f>
        <v>46.544881914457385</v>
      </c>
      <c r="AA181" s="220"/>
      <c r="AB181" s="240">
        <f>IFERROR(U181/O181,0)</f>
        <v>3.5839419012427098E-2</v>
      </c>
      <c r="AC181" s="240">
        <f>IFERROR(V181/O181,0)</f>
        <v>1.2874175163084567E-2</v>
      </c>
      <c r="AD181" s="240">
        <f>IFERROR(W181/O181,0)</f>
        <v>1.9131568994526543E-2</v>
      </c>
      <c r="AE181" s="240">
        <f>IFERROR(X181/O181,0)</f>
        <v>1.0584466198444591E-2</v>
      </c>
      <c r="AF181" s="240">
        <f>IFERROR(Y181/O181,0)</f>
        <v>5.4555747529966871E-2</v>
      </c>
      <c r="AG181" s="240">
        <f>SUM(AB181:AF181)</f>
        <v>0.13298537689844966</v>
      </c>
      <c r="AH181" s="43">
        <f t="shared" si="394"/>
        <v>1605.6059717567341</v>
      </c>
      <c r="AI181" s="43">
        <f t="shared" si="394"/>
        <v>576.76304730618858</v>
      </c>
      <c r="AJ181" s="43">
        <f t="shared" si="394"/>
        <v>857.09429095478913</v>
      </c>
      <c r="AK181" s="43">
        <f t="shared" si="394"/>
        <v>474.18408569031766</v>
      </c>
      <c r="AL181" s="43">
        <f t="shared" si="394"/>
        <v>2444.0974893425159</v>
      </c>
      <c r="AM181" s="43">
        <f>SUM(AH181:AL181)</f>
        <v>5957.7448850505452</v>
      </c>
      <c r="AN181" s="43">
        <f t="shared" si="395"/>
        <v>19267.271661080809</v>
      </c>
      <c r="AO181" s="43">
        <f t="shared" si="395"/>
        <v>6921.156567674263</v>
      </c>
      <c r="AP181" s="43">
        <f t="shared" si="395"/>
        <v>10285.131491457469</v>
      </c>
      <c r="AQ181" s="43">
        <f t="shared" si="395"/>
        <v>5690.2090282838117</v>
      </c>
      <c r="AR181" s="43">
        <f t="shared" si="395"/>
        <v>29329.169872110193</v>
      </c>
      <c r="AS181" s="43">
        <f t="shared" si="395"/>
        <v>71492.938620606539</v>
      </c>
    </row>
    <row r="182" spans="1:45" x14ac:dyDescent="0.2">
      <c r="A182" s="57"/>
      <c r="B182" s="18"/>
      <c r="C182" s="21"/>
      <c r="D182" s="21"/>
      <c r="E182" s="21"/>
      <c r="F182" s="21"/>
      <c r="G182" s="397"/>
      <c r="K182" s="282"/>
      <c r="L182" s="74"/>
      <c r="AA182" s="220"/>
      <c r="AB182" s="240"/>
      <c r="AC182" s="240"/>
      <c r="AD182" s="240"/>
      <c r="AE182" s="240"/>
      <c r="AF182" s="240"/>
      <c r="AG182" s="240"/>
    </row>
    <row r="183" spans="1:45" x14ac:dyDescent="0.2">
      <c r="A183" s="57" t="str">
        <f>+A179</f>
        <v>58E &amp; 59E</v>
      </c>
      <c r="B183" s="18" t="s">
        <v>84</v>
      </c>
      <c r="C183" s="21" t="str">
        <f>'WP1 Light Inventory'!D184</f>
        <v>Metal Halide</v>
      </c>
      <c r="D183" s="21" t="str">
        <f>'WP1 Light Inventory'!E184</f>
        <v>HMH 250</v>
      </c>
      <c r="E183" s="21">
        <f>'WP1 Light Inventory'!F184</f>
        <v>250</v>
      </c>
      <c r="F183" s="21" t="str">
        <f>'WP1 Light Inventory'!H184</f>
        <v>Company</v>
      </c>
      <c r="G183" s="397">
        <f>'WP1 Light Inventory'!J184</f>
        <v>10</v>
      </c>
      <c r="H183" s="74">
        <f>'WP8 Metal Halide Cost Est.'!$D$20</f>
        <v>915.43</v>
      </c>
      <c r="I183" s="14" t="s">
        <v>133</v>
      </c>
      <c r="J183" s="19">
        <f>IF(C183="Light Emitting Diode",'WP10 O&amp;M Weighting Factor'!$B$26,IF('WP12 Condensed Sch. Level Costs'!C183="Sodium Vapor",'WP10 O&amp;M Weighting Factor'!$B$27,IF('WP12 Condensed Sch. Level Costs'!C183="Metal Halide",'WP10 O&amp;M Weighting Factor'!$B$28,IF('WP12 Condensed Sch. Level Costs'!C183="Mercury Vapor",'WP10 O&amp;M Weighting Factor'!$B$30,IF('WP12 Condensed Sch. Level Costs'!C183="Compact Flourescent",'WP10 O&amp;M Weighting Factor'!$B$29, IF(C183="Incandescent", 'WP10 O&amp;M Weighting Factor'!$B$31, 0))))))</f>
        <v>2</v>
      </c>
      <c r="K183" s="282">
        <f>IF(I183="Yes",G183*J183,0)</f>
        <v>20</v>
      </c>
      <c r="L183" s="74">
        <f>IF(F183="Company", G183*H183,0)</f>
        <v>9154.2999999999993</v>
      </c>
      <c r="M183" s="283">
        <f>E183*G183/1000</f>
        <v>2.5</v>
      </c>
      <c r="N183" s="398">
        <f>'WP1 Light Inventory'!L184</f>
        <v>10500</v>
      </c>
      <c r="O183" s="284">
        <f>E183*4200/1000/12</f>
        <v>87.5</v>
      </c>
      <c r="P183" s="261">
        <f>'BDJ-6 Unitized Lighting Costs'!D$20</f>
        <v>1.0137794003499056E-2</v>
      </c>
      <c r="Q183" s="261">
        <f>'BDJ-6 Unitized Lighting Costs'!$D$43</f>
        <v>2.2529806535397991</v>
      </c>
      <c r="R183" s="261">
        <f>'BDJ-6 Unitized Lighting Costs'!D$69</f>
        <v>1.9131568994526543E-2</v>
      </c>
      <c r="S183" s="261">
        <f>'BDJ-6 Unitized Lighting Costs'!$D$110</f>
        <v>3.7045631694556067</v>
      </c>
      <c r="T183" s="261">
        <f>'BDJ-6 Unitized Lighting Costs'!$D$117</f>
        <v>5.4555747529966878E-2</v>
      </c>
      <c r="U183" s="43">
        <f>IF(F183="Company", H183*P183, 0)</f>
        <v>9.2804407646231404</v>
      </c>
      <c r="V183" s="43">
        <f>IF(I183="yes", J183*Q183, 0)</f>
        <v>4.5059613070795983</v>
      </c>
      <c r="W183" s="43">
        <f>R183*O183</f>
        <v>1.6740122870210725</v>
      </c>
      <c r="X183" s="43">
        <f>E183*S183/1000</f>
        <v>0.92614079236390168</v>
      </c>
      <c r="Y183" s="43">
        <f>O183*T183</f>
        <v>4.7736279088721014</v>
      </c>
      <c r="Z183" s="43">
        <f>SUM(U183:Y183)</f>
        <v>21.160183059959813</v>
      </c>
      <c r="AA183" s="220"/>
      <c r="AB183" s="240">
        <f>IFERROR(U183/O183,0)</f>
        <v>0.1060621801671216</v>
      </c>
      <c r="AC183" s="240">
        <f>IFERROR(V183/O183,0)</f>
        <v>5.1496700652338266E-2</v>
      </c>
      <c r="AD183" s="240">
        <f>IFERROR(W183/O183,0)</f>
        <v>1.9131568994526543E-2</v>
      </c>
      <c r="AE183" s="240">
        <f>IFERROR(X183/O183,0)</f>
        <v>1.0584466198444591E-2</v>
      </c>
      <c r="AF183" s="240">
        <f>IFERROR(Y183/O183,0)</f>
        <v>5.4555747529966871E-2</v>
      </c>
      <c r="AG183" s="240">
        <f>SUM(AB183:AF183)</f>
        <v>0.24183066354239785</v>
      </c>
      <c r="AH183" s="43">
        <f t="shared" ref="AH183:AL184" si="396">(U183*$G183)</f>
        <v>92.804407646231397</v>
      </c>
      <c r="AI183" s="43">
        <f t="shared" si="396"/>
        <v>45.059613070795983</v>
      </c>
      <c r="AJ183" s="43">
        <f t="shared" si="396"/>
        <v>16.740122870210726</v>
      </c>
      <c r="AK183" s="43">
        <f t="shared" si="396"/>
        <v>9.2614079236390161</v>
      </c>
      <c r="AL183" s="43">
        <f t="shared" si="396"/>
        <v>47.736279088721012</v>
      </c>
      <c r="AM183" s="43">
        <f>SUM(AH183:AL183)</f>
        <v>211.60183059959814</v>
      </c>
      <c r="AN183" s="43">
        <f t="shared" ref="AN183:AS184" si="397">AH183*12</f>
        <v>1113.6528917547766</v>
      </c>
      <c r="AO183" s="43">
        <f t="shared" si="397"/>
        <v>540.71535684955177</v>
      </c>
      <c r="AP183" s="43">
        <f t="shared" si="397"/>
        <v>200.88147444252871</v>
      </c>
      <c r="AQ183" s="43">
        <f t="shared" si="397"/>
        <v>111.13689508366819</v>
      </c>
      <c r="AR183" s="43">
        <f t="shared" si="397"/>
        <v>572.83534906465218</v>
      </c>
      <c r="AS183" s="43">
        <f t="shared" si="397"/>
        <v>2539.221967195178</v>
      </c>
    </row>
    <row r="184" spans="1:45" x14ac:dyDescent="0.2">
      <c r="A184" s="57" t="str">
        <f>+A180</f>
        <v>58E &amp; 59E</v>
      </c>
      <c r="B184" s="18" t="s">
        <v>84</v>
      </c>
      <c r="C184" s="21" t="str">
        <f>'WP1 Light Inventory'!D185</f>
        <v>Metal Halide</v>
      </c>
      <c r="D184" s="21" t="str">
        <f>'WP1 Light Inventory'!E185</f>
        <v>HMH 400</v>
      </c>
      <c r="E184" s="21">
        <f>'WP1 Light Inventory'!F185</f>
        <v>400</v>
      </c>
      <c r="F184" s="21" t="str">
        <f>'WP1 Light Inventory'!H185</f>
        <v>Company</v>
      </c>
      <c r="G184" s="397">
        <f>'WP1 Light Inventory'!J185</f>
        <v>40</v>
      </c>
      <c r="H184" s="74">
        <f>'WP8 Metal Halide Cost Est.'!$D$21</f>
        <v>919.24</v>
      </c>
      <c r="I184" s="14" t="s">
        <v>133</v>
      </c>
      <c r="J184" s="19">
        <f>IF(C184="Light Emitting Diode",'WP10 O&amp;M Weighting Factor'!$B$26,IF('WP12 Condensed Sch. Level Costs'!C184="Sodium Vapor",'WP10 O&amp;M Weighting Factor'!$B$27,IF('WP12 Condensed Sch. Level Costs'!C184="Metal Halide",'WP10 O&amp;M Weighting Factor'!$B$28,IF('WP12 Condensed Sch. Level Costs'!C184="Mercury Vapor",'WP10 O&amp;M Weighting Factor'!$B$30,IF('WP12 Condensed Sch. Level Costs'!C184="Compact Flourescent",'WP10 O&amp;M Weighting Factor'!$B$29, IF(C184="Incandescent", 'WP10 O&amp;M Weighting Factor'!$B$31, 0))))))</f>
        <v>2</v>
      </c>
      <c r="K184" s="282">
        <f>IF(I184="Yes",G184*J184,0)</f>
        <v>80</v>
      </c>
      <c r="L184" s="74">
        <f>IF(F184="Company", G184*H184,0)</f>
        <v>36769.599999999999</v>
      </c>
      <c r="M184" s="283">
        <f>E184*G184/1000</f>
        <v>16</v>
      </c>
      <c r="N184" s="398">
        <f>'WP1 Light Inventory'!L185</f>
        <v>67200</v>
      </c>
      <c r="O184" s="284">
        <f>E184*4200/1000/12</f>
        <v>140</v>
      </c>
      <c r="P184" s="261">
        <f>'BDJ-6 Unitized Lighting Costs'!D$20</f>
        <v>1.0137794003499056E-2</v>
      </c>
      <c r="Q184" s="261">
        <f>'BDJ-6 Unitized Lighting Costs'!$D$43</f>
        <v>2.2529806535397991</v>
      </c>
      <c r="R184" s="261">
        <f>'BDJ-6 Unitized Lighting Costs'!D$69</f>
        <v>1.9131568994526543E-2</v>
      </c>
      <c r="S184" s="261">
        <f>'BDJ-6 Unitized Lighting Costs'!$D$110</f>
        <v>3.7045631694556067</v>
      </c>
      <c r="T184" s="261">
        <f>'BDJ-6 Unitized Lighting Costs'!$D$117</f>
        <v>5.4555747529966878E-2</v>
      </c>
      <c r="U184" s="43">
        <f>IF(F184="Company", H184*P184, 0)</f>
        <v>9.3190657597764712</v>
      </c>
      <c r="V184" s="43">
        <f>IF(I184="yes", J184*Q184, 0)</f>
        <v>4.5059613070795983</v>
      </c>
      <c r="W184" s="43">
        <f>R184*O184</f>
        <v>2.6784196592337159</v>
      </c>
      <c r="X184" s="43">
        <f>E184*S184/1000</f>
        <v>1.4818252677822428</v>
      </c>
      <c r="Y184" s="43">
        <f>O184*T184</f>
        <v>7.6378046541953628</v>
      </c>
      <c r="Z184" s="43">
        <f>SUM(U184:Y184)</f>
        <v>25.623076648067389</v>
      </c>
      <c r="AA184" s="220"/>
      <c r="AB184" s="240">
        <f>IFERROR(U184/O184,0)</f>
        <v>6.6564755426974792E-2</v>
      </c>
      <c r="AC184" s="240">
        <f>IFERROR(V184/O184,0)</f>
        <v>3.2185437907711417E-2</v>
      </c>
      <c r="AD184" s="240">
        <f>IFERROR(W184/O184,0)</f>
        <v>1.9131568994526543E-2</v>
      </c>
      <c r="AE184" s="240">
        <f>IFERROR(X184/O184,0)</f>
        <v>1.0584466198444591E-2</v>
      </c>
      <c r="AF184" s="240">
        <f>IFERROR(Y184/O184,0)</f>
        <v>5.4555747529966878E-2</v>
      </c>
      <c r="AG184" s="240">
        <f>SUM(AB184:AF184)</f>
        <v>0.18302197605762421</v>
      </c>
      <c r="AH184" s="43">
        <f t="shared" si="396"/>
        <v>372.76263039105885</v>
      </c>
      <c r="AI184" s="43">
        <f t="shared" si="396"/>
        <v>180.23845228318393</v>
      </c>
      <c r="AJ184" s="43">
        <f t="shared" si="396"/>
        <v>107.13678636934864</v>
      </c>
      <c r="AK184" s="43">
        <f t="shared" si="396"/>
        <v>59.273010711289714</v>
      </c>
      <c r="AL184" s="43">
        <f t="shared" si="396"/>
        <v>305.51218616781449</v>
      </c>
      <c r="AM184" s="43">
        <f>SUM(AH184:AL184)</f>
        <v>1024.9230659226955</v>
      </c>
      <c r="AN184" s="43">
        <f t="shared" si="397"/>
        <v>4473.1515646927064</v>
      </c>
      <c r="AO184" s="43">
        <f t="shared" si="397"/>
        <v>2162.8614273982071</v>
      </c>
      <c r="AP184" s="43">
        <f t="shared" si="397"/>
        <v>1285.6414364321836</v>
      </c>
      <c r="AQ184" s="43">
        <f t="shared" si="397"/>
        <v>711.27612853547657</v>
      </c>
      <c r="AR184" s="43">
        <f t="shared" si="397"/>
        <v>3666.1462340137741</v>
      </c>
      <c r="AS184" s="43">
        <f t="shared" si="397"/>
        <v>12299.076791072346</v>
      </c>
    </row>
    <row r="185" spans="1:45" x14ac:dyDescent="0.2">
      <c r="A185" s="57"/>
      <c r="B185" s="18"/>
      <c r="C185" s="21"/>
      <c r="D185" s="21"/>
      <c r="E185" s="21"/>
      <c r="F185" s="21"/>
      <c r="G185" s="397"/>
      <c r="K185" s="282"/>
      <c r="L185" s="74"/>
      <c r="AA185" s="220"/>
      <c r="AB185" s="240"/>
      <c r="AC185" s="240"/>
      <c r="AD185" s="240"/>
      <c r="AE185" s="240"/>
      <c r="AF185" s="240"/>
      <c r="AG185" s="240"/>
    </row>
    <row r="186" spans="1:45" x14ac:dyDescent="0.2">
      <c r="A186" s="57" t="s">
        <v>82</v>
      </c>
      <c r="B186" s="22"/>
      <c r="C186" s="21" t="str">
        <f>'WP1 Light Inventory'!D187</f>
        <v>Light Emitting Diode</v>
      </c>
      <c r="D186" s="21" t="str">
        <f>'WP1 Light Inventory'!E187</f>
        <v>LED 0-030</v>
      </c>
      <c r="E186" s="21">
        <f>'WP1 Light Inventory'!F187</f>
        <v>15</v>
      </c>
      <c r="F186" s="21" t="str">
        <f>'WP1 Light Inventory'!H187</f>
        <v>Company</v>
      </c>
      <c r="G186" s="397">
        <f>'WP1 Light Inventory'!J187</f>
        <v>0</v>
      </c>
      <c r="H186" s="74">
        <f>'WP7 Condensed LED Cost Est.'!$C44</f>
        <v>764.05999999999972</v>
      </c>
      <c r="I186" s="14" t="s">
        <v>133</v>
      </c>
      <c r="J186" s="19">
        <f>IF(C186="Light Emitting Diode",'WP10 O&amp;M Weighting Factor'!$B$26,IF('WP12 Condensed Sch. Level Costs'!C186="Sodium Vapor",'WP10 O&amp;M Weighting Factor'!$B$27,IF('WP12 Condensed Sch. Level Costs'!C186="Metal Halide",'WP10 O&amp;M Weighting Factor'!$B$28,IF('WP12 Condensed Sch. Level Costs'!C186="Mercury Vapor",'WP10 O&amp;M Weighting Factor'!$B$30,IF('WP12 Condensed Sch. Level Costs'!C186="Compact Flourescent",'WP10 O&amp;M Weighting Factor'!$B$29, IF(C186="Incandescent", 'WP10 O&amp;M Weighting Factor'!$B$31, 0))))))</f>
        <v>0.2</v>
      </c>
      <c r="K186" s="282">
        <f t="shared" ref="K186:K201" si="398">IF(I186="Yes",G186*J186,0)</f>
        <v>0</v>
      </c>
      <c r="L186" s="74">
        <f t="shared" ref="L186:L201" si="399">IF(F186="Company", G186*H186,0)</f>
        <v>0</v>
      </c>
      <c r="M186" s="283">
        <f t="shared" ref="M186:M201" si="400">E186*G186/1000</f>
        <v>0</v>
      </c>
      <c r="N186" s="398">
        <f>'WP1 Light Inventory'!L187</f>
        <v>0</v>
      </c>
      <c r="O186" s="284">
        <f t="shared" ref="O186:O201" si="401">E186*4200/1000/12</f>
        <v>5.25</v>
      </c>
      <c r="P186" s="261">
        <f>'BDJ-6 Unitized Lighting Costs'!D$20</f>
        <v>1.0137794003499056E-2</v>
      </c>
      <c r="Q186" s="261">
        <f>'BDJ-6 Unitized Lighting Costs'!$D$43</f>
        <v>2.2529806535397991</v>
      </c>
      <c r="R186" s="261">
        <f>'BDJ-6 Unitized Lighting Costs'!D$69</f>
        <v>1.9131568994526543E-2</v>
      </c>
      <c r="S186" s="261">
        <f>'BDJ-6 Unitized Lighting Costs'!$D$110</f>
        <v>3.7045631694556067</v>
      </c>
      <c r="T186" s="261">
        <f>'BDJ-6 Unitized Lighting Costs'!$D$117</f>
        <v>5.4555747529966878E-2</v>
      </c>
      <c r="U186" s="43">
        <f t="shared" ref="U186:U201" si="402">IF(F186="Company", H186*P186, 0)</f>
        <v>7.7458828863134856</v>
      </c>
      <c r="V186" s="43">
        <f t="shared" ref="V186:V201" si="403">IF(I186="yes", J186*Q186, 0)</f>
        <v>0.45059613070795984</v>
      </c>
      <c r="W186" s="43">
        <f t="shared" ref="W186:W201" si="404">R186*O186</f>
        <v>0.10044073722126434</v>
      </c>
      <c r="X186" s="43">
        <f t="shared" ref="X186:X201" si="405">E186*S186/1000</f>
        <v>5.5568447541834105E-2</v>
      </c>
      <c r="Y186" s="43">
        <f t="shared" ref="Y186:Y201" si="406">O186*T186</f>
        <v>0.28641767453232608</v>
      </c>
      <c r="Z186" s="43">
        <f t="shared" ref="Z186:Z201" si="407">SUM(U186:Y186)</f>
        <v>8.6389058763168691</v>
      </c>
      <c r="AA186" s="220"/>
      <c r="AB186" s="240">
        <f t="shared" ref="AB186:AB201" si="408">IFERROR(U186/O186,0)</f>
        <v>1.4754062640597116</v>
      </c>
      <c r="AC186" s="240">
        <f t="shared" ref="AC186:AC201" si="409">IFERROR(V186/O186,0)</f>
        <v>8.5827834420563784E-2</v>
      </c>
      <c r="AD186" s="240">
        <f t="shared" ref="AD186:AD201" si="410">IFERROR(W186/O186,0)</f>
        <v>1.9131568994526543E-2</v>
      </c>
      <c r="AE186" s="240">
        <f t="shared" ref="AE186:AE201" si="411">IFERROR(X186/O186,0)</f>
        <v>1.0584466198444591E-2</v>
      </c>
      <c r="AF186" s="240">
        <f t="shared" ref="AF186:AF201" si="412">IFERROR(Y186/O186,0)</f>
        <v>5.4555747529966871E-2</v>
      </c>
      <c r="AG186" s="240">
        <f t="shared" ref="AG186:AG201" si="413">SUM(AB186:AF186)</f>
        <v>1.6455058812032137</v>
      </c>
      <c r="AH186" s="43">
        <f t="shared" ref="AH186:AH201" si="414">(U186*$G186)</f>
        <v>0</v>
      </c>
      <c r="AI186" s="43">
        <f t="shared" ref="AI186:AI201" si="415">(V186*$G186)</f>
        <v>0</v>
      </c>
      <c r="AJ186" s="43">
        <f t="shared" ref="AJ186:AJ201" si="416">(W186*$G186)</f>
        <v>0</v>
      </c>
      <c r="AK186" s="43">
        <f t="shared" ref="AK186:AK201" si="417">(X186*$G186)</f>
        <v>0</v>
      </c>
      <c r="AL186" s="43">
        <f t="shared" ref="AL186:AL201" si="418">(Y186*$G186)</f>
        <v>0</v>
      </c>
      <c r="AM186" s="43">
        <f t="shared" ref="AM186:AM201" si="419">SUM(AH186:AL186)</f>
        <v>0</v>
      </c>
      <c r="AN186" s="43">
        <f t="shared" ref="AN186:AN201" si="420">AH186*12</f>
        <v>0</v>
      </c>
      <c r="AO186" s="43">
        <f t="shared" ref="AO186:AO201" si="421">AI186*12</f>
        <v>0</v>
      </c>
      <c r="AP186" s="43">
        <f t="shared" ref="AP186:AP201" si="422">AJ186*12</f>
        <v>0</v>
      </c>
      <c r="AQ186" s="43">
        <f t="shared" ref="AQ186:AQ201" si="423">AK186*12</f>
        <v>0</v>
      </c>
      <c r="AR186" s="43">
        <f t="shared" ref="AR186:AR201" si="424">AL186*12</f>
        <v>0</v>
      </c>
      <c r="AS186" s="43">
        <f t="shared" ref="AS186:AS201" si="425">AM186*12</f>
        <v>0</v>
      </c>
    </row>
    <row r="187" spans="1:45" x14ac:dyDescent="0.2">
      <c r="A187" s="57" t="s">
        <v>82</v>
      </c>
      <c r="B187" s="18"/>
      <c r="C187" s="21" t="str">
        <f>'WP1 Light Inventory'!D188</f>
        <v>Light Emitting Diode</v>
      </c>
      <c r="D187" s="21" t="str">
        <f>'WP1 Light Inventory'!E188</f>
        <v>LED 030.01-060</v>
      </c>
      <c r="E187" s="21">
        <f>'WP1 Light Inventory'!F188</f>
        <v>45</v>
      </c>
      <c r="F187" s="21" t="str">
        <f>'WP1 Light Inventory'!H188</f>
        <v>Company</v>
      </c>
      <c r="G187" s="397">
        <f>'WP1 Light Inventory'!J188</f>
        <v>3</v>
      </c>
      <c r="H187" s="74">
        <f>'WP7 Condensed LED Cost Est.'!$C45</f>
        <v>917.8399999999998</v>
      </c>
      <c r="I187" s="14" t="s">
        <v>133</v>
      </c>
      <c r="J187" s="19">
        <f>IF(C187="Light Emitting Diode",'WP10 O&amp;M Weighting Factor'!$B$26,IF('WP12 Condensed Sch. Level Costs'!C187="Sodium Vapor",'WP10 O&amp;M Weighting Factor'!$B$27,IF('WP12 Condensed Sch. Level Costs'!C187="Metal Halide",'WP10 O&amp;M Weighting Factor'!$B$28,IF('WP12 Condensed Sch. Level Costs'!C187="Mercury Vapor",'WP10 O&amp;M Weighting Factor'!$B$30,IF('WP12 Condensed Sch. Level Costs'!C187="Compact Flourescent",'WP10 O&amp;M Weighting Factor'!$B$29, IF(C187="Incandescent", 'WP10 O&amp;M Weighting Factor'!$B$31, 0))))))</f>
        <v>0.2</v>
      </c>
      <c r="K187" s="282">
        <f t="shared" si="398"/>
        <v>0.60000000000000009</v>
      </c>
      <c r="L187" s="74">
        <f t="shared" si="399"/>
        <v>2753.5199999999995</v>
      </c>
      <c r="M187" s="283">
        <f t="shared" si="400"/>
        <v>0.13500000000000001</v>
      </c>
      <c r="N187" s="398">
        <f>'WP1 Light Inventory'!L188</f>
        <v>567</v>
      </c>
      <c r="O187" s="284">
        <f t="shared" si="401"/>
        <v>15.75</v>
      </c>
      <c r="P187" s="261">
        <f>'BDJ-6 Unitized Lighting Costs'!D$20</f>
        <v>1.0137794003499056E-2</v>
      </c>
      <c r="Q187" s="261">
        <f>'BDJ-6 Unitized Lighting Costs'!$D$43</f>
        <v>2.2529806535397991</v>
      </c>
      <c r="R187" s="261">
        <f>'BDJ-6 Unitized Lighting Costs'!D$69</f>
        <v>1.9131568994526543E-2</v>
      </c>
      <c r="S187" s="261">
        <f>'BDJ-6 Unitized Lighting Costs'!$D$110</f>
        <v>3.7045631694556067</v>
      </c>
      <c r="T187" s="261">
        <f>'BDJ-6 Unitized Lighting Costs'!$D$117</f>
        <v>5.4555747529966878E-2</v>
      </c>
      <c r="U187" s="43">
        <f t="shared" si="402"/>
        <v>9.3048728481715717</v>
      </c>
      <c r="V187" s="43">
        <f t="shared" si="403"/>
        <v>0.45059613070795984</v>
      </c>
      <c r="W187" s="43">
        <f t="shared" si="404"/>
        <v>0.30132221166379303</v>
      </c>
      <c r="X187" s="43">
        <f t="shared" si="405"/>
        <v>0.16670534262550232</v>
      </c>
      <c r="Y187" s="43">
        <f t="shared" si="406"/>
        <v>0.8592530235969783</v>
      </c>
      <c r="Z187" s="43">
        <f t="shared" si="407"/>
        <v>11.082749556765803</v>
      </c>
      <c r="AA187" s="220"/>
      <c r="AB187" s="240">
        <f t="shared" si="408"/>
        <v>0.59078557766168704</v>
      </c>
      <c r="AC187" s="240">
        <f t="shared" si="409"/>
        <v>2.8609278140187926E-2</v>
      </c>
      <c r="AD187" s="240">
        <f t="shared" si="410"/>
        <v>1.9131568994526543E-2</v>
      </c>
      <c r="AE187" s="240">
        <f t="shared" si="411"/>
        <v>1.0584466198444591E-2</v>
      </c>
      <c r="AF187" s="240">
        <f t="shared" si="412"/>
        <v>5.4555747529966878E-2</v>
      </c>
      <c r="AG187" s="240">
        <f t="shared" si="413"/>
        <v>0.70366663852481282</v>
      </c>
      <c r="AH187" s="43">
        <f t="shared" si="414"/>
        <v>27.914618544514717</v>
      </c>
      <c r="AI187" s="43">
        <f t="shared" si="415"/>
        <v>1.3517883921238796</v>
      </c>
      <c r="AJ187" s="43">
        <f t="shared" si="416"/>
        <v>0.90396663499137908</v>
      </c>
      <c r="AK187" s="43">
        <f t="shared" si="417"/>
        <v>0.500116027876507</v>
      </c>
      <c r="AL187" s="43">
        <f t="shared" si="418"/>
        <v>2.5777590707909348</v>
      </c>
      <c r="AM187" s="43">
        <f t="shared" si="419"/>
        <v>33.248248670297414</v>
      </c>
      <c r="AN187" s="43">
        <f t="shared" si="420"/>
        <v>334.97542253417657</v>
      </c>
      <c r="AO187" s="43">
        <f t="shared" si="421"/>
        <v>16.221460705486557</v>
      </c>
      <c r="AP187" s="43">
        <f t="shared" si="422"/>
        <v>10.847599619896549</v>
      </c>
      <c r="AQ187" s="43">
        <f t="shared" si="423"/>
        <v>6.0013923345180835</v>
      </c>
      <c r="AR187" s="43">
        <f t="shared" si="424"/>
        <v>30.933108849491219</v>
      </c>
      <c r="AS187" s="43">
        <f t="shared" si="425"/>
        <v>398.97898404356897</v>
      </c>
    </row>
    <row r="188" spans="1:45" x14ac:dyDescent="0.2">
      <c r="A188" s="57" t="s">
        <v>82</v>
      </c>
      <c r="B188" s="18"/>
      <c r="C188" s="21" t="str">
        <f>'WP1 Light Inventory'!D189</f>
        <v>Light Emitting Diode</v>
      </c>
      <c r="D188" s="21" t="str">
        <f>'WP1 Light Inventory'!E189</f>
        <v>LED 060.01-090</v>
      </c>
      <c r="E188" s="21">
        <f>'WP1 Light Inventory'!F189</f>
        <v>75</v>
      </c>
      <c r="F188" s="21" t="str">
        <f>'WP1 Light Inventory'!H189</f>
        <v>Company</v>
      </c>
      <c r="G188" s="397">
        <f>'WP1 Light Inventory'!J189</f>
        <v>50</v>
      </c>
      <c r="H188" s="74">
        <f>'WP7 Condensed LED Cost Est.'!$C46</f>
        <v>1071.6199999999999</v>
      </c>
      <c r="I188" s="14" t="s">
        <v>133</v>
      </c>
      <c r="J188" s="19">
        <f>IF(C188="Light Emitting Diode",'WP10 O&amp;M Weighting Factor'!$B$26,IF('WP12 Condensed Sch. Level Costs'!C188="Sodium Vapor",'WP10 O&amp;M Weighting Factor'!$B$27,IF('WP12 Condensed Sch. Level Costs'!C188="Metal Halide",'WP10 O&amp;M Weighting Factor'!$B$28,IF('WP12 Condensed Sch. Level Costs'!C188="Mercury Vapor",'WP10 O&amp;M Weighting Factor'!$B$30,IF('WP12 Condensed Sch. Level Costs'!C188="Compact Flourescent",'WP10 O&amp;M Weighting Factor'!$B$29, IF(C188="Incandescent", 'WP10 O&amp;M Weighting Factor'!$B$31, 0))))))</f>
        <v>0.2</v>
      </c>
      <c r="K188" s="282">
        <f t="shared" si="398"/>
        <v>10</v>
      </c>
      <c r="L188" s="74">
        <f t="shared" si="399"/>
        <v>53580.999999999993</v>
      </c>
      <c r="M188" s="283">
        <f t="shared" si="400"/>
        <v>3.75</v>
      </c>
      <c r="N188" s="398">
        <f>'WP1 Light Inventory'!L189</f>
        <v>15750</v>
      </c>
      <c r="O188" s="284">
        <f t="shared" si="401"/>
        <v>26.25</v>
      </c>
      <c r="P188" s="261">
        <f>'BDJ-6 Unitized Lighting Costs'!D$20</f>
        <v>1.0137794003499056E-2</v>
      </c>
      <c r="Q188" s="261">
        <f>'BDJ-6 Unitized Lighting Costs'!$D$43</f>
        <v>2.2529806535397991</v>
      </c>
      <c r="R188" s="261">
        <f>'BDJ-6 Unitized Lighting Costs'!D$69</f>
        <v>1.9131568994526543E-2</v>
      </c>
      <c r="S188" s="261">
        <f>'BDJ-6 Unitized Lighting Costs'!$D$110</f>
        <v>3.7045631694556067</v>
      </c>
      <c r="T188" s="261">
        <f>'BDJ-6 Unitized Lighting Costs'!$D$117</f>
        <v>5.4555747529966878E-2</v>
      </c>
      <c r="U188" s="43">
        <f t="shared" si="402"/>
        <v>10.863862810029657</v>
      </c>
      <c r="V188" s="43">
        <f t="shared" si="403"/>
        <v>0.45059613070795984</v>
      </c>
      <c r="W188" s="43">
        <f t="shared" si="404"/>
        <v>0.50220368610632171</v>
      </c>
      <c r="X188" s="43">
        <f t="shared" si="405"/>
        <v>0.27784223770917049</v>
      </c>
      <c r="Y188" s="43">
        <f t="shared" si="406"/>
        <v>1.4320883726616305</v>
      </c>
      <c r="Z188" s="43">
        <f t="shared" si="407"/>
        <v>13.526593237214739</v>
      </c>
      <c r="AA188" s="220"/>
      <c r="AB188" s="240">
        <f t="shared" si="408"/>
        <v>0.41386144038208217</v>
      </c>
      <c r="AC188" s="240">
        <f t="shared" si="409"/>
        <v>1.7165566884112755E-2</v>
      </c>
      <c r="AD188" s="240">
        <f t="shared" si="410"/>
        <v>1.9131568994526543E-2</v>
      </c>
      <c r="AE188" s="240">
        <f t="shared" si="411"/>
        <v>1.058446619844459E-2</v>
      </c>
      <c r="AF188" s="240">
        <f t="shared" si="412"/>
        <v>5.4555747529966878E-2</v>
      </c>
      <c r="AG188" s="240">
        <f t="shared" si="413"/>
        <v>0.51529878998913292</v>
      </c>
      <c r="AH188" s="43">
        <f t="shared" si="414"/>
        <v>543.19314050148284</v>
      </c>
      <c r="AI188" s="43">
        <f t="shared" si="415"/>
        <v>22.529806535397991</v>
      </c>
      <c r="AJ188" s="43">
        <f t="shared" si="416"/>
        <v>25.110184305316086</v>
      </c>
      <c r="AK188" s="43">
        <f t="shared" si="417"/>
        <v>13.892111885458524</v>
      </c>
      <c r="AL188" s="43">
        <f t="shared" si="418"/>
        <v>71.604418633081522</v>
      </c>
      <c r="AM188" s="43">
        <f t="shared" si="419"/>
        <v>676.32966186073702</v>
      </c>
      <c r="AN188" s="43">
        <f t="shared" si="420"/>
        <v>6518.3176860177937</v>
      </c>
      <c r="AO188" s="43">
        <f t="shared" si="421"/>
        <v>270.35767842477588</v>
      </c>
      <c r="AP188" s="43">
        <f t="shared" si="422"/>
        <v>301.32221166379304</v>
      </c>
      <c r="AQ188" s="43">
        <f t="shared" si="423"/>
        <v>166.70534262550228</v>
      </c>
      <c r="AR188" s="43">
        <f t="shared" si="424"/>
        <v>859.25302359697821</v>
      </c>
      <c r="AS188" s="43">
        <f t="shared" si="425"/>
        <v>8115.9559423288447</v>
      </c>
    </row>
    <row r="189" spans="1:45" x14ac:dyDescent="0.2">
      <c r="A189" s="57" t="s">
        <v>82</v>
      </c>
      <c r="B189" s="18"/>
      <c r="C189" s="21" t="str">
        <f>'WP1 Light Inventory'!D190</f>
        <v>Light Emitting Diode</v>
      </c>
      <c r="D189" s="21" t="str">
        <f>'WP1 Light Inventory'!E190</f>
        <v>LED 090.01-120</v>
      </c>
      <c r="E189" s="21">
        <f>'WP1 Light Inventory'!F190</f>
        <v>105</v>
      </c>
      <c r="F189" s="21" t="str">
        <f>'WP1 Light Inventory'!H190</f>
        <v>Company</v>
      </c>
      <c r="G189" s="397">
        <f>'WP1 Light Inventory'!J190</f>
        <v>15</v>
      </c>
      <c r="H189" s="74">
        <f>'WP7 Condensed LED Cost Est.'!$C47</f>
        <v>1225.4000000000001</v>
      </c>
      <c r="I189" s="14" t="s">
        <v>133</v>
      </c>
      <c r="J189" s="19">
        <f>IF(C189="Light Emitting Diode",'WP10 O&amp;M Weighting Factor'!$B$26,IF('WP12 Condensed Sch. Level Costs'!C189="Sodium Vapor",'WP10 O&amp;M Weighting Factor'!$B$27,IF('WP12 Condensed Sch. Level Costs'!C189="Metal Halide",'WP10 O&amp;M Weighting Factor'!$B$28,IF('WP12 Condensed Sch. Level Costs'!C189="Mercury Vapor",'WP10 O&amp;M Weighting Factor'!$B$30,IF('WP12 Condensed Sch. Level Costs'!C189="Compact Flourescent",'WP10 O&amp;M Weighting Factor'!$B$29, IF(C189="Incandescent", 'WP10 O&amp;M Weighting Factor'!$B$31, 0))))))</f>
        <v>0.2</v>
      </c>
      <c r="K189" s="282">
        <f t="shared" si="398"/>
        <v>3</v>
      </c>
      <c r="L189" s="74">
        <f t="shared" si="399"/>
        <v>18381</v>
      </c>
      <c r="M189" s="283">
        <f t="shared" si="400"/>
        <v>1.575</v>
      </c>
      <c r="N189" s="398">
        <f>'WP1 Light Inventory'!L190</f>
        <v>6615</v>
      </c>
      <c r="O189" s="284">
        <f t="shared" si="401"/>
        <v>36.75</v>
      </c>
      <c r="P189" s="261">
        <f>'BDJ-6 Unitized Lighting Costs'!D$20</f>
        <v>1.0137794003499056E-2</v>
      </c>
      <c r="Q189" s="261">
        <f>'BDJ-6 Unitized Lighting Costs'!$D$43</f>
        <v>2.2529806535397991</v>
      </c>
      <c r="R189" s="261">
        <f>'BDJ-6 Unitized Lighting Costs'!D$69</f>
        <v>1.9131568994526543E-2</v>
      </c>
      <c r="S189" s="261">
        <f>'BDJ-6 Unitized Lighting Costs'!$D$110</f>
        <v>3.7045631694556067</v>
      </c>
      <c r="T189" s="261">
        <f>'BDJ-6 Unitized Lighting Costs'!$D$117</f>
        <v>5.4555747529966878E-2</v>
      </c>
      <c r="U189" s="43">
        <f t="shared" si="402"/>
        <v>12.422852771887744</v>
      </c>
      <c r="V189" s="43">
        <f t="shared" si="403"/>
        <v>0.45059613070795984</v>
      </c>
      <c r="W189" s="43">
        <f t="shared" si="404"/>
        <v>0.7030851605488504</v>
      </c>
      <c r="X189" s="43">
        <f t="shared" si="405"/>
        <v>0.38897913279283869</v>
      </c>
      <c r="Y189" s="43">
        <f t="shared" si="406"/>
        <v>2.004923721726283</v>
      </c>
      <c r="Z189" s="43">
        <f t="shared" si="407"/>
        <v>15.970436917663676</v>
      </c>
      <c r="AA189" s="220"/>
      <c r="AB189" s="240">
        <f t="shared" si="408"/>
        <v>0.3380368101193944</v>
      </c>
      <c r="AC189" s="240">
        <f t="shared" si="409"/>
        <v>1.2261119202937683E-2</v>
      </c>
      <c r="AD189" s="240">
        <f t="shared" si="410"/>
        <v>1.9131568994526543E-2</v>
      </c>
      <c r="AE189" s="240">
        <f t="shared" si="411"/>
        <v>1.058446619844459E-2</v>
      </c>
      <c r="AF189" s="240">
        <f t="shared" si="412"/>
        <v>5.4555747529966885E-2</v>
      </c>
      <c r="AG189" s="240">
        <f t="shared" si="413"/>
        <v>0.43456971204527017</v>
      </c>
      <c r="AH189" s="43">
        <f t="shared" si="414"/>
        <v>186.34279157831617</v>
      </c>
      <c r="AI189" s="43">
        <f t="shared" si="415"/>
        <v>6.7589419606193974</v>
      </c>
      <c r="AJ189" s="43">
        <f t="shared" si="416"/>
        <v>10.546277408232756</v>
      </c>
      <c r="AK189" s="43">
        <f t="shared" si="417"/>
        <v>5.8346869918925801</v>
      </c>
      <c r="AL189" s="43">
        <f t="shared" si="418"/>
        <v>30.073855825894245</v>
      </c>
      <c r="AM189" s="43">
        <f t="shared" si="419"/>
        <v>239.55655376495514</v>
      </c>
      <c r="AN189" s="43">
        <f t="shared" si="420"/>
        <v>2236.1134989397942</v>
      </c>
      <c r="AO189" s="43">
        <f t="shared" si="421"/>
        <v>81.107303527432776</v>
      </c>
      <c r="AP189" s="43">
        <f t="shared" si="422"/>
        <v>126.55532889879308</v>
      </c>
      <c r="AQ189" s="43">
        <f t="shared" si="423"/>
        <v>70.016243902710954</v>
      </c>
      <c r="AR189" s="43">
        <f t="shared" si="424"/>
        <v>360.88626991073096</v>
      </c>
      <c r="AS189" s="43">
        <f t="shared" si="425"/>
        <v>2874.6786451794615</v>
      </c>
    </row>
    <row r="190" spans="1:45" x14ac:dyDescent="0.2">
      <c r="A190" s="57" t="s">
        <v>82</v>
      </c>
      <c r="B190" s="18"/>
      <c r="C190" s="21" t="str">
        <f>'WP1 Light Inventory'!D191</f>
        <v>Light Emitting Diode</v>
      </c>
      <c r="D190" s="21" t="str">
        <f>'WP1 Light Inventory'!E191</f>
        <v>LED 120.01-150</v>
      </c>
      <c r="E190" s="21">
        <f>'WP1 Light Inventory'!F191</f>
        <v>135</v>
      </c>
      <c r="F190" s="21" t="str">
        <f>'WP1 Light Inventory'!H191</f>
        <v>Company</v>
      </c>
      <c r="G190" s="397">
        <f>'WP1 Light Inventory'!J191</f>
        <v>94</v>
      </c>
      <c r="H190" s="74">
        <f>'WP7 Condensed LED Cost Est.'!$C48</f>
        <v>1379.1800000000003</v>
      </c>
      <c r="I190" s="14" t="s">
        <v>133</v>
      </c>
      <c r="J190" s="19">
        <f>IF(C190="Light Emitting Diode",'WP10 O&amp;M Weighting Factor'!$B$26,IF('WP12 Condensed Sch. Level Costs'!C190="Sodium Vapor",'WP10 O&amp;M Weighting Factor'!$B$27,IF('WP12 Condensed Sch. Level Costs'!C190="Metal Halide",'WP10 O&amp;M Weighting Factor'!$B$28,IF('WP12 Condensed Sch. Level Costs'!C190="Mercury Vapor",'WP10 O&amp;M Weighting Factor'!$B$30,IF('WP12 Condensed Sch. Level Costs'!C190="Compact Flourescent",'WP10 O&amp;M Weighting Factor'!$B$29, IF(C190="Incandescent", 'WP10 O&amp;M Weighting Factor'!$B$31, 0))))))</f>
        <v>0.2</v>
      </c>
      <c r="K190" s="282">
        <f t="shared" si="398"/>
        <v>18.8</v>
      </c>
      <c r="L190" s="74">
        <f t="shared" si="399"/>
        <v>129642.92000000003</v>
      </c>
      <c r="M190" s="283">
        <f t="shared" si="400"/>
        <v>12.69</v>
      </c>
      <c r="N190" s="398">
        <f>'WP1 Light Inventory'!L191</f>
        <v>53298</v>
      </c>
      <c r="O190" s="284">
        <f t="shared" si="401"/>
        <v>47.25</v>
      </c>
      <c r="P190" s="261">
        <f>'BDJ-6 Unitized Lighting Costs'!D$20</f>
        <v>1.0137794003499056E-2</v>
      </c>
      <c r="Q190" s="261">
        <f>'BDJ-6 Unitized Lighting Costs'!$D$43</f>
        <v>2.2529806535397991</v>
      </c>
      <c r="R190" s="261">
        <f>'BDJ-6 Unitized Lighting Costs'!D$69</f>
        <v>1.9131568994526543E-2</v>
      </c>
      <c r="S190" s="261">
        <f>'BDJ-6 Unitized Lighting Costs'!$D$110</f>
        <v>3.7045631694556067</v>
      </c>
      <c r="T190" s="261">
        <f>'BDJ-6 Unitized Lighting Costs'!$D$117</f>
        <v>5.4555747529966878E-2</v>
      </c>
      <c r="U190" s="43">
        <f t="shared" si="402"/>
        <v>13.981842733745831</v>
      </c>
      <c r="V190" s="43">
        <f t="shared" si="403"/>
        <v>0.45059613070795984</v>
      </c>
      <c r="W190" s="43">
        <f t="shared" si="404"/>
        <v>0.90396663499137908</v>
      </c>
      <c r="X190" s="43">
        <f t="shared" si="405"/>
        <v>0.50011602787650689</v>
      </c>
      <c r="Y190" s="43">
        <f t="shared" si="406"/>
        <v>2.5777590707909348</v>
      </c>
      <c r="Z190" s="43">
        <f t="shared" si="407"/>
        <v>18.414280598112612</v>
      </c>
      <c r="AA190" s="220"/>
      <c r="AB190" s="240">
        <f t="shared" si="408"/>
        <v>0.29591201552901231</v>
      </c>
      <c r="AC190" s="240">
        <f t="shared" si="409"/>
        <v>9.5364260467293085E-3</v>
      </c>
      <c r="AD190" s="240">
        <f t="shared" si="410"/>
        <v>1.9131568994526543E-2</v>
      </c>
      <c r="AE190" s="240">
        <f t="shared" si="411"/>
        <v>1.058446619844459E-2</v>
      </c>
      <c r="AF190" s="240">
        <f t="shared" si="412"/>
        <v>5.4555747529966878E-2</v>
      </c>
      <c r="AG190" s="240">
        <f t="shared" si="413"/>
        <v>0.3897202242986797</v>
      </c>
      <c r="AH190" s="43">
        <f t="shared" si="414"/>
        <v>1314.293216972108</v>
      </c>
      <c r="AI190" s="43">
        <f t="shared" si="415"/>
        <v>42.356036286548225</v>
      </c>
      <c r="AJ190" s="43">
        <f t="shared" si="416"/>
        <v>84.972863689189637</v>
      </c>
      <c r="AK190" s="43">
        <f t="shared" si="417"/>
        <v>47.010906620391644</v>
      </c>
      <c r="AL190" s="43">
        <f t="shared" si="418"/>
        <v>242.30935265434786</v>
      </c>
      <c r="AM190" s="43">
        <f t="shared" si="419"/>
        <v>1730.9423762225852</v>
      </c>
      <c r="AN190" s="43">
        <f t="shared" si="420"/>
        <v>15771.518603665296</v>
      </c>
      <c r="AO190" s="43">
        <f t="shared" si="421"/>
        <v>508.27243543857867</v>
      </c>
      <c r="AP190" s="43">
        <f t="shared" si="422"/>
        <v>1019.6743642702756</v>
      </c>
      <c r="AQ190" s="43">
        <f t="shared" si="423"/>
        <v>564.13087944469976</v>
      </c>
      <c r="AR190" s="43">
        <f t="shared" si="424"/>
        <v>2907.7122318521742</v>
      </c>
      <c r="AS190" s="43">
        <f t="shared" si="425"/>
        <v>20771.308514671022</v>
      </c>
    </row>
    <row r="191" spans="1:45" x14ac:dyDescent="0.2">
      <c r="A191" s="57" t="s">
        <v>82</v>
      </c>
      <c r="B191" s="18"/>
      <c r="C191" s="21" t="str">
        <f>'WP1 Light Inventory'!D192</f>
        <v>Light Emitting Diode</v>
      </c>
      <c r="D191" s="21" t="str">
        <f>'WP1 Light Inventory'!E192</f>
        <v>LED 150.01-180</v>
      </c>
      <c r="E191" s="21">
        <f>'WP1 Light Inventory'!F192</f>
        <v>165</v>
      </c>
      <c r="F191" s="21" t="str">
        <f>'WP1 Light Inventory'!H192</f>
        <v>Company</v>
      </c>
      <c r="G191" s="397">
        <f>'WP1 Light Inventory'!J192</f>
        <v>11</v>
      </c>
      <c r="H191" s="74">
        <f>'WP7 Condensed LED Cost Est.'!$C49</f>
        <v>1532.9600000000005</v>
      </c>
      <c r="I191" s="14" t="s">
        <v>133</v>
      </c>
      <c r="J191" s="19">
        <f>IF(C191="Light Emitting Diode",'WP10 O&amp;M Weighting Factor'!$B$26,IF('WP12 Condensed Sch. Level Costs'!C191="Sodium Vapor",'WP10 O&amp;M Weighting Factor'!$B$27,IF('WP12 Condensed Sch. Level Costs'!C191="Metal Halide",'WP10 O&amp;M Weighting Factor'!$B$28,IF('WP12 Condensed Sch. Level Costs'!C191="Mercury Vapor",'WP10 O&amp;M Weighting Factor'!$B$30,IF('WP12 Condensed Sch. Level Costs'!C191="Compact Flourescent",'WP10 O&amp;M Weighting Factor'!$B$29, IF(C191="Incandescent", 'WP10 O&amp;M Weighting Factor'!$B$31, 0))))))</f>
        <v>0.2</v>
      </c>
      <c r="K191" s="282">
        <f t="shared" si="398"/>
        <v>2.2000000000000002</v>
      </c>
      <c r="L191" s="74">
        <f t="shared" si="399"/>
        <v>16862.560000000005</v>
      </c>
      <c r="M191" s="283">
        <f t="shared" si="400"/>
        <v>1.8149999999999999</v>
      </c>
      <c r="N191" s="398">
        <f>'WP1 Light Inventory'!L192</f>
        <v>7623</v>
      </c>
      <c r="O191" s="284">
        <f t="shared" si="401"/>
        <v>57.75</v>
      </c>
      <c r="P191" s="261">
        <f>'BDJ-6 Unitized Lighting Costs'!D$20</f>
        <v>1.0137794003499056E-2</v>
      </c>
      <c r="Q191" s="261">
        <f>'BDJ-6 Unitized Lighting Costs'!$D$43</f>
        <v>2.2529806535397991</v>
      </c>
      <c r="R191" s="261">
        <f>'BDJ-6 Unitized Lighting Costs'!D$69</f>
        <v>1.9131568994526543E-2</v>
      </c>
      <c r="S191" s="261">
        <f>'BDJ-6 Unitized Lighting Costs'!$D$110</f>
        <v>3.7045631694556067</v>
      </c>
      <c r="T191" s="261">
        <f>'BDJ-6 Unitized Lighting Costs'!$D$117</f>
        <v>5.4555747529966878E-2</v>
      </c>
      <c r="U191" s="43">
        <f t="shared" si="402"/>
        <v>15.540832695603918</v>
      </c>
      <c r="V191" s="43">
        <f t="shared" si="403"/>
        <v>0.45059613070795984</v>
      </c>
      <c r="W191" s="43">
        <f t="shared" si="404"/>
        <v>1.1048481094339078</v>
      </c>
      <c r="X191" s="43">
        <f t="shared" si="405"/>
        <v>0.61125292296017508</v>
      </c>
      <c r="Y191" s="43">
        <f t="shared" si="406"/>
        <v>3.1505944198555871</v>
      </c>
      <c r="Z191" s="43">
        <f t="shared" si="407"/>
        <v>20.858124278561547</v>
      </c>
      <c r="AA191" s="220"/>
      <c r="AB191" s="240">
        <f t="shared" si="408"/>
        <v>0.2691053280624055</v>
      </c>
      <c r="AC191" s="240">
        <f t="shared" si="409"/>
        <v>7.8025304018694347E-3</v>
      </c>
      <c r="AD191" s="240">
        <f t="shared" si="410"/>
        <v>1.9131568994526543E-2</v>
      </c>
      <c r="AE191" s="240">
        <f t="shared" si="411"/>
        <v>1.058446619844459E-2</v>
      </c>
      <c r="AF191" s="240">
        <f t="shared" si="412"/>
        <v>5.4555747529966878E-2</v>
      </c>
      <c r="AG191" s="240">
        <f t="shared" si="413"/>
        <v>0.36117964118721302</v>
      </c>
      <c r="AH191" s="43">
        <f t="shared" si="414"/>
        <v>170.9491596516431</v>
      </c>
      <c r="AI191" s="43">
        <f t="shared" si="415"/>
        <v>4.9565574377875583</v>
      </c>
      <c r="AJ191" s="43">
        <f t="shared" si="416"/>
        <v>12.153329203772985</v>
      </c>
      <c r="AK191" s="43">
        <f t="shared" si="417"/>
        <v>6.7237821525619257</v>
      </c>
      <c r="AL191" s="43">
        <f t="shared" si="418"/>
        <v>34.65653861841146</v>
      </c>
      <c r="AM191" s="43">
        <f t="shared" si="419"/>
        <v>229.43936706417702</v>
      </c>
      <c r="AN191" s="43">
        <f t="shared" si="420"/>
        <v>2051.3899158197173</v>
      </c>
      <c r="AO191" s="43">
        <f t="shared" si="421"/>
        <v>59.478689253450696</v>
      </c>
      <c r="AP191" s="43">
        <f t="shared" si="422"/>
        <v>145.83995044527583</v>
      </c>
      <c r="AQ191" s="43">
        <f t="shared" si="423"/>
        <v>80.685385830743115</v>
      </c>
      <c r="AR191" s="43">
        <f t="shared" si="424"/>
        <v>415.87846342093752</v>
      </c>
      <c r="AS191" s="43">
        <f t="shared" si="425"/>
        <v>2753.272404770124</v>
      </c>
    </row>
    <row r="192" spans="1:45" x14ac:dyDescent="0.2">
      <c r="A192" s="57" t="s">
        <v>82</v>
      </c>
      <c r="B192" s="18"/>
      <c r="C192" s="21" t="str">
        <f>'WP1 Light Inventory'!D193</f>
        <v>Light Emitting Diode</v>
      </c>
      <c r="D192" s="21" t="str">
        <f>'WP1 Light Inventory'!E193</f>
        <v>LED 180.01-210</v>
      </c>
      <c r="E192" s="21">
        <f>'WP1 Light Inventory'!F193</f>
        <v>195</v>
      </c>
      <c r="F192" s="21" t="str">
        <f>'WP1 Light Inventory'!H193</f>
        <v>Company</v>
      </c>
      <c r="G192" s="397">
        <f>'WP1 Light Inventory'!J193</f>
        <v>0</v>
      </c>
      <c r="H192" s="74">
        <f>'WP7 Condensed LED Cost Est.'!$C50</f>
        <v>1686.7400000000007</v>
      </c>
      <c r="I192" s="14" t="s">
        <v>133</v>
      </c>
      <c r="J192" s="19">
        <f>IF(C192="Light Emitting Diode",'WP10 O&amp;M Weighting Factor'!$B$26,IF('WP12 Condensed Sch. Level Costs'!C192="Sodium Vapor",'WP10 O&amp;M Weighting Factor'!$B$27,IF('WP12 Condensed Sch. Level Costs'!C192="Metal Halide",'WP10 O&amp;M Weighting Factor'!$B$28,IF('WP12 Condensed Sch. Level Costs'!C192="Mercury Vapor",'WP10 O&amp;M Weighting Factor'!$B$30,IF('WP12 Condensed Sch. Level Costs'!C192="Compact Flourescent",'WP10 O&amp;M Weighting Factor'!$B$29, IF(C192="Incandescent", 'WP10 O&amp;M Weighting Factor'!$B$31, 0))))))</f>
        <v>0.2</v>
      </c>
      <c r="K192" s="282">
        <f t="shared" si="398"/>
        <v>0</v>
      </c>
      <c r="L192" s="74">
        <f t="shared" si="399"/>
        <v>0</v>
      </c>
      <c r="M192" s="283">
        <f t="shared" si="400"/>
        <v>0</v>
      </c>
      <c r="N192" s="398">
        <f>'WP1 Light Inventory'!L193</f>
        <v>0</v>
      </c>
      <c r="O192" s="284">
        <f t="shared" si="401"/>
        <v>68.25</v>
      </c>
      <c r="P192" s="261">
        <f>'BDJ-6 Unitized Lighting Costs'!D$20</f>
        <v>1.0137794003499056E-2</v>
      </c>
      <c r="Q192" s="261">
        <f>'BDJ-6 Unitized Lighting Costs'!$D$43</f>
        <v>2.2529806535397991</v>
      </c>
      <c r="R192" s="261">
        <f>'BDJ-6 Unitized Lighting Costs'!D$69</f>
        <v>1.9131568994526543E-2</v>
      </c>
      <c r="S192" s="261">
        <f>'BDJ-6 Unitized Lighting Costs'!$D$110</f>
        <v>3.7045631694556067</v>
      </c>
      <c r="T192" s="261">
        <f>'BDJ-6 Unitized Lighting Costs'!$D$117</f>
        <v>5.4555747529966878E-2</v>
      </c>
      <c r="U192" s="43">
        <f t="shared" si="402"/>
        <v>17.099822657462003</v>
      </c>
      <c r="V192" s="43">
        <f t="shared" si="403"/>
        <v>0.45059613070795984</v>
      </c>
      <c r="W192" s="43">
        <f t="shared" si="404"/>
        <v>1.3057295838764365</v>
      </c>
      <c r="X192" s="43">
        <f t="shared" si="405"/>
        <v>0.72238981804384328</v>
      </c>
      <c r="Y192" s="43">
        <f t="shared" si="406"/>
        <v>3.7234297689202394</v>
      </c>
      <c r="Z192" s="43">
        <f t="shared" si="407"/>
        <v>23.301967959010483</v>
      </c>
      <c r="AA192" s="220"/>
      <c r="AB192" s="240">
        <f t="shared" si="408"/>
        <v>0.25054685212398536</v>
      </c>
      <c r="AC192" s="240">
        <f t="shared" si="409"/>
        <v>6.6021411092741372E-3</v>
      </c>
      <c r="AD192" s="240">
        <f t="shared" si="410"/>
        <v>1.9131568994526543E-2</v>
      </c>
      <c r="AE192" s="240">
        <f t="shared" si="411"/>
        <v>1.058446619844459E-2</v>
      </c>
      <c r="AF192" s="240">
        <f t="shared" si="412"/>
        <v>5.4555747529966878E-2</v>
      </c>
      <c r="AG192" s="240">
        <f t="shared" si="413"/>
        <v>0.34142077595619758</v>
      </c>
      <c r="AH192" s="43">
        <f t="shared" si="414"/>
        <v>0</v>
      </c>
      <c r="AI192" s="43">
        <f t="shared" si="415"/>
        <v>0</v>
      </c>
      <c r="AJ192" s="43">
        <f t="shared" si="416"/>
        <v>0</v>
      </c>
      <c r="AK192" s="43">
        <f t="shared" si="417"/>
        <v>0</v>
      </c>
      <c r="AL192" s="43">
        <f t="shared" si="418"/>
        <v>0</v>
      </c>
      <c r="AM192" s="43">
        <f t="shared" si="419"/>
        <v>0</v>
      </c>
      <c r="AN192" s="43">
        <f t="shared" si="420"/>
        <v>0</v>
      </c>
      <c r="AO192" s="43">
        <f t="shared" si="421"/>
        <v>0</v>
      </c>
      <c r="AP192" s="43">
        <f t="shared" si="422"/>
        <v>0</v>
      </c>
      <c r="AQ192" s="43">
        <f t="shared" si="423"/>
        <v>0</v>
      </c>
      <c r="AR192" s="43">
        <f t="shared" si="424"/>
        <v>0</v>
      </c>
      <c r="AS192" s="43">
        <f t="shared" si="425"/>
        <v>0</v>
      </c>
    </row>
    <row r="193" spans="1:45" x14ac:dyDescent="0.2">
      <c r="A193" s="57" t="s">
        <v>82</v>
      </c>
      <c r="B193" s="18"/>
      <c r="C193" s="21" t="str">
        <f>'WP1 Light Inventory'!D194</f>
        <v>Light Emitting Diode</v>
      </c>
      <c r="D193" s="21" t="str">
        <f>'WP1 Light Inventory'!E194</f>
        <v>LED 210.01-240</v>
      </c>
      <c r="E193" s="21">
        <f>'WP1 Light Inventory'!F194</f>
        <v>225</v>
      </c>
      <c r="F193" s="21" t="str">
        <f>'WP1 Light Inventory'!H194</f>
        <v>Company</v>
      </c>
      <c r="G193" s="397">
        <f>'WP1 Light Inventory'!J194</f>
        <v>10</v>
      </c>
      <c r="H193" s="74">
        <f>'WP7 Condensed LED Cost Est.'!$C51</f>
        <v>1840.5200000000007</v>
      </c>
      <c r="I193" s="14" t="s">
        <v>133</v>
      </c>
      <c r="J193" s="19">
        <f>IF(C193="Light Emitting Diode",'WP10 O&amp;M Weighting Factor'!$B$26,IF('WP12 Condensed Sch. Level Costs'!C193="Sodium Vapor",'WP10 O&amp;M Weighting Factor'!$B$27,IF('WP12 Condensed Sch. Level Costs'!C193="Metal Halide",'WP10 O&amp;M Weighting Factor'!$B$28,IF('WP12 Condensed Sch. Level Costs'!C193="Mercury Vapor",'WP10 O&amp;M Weighting Factor'!$B$30,IF('WP12 Condensed Sch. Level Costs'!C193="Compact Flourescent",'WP10 O&amp;M Weighting Factor'!$B$29, IF(C193="Incandescent", 'WP10 O&amp;M Weighting Factor'!$B$31, 0))))))</f>
        <v>0.2</v>
      </c>
      <c r="K193" s="282">
        <f t="shared" si="398"/>
        <v>2</v>
      </c>
      <c r="L193" s="74">
        <f t="shared" si="399"/>
        <v>18405.200000000008</v>
      </c>
      <c r="M193" s="283">
        <f t="shared" si="400"/>
        <v>2.25</v>
      </c>
      <c r="N193" s="398">
        <f>'WP1 Light Inventory'!L194</f>
        <v>9450</v>
      </c>
      <c r="O193" s="284">
        <f t="shared" si="401"/>
        <v>78.75</v>
      </c>
      <c r="P193" s="261">
        <f>'BDJ-6 Unitized Lighting Costs'!D$20</f>
        <v>1.0137794003499056E-2</v>
      </c>
      <c r="Q193" s="261">
        <f>'BDJ-6 Unitized Lighting Costs'!$D$43</f>
        <v>2.2529806535397991</v>
      </c>
      <c r="R193" s="261">
        <f>'BDJ-6 Unitized Lighting Costs'!D$69</f>
        <v>1.9131568994526543E-2</v>
      </c>
      <c r="S193" s="261">
        <f>'BDJ-6 Unitized Lighting Costs'!$D$110</f>
        <v>3.7045631694556067</v>
      </c>
      <c r="T193" s="261">
        <f>'BDJ-6 Unitized Lighting Costs'!$D$117</f>
        <v>5.4555747529966878E-2</v>
      </c>
      <c r="U193" s="43">
        <f t="shared" si="402"/>
        <v>18.658812619320088</v>
      </c>
      <c r="V193" s="43">
        <f t="shared" si="403"/>
        <v>0.45059613070795984</v>
      </c>
      <c r="W193" s="43">
        <f t="shared" si="404"/>
        <v>1.5066110583189651</v>
      </c>
      <c r="X193" s="43">
        <f t="shared" si="405"/>
        <v>0.83352671312751148</v>
      </c>
      <c r="Y193" s="43">
        <f t="shared" si="406"/>
        <v>4.2962651179848912</v>
      </c>
      <c r="Z193" s="43">
        <f t="shared" si="407"/>
        <v>25.745811639459415</v>
      </c>
      <c r="AA193" s="220"/>
      <c r="AB193" s="240">
        <f t="shared" si="408"/>
        <v>0.23693730310247729</v>
      </c>
      <c r="AC193" s="240">
        <f t="shared" si="409"/>
        <v>5.7218556280375851E-3</v>
      </c>
      <c r="AD193" s="240">
        <f t="shared" si="410"/>
        <v>1.9131568994526543E-2</v>
      </c>
      <c r="AE193" s="240">
        <f t="shared" si="411"/>
        <v>1.058446619844459E-2</v>
      </c>
      <c r="AF193" s="240">
        <f t="shared" si="412"/>
        <v>5.4555747529966871E-2</v>
      </c>
      <c r="AG193" s="240">
        <f t="shared" si="413"/>
        <v>0.32693094145345292</v>
      </c>
      <c r="AH193" s="43">
        <f t="shared" si="414"/>
        <v>186.58812619320088</v>
      </c>
      <c r="AI193" s="43">
        <f t="shared" si="415"/>
        <v>4.5059613070795983</v>
      </c>
      <c r="AJ193" s="43">
        <f t="shared" si="416"/>
        <v>15.066110583189651</v>
      </c>
      <c r="AK193" s="43">
        <f t="shared" si="417"/>
        <v>8.3352671312751152</v>
      </c>
      <c r="AL193" s="43">
        <f t="shared" si="418"/>
        <v>42.962651179848912</v>
      </c>
      <c r="AM193" s="43">
        <f t="shared" si="419"/>
        <v>257.45811639459413</v>
      </c>
      <c r="AN193" s="43">
        <f t="shared" si="420"/>
        <v>2239.0575143184105</v>
      </c>
      <c r="AO193" s="43">
        <f t="shared" si="421"/>
        <v>54.07153568495518</v>
      </c>
      <c r="AP193" s="43">
        <f t="shared" si="422"/>
        <v>180.7933269982758</v>
      </c>
      <c r="AQ193" s="43">
        <f t="shared" si="423"/>
        <v>100.02320557530138</v>
      </c>
      <c r="AR193" s="43">
        <f t="shared" si="424"/>
        <v>515.55181415818697</v>
      </c>
      <c r="AS193" s="43">
        <f t="shared" si="425"/>
        <v>3089.4973967351298</v>
      </c>
    </row>
    <row r="194" spans="1:45" x14ac:dyDescent="0.2">
      <c r="A194" s="57" t="s">
        <v>82</v>
      </c>
      <c r="B194" s="18"/>
      <c r="C194" s="21" t="str">
        <f>'WP1 Light Inventory'!D195</f>
        <v>Light Emitting Diode</v>
      </c>
      <c r="D194" s="21" t="str">
        <f>'WP1 Light Inventory'!E195</f>
        <v>LED 240.01-270</v>
      </c>
      <c r="E194" s="21">
        <f>'WP1 Light Inventory'!F195</f>
        <v>255</v>
      </c>
      <c r="F194" s="21" t="str">
        <f>'WP1 Light Inventory'!H195</f>
        <v>Company</v>
      </c>
      <c r="G194" s="397">
        <f>'WP1 Light Inventory'!J195</f>
        <v>22</v>
      </c>
      <c r="H194" s="74">
        <f>'WP7 Condensed LED Cost Est.'!$C52</f>
        <v>1994.3000000000009</v>
      </c>
      <c r="I194" s="14" t="s">
        <v>133</v>
      </c>
      <c r="J194" s="19">
        <f>IF(C194="Light Emitting Diode",'WP10 O&amp;M Weighting Factor'!$B$26,IF('WP12 Condensed Sch. Level Costs'!C194="Sodium Vapor",'WP10 O&amp;M Weighting Factor'!$B$27,IF('WP12 Condensed Sch. Level Costs'!C194="Metal Halide",'WP10 O&amp;M Weighting Factor'!$B$28,IF('WP12 Condensed Sch. Level Costs'!C194="Mercury Vapor",'WP10 O&amp;M Weighting Factor'!$B$30,IF('WP12 Condensed Sch. Level Costs'!C194="Compact Flourescent",'WP10 O&amp;M Weighting Factor'!$B$29, IF(C194="Incandescent", 'WP10 O&amp;M Weighting Factor'!$B$31, 0))))))</f>
        <v>0.2</v>
      </c>
      <c r="K194" s="282">
        <f t="shared" si="398"/>
        <v>4.4000000000000004</v>
      </c>
      <c r="L194" s="74">
        <f t="shared" si="399"/>
        <v>43874.60000000002</v>
      </c>
      <c r="M194" s="283">
        <f t="shared" si="400"/>
        <v>5.61</v>
      </c>
      <c r="N194" s="398">
        <f>'WP1 Light Inventory'!L195</f>
        <v>23562</v>
      </c>
      <c r="O194" s="284">
        <f t="shared" si="401"/>
        <v>89.25</v>
      </c>
      <c r="P194" s="261">
        <f>'BDJ-6 Unitized Lighting Costs'!D$20</f>
        <v>1.0137794003499056E-2</v>
      </c>
      <c r="Q194" s="261">
        <f>'BDJ-6 Unitized Lighting Costs'!$D$43</f>
        <v>2.2529806535397991</v>
      </c>
      <c r="R194" s="261">
        <f>'BDJ-6 Unitized Lighting Costs'!D$69</f>
        <v>1.9131568994526543E-2</v>
      </c>
      <c r="S194" s="261">
        <f>'BDJ-6 Unitized Lighting Costs'!$D$110</f>
        <v>3.7045631694556067</v>
      </c>
      <c r="T194" s="261">
        <f>'BDJ-6 Unitized Lighting Costs'!$D$117</f>
        <v>5.4555747529966878E-2</v>
      </c>
      <c r="U194" s="43">
        <f t="shared" si="402"/>
        <v>20.217802581178177</v>
      </c>
      <c r="V194" s="43">
        <f t="shared" si="403"/>
        <v>0.45059613070795984</v>
      </c>
      <c r="W194" s="43">
        <f t="shared" si="404"/>
        <v>1.7074925327614938</v>
      </c>
      <c r="X194" s="43">
        <f t="shared" si="405"/>
        <v>0.94466360821117978</v>
      </c>
      <c r="Y194" s="43">
        <f t="shared" si="406"/>
        <v>4.8691004670495435</v>
      </c>
      <c r="Z194" s="43">
        <f t="shared" si="407"/>
        <v>28.189655319908354</v>
      </c>
      <c r="AA194" s="220"/>
      <c r="AB194" s="240">
        <f t="shared" si="408"/>
        <v>0.22653000090955941</v>
      </c>
      <c r="AC194" s="240">
        <f t="shared" si="409"/>
        <v>5.0486961423861047E-3</v>
      </c>
      <c r="AD194" s="240">
        <f t="shared" si="410"/>
        <v>1.9131568994526543E-2</v>
      </c>
      <c r="AE194" s="240">
        <f t="shared" si="411"/>
        <v>1.0584466198444591E-2</v>
      </c>
      <c r="AF194" s="240">
        <f t="shared" si="412"/>
        <v>5.4555747529966871E-2</v>
      </c>
      <c r="AG194" s="240">
        <f t="shared" si="413"/>
        <v>0.31585047977488356</v>
      </c>
      <c r="AH194" s="43">
        <f t="shared" si="414"/>
        <v>444.79165678591988</v>
      </c>
      <c r="AI194" s="43">
        <f t="shared" si="415"/>
        <v>9.9131148755751166</v>
      </c>
      <c r="AJ194" s="43">
        <f t="shared" si="416"/>
        <v>37.564835720752868</v>
      </c>
      <c r="AK194" s="43">
        <f t="shared" si="417"/>
        <v>20.782599380645955</v>
      </c>
      <c r="AL194" s="43">
        <f t="shared" si="418"/>
        <v>107.12021027508996</v>
      </c>
      <c r="AM194" s="43">
        <f t="shared" si="419"/>
        <v>620.17241703798368</v>
      </c>
      <c r="AN194" s="43">
        <f t="shared" si="420"/>
        <v>5337.4998814310384</v>
      </c>
      <c r="AO194" s="43">
        <f t="shared" si="421"/>
        <v>118.95737850690139</v>
      </c>
      <c r="AP194" s="43">
        <f t="shared" si="422"/>
        <v>450.77802864903441</v>
      </c>
      <c r="AQ194" s="43">
        <f t="shared" si="423"/>
        <v>249.39119256775146</v>
      </c>
      <c r="AR194" s="43">
        <f t="shared" si="424"/>
        <v>1285.4425233010795</v>
      </c>
      <c r="AS194" s="43">
        <f t="shared" si="425"/>
        <v>7442.0690044558041</v>
      </c>
    </row>
    <row r="195" spans="1:45" x14ac:dyDescent="0.2">
      <c r="A195" s="57" t="s">
        <v>82</v>
      </c>
      <c r="B195" s="18"/>
      <c r="C195" s="21" t="str">
        <f>'WP1 Light Inventory'!D196</f>
        <v>Light Emitting Diode</v>
      </c>
      <c r="D195" s="21" t="str">
        <f>'WP1 Light Inventory'!E196</f>
        <v>LED 270.01-300</v>
      </c>
      <c r="E195" s="21">
        <f>'WP1 Light Inventory'!F196</f>
        <v>285</v>
      </c>
      <c r="F195" s="21" t="str">
        <f>'WP1 Light Inventory'!H196</f>
        <v>Company</v>
      </c>
      <c r="G195" s="397">
        <f>'WP1 Light Inventory'!J196</f>
        <v>0</v>
      </c>
      <c r="H195" s="74">
        <f>'WP7 Condensed LED Cost Est.'!$C53</f>
        <v>2148.0800000000008</v>
      </c>
      <c r="I195" s="14" t="s">
        <v>133</v>
      </c>
      <c r="J195" s="19">
        <f>IF(C195="Light Emitting Diode",'WP10 O&amp;M Weighting Factor'!$B$26,IF('WP12 Condensed Sch. Level Costs'!C195="Sodium Vapor",'WP10 O&amp;M Weighting Factor'!$B$27,IF('WP12 Condensed Sch. Level Costs'!C195="Metal Halide",'WP10 O&amp;M Weighting Factor'!$B$28,IF('WP12 Condensed Sch. Level Costs'!C195="Mercury Vapor",'WP10 O&amp;M Weighting Factor'!$B$30,IF('WP12 Condensed Sch. Level Costs'!C195="Compact Flourescent",'WP10 O&amp;M Weighting Factor'!$B$29, IF(C195="Incandescent", 'WP10 O&amp;M Weighting Factor'!$B$31, 0))))))</f>
        <v>0.2</v>
      </c>
      <c r="K195" s="282">
        <f t="shared" si="398"/>
        <v>0</v>
      </c>
      <c r="L195" s="74">
        <f t="shared" si="399"/>
        <v>0</v>
      </c>
      <c r="M195" s="283">
        <f t="shared" si="400"/>
        <v>0</v>
      </c>
      <c r="N195" s="398">
        <f>'WP1 Light Inventory'!L196</f>
        <v>0</v>
      </c>
      <c r="O195" s="284">
        <f t="shared" si="401"/>
        <v>99.75</v>
      </c>
      <c r="P195" s="261">
        <f>'BDJ-6 Unitized Lighting Costs'!D$20</f>
        <v>1.0137794003499056E-2</v>
      </c>
      <c r="Q195" s="261">
        <f>'BDJ-6 Unitized Lighting Costs'!$D$43</f>
        <v>2.2529806535397991</v>
      </c>
      <c r="R195" s="261">
        <f>'BDJ-6 Unitized Lighting Costs'!D$69</f>
        <v>1.9131568994526543E-2</v>
      </c>
      <c r="S195" s="261">
        <f>'BDJ-6 Unitized Lighting Costs'!$D$110</f>
        <v>3.7045631694556067</v>
      </c>
      <c r="T195" s="261">
        <f>'BDJ-6 Unitized Lighting Costs'!$D$117</f>
        <v>5.4555747529966878E-2</v>
      </c>
      <c r="U195" s="43">
        <f t="shared" si="402"/>
        <v>21.776792543036258</v>
      </c>
      <c r="V195" s="43">
        <f t="shared" si="403"/>
        <v>0.45059613070795984</v>
      </c>
      <c r="W195" s="43">
        <f t="shared" si="404"/>
        <v>1.9083740072040227</v>
      </c>
      <c r="X195" s="43">
        <f t="shared" si="405"/>
        <v>1.0558005032948479</v>
      </c>
      <c r="Y195" s="43">
        <f t="shared" si="406"/>
        <v>5.4419358161141957</v>
      </c>
      <c r="Z195" s="43">
        <f t="shared" si="407"/>
        <v>30.633499000357286</v>
      </c>
      <c r="AA195" s="220"/>
      <c r="AB195" s="240">
        <f t="shared" si="408"/>
        <v>0.21831370970462413</v>
      </c>
      <c r="AC195" s="240">
        <f t="shared" si="409"/>
        <v>4.5172544431875674E-3</v>
      </c>
      <c r="AD195" s="240">
        <f t="shared" si="410"/>
        <v>1.9131568994526543E-2</v>
      </c>
      <c r="AE195" s="240">
        <f t="shared" si="411"/>
        <v>1.058446619844459E-2</v>
      </c>
      <c r="AF195" s="240">
        <f t="shared" si="412"/>
        <v>5.4555747529966878E-2</v>
      </c>
      <c r="AG195" s="240">
        <f t="shared" si="413"/>
        <v>0.30710274687074973</v>
      </c>
      <c r="AH195" s="43">
        <f t="shared" si="414"/>
        <v>0</v>
      </c>
      <c r="AI195" s="43">
        <f t="shared" si="415"/>
        <v>0</v>
      </c>
      <c r="AJ195" s="43">
        <f t="shared" si="416"/>
        <v>0</v>
      </c>
      <c r="AK195" s="43">
        <f t="shared" si="417"/>
        <v>0</v>
      </c>
      <c r="AL195" s="43">
        <f t="shared" si="418"/>
        <v>0</v>
      </c>
      <c r="AM195" s="43">
        <f t="shared" si="419"/>
        <v>0</v>
      </c>
      <c r="AN195" s="43">
        <f t="shared" si="420"/>
        <v>0</v>
      </c>
      <c r="AO195" s="43">
        <f t="shared" si="421"/>
        <v>0</v>
      </c>
      <c r="AP195" s="43">
        <f t="shared" si="422"/>
        <v>0</v>
      </c>
      <c r="AQ195" s="43">
        <f t="shared" si="423"/>
        <v>0</v>
      </c>
      <c r="AR195" s="43">
        <f t="shared" si="424"/>
        <v>0</v>
      </c>
      <c r="AS195" s="43">
        <f t="shared" si="425"/>
        <v>0</v>
      </c>
    </row>
    <row r="196" spans="1:45" x14ac:dyDescent="0.2">
      <c r="A196" s="57" t="s">
        <v>82</v>
      </c>
      <c r="B196" s="18"/>
      <c r="C196" s="21" t="str">
        <f>'WP1 Light Inventory'!D197</f>
        <v>Light Emitting Diode</v>
      </c>
      <c r="D196" s="21" t="str">
        <f>'WP1 Light Inventory'!E197</f>
        <v>LED 300.01-400</v>
      </c>
      <c r="E196" s="21">
        <f>'WP1 Light Inventory'!F197</f>
        <v>350</v>
      </c>
      <c r="F196" s="21" t="str">
        <f>'WP1 Light Inventory'!H197</f>
        <v>Company</v>
      </c>
      <c r="G196" s="397">
        <f>'WP1 Light Inventory'!J197</f>
        <v>0</v>
      </c>
      <c r="H196" s="74">
        <f>'WP7 Condensed LED Cost Est.'!$C54</f>
        <v>2481.2700000000013</v>
      </c>
      <c r="I196" s="14" t="s">
        <v>133</v>
      </c>
      <c r="J196" s="19">
        <f>IF(C196="Light Emitting Diode",'WP10 O&amp;M Weighting Factor'!$B$26,IF('WP12 Condensed Sch. Level Costs'!C196="Sodium Vapor",'WP10 O&amp;M Weighting Factor'!$B$27,IF('WP12 Condensed Sch. Level Costs'!C196="Metal Halide",'WP10 O&amp;M Weighting Factor'!$B$28,IF('WP12 Condensed Sch. Level Costs'!C196="Mercury Vapor",'WP10 O&amp;M Weighting Factor'!$B$30,IF('WP12 Condensed Sch. Level Costs'!C196="Compact Flourescent",'WP10 O&amp;M Weighting Factor'!$B$29, IF(C196="Incandescent", 'WP10 O&amp;M Weighting Factor'!$B$31, 0))))))</f>
        <v>0.2</v>
      </c>
      <c r="K196" s="282">
        <f t="shared" si="398"/>
        <v>0</v>
      </c>
      <c r="L196" s="74">
        <f t="shared" si="399"/>
        <v>0</v>
      </c>
      <c r="M196" s="283">
        <f t="shared" si="400"/>
        <v>0</v>
      </c>
      <c r="N196" s="398">
        <f>'WP1 Light Inventory'!L197</f>
        <v>0</v>
      </c>
      <c r="O196" s="284">
        <f t="shared" si="401"/>
        <v>122.5</v>
      </c>
      <c r="P196" s="261">
        <f>'BDJ-6 Unitized Lighting Costs'!D$20</f>
        <v>1.0137794003499056E-2</v>
      </c>
      <c r="Q196" s="261">
        <f>'BDJ-6 Unitized Lighting Costs'!$D$43</f>
        <v>2.2529806535397991</v>
      </c>
      <c r="R196" s="261">
        <f>'BDJ-6 Unitized Lighting Costs'!D$69</f>
        <v>1.9131568994526543E-2</v>
      </c>
      <c r="S196" s="261">
        <f>'BDJ-6 Unitized Lighting Costs'!$D$110</f>
        <v>3.7045631694556067</v>
      </c>
      <c r="T196" s="261">
        <f>'BDJ-6 Unitized Lighting Costs'!$D$117</f>
        <v>5.4555747529966878E-2</v>
      </c>
      <c r="U196" s="43">
        <f t="shared" si="402"/>
        <v>25.154604127062115</v>
      </c>
      <c r="V196" s="43">
        <f t="shared" si="403"/>
        <v>0.45059613070795984</v>
      </c>
      <c r="W196" s="43">
        <f t="shared" si="404"/>
        <v>2.3436172018295016</v>
      </c>
      <c r="X196" s="43">
        <f t="shared" si="405"/>
        <v>1.2965971093094624</v>
      </c>
      <c r="Y196" s="43">
        <f t="shared" si="406"/>
        <v>6.6830790724209423</v>
      </c>
      <c r="Z196" s="43">
        <f t="shared" si="407"/>
        <v>35.928493641329986</v>
      </c>
      <c r="AA196" s="220"/>
      <c r="AB196" s="240">
        <f t="shared" si="408"/>
        <v>0.20534370715969072</v>
      </c>
      <c r="AC196" s="240">
        <f t="shared" si="409"/>
        <v>3.678335760881305E-3</v>
      </c>
      <c r="AD196" s="240">
        <f t="shared" si="410"/>
        <v>1.9131568994526543E-2</v>
      </c>
      <c r="AE196" s="240">
        <f t="shared" si="411"/>
        <v>1.0584466198444591E-2</v>
      </c>
      <c r="AF196" s="240">
        <f t="shared" si="412"/>
        <v>5.4555747529966878E-2</v>
      </c>
      <c r="AG196" s="240">
        <f t="shared" si="413"/>
        <v>0.29329382564351003</v>
      </c>
      <c r="AH196" s="43">
        <f t="shared" si="414"/>
        <v>0</v>
      </c>
      <c r="AI196" s="43">
        <f t="shared" si="415"/>
        <v>0</v>
      </c>
      <c r="AJ196" s="43">
        <f t="shared" si="416"/>
        <v>0</v>
      </c>
      <c r="AK196" s="43">
        <f t="shared" si="417"/>
        <v>0</v>
      </c>
      <c r="AL196" s="43">
        <f t="shared" si="418"/>
        <v>0</v>
      </c>
      <c r="AM196" s="43">
        <f t="shared" si="419"/>
        <v>0</v>
      </c>
      <c r="AN196" s="43">
        <f t="shared" si="420"/>
        <v>0</v>
      </c>
      <c r="AO196" s="43">
        <f t="shared" si="421"/>
        <v>0</v>
      </c>
      <c r="AP196" s="43">
        <f t="shared" si="422"/>
        <v>0</v>
      </c>
      <c r="AQ196" s="43">
        <f t="shared" si="423"/>
        <v>0</v>
      </c>
      <c r="AR196" s="43">
        <f t="shared" si="424"/>
        <v>0</v>
      </c>
      <c r="AS196" s="43">
        <f t="shared" si="425"/>
        <v>0</v>
      </c>
    </row>
    <row r="197" spans="1:45" x14ac:dyDescent="0.2">
      <c r="A197" s="57" t="s">
        <v>82</v>
      </c>
      <c r="B197" s="18"/>
      <c r="C197" s="21" t="str">
        <f>'WP1 Light Inventory'!D198</f>
        <v>Light Emitting Diode</v>
      </c>
      <c r="D197" s="21" t="str">
        <f>'WP1 Light Inventory'!E198</f>
        <v>LED 400.01-500</v>
      </c>
      <c r="E197" s="21">
        <f>'WP1 Light Inventory'!F198</f>
        <v>450</v>
      </c>
      <c r="F197" s="21" t="str">
        <f>'WP1 Light Inventory'!H198</f>
        <v>Company</v>
      </c>
      <c r="G197" s="397">
        <f>'WP1 Light Inventory'!J198</f>
        <v>0</v>
      </c>
      <c r="H197" s="74">
        <f>'WP7 Condensed LED Cost Est.'!$C55</f>
        <v>2993.8700000000017</v>
      </c>
      <c r="I197" s="14" t="s">
        <v>133</v>
      </c>
      <c r="J197" s="19">
        <f>IF(C197="Light Emitting Diode",'WP10 O&amp;M Weighting Factor'!$B$26,IF('WP12 Condensed Sch. Level Costs'!C197="Sodium Vapor",'WP10 O&amp;M Weighting Factor'!$B$27,IF('WP12 Condensed Sch. Level Costs'!C197="Metal Halide",'WP10 O&amp;M Weighting Factor'!$B$28,IF('WP12 Condensed Sch. Level Costs'!C197="Mercury Vapor",'WP10 O&amp;M Weighting Factor'!$B$30,IF('WP12 Condensed Sch. Level Costs'!C197="Compact Flourescent",'WP10 O&amp;M Weighting Factor'!$B$29, IF(C197="Incandescent", 'WP10 O&amp;M Weighting Factor'!$B$31, 0))))))</f>
        <v>0.2</v>
      </c>
      <c r="K197" s="282">
        <f t="shared" si="398"/>
        <v>0</v>
      </c>
      <c r="L197" s="74">
        <f t="shared" si="399"/>
        <v>0</v>
      </c>
      <c r="M197" s="283">
        <f t="shared" si="400"/>
        <v>0</v>
      </c>
      <c r="N197" s="398">
        <f>'WP1 Light Inventory'!L198</f>
        <v>0</v>
      </c>
      <c r="O197" s="284">
        <f t="shared" si="401"/>
        <v>157.5</v>
      </c>
      <c r="P197" s="261">
        <f>'BDJ-6 Unitized Lighting Costs'!D$20</f>
        <v>1.0137794003499056E-2</v>
      </c>
      <c r="Q197" s="261">
        <f>'BDJ-6 Unitized Lighting Costs'!$D$43</f>
        <v>2.2529806535397991</v>
      </c>
      <c r="R197" s="261">
        <f>'BDJ-6 Unitized Lighting Costs'!D$69</f>
        <v>1.9131568994526543E-2</v>
      </c>
      <c r="S197" s="261">
        <f>'BDJ-6 Unitized Lighting Costs'!$D$110</f>
        <v>3.7045631694556067</v>
      </c>
      <c r="T197" s="261">
        <f>'BDJ-6 Unitized Lighting Costs'!$D$117</f>
        <v>5.4555747529966878E-2</v>
      </c>
      <c r="U197" s="43">
        <f t="shared" si="402"/>
        <v>30.351237333255735</v>
      </c>
      <c r="V197" s="43">
        <f t="shared" si="403"/>
        <v>0.45059613070795984</v>
      </c>
      <c r="W197" s="43">
        <f t="shared" si="404"/>
        <v>3.0132221166379303</v>
      </c>
      <c r="X197" s="43">
        <f t="shared" si="405"/>
        <v>1.667053426255023</v>
      </c>
      <c r="Y197" s="43">
        <f t="shared" si="406"/>
        <v>8.5925302359697824</v>
      </c>
      <c r="Z197" s="43">
        <f t="shared" si="407"/>
        <v>44.074639242826429</v>
      </c>
      <c r="AA197" s="220"/>
      <c r="AB197" s="240">
        <f t="shared" si="408"/>
        <v>0.1927062687825761</v>
      </c>
      <c r="AC197" s="240">
        <f t="shared" si="409"/>
        <v>2.8609278140187926E-3</v>
      </c>
      <c r="AD197" s="240">
        <f t="shared" si="410"/>
        <v>1.9131568994526543E-2</v>
      </c>
      <c r="AE197" s="240">
        <f t="shared" si="411"/>
        <v>1.058446619844459E-2</v>
      </c>
      <c r="AF197" s="240">
        <f t="shared" si="412"/>
        <v>5.4555747529966871E-2</v>
      </c>
      <c r="AG197" s="240">
        <f t="shared" si="413"/>
        <v>0.27983897931953289</v>
      </c>
      <c r="AH197" s="43">
        <f t="shared" si="414"/>
        <v>0</v>
      </c>
      <c r="AI197" s="43">
        <f t="shared" si="415"/>
        <v>0</v>
      </c>
      <c r="AJ197" s="43">
        <f t="shared" si="416"/>
        <v>0</v>
      </c>
      <c r="AK197" s="43">
        <f t="shared" si="417"/>
        <v>0</v>
      </c>
      <c r="AL197" s="43">
        <f t="shared" si="418"/>
        <v>0</v>
      </c>
      <c r="AM197" s="43">
        <f t="shared" si="419"/>
        <v>0</v>
      </c>
      <c r="AN197" s="43">
        <f t="shared" si="420"/>
        <v>0</v>
      </c>
      <c r="AO197" s="43">
        <f t="shared" si="421"/>
        <v>0</v>
      </c>
      <c r="AP197" s="43">
        <f t="shared" si="422"/>
        <v>0</v>
      </c>
      <c r="AQ197" s="43">
        <f t="shared" si="423"/>
        <v>0</v>
      </c>
      <c r="AR197" s="43">
        <f t="shared" si="424"/>
        <v>0</v>
      </c>
      <c r="AS197" s="43">
        <f t="shared" si="425"/>
        <v>0</v>
      </c>
    </row>
    <row r="198" spans="1:45" x14ac:dyDescent="0.2">
      <c r="A198" s="57" t="s">
        <v>82</v>
      </c>
      <c r="B198" s="18"/>
      <c r="C198" s="21" t="str">
        <f>'WP1 Light Inventory'!D199</f>
        <v>Light Emitting Diode</v>
      </c>
      <c r="D198" s="21" t="str">
        <f>'WP1 Light Inventory'!E199</f>
        <v>LED 500.01-600</v>
      </c>
      <c r="E198" s="21">
        <f>'WP1 Light Inventory'!F199</f>
        <v>550</v>
      </c>
      <c r="F198" s="21" t="str">
        <f>'WP1 Light Inventory'!H199</f>
        <v>Company</v>
      </c>
      <c r="G198" s="397">
        <f>'WP1 Light Inventory'!J199</f>
        <v>0</v>
      </c>
      <c r="H198" s="74">
        <f>'WP7 Condensed LED Cost Est.'!$C56</f>
        <v>3506.4700000000021</v>
      </c>
      <c r="I198" s="14" t="s">
        <v>133</v>
      </c>
      <c r="J198" s="19">
        <f>IF(C198="Light Emitting Diode",'WP10 O&amp;M Weighting Factor'!$B$26,IF('WP12 Condensed Sch. Level Costs'!C198="Sodium Vapor",'WP10 O&amp;M Weighting Factor'!$B$27,IF('WP12 Condensed Sch. Level Costs'!C198="Metal Halide",'WP10 O&amp;M Weighting Factor'!$B$28,IF('WP12 Condensed Sch. Level Costs'!C198="Mercury Vapor",'WP10 O&amp;M Weighting Factor'!$B$30,IF('WP12 Condensed Sch. Level Costs'!C198="Compact Flourescent",'WP10 O&amp;M Weighting Factor'!$B$29, IF(C198="Incandescent", 'WP10 O&amp;M Weighting Factor'!$B$31, 0))))))</f>
        <v>0.2</v>
      </c>
      <c r="K198" s="282">
        <f t="shared" si="398"/>
        <v>0</v>
      </c>
      <c r="L198" s="74">
        <f t="shared" si="399"/>
        <v>0</v>
      </c>
      <c r="M198" s="283">
        <f t="shared" si="400"/>
        <v>0</v>
      </c>
      <c r="N198" s="398">
        <f>'WP1 Light Inventory'!L199</f>
        <v>0</v>
      </c>
      <c r="O198" s="284">
        <f t="shared" si="401"/>
        <v>192.5</v>
      </c>
      <c r="P198" s="261">
        <f>'BDJ-6 Unitized Lighting Costs'!D$20</f>
        <v>1.0137794003499056E-2</v>
      </c>
      <c r="Q198" s="261">
        <f>'BDJ-6 Unitized Lighting Costs'!$D$43</f>
        <v>2.2529806535397991</v>
      </c>
      <c r="R198" s="261">
        <f>'BDJ-6 Unitized Lighting Costs'!D$69</f>
        <v>1.9131568994526543E-2</v>
      </c>
      <c r="S198" s="261">
        <f>'BDJ-6 Unitized Lighting Costs'!$D$110</f>
        <v>3.7045631694556067</v>
      </c>
      <c r="T198" s="261">
        <f>'BDJ-6 Unitized Lighting Costs'!$D$117</f>
        <v>5.4555747529966878E-2</v>
      </c>
      <c r="U198" s="43">
        <f t="shared" si="402"/>
        <v>35.547870539449356</v>
      </c>
      <c r="V198" s="43">
        <f t="shared" si="403"/>
        <v>0.45059613070795984</v>
      </c>
      <c r="W198" s="43">
        <f t="shared" si="404"/>
        <v>3.6828270314463594</v>
      </c>
      <c r="X198" s="43">
        <f t="shared" si="405"/>
        <v>2.0375097432005838</v>
      </c>
      <c r="Y198" s="43">
        <f t="shared" si="406"/>
        <v>10.501981399518623</v>
      </c>
      <c r="Z198" s="43">
        <f t="shared" si="407"/>
        <v>52.220784844322878</v>
      </c>
      <c r="AA198" s="220"/>
      <c r="AB198" s="240">
        <f t="shared" si="408"/>
        <v>0.18466426254259405</v>
      </c>
      <c r="AC198" s="240">
        <f t="shared" si="409"/>
        <v>2.3407591205608304E-3</v>
      </c>
      <c r="AD198" s="240">
        <f t="shared" si="410"/>
        <v>1.9131568994526543E-2</v>
      </c>
      <c r="AE198" s="240">
        <f t="shared" si="411"/>
        <v>1.0584466198444591E-2</v>
      </c>
      <c r="AF198" s="240">
        <f t="shared" si="412"/>
        <v>5.4555747529966878E-2</v>
      </c>
      <c r="AG198" s="240">
        <f t="shared" si="413"/>
        <v>0.27127680438609286</v>
      </c>
      <c r="AH198" s="43">
        <f t="shared" si="414"/>
        <v>0</v>
      </c>
      <c r="AI198" s="43">
        <f t="shared" si="415"/>
        <v>0</v>
      </c>
      <c r="AJ198" s="43">
        <f t="shared" si="416"/>
        <v>0</v>
      </c>
      <c r="AK198" s="43">
        <f t="shared" si="417"/>
        <v>0</v>
      </c>
      <c r="AL198" s="43">
        <f t="shared" si="418"/>
        <v>0</v>
      </c>
      <c r="AM198" s="43">
        <f t="shared" si="419"/>
        <v>0</v>
      </c>
      <c r="AN198" s="43">
        <f t="shared" si="420"/>
        <v>0</v>
      </c>
      <c r="AO198" s="43">
        <f t="shared" si="421"/>
        <v>0</v>
      </c>
      <c r="AP198" s="43">
        <f t="shared" si="422"/>
        <v>0</v>
      </c>
      <c r="AQ198" s="43">
        <f t="shared" si="423"/>
        <v>0</v>
      </c>
      <c r="AR198" s="43">
        <f t="shared" si="424"/>
        <v>0</v>
      </c>
      <c r="AS198" s="43">
        <f t="shared" si="425"/>
        <v>0</v>
      </c>
    </row>
    <row r="199" spans="1:45" x14ac:dyDescent="0.2">
      <c r="A199" s="57" t="s">
        <v>82</v>
      </c>
      <c r="B199" s="18"/>
      <c r="C199" s="21" t="str">
        <f>'WP1 Light Inventory'!D200</f>
        <v>Light Emitting Diode</v>
      </c>
      <c r="D199" s="21" t="str">
        <f>'WP1 Light Inventory'!E200</f>
        <v>LED 600.01-700</v>
      </c>
      <c r="E199" s="21">
        <f>'WP1 Light Inventory'!F200</f>
        <v>650</v>
      </c>
      <c r="F199" s="21" t="str">
        <f>'WP1 Light Inventory'!H200</f>
        <v>Company</v>
      </c>
      <c r="G199" s="397">
        <f>'WP1 Light Inventory'!J200</f>
        <v>0</v>
      </c>
      <c r="H199" s="74">
        <f>'WP7 Condensed LED Cost Est.'!$C57</f>
        <v>4019.0700000000029</v>
      </c>
      <c r="I199" s="14" t="s">
        <v>133</v>
      </c>
      <c r="J199" s="19">
        <f>IF(C199="Light Emitting Diode",'WP10 O&amp;M Weighting Factor'!$B$26,IF('WP12 Condensed Sch. Level Costs'!C199="Sodium Vapor",'WP10 O&amp;M Weighting Factor'!$B$27,IF('WP12 Condensed Sch. Level Costs'!C199="Metal Halide",'WP10 O&amp;M Weighting Factor'!$B$28,IF('WP12 Condensed Sch. Level Costs'!C199="Mercury Vapor",'WP10 O&amp;M Weighting Factor'!$B$30,IF('WP12 Condensed Sch. Level Costs'!C199="Compact Flourescent",'WP10 O&amp;M Weighting Factor'!$B$29, IF(C199="Incandescent", 'WP10 O&amp;M Weighting Factor'!$B$31, 0))))))</f>
        <v>0.2</v>
      </c>
      <c r="K199" s="282">
        <f t="shared" si="398"/>
        <v>0</v>
      </c>
      <c r="L199" s="74">
        <f t="shared" si="399"/>
        <v>0</v>
      </c>
      <c r="M199" s="283">
        <f t="shared" si="400"/>
        <v>0</v>
      </c>
      <c r="N199" s="398">
        <f>'WP1 Light Inventory'!L200</f>
        <v>0</v>
      </c>
      <c r="O199" s="284">
        <f t="shared" si="401"/>
        <v>227.5</v>
      </c>
      <c r="P199" s="261">
        <f>'BDJ-6 Unitized Lighting Costs'!D$20</f>
        <v>1.0137794003499056E-2</v>
      </c>
      <c r="Q199" s="261">
        <f>'BDJ-6 Unitized Lighting Costs'!$D$43</f>
        <v>2.2529806535397991</v>
      </c>
      <c r="R199" s="261">
        <f>'BDJ-6 Unitized Lighting Costs'!D$69</f>
        <v>1.9131568994526543E-2</v>
      </c>
      <c r="S199" s="261">
        <f>'BDJ-6 Unitized Lighting Costs'!$D$110</f>
        <v>3.7045631694556067</v>
      </c>
      <c r="T199" s="261">
        <f>'BDJ-6 Unitized Lighting Costs'!$D$117</f>
        <v>5.4555747529966878E-2</v>
      </c>
      <c r="U199" s="43">
        <f t="shared" si="402"/>
        <v>40.74450374564298</v>
      </c>
      <c r="V199" s="43">
        <f t="shared" si="403"/>
        <v>0.45059613070795984</v>
      </c>
      <c r="W199" s="43">
        <f t="shared" si="404"/>
        <v>4.3524319462547885</v>
      </c>
      <c r="X199" s="43">
        <f t="shared" si="405"/>
        <v>2.4079660601461441</v>
      </c>
      <c r="Y199" s="43">
        <f t="shared" si="406"/>
        <v>12.411432563067464</v>
      </c>
      <c r="Z199" s="43">
        <f t="shared" si="407"/>
        <v>60.366930445819335</v>
      </c>
      <c r="AA199" s="220"/>
      <c r="AB199" s="240">
        <f t="shared" si="408"/>
        <v>0.17909671976106806</v>
      </c>
      <c r="AC199" s="240">
        <f t="shared" si="409"/>
        <v>1.9806423327822409E-3</v>
      </c>
      <c r="AD199" s="240">
        <f t="shared" si="410"/>
        <v>1.9131568994526543E-2</v>
      </c>
      <c r="AE199" s="240">
        <f t="shared" si="411"/>
        <v>1.058446619844459E-2</v>
      </c>
      <c r="AF199" s="240">
        <f t="shared" si="412"/>
        <v>5.4555747529966878E-2</v>
      </c>
      <c r="AG199" s="240">
        <f t="shared" si="413"/>
        <v>0.26534914481678828</v>
      </c>
      <c r="AH199" s="43">
        <f t="shared" si="414"/>
        <v>0</v>
      </c>
      <c r="AI199" s="43">
        <f t="shared" si="415"/>
        <v>0</v>
      </c>
      <c r="AJ199" s="43">
        <f t="shared" si="416"/>
        <v>0</v>
      </c>
      <c r="AK199" s="43">
        <f t="shared" si="417"/>
        <v>0</v>
      </c>
      <c r="AL199" s="43">
        <f t="shared" si="418"/>
        <v>0</v>
      </c>
      <c r="AM199" s="43">
        <f t="shared" si="419"/>
        <v>0</v>
      </c>
      <c r="AN199" s="43">
        <f t="shared" si="420"/>
        <v>0</v>
      </c>
      <c r="AO199" s="43">
        <f t="shared" si="421"/>
        <v>0</v>
      </c>
      <c r="AP199" s="43">
        <f t="shared" si="422"/>
        <v>0</v>
      </c>
      <c r="AQ199" s="43">
        <f t="shared" si="423"/>
        <v>0</v>
      </c>
      <c r="AR199" s="43">
        <f t="shared" si="424"/>
        <v>0</v>
      </c>
      <c r="AS199" s="43">
        <f t="shared" si="425"/>
        <v>0</v>
      </c>
    </row>
    <row r="200" spans="1:45" x14ac:dyDescent="0.2">
      <c r="A200" s="57" t="s">
        <v>82</v>
      </c>
      <c r="B200" s="18"/>
      <c r="C200" s="21" t="str">
        <f>'WP1 Light Inventory'!D201</f>
        <v>Light Emitting Diode</v>
      </c>
      <c r="D200" s="21" t="str">
        <f>'WP1 Light Inventory'!E201</f>
        <v>LED 700.01-800</v>
      </c>
      <c r="E200" s="21">
        <f>'WP1 Light Inventory'!F201</f>
        <v>750</v>
      </c>
      <c r="F200" s="21" t="str">
        <f>'WP1 Light Inventory'!H201</f>
        <v>Company</v>
      </c>
      <c r="G200" s="397">
        <f>'WP1 Light Inventory'!J201</f>
        <v>0</v>
      </c>
      <c r="H200" s="74">
        <f>'WP7 Condensed LED Cost Est.'!$C58</f>
        <v>4531.6700000000037</v>
      </c>
      <c r="I200" s="14" t="s">
        <v>133</v>
      </c>
      <c r="J200" s="19">
        <f>IF(C200="Light Emitting Diode",'WP10 O&amp;M Weighting Factor'!$B$26,IF('WP12 Condensed Sch. Level Costs'!C200="Sodium Vapor",'WP10 O&amp;M Weighting Factor'!$B$27,IF('WP12 Condensed Sch. Level Costs'!C200="Metal Halide",'WP10 O&amp;M Weighting Factor'!$B$28,IF('WP12 Condensed Sch. Level Costs'!C200="Mercury Vapor",'WP10 O&amp;M Weighting Factor'!$B$30,IF('WP12 Condensed Sch. Level Costs'!C200="Compact Flourescent",'WP10 O&amp;M Weighting Factor'!$B$29, IF(C200="Incandescent", 'WP10 O&amp;M Weighting Factor'!$B$31, 0))))))</f>
        <v>0.2</v>
      </c>
      <c r="K200" s="282">
        <f t="shared" si="398"/>
        <v>0</v>
      </c>
      <c r="L200" s="74">
        <f t="shared" si="399"/>
        <v>0</v>
      </c>
      <c r="M200" s="283">
        <f t="shared" si="400"/>
        <v>0</v>
      </c>
      <c r="N200" s="398">
        <f>'WP1 Light Inventory'!L201</f>
        <v>0</v>
      </c>
      <c r="O200" s="284">
        <f t="shared" si="401"/>
        <v>262.5</v>
      </c>
      <c r="P200" s="261">
        <f>'BDJ-6 Unitized Lighting Costs'!D$20</f>
        <v>1.0137794003499056E-2</v>
      </c>
      <c r="Q200" s="261">
        <f>'BDJ-6 Unitized Lighting Costs'!$D$43</f>
        <v>2.2529806535397991</v>
      </c>
      <c r="R200" s="261">
        <f>'BDJ-6 Unitized Lighting Costs'!D$69</f>
        <v>1.9131568994526543E-2</v>
      </c>
      <c r="S200" s="261">
        <f>'BDJ-6 Unitized Lighting Costs'!$D$110</f>
        <v>3.7045631694556067</v>
      </c>
      <c r="T200" s="261">
        <f>'BDJ-6 Unitized Lighting Costs'!$D$117</f>
        <v>5.4555747529966878E-2</v>
      </c>
      <c r="U200" s="43">
        <f t="shared" si="402"/>
        <v>45.941136951836604</v>
      </c>
      <c r="V200" s="43">
        <f t="shared" si="403"/>
        <v>0.45059613070795984</v>
      </c>
      <c r="W200" s="43">
        <f t="shared" si="404"/>
        <v>5.0220368610632171</v>
      </c>
      <c r="X200" s="43">
        <f t="shared" si="405"/>
        <v>2.7784223770917049</v>
      </c>
      <c r="Y200" s="43">
        <f t="shared" si="406"/>
        <v>14.320883726616305</v>
      </c>
      <c r="Z200" s="43">
        <f t="shared" si="407"/>
        <v>68.513076047315792</v>
      </c>
      <c r="AA200" s="220"/>
      <c r="AB200" s="240">
        <f t="shared" si="408"/>
        <v>0.17501385505461564</v>
      </c>
      <c r="AC200" s="240">
        <f t="shared" si="409"/>
        <v>1.7165566884112756E-3</v>
      </c>
      <c r="AD200" s="240">
        <f t="shared" si="410"/>
        <v>1.9131568994526543E-2</v>
      </c>
      <c r="AE200" s="240">
        <f t="shared" si="411"/>
        <v>1.058446619844459E-2</v>
      </c>
      <c r="AF200" s="240">
        <f t="shared" si="412"/>
        <v>5.4555747529966878E-2</v>
      </c>
      <c r="AG200" s="240">
        <f t="shared" si="413"/>
        <v>0.2610021944659649</v>
      </c>
      <c r="AH200" s="43">
        <f t="shared" si="414"/>
        <v>0</v>
      </c>
      <c r="AI200" s="43">
        <f t="shared" si="415"/>
        <v>0</v>
      </c>
      <c r="AJ200" s="43">
        <f t="shared" si="416"/>
        <v>0</v>
      </c>
      <c r="AK200" s="43">
        <f t="shared" si="417"/>
        <v>0</v>
      </c>
      <c r="AL200" s="43">
        <f t="shared" si="418"/>
        <v>0</v>
      </c>
      <c r="AM200" s="43">
        <f t="shared" si="419"/>
        <v>0</v>
      </c>
      <c r="AN200" s="43">
        <f t="shared" si="420"/>
        <v>0</v>
      </c>
      <c r="AO200" s="43">
        <f t="shared" si="421"/>
        <v>0</v>
      </c>
      <c r="AP200" s="43">
        <f t="shared" si="422"/>
        <v>0</v>
      </c>
      <c r="AQ200" s="43">
        <f t="shared" si="423"/>
        <v>0</v>
      </c>
      <c r="AR200" s="43">
        <f t="shared" si="424"/>
        <v>0</v>
      </c>
      <c r="AS200" s="43">
        <f t="shared" si="425"/>
        <v>0</v>
      </c>
    </row>
    <row r="201" spans="1:45" x14ac:dyDescent="0.2">
      <c r="A201" s="57" t="s">
        <v>82</v>
      </c>
      <c r="B201" s="18"/>
      <c r="C201" s="21" t="str">
        <f>'WP1 Light Inventory'!D202</f>
        <v>Light Emitting Diode</v>
      </c>
      <c r="D201" s="21" t="str">
        <f>'WP1 Light Inventory'!E202</f>
        <v>LED 800.01-900</v>
      </c>
      <c r="E201" s="21">
        <f>'WP1 Light Inventory'!F202</f>
        <v>850</v>
      </c>
      <c r="F201" s="21" t="str">
        <f>'WP1 Light Inventory'!H202</f>
        <v>Company</v>
      </c>
      <c r="G201" s="397">
        <f>'WP1 Light Inventory'!J202</f>
        <v>0</v>
      </c>
      <c r="H201" s="74">
        <f>'WP7 Condensed LED Cost Est.'!$C59</f>
        <v>5044.2700000000041</v>
      </c>
      <c r="I201" s="14" t="s">
        <v>133</v>
      </c>
      <c r="J201" s="19">
        <f>IF(C201="Light Emitting Diode",'WP10 O&amp;M Weighting Factor'!$B$26,IF('WP12 Condensed Sch. Level Costs'!C201="Sodium Vapor",'WP10 O&amp;M Weighting Factor'!$B$27,IF('WP12 Condensed Sch. Level Costs'!C201="Metal Halide",'WP10 O&amp;M Weighting Factor'!$B$28,IF('WP12 Condensed Sch. Level Costs'!C201="Mercury Vapor",'WP10 O&amp;M Weighting Factor'!$B$30,IF('WP12 Condensed Sch. Level Costs'!C201="Compact Flourescent",'WP10 O&amp;M Weighting Factor'!$B$29, IF(C201="Incandescent", 'WP10 O&amp;M Weighting Factor'!$B$31, 0))))))</f>
        <v>0.2</v>
      </c>
      <c r="K201" s="282">
        <f t="shared" si="398"/>
        <v>0</v>
      </c>
      <c r="L201" s="74">
        <f t="shared" si="399"/>
        <v>0</v>
      </c>
      <c r="M201" s="283">
        <f t="shared" si="400"/>
        <v>0</v>
      </c>
      <c r="N201" s="398">
        <f>'WP1 Light Inventory'!L202</f>
        <v>0</v>
      </c>
      <c r="O201" s="284">
        <f t="shared" si="401"/>
        <v>297.5</v>
      </c>
      <c r="P201" s="261">
        <f>'BDJ-6 Unitized Lighting Costs'!D$20</f>
        <v>1.0137794003499056E-2</v>
      </c>
      <c r="Q201" s="261">
        <f>'BDJ-6 Unitized Lighting Costs'!$D$43</f>
        <v>2.2529806535397991</v>
      </c>
      <c r="R201" s="261">
        <f>'BDJ-6 Unitized Lighting Costs'!D$69</f>
        <v>1.9131568994526543E-2</v>
      </c>
      <c r="S201" s="261">
        <f>'BDJ-6 Unitized Lighting Costs'!$D$110</f>
        <v>3.7045631694556067</v>
      </c>
      <c r="T201" s="261">
        <f>'BDJ-6 Unitized Lighting Costs'!$D$117</f>
        <v>5.4555747529966878E-2</v>
      </c>
      <c r="U201" s="43">
        <f t="shared" si="402"/>
        <v>51.137770158030222</v>
      </c>
      <c r="V201" s="43">
        <f t="shared" si="403"/>
        <v>0.45059613070795984</v>
      </c>
      <c r="W201" s="43">
        <f t="shared" si="404"/>
        <v>5.6916417758716467</v>
      </c>
      <c r="X201" s="43">
        <f t="shared" si="405"/>
        <v>3.1488786940372657</v>
      </c>
      <c r="Y201" s="43">
        <f t="shared" si="406"/>
        <v>16.230334890165146</v>
      </c>
      <c r="Z201" s="43">
        <f t="shared" si="407"/>
        <v>76.659221648812235</v>
      </c>
      <c r="AA201" s="220"/>
      <c r="AB201" s="240">
        <f t="shared" si="408"/>
        <v>0.17189166439674025</v>
      </c>
      <c r="AC201" s="240">
        <f t="shared" si="409"/>
        <v>1.5146088427158313E-3</v>
      </c>
      <c r="AD201" s="240">
        <f t="shared" si="410"/>
        <v>1.9131568994526543E-2</v>
      </c>
      <c r="AE201" s="240">
        <f t="shared" si="411"/>
        <v>1.0584466198444591E-2</v>
      </c>
      <c r="AF201" s="240">
        <f t="shared" si="412"/>
        <v>5.4555747529966878E-2</v>
      </c>
      <c r="AG201" s="240">
        <f t="shared" si="413"/>
        <v>0.25767805596239407</v>
      </c>
      <c r="AH201" s="43">
        <f t="shared" si="414"/>
        <v>0</v>
      </c>
      <c r="AI201" s="43">
        <f t="shared" si="415"/>
        <v>0</v>
      </c>
      <c r="AJ201" s="43">
        <f t="shared" si="416"/>
        <v>0</v>
      </c>
      <c r="AK201" s="43">
        <f t="shared" si="417"/>
        <v>0</v>
      </c>
      <c r="AL201" s="43">
        <f t="shared" si="418"/>
        <v>0</v>
      </c>
      <c r="AM201" s="43">
        <f t="shared" si="419"/>
        <v>0</v>
      </c>
      <c r="AN201" s="43">
        <f t="shared" si="420"/>
        <v>0</v>
      </c>
      <c r="AO201" s="43">
        <f t="shared" si="421"/>
        <v>0</v>
      </c>
      <c r="AP201" s="43">
        <f t="shared" si="422"/>
        <v>0</v>
      </c>
      <c r="AQ201" s="43">
        <f t="shared" si="423"/>
        <v>0</v>
      </c>
      <c r="AR201" s="43">
        <f t="shared" si="424"/>
        <v>0</v>
      </c>
      <c r="AS201" s="43">
        <f t="shared" si="425"/>
        <v>0</v>
      </c>
    </row>
    <row r="202" spans="1:45" x14ac:dyDescent="0.2">
      <c r="A202" s="403" t="s">
        <v>247</v>
      </c>
      <c r="B202" s="15"/>
      <c r="C202" s="15"/>
      <c r="D202" s="390"/>
      <c r="E202" s="391"/>
      <c r="F202" s="390"/>
      <c r="G202" s="392"/>
      <c r="H202" s="378"/>
      <c r="I202" s="15"/>
      <c r="J202" s="390"/>
      <c r="K202" s="377"/>
      <c r="L202" s="378"/>
      <c r="M202" s="379"/>
      <c r="N202" s="394"/>
      <c r="O202" s="395"/>
      <c r="P202" s="396"/>
      <c r="Q202" s="396"/>
      <c r="R202" s="396"/>
      <c r="S202" s="396"/>
      <c r="T202" s="396"/>
      <c r="U202" s="274"/>
      <c r="V202" s="274"/>
      <c r="W202" s="274"/>
      <c r="X202" s="274"/>
      <c r="Y202" s="274"/>
      <c r="Z202" s="274"/>
      <c r="AA202" s="220"/>
      <c r="AB202" s="240"/>
      <c r="AC202" s="240"/>
      <c r="AD202" s="240"/>
      <c r="AE202" s="240"/>
      <c r="AF202" s="240"/>
      <c r="AG202" s="240"/>
    </row>
    <row r="203" spans="1:45" x14ac:dyDescent="0.2">
      <c r="A203" s="20" t="s">
        <v>62</v>
      </c>
      <c r="B203" s="21" t="s">
        <v>248</v>
      </c>
      <c r="C203" s="21" t="str">
        <f>'WP1 Light Inventory'!D204</f>
        <v>Per W charge</v>
      </c>
      <c r="D203" s="21" t="str">
        <f>'WP1 Light Inventory'!E204</f>
        <v>TRFC</v>
      </c>
      <c r="E203" s="397">
        <f>'WP1 Light Inventory'!F204</f>
        <v>935514.08333333337</v>
      </c>
      <c r="F203" s="21" t="str">
        <f>'WP1 Light Inventory'!H204</f>
        <v>Customer</v>
      </c>
      <c r="G203" s="397">
        <f>'WP1 Light Inventory'!J204</f>
        <v>1</v>
      </c>
      <c r="H203" s="74" t="s">
        <v>600</v>
      </c>
      <c r="I203" s="14" t="s">
        <v>159</v>
      </c>
      <c r="J203" s="19">
        <f>IF(C203="Light Emitting Diode",'WP10 O&amp;M Weighting Factor'!$B$26,IF('WP12 Condensed Sch. Level Costs'!C203="Sodium Vapor",'WP10 O&amp;M Weighting Factor'!$B$27,IF('WP12 Condensed Sch. Level Costs'!C203="Metal Halide",'WP10 O&amp;M Weighting Factor'!$B$28,IF('WP12 Condensed Sch. Level Costs'!C203="Mercury Vapor",'WP10 O&amp;M Weighting Factor'!$B$30,IF('WP12 Condensed Sch. Level Costs'!C203="Compact Flourescent",'WP10 O&amp;M Weighting Factor'!$B$29, IF(C203="Incandescent", 'WP10 O&amp;M Weighting Factor'!$B$31, 0))))))</f>
        <v>0</v>
      </c>
      <c r="K203" s="282">
        <f>IF(I203="Yes",G203*J203,0)</f>
        <v>0</v>
      </c>
      <c r="L203" s="74">
        <f>IF(F203="Company", G203*H203,0)</f>
        <v>0</v>
      </c>
      <c r="M203" s="283">
        <f>E203*G203/1000</f>
        <v>935.51408333333336</v>
      </c>
      <c r="N203" s="398">
        <f>'WP1 Light Inventory'!L204</f>
        <v>8195103.3700000001</v>
      </c>
      <c r="O203" s="284">
        <f>E203*8760/1000/12</f>
        <v>682925.28083333338</v>
      </c>
      <c r="P203" s="261">
        <f>'BDJ-6 Unitized Lighting Costs'!D$20</f>
        <v>1.0137794003499056E-2</v>
      </c>
      <c r="Q203" s="261">
        <f>'BDJ-6 Unitized Lighting Costs'!$D$43</f>
        <v>2.2529806535397991</v>
      </c>
      <c r="R203" s="261">
        <f>'BDJ-6 Unitized Lighting Costs'!$D$80</f>
        <v>1.1815449668613916E-3</v>
      </c>
      <c r="S203" s="261">
        <f>'BDJ-6 Unitized Lighting Costs'!$D$90</f>
        <v>2.8573349636701315</v>
      </c>
      <c r="T203" s="261">
        <f>'BDJ-6 Unitized Lighting Costs'!$D$117</f>
        <v>5.4555747529966878E-2</v>
      </c>
      <c r="U203" s="43">
        <f>IF(F203="Company", H203*P203, 0)</f>
        <v>0</v>
      </c>
      <c r="V203" s="43">
        <f>IF(I203="yes", J203*Q203, 0)</f>
        <v>0</v>
      </c>
      <c r="W203" s="43">
        <f>E203*R203</f>
        <v>1105.3519565904485</v>
      </c>
      <c r="X203" s="43">
        <f>E203*S203/1000</f>
        <v>2673.0770993141468</v>
      </c>
      <c r="Y203" s="43">
        <f>O203*T203</f>
        <v>37257.499202975065</v>
      </c>
      <c r="Z203" s="261">
        <f>SUM(U203:Y203)/E203</f>
        <v>4.3864575627407351E-2</v>
      </c>
      <c r="AA203" s="220"/>
      <c r="AB203" s="240">
        <f>IFERROR(U203/O203,0)</f>
        <v>0</v>
      </c>
      <c r="AC203" s="240">
        <f>IFERROR(V203/O203,0)</f>
        <v>0</v>
      </c>
      <c r="AD203" s="240">
        <f>IFERROR(W203/O203,0)</f>
        <v>1.6185547491251939E-3</v>
      </c>
      <c r="AE203" s="240">
        <f>IFERROR(X203/O203,0)</f>
        <v>3.9141574844796323E-3</v>
      </c>
      <c r="AF203" s="240">
        <f>IFERROR(Y203/O203,0)</f>
        <v>5.4555747529966878E-2</v>
      </c>
      <c r="AG203" s="240">
        <f>SUM(AB203:AF203)</f>
        <v>6.0088459763571703E-2</v>
      </c>
      <c r="AH203" s="43">
        <f>(U203)</f>
        <v>0</v>
      </c>
      <c r="AI203" s="43">
        <f>(V203)</f>
        <v>0</v>
      </c>
      <c r="AJ203" s="43">
        <f>(W203*$G203)</f>
        <v>1105.3519565904485</v>
      </c>
      <c r="AK203" s="43">
        <f>X203</f>
        <v>2673.0770993141468</v>
      </c>
      <c r="AL203" s="43">
        <f>Y203</f>
        <v>37257.499202975065</v>
      </c>
      <c r="AM203" s="43">
        <f>SUM(AH203:AL203)</f>
        <v>41035.928258879663</v>
      </c>
      <c r="AN203" s="43">
        <f t="shared" ref="AN203:AS203" si="426">AH203*12</f>
        <v>0</v>
      </c>
      <c r="AO203" s="43">
        <f t="shared" si="426"/>
        <v>0</v>
      </c>
      <c r="AP203" s="43">
        <f t="shared" si="426"/>
        <v>13264.223479085382</v>
      </c>
      <c r="AQ203" s="43">
        <f t="shared" si="426"/>
        <v>32076.925191769762</v>
      </c>
      <c r="AR203" s="43">
        <f t="shared" si="426"/>
        <v>447089.99043570075</v>
      </c>
      <c r="AS203" s="43">
        <f t="shared" si="426"/>
        <v>492431.13910655596</v>
      </c>
    </row>
    <row r="204" spans="1:45" x14ac:dyDescent="0.2">
      <c r="A204" s="403"/>
      <c r="B204" s="15"/>
      <c r="C204" s="15"/>
      <c r="D204" s="390"/>
      <c r="E204" s="391"/>
      <c r="F204" s="390"/>
      <c r="G204" s="392"/>
      <c r="H204" s="378"/>
      <c r="I204" s="15"/>
      <c r="J204" s="390"/>
      <c r="K204" s="377"/>
      <c r="L204" s="378"/>
      <c r="M204" s="379"/>
      <c r="N204" s="394"/>
      <c r="O204" s="395"/>
      <c r="P204" s="396"/>
      <c r="Q204" s="396"/>
      <c r="R204" s="396"/>
      <c r="S204" s="396"/>
      <c r="T204" s="396"/>
      <c r="U204" s="274"/>
      <c r="V204" s="274"/>
      <c r="W204" s="274"/>
      <c r="X204" s="274"/>
      <c r="Y204" s="274"/>
      <c r="Z204" s="274"/>
      <c r="AA204" s="220"/>
      <c r="AB204" s="240"/>
      <c r="AC204" s="240"/>
      <c r="AD204" s="240"/>
      <c r="AE204" s="240"/>
      <c r="AF204" s="240"/>
      <c r="AG204" s="240"/>
    </row>
    <row r="205" spans="1:45" x14ac:dyDescent="0.2">
      <c r="A205" s="20" t="s">
        <v>164</v>
      </c>
      <c r="B205" s="21"/>
      <c r="C205" s="21" t="str">
        <f>'WP1 Light Inventory'!D206</f>
        <v>Pole</v>
      </c>
      <c r="D205" s="21" t="str">
        <f>'WP1 Light Inventory'!E206</f>
        <v>Old</v>
      </c>
      <c r="E205" s="21"/>
      <c r="F205" s="21" t="str">
        <f>'WP1 Light Inventory'!H206</f>
        <v>Company</v>
      </c>
      <c r="G205" s="397">
        <f>'WP1 Light Inventory'!J206</f>
        <v>612</v>
      </c>
      <c r="H205" s="74">
        <f>H206/2</f>
        <v>959.25797583146004</v>
      </c>
      <c r="I205" s="14" t="s">
        <v>133</v>
      </c>
      <c r="J205" s="19">
        <v>1</v>
      </c>
      <c r="K205" s="282">
        <f>IF(I205="Yes",G205*J205,0)</f>
        <v>612</v>
      </c>
      <c r="L205" s="74">
        <f>IF(F205="Company", G205*H205,0)</f>
        <v>587065.88120885356</v>
      </c>
      <c r="M205" s="283">
        <f>E205*G205/1000</f>
        <v>0</v>
      </c>
      <c r="N205" s="19">
        <f>'WP1 Light Inventory'!L206</f>
        <v>0</v>
      </c>
      <c r="O205" s="284">
        <f>E205*4200/1000/12</f>
        <v>0</v>
      </c>
      <c r="P205" s="261">
        <f>'BDJ-6 Unitized Lighting Costs'!D$26</f>
        <v>3.1647244337929866E-3</v>
      </c>
      <c r="Q205" s="261">
        <f>'BDJ-6 Unitized Lighting Costs'!$D$43</f>
        <v>2.2529806535397991</v>
      </c>
      <c r="R205" s="261">
        <f>'BDJ-6 Unitized Lighting Costs'!D$69</f>
        <v>1.9131568994526543E-2</v>
      </c>
      <c r="S205" s="261">
        <f>'BDJ-6 Unitized Lighting Costs'!$D$110</f>
        <v>3.7045631694556067</v>
      </c>
      <c r="T205" s="261">
        <f>'BDJ-6 Unitized Lighting Costs'!$D$117</f>
        <v>5.4555747529966878E-2</v>
      </c>
      <c r="U205" s="43">
        <f>IF(F205="Company", H205*P205, 0)</f>
        <v>3.0357871544246238</v>
      </c>
      <c r="V205" s="43">
        <f>IF(I205="yes", J205*Q205, 0)</f>
        <v>2.2529806535397991</v>
      </c>
      <c r="W205" s="43">
        <f>R205*O205</f>
        <v>0</v>
      </c>
      <c r="X205" s="43">
        <f>E205*S205/1000</f>
        <v>0</v>
      </c>
      <c r="Y205" s="43">
        <f>O205*T205</f>
        <v>0</v>
      </c>
      <c r="Z205" s="43">
        <f>SUM(U205:Y205)</f>
        <v>5.2887678079644225</v>
      </c>
      <c r="AA205" s="220"/>
      <c r="AB205" s="240">
        <f>IFERROR(U205/O205,0)</f>
        <v>0</v>
      </c>
      <c r="AC205" s="240">
        <f>IFERROR(V205/O205,0)</f>
        <v>0</v>
      </c>
      <c r="AD205" s="240">
        <f>IFERROR(W205/O205,0)</f>
        <v>0</v>
      </c>
      <c r="AE205" s="240">
        <f>IFERROR(X205/O205,0)</f>
        <v>0</v>
      </c>
      <c r="AF205" s="240">
        <f>IFERROR(Y205/O205,0)</f>
        <v>0</v>
      </c>
      <c r="AG205" s="240">
        <f>SUM(AB205:AF205)</f>
        <v>0</v>
      </c>
      <c r="AH205" s="43">
        <f t="shared" ref="AH205:AL206" si="427">(U205*$G205)</f>
        <v>1857.9017385078698</v>
      </c>
      <c r="AI205" s="43">
        <f t="shared" si="427"/>
        <v>1378.824159966357</v>
      </c>
      <c r="AJ205" s="43">
        <f t="shared" si="427"/>
        <v>0</v>
      </c>
      <c r="AK205" s="43">
        <f t="shared" si="427"/>
        <v>0</v>
      </c>
      <c r="AL205" s="43">
        <f t="shared" si="427"/>
        <v>0</v>
      </c>
      <c r="AM205" s="43">
        <f>SUM(AH205:AL205)</f>
        <v>3236.7258984742266</v>
      </c>
      <c r="AN205" s="43">
        <f t="shared" ref="AN205:AS206" si="428">AH205*12</f>
        <v>22294.820862094439</v>
      </c>
      <c r="AO205" s="43">
        <f t="shared" si="428"/>
        <v>16545.889919596284</v>
      </c>
      <c r="AP205" s="43">
        <f t="shared" si="428"/>
        <v>0</v>
      </c>
      <c r="AQ205" s="43">
        <f t="shared" si="428"/>
        <v>0</v>
      </c>
      <c r="AR205" s="43">
        <f t="shared" si="428"/>
        <v>0</v>
      </c>
      <c r="AS205" s="43">
        <f t="shared" si="428"/>
        <v>38840.710781690723</v>
      </c>
    </row>
    <row r="206" spans="1:45" x14ac:dyDescent="0.2">
      <c r="A206" s="20" t="s">
        <v>164</v>
      </c>
      <c r="B206" s="21"/>
      <c r="C206" s="21" t="str">
        <f>'WP1 Light Inventory'!D207</f>
        <v>Pole</v>
      </c>
      <c r="D206" s="21" t="str">
        <f>'WP1 Light Inventory'!E207</f>
        <v>New</v>
      </c>
      <c r="E206" s="21"/>
      <c r="F206" s="21" t="str">
        <f>'WP1 Light Inventory'!H207</f>
        <v>Company</v>
      </c>
      <c r="G206" s="397">
        <f>'WP1 Light Inventory'!J207</f>
        <v>340</v>
      </c>
      <c r="H206" s="74">
        <f>'WP7 Condensed LED Cost Est.'!$B$62</f>
        <v>1918.5159516629201</v>
      </c>
      <c r="I206" s="14" t="s">
        <v>133</v>
      </c>
      <c r="J206" s="19">
        <v>1</v>
      </c>
      <c r="K206" s="282">
        <f>IF(I206="Yes",G206*J206,0)</f>
        <v>340</v>
      </c>
      <c r="L206" s="74">
        <f>IF(F206="Company", G206*H206,0)</f>
        <v>652295.42356539285</v>
      </c>
      <c r="M206" s="283">
        <f>E206*G206/1000</f>
        <v>0</v>
      </c>
      <c r="N206" s="19">
        <f>'WP1 Light Inventory'!L207</f>
        <v>0</v>
      </c>
      <c r="O206" s="284">
        <f>E206*4200/1000/12</f>
        <v>0</v>
      </c>
      <c r="P206" s="261">
        <f>'BDJ-6 Unitized Lighting Costs'!D$26</f>
        <v>3.1647244337929866E-3</v>
      </c>
      <c r="Q206" s="261">
        <f>'BDJ-6 Unitized Lighting Costs'!$D$43</f>
        <v>2.2529806535397991</v>
      </c>
      <c r="R206" s="261">
        <f>'BDJ-6 Unitized Lighting Costs'!D$69</f>
        <v>1.9131568994526543E-2</v>
      </c>
      <c r="S206" s="261">
        <f>'BDJ-6 Unitized Lighting Costs'!$D$110</f>
        <v>3.7045631694556067</v>
      </c>
      <c r="T206" s="261">
        <f>'BDJ-6 Unitized Lighting Costs'!$D$117</f>
        <v>5.4555747529966878E-2</v>
      </c>
      <c r="U206" s="43">
        <f>IF(F206="Company", H206*P206, 0)</f>
        <v>6.0715743088492475</v>
      </c>
      <c r="V206" s="43">
        <f>IF(I206="yes", J206*Q206, 0)</f>
        <v>2.2529806535397991</v>
      </c>
      <c r="W206" s="43">
        <f>R206*O206</f>
        <v>0</v>
      </c>
      <c r="X206" s="43">
        <f>E206*S206/1000</f>
        <v>0</v>
      </c>
      <c r="Y206" s="43">
        <f>O206*T206</f>
        <v>0</v>
      </c>
      <c r="Z206" s="43">
        <f>SUM(U206:Y206)</f>
        <v>8.3245549623890476</v>
      </c>
      <c r="AA206" s="220"/>
      <c r="AB206" s="240">
        <f>IFERROR(U206/O206,0)</f>
        <v>0</v>
      </c>
      <c r="AC206" s="240">
        <f>IFERROR(V206/O206,0)</f>
        <v>0</v>
      </c>
      <c r="AD206" s="240">
        <f>IFERROR(W206/O206,0)</f>
        <v>0</v>
      </c>
      <c r="AE206" s="240">
        <f>IFERROR(X206/O206,0)</f>
        <v>0</v>
      </c>
      <c r="AF206" s="240">
        <f>IFERROR(Y206/O206,0)</f>
        <v>0</v>
      </c>
      <c r="AG206" s="240">
        <f>SUM(AB206:AF206)</f>
        <v>0</v>
      </c>
      <c r="AH206" s="43">
        <f t="shared" si="427"/>
        <v>2064.335265008744</v>
      </c>
      <c r="AI206" s="43">
        <f t="shared" si="427"/>
        <v>766.01342220353172</v>
      </c>
      <c r="AJ206" s="43">
        <f t="shared" si="427"/>
        <v>0</v>
      </c>
      <c r="AK206" s="43">
        <f t="shared" si="427"/>
        <v>0</v>
      </c>
      <c r="AL206" s="43">
        <f t="shared" si="427"/>
        <v>0</v>
      </c>
      <c r="AM206" s="43">
        <f>SUM(AH206:AL206)</f>
        <v>2830.3486872122758</v>
      </c>
      <c r="AN206" s="43">
        <f t="shared" si="428"/>
        <v>24772.02318010493</v>
      </c>
      <c r="AO206" s="43">
        <f t="shared" si="428"/>
        <v>9192.1610664423806</v>
      </c>
      <c r="AP206" s="43">
        <f t="shared" si="428"/>
        <v>0</v>
      </c>
      <c r="AQ206" s="43">
        <f t="shared" si="428"/>
        <v>0</v>
      </c>
      <c r="AR206" s="43">
        <f t="shared" si="428"/>
        <v>0</v>
      </c>
      <c r="AS206" s="43">
        <f t="shared" si="428"/>
        <v>33964.184246547309</v>
      </c>
    </row>
    <row r="207" spans="1:45" ht="10.95" customHeight="1" x14ac:dyDescent="0.2">
      <c r="A207" s="22"/>
      <c r="B207" s="14"/>
      <c r="G207" s="59"/>
      <c r="K207" s="282"/>
      <c r="L207" s="74"/>
      <c r="N207" s="19"/>
      <c r="AA207" s="220"/>
      <c r="AB207" s="240"/>
      <c r="AC207" s="240"/>
      <c r="AD207" s="240"/>
      <c r="AE207" s="240"/>
      <c r="AF207" s="240"/>
      <c r="AG207" s="240"/>
    </row>
    <row r="208" spans="1:45" x14ac:dyDescent="0.2">
      <c r="A208" s="232" t="s">
        <v>163</v>
      </c>
      <c r="B208" s="404"/>
      <c r="C208" s="404" t="str">
        <f>'WP1 Light Inventory'!D210</f>
        <v>Pole</v>
      </c>
      <c r="D208" s="404" t="str">
        <f>'WP1 Light Inventory'!E210</f>
        <v>New</v>
      </c>
      <c r="E208" s="404"/>
      <c r="F208" s="404" t="str">
        <f>'WP1 Light Inventory'!H210</f>
        <v>Company</v>
      </c>
      <c r="G208" s="405">
        <f>'WP1 Light Inventory'!J210</f>
        <v>156</v>
      </c>
      <c r="H208" s="375">
        <f>H206</f>
        <v>1918.5159516629201</v>
      </c>
      <c r="I208" s="298" t="s">
        <v>133</v>
      </c>
      <c r="J208" s="300">
        <v>1</v>
      </c>
      <c r="K208" s="380">
        <f>IF(I208="Yes",G208*J208,0)</f>
        <v>156</v>
      </c>
      <c r="L208" s="375">
        <f>IF(F208="Company", G208*H208,0)</f>
        <v>299288.48845941556</v>
      </c>
      <c r="M208" s="376">
        <f>E208*G208/1000</f>
        <v>0</v>
      </c>
      <c r="N208" s="300">
        <f>'WP1 Light Inventory'!L210</f>
        <v>0</v>
      </c>
      <c r="O208" s="381">
        <f>E208*4200/1000/12</f>
        <v>0</v>
      </c>
      <c r="P208" s="406">
        <f>'BDJ-6 Unitized Lighting Costs'!D$26</f>
        <v>3.1647244337929866E-3</v>
      </c>
      <c r="Q208" s="406">
        <f>'BDJ-6 Unitized Lighting Costs'!$D$43</f>
        <v>2.2529806535397991</v>
      </c>
      <c r="R208" s="406">
        <f>'BDJ-6 Unitized Lighting Costs'!D$69</f>
        <v>1.9131568994526543E-2</v>
      </c>
      <c r="S208" s="406">
        <f>'BDJ-6 Unitized Lighting Costs'!$D$110</f>
        <v>3.7045631694556067</v>
      </c>
      <c r="T208" s="406">
        <f>'BDJ-6 Unitized Lighting Costs'!$D$117</f>
        <v>5.4555747529966878E-2</v>
      </c>
      <c r="U208" s="71">
        <f>IF(F208="Company", H208*P208, 0)</f>
        <v>6.0715743088492475</v>
      </c>
      <c r="V208" s="71">
        <f>IF(I208="yes", J208*Q208, 0)</f>
        <v>2.2529806535397991</v>
      </c>
      <c r="W208" s="71">
        <f>R208*O208</f>
        <v>0</v>
      </c>
      <c r="X208" s="71">
        <f>E208*S208/1000</f>
        <v>0</v>
      </c>
      <c r="Y208" s="71">
        <f>O208*T208</f>
        <v>0</v>
      </c>
      <c r="Z208" s="71">
        <f>SUM(U208:Y208)</f>
        <v>8.3245549623890476</v>
      </c>
      <c r="AA208" s="407"/>
      <c r="AB208" s="241">
        <f>IFERROR(U208/O208,0)</f>
        <v>0</v>
      </c>
      <c r="AC208" s="241">
        <f>IFERROR(V208/O208,0)</f>
        <v>0</v>
      </c>
      <c r="AD208" s="241">
        <f>IFERROR(W208/O208,0)</f>
        <v>0</v>
      </c>
      <c r="AE208" s="241">
        <f>IFERROR(X208/O208,0)</f>
        <v>0</v>
      </c>
      <c r="AF208" s="241">
        <f>IFERROR(Y208/O208,0)</f>
        <v>0</v>
      </c>
      <c r="AG208" s="241">
        <f>SUM(AB208:AF208)</f>
        <v>0</v>
      </c>
      <c r="AH208" s="71">
        <f>(U208*$G208)</f>
        <v>947.16559218048258</v>
      </c>
      <c r="AI208" s="71">
        <f>(V208*$G208)</f>
        <v>351.46498195220869</v>
      </c>
      <c r="AJ208" s="71">
        <f>(W208*$G208)</f>
        <v>0</v>
      </c>
      <c r="AK208" s="71">
        <f>(X208*$G208)</f>
        <v>0</v>
      </c>
      <c r="AL208" s="71">
        <f>(Y208*$G208)</f>
        <v>0</v>
      </c>
      <c r="AM208" s="71">
        <f>SUM(AH208:AL208)</f>
        <v>1298.6305741326912</v>
      </c>
      <c r="AN208" s="71">
        <f t="shared" ref="AN208:AS208" si="429">AH208*12</f>
        <v>11365.98710616579</v>
      </c>
      <c r="AO208" s="71">
        <f t="shared" si="429"/>
        <v>4217.579783426504</v>
      </c>
      <c r="AP208" s="71">
        <f t="shared" si="429"/>
        <v>0</v>
      </c>
      <c r="AQ208" s="71">
        <f t="shared" si="429"/>
        <v>0</v>
      </c>
      <c r="AR208" s="71">
        <f t="shared" si="429"/>
        <v>0</v>
      </c>
      <c r="AS208" s="71">
        <f t="shared" si="429"/>
        <v>15583.566889592294</v>
      </c>
    </row>
    <row r="209" spans="6:45" ht="10.8" thickBot="1" x14ac:dyDescent="0.25">
      <c r="F209" s="283"/>
      <c r="G209" s="398">
        <f>SUM(G8:G208)</f>
        <v>120020</v>
      </c>
      <c r="L209" s="43">
        <f>SUM(L205:L208)</f>
        <v>1538649.7932336619</v>
      </c>
      <c r="N209" s="398">
        <f>SUM(N8:N208)</f>
        <v>65151042.969999999</v>
      </c>
      <c r="AG209" s="19" t="s">
        <v>19</v>
      </c>
      <c r="AH209" s="45">
        <f t="shared" ref="AH209:AS209" si="430">SUM(AH8:AH208)</f>
        <v>695262.52837539162</v>
      </c>
      <c r="AI209" s="45">
        <f t="shared" si="430"/>
        <v>131808.38015469242</v>
      </c>
      <c r="AJ209" s="45">
        <f t="shared" si="430"/>
        <v>91910.059298714303</v>
      </c>
      <c r="AK209" s="45">
        <f t="shared" si="430"/>
        <v>52250.716048257214</v>
      </c>
      <c r="AL209" s="45">
        <f t="shared" si="430"/>
        <v>296196.98763211188</v>
      </c>
      <c r="AM209" s="45">
        <f t="shared" si="430"/>
        <v>1267428.6715091681</v>
      </c>
      <c r="AN209" s="45">
        <f t="shared" si="430"/>
        <v>8343150.3405047068</v>
      </c>
      <c r="AO209" s="45">
        <f t="shared" si="430"/>
        <v>1581700.5618563092</v>
      </c>
      <c r="AP209" s="45">
        <f t="shared" si="430"/>
        <v>1102920.711584572</v>
      </c>
      <c r="AQ209" s="45">
        <f t="shared" si="430"/>
        <v>627008.59257908689</v>
      </c>
      <c r="AR209" s="45">
        <f t="shared" si="430"/>
        <v>3554363.8515853449</v>
      </c>
      <c r="AS209" s="45">
        <f t="shared" si="430"/>
        <v>15209144.058110023</v>
      </c>
    </row>
    <row r="210" spans="6:45" ht="10.8" thickTop="1" x14ac:dyDescent="0.2"/>
  </sheetData>
  <mergeCells count="3">
    <mergeCell ref="A2:AS2"/>
    <mergeCell ref="A3:AS3"/>
    <mergeCell ref="A1:AS1"/>
  </mergeCells>
  <pageMargins left="0.7" right="0.7" top="0.75" bottom="0.75" header="0.3" footer="0.3"/>
  <pageSetup paperSize="5" scale="71" fitToWidth="4" fitToHeight="4" orientation="landscape" r:id="rId1"/>
  <headerFooter>
    <oddFooter>&amp;R&amp;F
&amp;A
&amp;P of &amp;N</oddFooter>
  </headerFooter>
  <colBreaks count="1" manualBreakCount="1">
    <brk id="26" max="1048575" man="1"/>
  </colBreaks>
  <customProperties>
    <customPr name="_pios_id" r:id="rId2"/>
    <customPr name="CofWorksheetType" r:id="rId3"/>
  </customProperties>
  <legacy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44"/>
  <sheetViews>
    <sheetView workbookViewId="0">
      <pane ySplit="4" topLeftCell="A8" activePane="bottomLeft" state="frozen"/>
      <selection activeCell="D32" sqref="D32"/>
      <selection pane="bottomLeft" activeCell="D32" sqref="D32"/>
    </sheetView>
  </sheetViews>
  <sheetFormatPr defaultColWidth="8.88671875" defaultRowHeight="10.199999999999999" x14ac:dyDescent="0.2"/>
  <cols>
    <col min="1" max="1" width="40.44140625" style="28" customWidth="1"/>
    <col min="2" max="2" width="1" style="28" customWidth="1"/>
    <col min="3" max="3" width="9.5546875" style="28" customWidth="1"/>
    <col min="4" max="5" width="15" style="28" bestFit="1" customWidth="1"/>
    <col min="6" max="6" width="21.5546875" style="28" customWidth="1"/>
    <col min="7" max="7" width="11.5546875" style="28" customWidth="1"/>
    <col min="8" max="8" width="14.88671875" style="28" bestFit="1" customWidth="1"/>
    <col min="9" max="9" width="14.88671875" style="28" customWidth="1"/>
    <col min="10" max="10" width="11.5546875" style="28" bestFit="1" customWidth="1"/>
    <col min="11" max="11" width="12.33203125" style="28" bestFit="1" customWidth="1"/>
    <col min="12" max="16384" width="8.88671875" style="28"/>
  </cols>
  <sheetData>
    <row r="1" spans="1:11" ht="15" customHeight="1" x14ac:dyDescent="0.3">
      <c r="A1" s="729" t="str">
        <f>'BDJ-6 Base Revenue (Summary)'!A1:I1</f>
        <v>Puget Sound Energy</v>
      </c>
      <c r="B1" s="786"/>
      <c r="C1" s="786"/>
      <c r="D1" s="786"/>
      <c r="E1" s="786"/>
      <c r="F1" s="786"/>
    </row>
    <row r="2" spans="1:11" ht="15" customHeight="1" x14ac:dyDescent="0.3">
      <c r="A2" s="729" t="s">
        <v>637</v>
      </c>
      <c r="B2" s="786"/>
      <c r="C2" s="786"/>
      <c r="D2" s="786"/>
      <c r="E2" s="786"/>
      <c r="F2" s="786"/>
    </row>
    <row r="3" spans="1:11" ht="14.4" x14ac:dyDescent="0.3">
      <c r="A3" s="729" t="str">
        <f>'BDJ-6 Base Revenue (Summary)'!A4:I4</f>
        <v>2022 General Rate Case (GRC)</v>
      </c>
      <c r="B3" s="786"/>
      <c r="C3" s="786"/>
      <c r="D3" s="786"/>
      <c r="E3" s="786"/>
      <c r="F3" s="786"/>
    </row>
    <row r="4" spans="1:11" ht="14.4" x14ac:dyDescent="0.3">
      <c r="A4" s="729" t="str">
        <f>'BDJ-6 Base Revenue (Summary)'!A5:I5</f>
        <v>Test Year Ending June 30, 2021</v>
      </c>
      <c r="B4" s="786"/>
      <c r="C4" s="786"/>
      <c r="D4" s="786"/>
      <c r="E4" s="786"/>
      <c r="F4" s="786"/>
      <c r="K4" s="262"/>
    </row>
    <row r="5" spans="1:11" ht="10.8" thickBot="1" x14ac:dyDescent="0.25">
      <c r="J5" s="262"/>
      <c r="K5" s="262"/>
    </row>
    <row r="6" spans="1:11" x14ac:dyDescent="0.2">
      <c r="A6" s="409" t="s">
        <v>344</v>
      </c>
      <c r="B6" s="410"/>
      <c r="C6" s="410"/>
      <c r="D6" s="410"/>
      <c r="E6" s="410"/>
      <c r="F6" s="411"/>
      <c r="J6" s="262"/>
      <c r="K6" s="330"/>
    </row>
    <row r="7" spans="1:11" x14ac:dyDescent="0.2">
      <c r="A7" s="412" t="s">
        <v>345</v>
      </c>
      <c r="B7" s="19"/>
      <c r="C7" s="19"/>
      <c r="D7" s="19"/>
      <c r="E7" s="49"/>
      <c r="F7" s="413"/>
      <c r="J7" s="262"/>
    </row>
    <row r="8" spans="1:11" x14ac:dyDescent="0.2">
      <c r="A8" s="412" t="s">
        <v>346</v>
      </c>
      <c r="B8" s="19"/>
      <c r="C8" s="19"/>
      <c r="D8" s="19"/>
      <c r="E8" s="19"/>
      <c r="F8" s="414"/>
      <c r="J8" s="262"/>
      <c r="K8" s="262"/>
    </row>
    <row r="9" spans="1:11" x14ac:dyDescent="0.2">
      <c r="A9" s="415"/>
      <c r="B9" s="19"/>
      <c r="C9" s="19"/>
      <c r="D9" s="19"/>
      <c r="E9" s="19"/>
      <c r="F9" s="414"/>
      <c r="J9" s="262"/>
    </row>
    <row r="10" spans="1:11" x14ac:dyDescent="0.2">
      <c r="A10" s="416" t="s">
        <v>347</v>
      </c>
      <c r="B10" s="251"/>
      <c r="C10" s="417" t="s">
        <v>372</v>
      </c>
      <c r="D10" s="417" t="s">
        <v>348</v>
      </c>
      <c r="E10" s="417" t="s">
        <v>349</v>
      </c>
      <c r="F10" s="418" t="s">
        <v>350</v>
      </c>
      <c r="J10" s="262"/>
      <c r="K10" s="330"/>
    </row>
    <row r="11" spans="1:11" x14ac:dyDescent="0.2">
      <c r="A11" s="419" t="s">
        <v>351</v>
      </c>
      <c r="B11" s="19"/>
      <c r="C11" s="364">
        <v>7</v>
      </c>
      <c r="D11" s="49">
        <v>2564.8200000000002</v>
      </c>
      <c r="E11" s="49">
        <v>472.49</v>
      </c>
      <c r="F11" s="413">
        <v>2092.33</v>
      </c>
      <c r="G11" s="329"/>
      <c r="H11" s="329"/>
      <c r="I11" s="420"/>
      <c r="J11" s="420"/>
      <c r="K11" s="420"/>
    </row>
    <row r="12" spans="1:11" x14ac:dyDescent="0.2">
      <c r="A12" s="419" t="s">
        <v>352</v>
      </c>
      <c r="B12" s="19"/>
      <c r="C12" s="364">
        <v>118642</v>
      </c>
      <c r="D12" s="49">
        <v>25697434.710000001</v>
      </c>
      <c r="E12" s="49">
        <v>9251567.9700000007</v>
      </c>
      <c r="F12" s="413">
        <v>16445866.74</v>
      </c>
      <c r="G12" s="329"/>
      <c r="H12" s="329"/>
      <c r="I12" s="329"/>
      <c r="J12" s="262"/>
    </row>
    <row r="13" spans="1:11" x14ac:dyDescent="0.2">
      <c r="A13" s="419" t="s">
        <v>353</v>
      </c>
      <c r="B13" s="19"/>
      <c r="C13" s="364">
        <v>26772</v>
      </c>
      <c r="D13" s="49">
        <v>3389879.09</v>
      </c>
      <c r="E13" s="49">
        <v>180920.34</v>
      </c>
      <c r="F13" s="413">
        <v>3208958.75</v>
      </c>
      <c r="G13" s="329"/>
      <c r="H13" s="329"/>
      <c r="I13" s="329"/>
      <c r="J13" s="262"/>
    </row>
    <row r="14" spans="1:11" x14ac:dyDescent="0.2">
      <c r="A14" s="419" t="s">
        <v>354</v>
      </c>
      <c r="B14" s="19"/>
      <c r="C14" s="364">
        <v>29550</v>
      </c>
      <c r="D14" s="49">
        <v>15709385.689999999</v>
      </c>
      <c r="E14" s="49">
        <v>9027141.0199999996</v>
      </c>
      <c r="F14" s="413">
        <v>6682244.6699999999</v>
      </c>
      <c r="G14" s="329"/>
      <c r="H14" s="329"/>
      <c r="I14" s="262"/>
      <c r="J14" s="262"/>
      <c r="K14" s="262"/>
    </row>
    <row r="15" spans="1:11" x14ac:dyDescent="0.2">
      <c r="A15" s="419" t="s">
        <v>355</v>
      </c>
      <c r="B15" s="19"/>
      <c r="C15" s="364">
        <v>9176</v>
      </c>
      <c r="D15" s="49">
        <v>2850187.9</v>
      </c>
      <c r="E15" s="49">
        <v>914573.8</v>
      </c>
      <c r="F15" s="413">
        <v>1935614.1</v>
      </c>
      <c r="G15" s="329"/>
      <c r="H15" s="329"/>
      <c r="I15" s="329"/>
      <c r="J15" s="262"/>
      <c r="K15" s="330"/>
    </row>
    <row r="16" spans="1:11" x14ac:dyDescent="0.2">
      <c r="A16" s="419" t="s">
        <v>356</v>
      </c>
      <c r="B16" s="19"/>
      <c r="C16" s="364">
        <v>8106</v>
      </c>
      <c r="D16" s="49">
        <v>3307342.73</v>
      </c>
      <c r="E16" s="49">
        <v>1872421.37</v>
      </c>
      <c r="F16" s="413">
        <v>1434921.3599999999</v>
      </c>
      <c r="G16" s="329"/>
      <c r="H16" s="329"/>
      <c r="I16" s="329"/>
      <c r="J16" s="262"/>
    </row>
    <row r="17" spans="1:10" x14ac:dyDescent="0.2">
      <c r="A17" s="419" t="s">
        <v>357</v>
      </c>
      <c r="B17" s="19"/>
      <c r="C17" s="364">
        <v>7517</v>
      </c>
      <c r="D17" s="49">
        <v>10371545.199999999</v>
      </c>
      <c r="E17" s="49">
        <v>5742856.7400000002</v>
      </c>
      <c r="F17" s="413">
        <v>4628688.46</v>
      </c>
      <c r="G17" s="329"/>
      <c r="H17" s="329"/>
      <c r="I17" s="329"/>
      <c r="J17" s="329"/>
    </row>
    <row r="18" spans="1:10" ht="10.8" thickBot="1" x14ac:dyDescent="0.25">
      <c r="A18" s="421" t="s">
        <v>20</v>
      </c>
      <c r="B18" s="422"/>
      <c r="C18" s="423"/>
      <c r="D18" s="424">
        <f>SUM(D11:D17)</f>
        <v>61328340.140000001</v>
      </c>
      <c r="E18" s="424">
        <f>SUM(E11:E17)</f>
        <v>26989953.730000004</v>
      </c>
      <c r="F18" s="425">
        <f>SUM(F11:F17)</f>
        <v>34338386.410000004</v>
      </c>
      <c r="G18" s="329"/>
      <c r="H18" s="329"/>
      <c r="I18" s="329"/>
      <c r="J18" s="329"/>
    </row>
    <row r="19" spans="1:10" x14ac:dyDescent="0.2">
      <c r="C19" s="426"/>
      <c r="D19" s="329"/>
      <c r="E19" s="329"/>
      <c r="F19" s="329"/>
    </row>
    <row r="20" spans="1:10" x14ac:dyDescent="0.2">
      <c r="C20" s="426"/>
      <c r="D20" s="329"/>
      <c r="E20" s="329"/>
      <c r="F20" s="329"/>
    </row>
    <row r="21" spans="1:10" x14ac:dyDescent="0.2">
      <c r="C21" s="426"/>
      <c r="D21" s="329"/>
      <c r="E21" s="329"/>
      <c r="F21" s="329"/>
    </row>
    <row r="22" spans="1:10" ht="30.6" x14ac:dyDescent="0.2">
      <c r="C22" s="426"/>
      <c r="D22" s="408" t="s">
        <v>1075</v>
      </c>
      <c r="E22" s="408" t="s">
        <v>655</v>
      </c>
      <c r="F22" s="408" t="s">
        <v>955</v>
      </c>
    </row>
    <row r="23" spans="1:10" x14ac:dyDescent="0.2">
      <c r="C23" s="426"/>
      <c r="D23" s="329"/>
      <c r="E23" s="329"/>
      <c r="F23" s="329"/>
    </row>
    <row r="24" spans="1:10" x14ac:dyDescent="0.2">
      <c r="A24" s="427" t="s">
        <v>359</v>
      </c>
      <c r="C24" s="426">
        <f>SUM(C11:C12)</f>
        <v>118649</v>
      </c>
      <c r="D24" s="329">
        <f>SUM(D11:D12)</f>
        <v>25699999.530000001</v>
      </c>
      <c r="E24" s="329">
        <f>E26*D28</f>
        <v>21610835.378778759</v>
      </c>
      <c r="F24" s="329">
        <f>D24+E24</f>
        <v>47310834.908778757</v>
      </c>
    </row>
    <row r="25" spans="1:10" x14ac:dyDescent="0.2">
      <c r="A25" s="427" t="s">
        <v>358</v>
      </c>
      <c r="C25" s="426">
        <f>SUM(C14:C17)</f>
        <v>54349</v>
      </c>
      <c r="D25" s="329">
        <f>SUM(D14:D17)</f>
        <v>32238461.52</v>
      </c>
      <c r="E25" s="329">
        <f>E26*D29</f>
        <v>27108953.210701231</v>
      </c>
      <c r="F25" s="221">
        <f>D25+E25</f>
        <v>59347414.73070123</v>
      </c>
      <c r="H25" s="262"/>
      <c r="I25" s="262"/>
    </row>
    <row r="26" spans="1:10" x14ac:dyDescent="0.2">
      <c r="A26" s="427" t="s">
        <v>654</v>
      </c>
      <c r="C26" s="426"/>
      <c r="D26" s="428">
        <f>SUM(D24:D25)</f>
        <v>57938461.049999997</v>
      </c>
      <c r="E26" s="428">
        <f>D26-F26</f>
        <v>48719788.58947999</v>
      </c>
      <c r="F26" s="428">
        <v>9218672.4605200049</v>
      </c>
      <c r="G26" s="262"/>
      <c r="H26" s="262"/>
      <c r="I26" s="262"/>
      <c r="J26" s="330"/>
    </row>
    <row r="27" spans="1:10" x14ac:dyDescent="0.2">
      <c r="A27" s="427"/>
      <c r="C27" s="426"/>
    </row>
    <row r="28" spans="1:10" x14ac:dyDescent="0.2">
      <c r="A28" s="427" t="s">
        <v>362</v>
      </c>
      <c r="C28" s="426"/>
      <c r="D28" s="429">
        <f>D24/D26</f>
        <v>0.44357407953623929</v>
      </c>
      <c r="E28" s="330"/>
    </row>
    <row r="29" spans="1:10" x14ac:dyDescent="0.2">
      <c r="A29" s="427" t="s">
        <v>376</v>
      </c>
      <c r="C29" s="426"/>
      <c r="D29" s="429">
        <f>D25/D26</f>
        <v>0.55642592046376071</v>
      </c>
    </row>
    <row r="30" spans="1:10" x14ac:dyDescent="0.2">
      <c r="C30" s="426"/>
    </row>
    <row r="31" spans="1:10" x14ac:dyDescent="0.2">
      <c r="A31" s="430" t="s">
        <v>652</v>
      </c>
      <c r="B31" s="390"/>
      <c r="C31" s="431"/>
      <c r="D31" s="432"/>
    </row>
    <row r="32" spans="1:10" x14ac:dyDescent="0.2">
      <c r="A32" s="433" t="s">
        <v>360</v>
      </c>
      <c r="B32" s="19"/>
      <c r="C32" s="364">
        <f>(C13*D28)</f>
        <v>11875.365257344198</v>
      </c>
      <c r="D32" s="434">
        <f>D28*D13</f>
        <v>1503662.4970858945</v>
      </c>
    </row>
    <row r="33" spans="1:6" x14ac:dyDescent="0.2">
      <c r="A33" s="435" t="s">
        <v>361</v>
      </c>
      <c r="B33" s="300"/>
      <c r="C33" s="436">
        <f>C13*D29</f>
        <v>14896.634742655802</v>
      </c>
      <c r="D33" s="437">
        <f>D29*D13</f>
        <v>1886216.5929141054</v>
      </c>
    </row>
    <row r="34" spans="1:6" x14ac:dyDescent="0.2">
      <c r="C34" s="426"/>
    </row>
    <row r="35" spans="1:6" x14ac:dyDescent="0.2">
      <c r="A35" s="438" t="s">
        <v>364</v>
      </c>
      <c r="B35" s="389"/>
      <c r="C35" s="439"/>
      <c r="D35" s="440"/>
      <c r="F35" s="441"/>
    </row>
    <row r="36" spans="1:6" x14ac:dyDescent="0.2">
      <c r="A36" s="442" t="s">
        <v>365</v>
      </c>
      <c r="B36" s="251"/>
      <c r="C36" s="443">
        <f>C24+C32</f>
        <v>130524.36525734419</v>
      </c>
      <c r="D36" s="444">
        <f>D24+D32</f>
        <v>27203662.027085897</v>
      </c>
      <c r="F36" s="445">
        <f>F24+D32</f>
        <v>48814497.405864649</v>
      </c>
    </row>
    <row r="37" spans="1:6" x14ac:dyDescent="0.2">
      <c r="A37" s="446" t="s">
        <v>168</v>
      </c>
      <c r="B37" s="299"/>
      <c r="C37" s="447">
        <f>C25+C33</f>
        <v>69245.634742655806</v>
      </c>
      <c r="D37" s="448">
        <f>D25+D33</f>
        <v>34124678.112914108</v>
      </c>
      <c r="F37" s="449">
        <f>F25+D33</f>
        <v>61233631.323615335</v>
      </c>
    </row>
    <row r="38" spans="1:6" x14ac:dyDescent="0.2">
      <c r="C38" s="329"/>
    </row>
    <row r="39" spans="1:6" x14ac:dyDescent="0.2">
      <c r="A39" s="427" t="s">
        <v>366</v>
      </c>
      <c r="D39" s="429">
        <f>D36/SUM(D36:D37)</f>
        <v>0.44357407953623929</v>
      </c>
      <c r="F39" s="429">
        <f>F36/SUM(F36:F37)</f>
        <v>0.44357407953623923</v>
      </c>
    </row>
    <row r="40" spans="1:6" x14ac:dyDescent="0.2">
      <c r="A40" s="427" t="s">
        <v>363</v>
      </c>
      <c r="D40" s="429">
        <f>D37/SUM(D36:D37)</f>
        <v>0.55642592046376083</v>
      </c>
      <c r="F40" s="429">
        <f>F37/SUM(F36:F37)</f>
        <v>0.55642592046376071</v>
      </c>
    </row>
    <row r="41" spans="1:6" ht="10.8" thickBot="1" x14ac:dyDescent="0.25"/>
    <row r="42" spans="1:6" x14ac:dyDescent="0.2">
      <c r="A42" s="450" t="s">
        <v>373</v>
      </c>
      <c r="B42" s="410"/>
      <c r="C42" s="451">
        <f>C37</f>
        <v>69245.634742655806</v>
      </c>
    </row>
    <row r="43" spans="1:6" x14ac:dyDescent="0.2">
      <c r="A43" s="419" t="s">
        <v>374</v>
      </c>
      <c r="B43" s="19"/>
      <c r="C43" s="452">
        <f>SUM('WP1 Light Inventory'!$J$206:$J$210)</f>
        <v>1117</v>
      </c>
    </row>
    <row r="44" spans="1:6" ht="10.8" thickBot="1" x14ac:dyDescent="0.25">
      <c r="A44" s="421" t="s">
        <v>375</v>
      </c>
      <c r="B44" s="422"/>
      <c r="C44" s="453">
        <f>C43/C42</f>
        <v>1.6130980734759878E-2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scale="95" orientation="landscape" r:id="rId1"/>
  <headerFooter>
    <oddFooter>&amp;R&amp;F
&amp;A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D35"/>
  <sheetViews>
    <sheetView workbookViewId="0">
      <pane ySplit="4" topLeftCell="A5" activePane="bottomLeft" state="frozen"/>
      <selection activeCell="D32" sqref="D32"/>
      <selection pane="bottomLeft" activeCell="D32" sqref="D32"/>
    </sheetView>
  </sheetViews>
  <sheetFormatPr defaultColWidth="8.88671875" defaultRowHeight="10.199999999999999" x14ac:dyDescent="0.2"/>
  <cols>
    <col min="1" max="1" width="25.33203125" style="28" bestFit="1" customWidth="1"/>
    <col min="2" max="2" width="9.88671875" style="28" customWidth="1"/>
    <col min="3" max="3" width="13.44140625" style="28" bestFit="1" customWidth="1"/>
    <col min="4" max="4" width="45.33203125" style="28" customWidth="1"/>
    <col min="5" max="16384" width="8.88671875" style="28"/>
  </cols>
  <sheetData>
    <row r="1" spans="1:4" ht="14.4" x14ac:dyDescent="0.3">
      <c r="A1" s="729" t="str">
        <f>'BDJ-6 Base Revenue (Summary)'!A1:I1</f>
        <v>Puget Sound Energy</v>
      </c>
      <c r="B1" s="731"/>
      <c r="C1" s="731"/>
      <c r="D1" s="731"/>
    </row>
    <row r="2" spans="1:4" ht="14.4" x14ac:dyDescent="0.3">
      <c r="A2" s="729" t="s">
        <v>638</v>
      </c>
      <c r="B2" s="731"/>
      <c r="C2" s="731"/>
      <c r="D2" s="731"/>
    </row>
    <row r="3" spans="1:4" ht="14.4" x14ac:dyDescent="0.3">
      <c r="A3" s="729" t="str">
        <f>'BDJ-6 Base Revenue (Summary)'!A4:I4</f>
        <v>2022 General Rate Case (GRC)</v>
      </c>
      <c r="B3" s="731"/>
      <c r="C3" s="731"/>
      <c r="D3" s="731"/>
    </row>
    <row r="4" spans="1:4" ht="14.4" x14ac:dyDescent="0.3">
      <c r="A4" s="729" t="str">
        <f>'BDJ-6 Base Revenue (Summary)'!A5:I5</f>
        <v>Test Year Ending June 30, 2021</v>
      </c>
      <c r="B4" s="731"/>
      <c r="C4" s="731"/>
      <c r="D4" s="731"/>
    </row>
    <row r="5" spans="1:4" ht="14.4" x14ac:dyDescent="0.3">
      <c r="A5" s="729"/>
      <c r="B5" s="731"/>
      <c r="C5" s="731"/>
      <c r="D5" s="731"/>
    </row>
    <row r="6" spans="1:4" x14ac:dyDescent="0.2">
      <c r="A6" s="455" t="s">
        <v>566</v>
      </c>
    </row>
    <row r="7" spans="1:4" s="456" customFormat="1" x14ac:dyDescent="0.2">
      <c r="B7" s="344" t="s">
        <v>141</v>
      </c>
      <c r="C7" s="344" t="s">
        <v>142</v>
      </c>
    </row>
    <row r="8" spans="1:4" x14ac:dyDescent="0.2">
      <c r="A8" s="32" t="s">
        <v>143</v>
      </c>
      <c r="B8" s="32" t="s">
        <v>144</v>
      </c>
      <c r="C8" s="32" t="s">
        <v>145</v>
      </c>
      <c r="D8" s="32" t="s">
        <v>146</v>
      </c>
    </row>
    <row r="9" spans="1:4" ht="40.799999999999997" x14ac:dyDescent="0.2">
      <c r="A9" s="457" t="s">
        <v>147</v>
      </c>
      <c r="B9" s="32" t="s">
        <v>148</v>
      </c>
      <c r="C9" s="32" t="s">
        <v>149</v>
      </c>
      <c r="D9" s="458" t="s">
        <v>981</v>
      </c>
    </row>
    <row r="10" spans="1:4" x14ac:dyDescent="0.2">
      <c r="A10" s="457"/>
      <c r="B10" s="32"/>
      <c r="C10" s="32"/>
    </row>
    <row r="11" spans="1:4" ht="30.6" x14ac:dyDescent="0.2">
      <c r="A11" s="457" t="s">
        <v>150</v>
      </c>
      <c r="B11" s="32" t="s">
        <v>151</v>
      </c>
      <c r="C11" s="32" t="s">
        <v>152</v>
      </c>
      <c r="D11" s="458" t="s">
        <v>564</v>
      </c>
    </row>
    <row r="12" spans="1:4" x14ac:dyDescent="0.2">
      <c r="A12" s="457"/>
      <c r="B12" s="32"/>
      <c r="C12" s="32"/>
    </row>
    <row r="13" spans="1:4" ht="51" x14ac:dyDescent="0.2">
      <c r="A13" s="457" t="s">
        <v>153</v>
      </c>
      <c r="B13" s="32" t="s">
        <v>154</v>
      </c>
      <c r="C13" s="32" t="s">
        <v>152</v>
      </c>
      <c r="D13" s="458" t="s">
        <v>565</v>
      </c>
    </row>
    <row r="14" spans="1:4" x14ac:dyDescent="0.2">
      <c r="A14" s="32"/>
    </row>
    <row r="15" spans="1:4" x14ac:dyDescent="0.2">
      <c r="A15" s="457" t="s">
        <v>155</v>
      </c>
    </row>
    <row r="16" spans="1:4" x14ac:dyDescent="0.2">
      <c r="A16" s="457" t="s">
        <v>156</v>
      </c>
    </row>
    <row r="20" spans="1:4" x14ac:dyDescent="0.2">
      <c r="A20" s="455" t="s">
        <v>567</v>
      </c>
    </row>
    <row r="21" spans="1:4" ht="21" customHeight="1" x14ac:dyDescent="0.2">
      <c r="A21" s="457" t="s">
        <v>157</v>
      </c>
      <c r="B21" s="787" t="s">
        <v>1076</v>
      </c>
      <c r="C21" s="788"/>
      <c r="D21" s="788"/>
    </row>
    <row r="25" spans="1:4" ht="20.399999999999999" x14ac:dyDescent="0.2">
      <c r="A25" s="459" t="s">
        <v>89</v>
      </c>
      <c r="B25" s="386" t="s">
        <v>158</v>
      </c>
    </row>
    <row r="26" spans="1:4" x14ac:dyDescent="0.2">
      <c r="A26" s="460" t="s">
        <v>147</v>
      </c>
      <c r="B26" s="454">
        <f>1/5</f>
        <v>0.2</v>
      </c>
    </row>
    <row r="27" spans="1:4" x14ac:dyDescent="0.2">
      <c r="A27" s="460" t="s">
        <v>150</v>
      </c>
      <c r="B27" s="454">
        <f>1</f>
        <v>1</v>
      </c>
    </row>
    <row r="28" spans="1:4" x14ac:dyDescent="0.2">
      <c r="A28" s="460" t="s">
        <v>153</v>
      </c>
      <c r="B28" s="454">
        <f>2</f>
        <v>2</v>
      </c>
    </row>
    <row r="29" spans="1:4" x14ac:dyDescent="0.2">
      <c r="A29" s="460" t="s">
        <v>155</v>
      </c>
      <c r="B29" s="454">
        <v>1</v>
      </c>
    </row>
    <row r="30" spans="1:4" x14ac:dyDescent="0.2">
      <c r="A30" s="460" t="s">
        <v>156</v>
      </c>
      <c r="B30" s="454">
        <v>1</v>
      </c>
    </row>
    <row r="31" spans="1:4" x14ac:dyDescent="0.2">
      <c r="A31" s="461" t="s">
        <v>73</v>
      </c>
      <c r="B31" s="462">
        <v>1</v>
      </c>
    </row>
    <row r="33" spans="1:1" x14ac:dyDescent="0.2">
      <c r="A33" s="32"/>
    </row>
    <row r="34" spans="1:1" x14ac:dyDescent="0.2">
      <c r="A34" s="32"/>
    </row>
    <row r="35" spans="1:1" x14ac:dyDescent="0.2">
      <c r="A35" s="32"/>
    </row>
  </sheetData>
  <mergeCells count="6">
    <mergeCell ref="A1:D1"/>
    <mergeCell ref="A3:D3"/>
    <mergeCell ref="A4:D4"/>
    <mergeCell ref="A5:D5"/>
    <mergeCell ref="B21:D21"/>
    <mergeCell ref="A2:D2"/>
  </mergeCells>
  <pageMargins left="0.7" right="0.7" top="0.75" bottom="0.75" header="0.3" footer="0.3"/>
  <pageSetup scale="97" orientation="landscape" r:id="rId1"/>
  <headerFooter>
    <oddFooter>&amp;R&amp;F
&amp;A</oddFooter>
  </headerFooter>
  <customProperties>
    <customPr name="_pios_id" r:id="rId2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O29"/>
  <sheetViews>
    <sheetView workbookViewId="0">
      <selection activeCell="D32" sqref="D32"/>
    </sheetView>
  </sheetViews>
  <sheetFormatPr defaultColWidth="8.88671875" defaultRowHeight="10.199999999999999" x14ac:dyDescent="0.2"/>
  <cols>
    <col min="1" max="1" width="1.6640625" style="28" customWidth="1"/>
    <col min="2" max="2" width="12.88671875" style="28" bestFit="1" customWidth="1"/>
    <col min="3" max="3" width="9" style="28" bestFit="1" customWidth="1"/>
    <col min="4" max="4" width="10.6640625" style="28" bestFit="1" customWidth="1"/>
    <col min="5" max="5" width="11.6640625" style="28" bestFit="1" customWidth="1"/>
    <col min="6" max="6" width="1.33203125" style="28" customWidth="1"/>
    <col min="7" max="7" width="15.6640625" style="28" bestFit="1" customWidth="1"/>
    <col min="8" max="8" width="10.44140625" style="28" bestFit="1" customWidth="1"/>
    <col min="9" max="9" width="11.88671875" style="28" bestFit="1" customWidth="1"/>
    <col min="10" max="11" width="10.44140625" style="28" bestFit="1" customWidth="1"/>
    <col min="12" max="12" width="11.6640625" style="28" bestFit="1" customWidth="1"/>
    <col min="13" max="13" width="10.44140625" style="28" bestFit="1" customWidth="1"/>
    <col min="14" max="15" width="10.5546875" style="28" bestFit="1" customWidth="1"/>
    <col min="16" max="16384" width="8.88671875" style="28"/>
  </cols>
  <sheetData>
    <row r="1" spans="1:15" ht="14.4" x14ac:dyDescent="0.3">
      <c r="A1" s="729" t="str">
        <f>'BDJ-6 Base Revenue (Summary)'!A1:I1</f>
        <v>Puget Sound Energy</v>
      </c>
      <c r="B1" s="786"/>
      <c r="C1" s="786"/>
      <c r="D1" s="786"/>
      <c r="E1" s="786"/>
      <c r="F1" s="786"/>
    </row>
    <row r="2" spans="1:15" ht="14.4" x14ac:dyDescent="0.3">
      <c r="A2" s="729" t="str">
        <f>'BDJ-6 Base Revenue (Summary)'!A4:I4</f>
        <v>2022 General Rate Case (GRC)</v>
      </c>
      <c r="B2" s="786"/>
      <c r="C2" s="786"/>
      <c r="D2" s="786"/>
      <c r="E2" s="786"/>
      <c r="F2" s="786"/>
    </row>
    <row r="3" spans="1:15" ht="14.4" x14ac:dyDescent="0.3">
      <c r="A3" s="729" t="str">
        <f>'BDJ-6 Base Revenue (Summary)'!A5:I5</f>
        <v>Test Year Ending June 30, 2021</v>
      </c>
      <c r="B3" s="786"/>
      <c r="C3" s="786"/>
      <c r="D3" s="786"/>
      <c r="E3" s="786"/>
      <c r="F3" s="786"/>
    </row>
    <row r="6" spans="1:15" ht="10.8" thickBot="1" x14ac:dyDescent="0.25">
      <c r="B6" s="789" t="s">
        <v>616</v>
      </c>
      <c r="C6" s="790"/>
      <c r="D6" s="791"/>
    </row>
    <row r="7" spans="1:15" ht="10.8" thickBot="1" x14ac:dyDescent="0.25">
      <c r="B7" s="250" t="s">
        <v>201</v>
      </c>
      <c r="C7" s="250" t="s">
        <v>90</v>
      </c>
      <c r="D7" s="250" t="s">
        <v>639</v>
      </c>
      <c r="E7" s="250" t="s">
        <v>205</v>
      </c>
      <c r="G7" s="463" t="s">
        <v>94</v>
      </c>
      <c r="H7" s="410"/>
      <c r="I7" s="410"/>
      <c r="J7" s="410"/>
      <c r="K7" s="410"/>
      <c r="L7" s="410"/>
      <c r="M7" s="410"/>
      <c r="N7" s="410"/>
      <c r="O7" s="411"/>
    </row>
    <row r="8" spans="1:15" x14ac:dyDescent="0.2">
      <c r="B8" s="18" t="s">
        <v>69</v>
      </c>
      <c r="C8" s="18">
        <v>70</v>
      </c>
      <c r="D8" s="43">
        <v>908.27</v>
      </c>
      <c r="E8" s="330">
        <f t="shared" ref="E8:E14" si="0">D8/C8</f>
        <v>12.975285714285715</v>
      </c>
      <c r="F8" s="330"/>
      <c r="G8" s="464"/>
      <c r="H8" s="465"/>
      <c r="I8" s="19"/>
      <c r="J8" s="19"/>
      <c r="K8" s="19"/>
      <c r="L8" s="19"/>
      <c r="M8" s="19"/>
      <c r="N8" s="19"/>
      <c r="O8" s="414"/>
    </row>
    <row r="9" spans="1:15" x14ac:dyDescent="0.2">
      <c r="B9" s="18" t="s">
        <v>69</v>
      </c>
      <c r="C9" s="18">
        <v>100</v>
      </c>
      <c r="D9" s="43">
        <v>855.82</v>
      </c>
      <c r="E9" s="330">
        <f t="shared" si="0"/>
        <v>8.5582000000000011</v>
      </c>
      <c r="F9" s="330"/>
      <c r="G9" s="466" t="s">
        <v>95</v>
      </c>
      <c r="H9" s="265"/>
      <c r="I9" s="19"/>
      <c r="J9" s="19"/>
      <c r="K9" s="19"/>
      <c r="L9" s="19"/>
      <c r="M9" s="19"/>
      <c r="N9" s="19"/>
      <c r="O9" s="414"/>
    </row>
    <row r="10" spans="1:15" x14ac:dyDescent="0.2">
      <c r="B10" s="18" t="s">
        <v>69</v>
      </c>
      <c r="C10" s="18">
        <v>150</v>
      </c>
      <c r="D10" s="43">
        <v>857.29</v>
      </c>
      <c r="E10" s="330">
        <f t="shared" si="0"/>
        <v>5.7152666666666665</v>
      </c>
      <c r="F10" s="330"/>
      <c r="G10" s="466" t="s">
        <v>96</v>
      </c>
      <c r="H10" s="265">
        <v>0.87848830122743227</v>
      </c>
      <c r="I10" s="19"/>
      <c r="J10" s="19"/>
      <c r="K10" s="19"/>
      <c r="L10" s="19"/>
      <c r="M10" s="19"/>
      <c r="N10" s="19"/>
      <c r="O10" s="414"/>
    </row>
    <row r="11" spans="1:15" x14ac:dyDescent="0.2">
      <c r="B11" s="18" t="s">
        <v>69</v>
      </c>
      <c r="C11" s="18">
        <v>200</v>
      </c>
      <c r="D11" s="43">
        <v>906.86</v>
      </c>
      <c r="E11" s="330">
        <f t="shared" si="0"/>
        <v>4.5343</v>
      </c>
      <c r="F11" s="330"/>
      <c r="G11" s="466" t="s">
        <v>97</v>
      </c>
      <c r="H11" s="265">
        <v>0.77174169539345983</v>
      </c>
      <c r="I11" s="19"/>
      <c r="J11" s="19"/>
      <c r="K11" s="19"/>
      <c r="L11" s="19"/>
      <c r="M11" s="19"/>
      <c r="N11" s="19"/>
      <c r="O11" s="414"/>
    </row>
    <row r="12" spans="1:15" x14ac:dyDescent="0.2">
      <c r="B12" s="18" t="s">
        <v>69</v>
      </c>
      <c r="C12" s="18">
        <v>250</v>
      </c>
      <c r="D12" s="43">
        <v>922.99</v>
      </c>
      <c r="E12" s="330">
        <f t="shared" si="0"/>
        <v>3.6919599999999999</v>
      </c>
      <c r="F12" s="330"/>
      <c r="G12" s="466" t="s">
        <v>98</v>
      </c>
      <c r="H12" s="265">
        <v>0.72609003447215181</v>
      </c>
      <c r="I12" s="19"/>
      <c r="J12" s="19"/>
      <c r="K12" s="19"/>
      <c r="L12" s="19"/>
      <c r="M12" s="19"/>
      <c r="N12" s="19"/>
      <c r="O12" s="414"/>
    </row>
    <row r="13" spans="1:15" ht="10.8" thickBot="1" x14ac:dyDescent="0.25">
      <c r="B13" s="18" t="s">
        <v>69</v>
      </c>
      <c r="C13" s="18">
        <v>310</v>
      </c>
      <c r="D13" s="43">
        <v>960.17</v>
      </c>
      <c r="E13" s="330">
        <f t="shared" si="0"/>
        <v>3.097322580645161</v>
      </c>
      <c r="F13" s="330"/>
      <c r="G13" s="467" t="s">
        <v>99</v>
      </c>
      <c r="H13" s="468">
        <v>31.737620425531336</v>
      </c>
      <c r="I13" s="19"/>
      <c r="J13" s="19"/>
      <c r="K13" s="19"/>
      <c r="L13" s="19"/>
      <c r="M13" s="19"/>
      <c r="N13" s="19"/>
      <c r="O13" s="414"/>
    </row>
    <row r="14" spans="1:15" x14ac:dyDescent="0.2">
      <c r="B14" s="18" t="s">
        <v>69</v>
      </c>
      <c r="C14" s="18">
        <v>400</v>
      </c>
      <c r="D14" s="43">
        <v>1029.9100000000001</v>
      </c>
      <c r="E14" s="330">
        <f t="shared" si="0"/>
        <v>2.5747750000000003</v>
      </c>
      <c r="F14" s="330"/>
      <c r="G14" s="415" t="s">
        <v>100</v>
      </c>
      <c r="H14" s="19">
        <v>7</v>
      </c>
      <c r="I14" s="19"/>
      <c r="J14" s="19"/>
      <c r="K14" s="19"/>
      <c r="L14" s="19"/>
      <c r="M14" s="19"/>
      <c r="N14" s="19"/>
      <c r="O14" s="414"/>
    </row>
    <row r="15" spans="1:15" x14ac:dyDescent="0.2">
      <c r="B15" s="469"/>
      <c r="G15" s="415"/>
      <c r="H15" s="19"/>
      <c r="I15" s="19"/>
      <c r="J15" s="19"/>
      <c r="K15" s="19"/>
      <c r="L15" s="19"/>
      <c r="M15" s="19"/>
      <c r="N15" s="19"/>
      <c r="O15" s="414"/>
    </row>
    <row r="16" spans="1:15" ht="10.8" thickBot="1" x14ac:dyDescent="0.25">
      <c r="G16" s="415" t="s">
        <v>101</v>
      </c>
      <c r="H16" s="19"/>
      <c r="I16" s="19"/>
      <c r="J16" s="19"/>
      <c r="K16" s="19"/>
      <c r="L16" s="19"/>
      <c r="M16" s="19"/>
      <c r="N16" s="19"/>
      <c r="O16" s="414"/>
    </row>
    <row r="17" spans="2:15" x14ac:dyDescent="0.2">
      <c r="B17" s="789" t="s">
        <v>204</v>
      </c>
      <c r="C17" s="790"/>
      <c r="D17" s="791"/>
      <c r="G17" s="470"/>
      <c r="H17" s="471" t="s">
        <v>105</v>
      </c>
      <c r="I17" s="471" t="s">
        <v>106</v>
      </c>
      <c r="J17" s="471" t="s">
        <v>107</v>
      </c>
      <c r="K17" s="471" t="s">
        <v>108</v>
      </c>
      <c r="L17" s="471" t="s">
        <v>109</v>
      </c>
      <c r="M17" s="19"/>
      <c r="N17" s="19"/>
      <c r="O17" s="414"/>
    </row>
    <row r="18" spans="2:15" x14ac:dyDescent="0.2">
      <c r="B18" s="250" t="s">
        <v>201</v>
      </c>
      <c r="C18" s="250" t="s">
        <v>90</v>
      </c>
      <c r="D18" s="250" t="s">
        <v>132</v>
      </c>
      <c r="E18" s="250" t="s">
        <v>205</v>
      </c>
      <c r="G18" s="466" t="s">
        <v>102</v>
      </c>
      <c r="H18" s="265">
        <v>1</v>
      </c>
      <c r="I18" s="265">
        <v>17028.018191481635</v>
      </c>
      <c r="J18" s="265">
        <v>17028.018191481635</v>
      </c>
      <c r="K18" s="265">
        <v>16.905008050501127</v>
      </c>
      <c r="L18" s="265">
        <v>9.2496734177012017E-3</v>
      </c>
      <c r="M18" s="19"/>
      <c r="N18" s="19"/>
      <c r="O18" s="414"/>
    </row>
    <row r="19" spans="2:15" x14ac:dyDescent="0.2">
      <c r="B19" s="18" t="s">
        <v>69</v>
      </c>
      <c r="C19" s="18">
        <v>50</v>
      </c>
      <c r="D19" s="43">
        <f>H$23+C19*H$24</f>
        <v>847.10701856946366</v>
      </c>
      <c r="E19" s="330">
        <f>D19/C19</f>
        <v>16.942140371389272</v>
      </c>
      <c r="G19" s="466" t="s">
        <v>103</v>
      </c>
      <c r="H19" s="265">
        <v>5</v>
      </c>
      <c r="I19" s="265">
        <v>5036.3827513755195</v>
      </c>
      <c r="J19" s="265">
        <v>1007.2765502751039</v>
      </c>
      <c r="K19" s="265"/>
      <c r="L19" s="265"/>
      <c r="M19" s="19"/>
      <c r="N19" s="19"/>
      <c r="O19" s="414"/>
    </row>
    <row r="20" spans="2:15" ht="10.8" thickBot="1" x14ac:dyDescent="0.25">
      <c r="B20" s="18" t="s">
        <v>69</v>
      </c>
      <c r="C20" s="18">
        <v>70</v>
      </c>
      <c r="D20" s="43">
        <f>D8</f>
        <v>908.27</v>
      </c>
      <c r="E20" s="330">
        <f t="shared" ref="E20:E29" si="1">D20/C20</f>
        <v>12.975285714285715</v>
      </c>
      <c r="G20" s="467" t="s">
        <v>20</v>
      </c>
      <c r="H20" s="468">
        <v>6</v>
      </c>
      <c r="I20" s="468">
        <v>22064.400942857155</v>
      </c>
      <c r="J20" s="468"/>
      <c r="K20" s="468"/>
      <c r="L20" s="468"/>
      <c r="M20" s="19"/>
      <c r="N20" s="19"/>
      <c r="O20" s="414"/>
    </row>
    <row r="21" spans="2:15" ht="10.8" thickBot="1" x14ac:dyDescent="0.25">
      <c r="B21" s="18" t="s">
        <v>69</v>
      </c>
      <c r="C21" s="18">
        <v>90</v>
      </c>
      <c r="D21" s="43">
        <f>H$23+C21*H$24</f>
        <v>865.21536795048155</v>
      </c>
      <c r="E21" s="330">
        <f t="shared" si="1"/>
        <v>9.6135040883386846</v>
      </c>
      <c r="G21" s="415"/>
      <c r="H21" s="19"/>
      <c r="I21" s="19"/>
      <c r="J21" s="19"/>
      <c r="K21" s="19"/>
      <c r="L21" s="19"/>
      <c r="M21" s="19"/>
      <c r="N21" s="19"/>
      <c r="O21" s="414"/>
    </row>
    <row r="22" spans="2:15" x14ac:dyDescent="0.2">
      <c r="B22" s="18" t="s">
        <v>69</v>
      </c>
      <c r="C22" s="18">
        <v>100</v>
      </c>
      <c r="D22" s="43">
        <f>D9</f>
        <v>855.82</v>
      </c>
      <c r="E22" s="330">
        <f t="shared" si="1"/>
        <v>8.5582000000000011</v>
      </c>
      <c r="G22" s="470"/>
      <c r="H22" s="471" t="s">
        <v>110</v>
      </c>
      <c r="I22" s="471" t="s">
        <v>99</v>
      </c>
      <c r="J22" s="471" t="s">
        <v>111</v>
      </c>
      <c r="K22" s="471" t="s">
        <v>112</v>
      </c>
      <c r="L22" s="471" t="s">
        <v>113</v>
      </c>
      <c r="M22" s="471" t="s">
        <v>114</v>
      </c>
      <c r="N22" s="471" t="s">
        <v>115</v>
      </c>
      <c r="O22" s="472" t="s">
        <v>116</v>
      </c>
    </row>
    <row r="23" spans="2:15" x14ac:dyDescent="0.2">
      <c r="B23" s="18" t="s">
        <v>69</v>
      </c>
      <c r="C23" s="18">
        <v>150</v>
      </c>
      <c r="D23" s="43">
        <f>D10</f>
        <v>857.29</v>
      </c>
      <c r="E23" s="330">
        <f t="shared" si="1"/>
        <v>5.7152666666666665</v>
      </c>
      <c r="G23" s="466" t="s">
        <v>104</v>
      </c>
      <c r="H23" s="265">
        <v>824.4715818431913</v>
      </c>
      <c r="I23" s="265">
        <v>26.188447645427008</v>
      </c>
      <c r="J23" s="265">
        <v>31.482262446631097</v>
      </c>
      <c r="K23" s="265">
        <v>6.0714277354141777E-7</v>
      </c>
      <c r="L23" s="265">
        <v>757.15203402234397</v>
      </c>
      <c r="M23" s="265">
        <v>891.79112966403864</v>
      </c>
      <c r="N23" s="265">
        <v>757.15203402234397</v>
      </c>
      <c r="O23" s="473">
        <v>891.79112966403864</v>
      </c>
    </row>
    <row r="24" spans="2:15" ht="10.8" thickBot="1" x14ac:dyDescent="0.25">
      <c r="B24" s="18" t="s">
        <v>69</v>
      </c>
      <c r="C24" s="18">
        <v>180</v>
      </c>
      <c r="D24" s="43">
        <f>H$23+C24*H$24</f>
        <v>905.9591540577718</v>
      </c>
      <c r="E24" s="330">
        <f t="shared" si="1"/>
        <v>5.0331064114320654</v>
      </c>
      <c r="G24" s="467" t="s">
        <v>202</v>
      </c>
      <c r="H24" s="468">
        <v>0.45270873452544708</v>
      </c>
      <c r="I24" s="468">
        <v>0.11010605001016366</v>
      </c>
      <c r="J24" s="468">
        <v>4.1115700225705893</v>
      </c>
      <c r="K24" s="468">
        <v>9.2496734177012086E-3</v>
      </c>
      <c r="L24" s="468">
        <v>0.16967212237565665</v>
      </c>
      <c r="M24" s="468">
        <v>0.7357453466752375</v>
      </c>
      <c r="N24" s="468">
        <v>0.16967212237565665</v>
      </c>
      <c r="O24" s="474">
        <v>0.7357453466752375</v>
      </c>
    </row>
    <row r="25" spans="2:15" x14ac:dyDescent="0.2">
      <c r="B25" s="18" t="s">
        <v>69</v>
      </c>
      <c r="C25" s="18">
        <v>200</v>
      </c>
      <c r="D25" s="43">
        <f>D11</f>
        <v>906.86</v>
      </c>
      <c r="E25" s="330">
        <f t="shared" si="1"/>
        <v>4.5343</v>
      </c>
    </row>
    <row r="26" spans="2:15" x14ac:dyDescent="0.2">
      <c r="B26" s="18" t="s">
        <v>69</v>
      </c>
      <c r="C26" s="18">
        <v>250</v>
      </c>
      <c r="D26" s="43">
        <f>D12</f>
        <v>922.99</v>
      </c>
      <c r="E26" s="330">
        <f t="shared" si="1"/>
        <v>3.6919599999999999</v>
      </c>
    </row>
    <row r="27" spans="2:15" x14ac:dyDescent="0.2">
      <c r="B27" s="18" t="s">
        <v>69</v>
      </c>
      <c r="C27" s="18">
        <v>310</v>
      </c>
      <c r="D27" s="43">
        <f>D13</f>
        <v>960.17</v>
      </c>
      <c r="E27" s="330">
        <f t="shared" si="1"/>
        <v>3.097322580645161</v>
      </c>
    </row>
    <row r="28" spans="2:15" x14ac:dyDescent="0.2">
      <c r="B28" s="18" t="s">
        <v>69</v>
      </c>
      <c r="C28" s="18">
        <v>400</v>
      </c>
      <c r="D28" s="43">
        <f>D14</f>
        <v>1029.9100000000001</v>
      </c>
      <c r="E28" s="330">
        <f t="shared" si="1"/>
        <v>2.5747750000000003</v>
      </c>
    </row>
    <row r="29" spans="2:15" x14ac:dyDescent="0.2">
      <c r="B29" s="18" t="s">
        <v>69</v>
      </c>
      <c r="C29" s="18">
        <v>1000</v>
      </c>
      <c r="D29" s="43">
        <f>H$23+C29*H$24</f>
        <v>1277.1803163686384</v>
      </c>
      <c r="E29" s="330">
        <f t="shared" si="1"/>
        <v>1.2771803163686384</v>
      </c>
    </row>
  </sheetData>
  <mergeCells count="5">
    <mergeCell ref="B17:D17"/>
    <mergeCell ref="B6:D6"/>
    <mergeCell ref="A1:F1"/>
    <mergeCell ref="A2:F2"/>
    <mergeCell ref="A3:F3"/>
  </mergeCells>
  <pageMargins left="0.7" right="0.7" top="0.75" bottom="0.75" header="0.3" footer="0.3"/>
  <pageSetup scale="82" orientation="landscape" r:id="rId1"/>
  <headerFooter>
    <oddFooter>&amp;R&amp;F
&amp;A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R25"/>
  <sheetViews>
    <sheetView workbookViewId="0">
      <selection activeCell="D32" sqref="D32"/>
    </sheetView>
  </sheetViews>
  <sheetFormatPr defaultColWidth="8.88671875" defaultRowHeight="10.199999999999999" x14ac:dyDescent="0.2"/>
  <cols>
    <col min="1" max="1" width="3.6640625" style="28" customWidth="1"/>
    <col min="2" max="2" width="10" style="28" bestFit="1" customWidth="1"/>
    <col min="3" max="3" width="6" style="28" bestFit="1" customWidth="1"/>
    <col min="4" max="4" width="13.88671875" style="28" bestFit="1" customWidth="1"/>
    <col min="5" max="5" width="11.6640625" style="28" bestFit="1" customWidth="1"/>
    <col min="6" max="6" width="2.44140625" style="28" customWidth="1"/>
    <col min="7" max="7" width="14.88671875" style="28" bestFit="1" customWidth="1"/>
    <col min="8" max="8" width="10.44140625" style="28" bestFit="1" customWidth="1"/>
    <col min="9" max="9" width="11.88671875" style="28" bestFit="1" customWidth="1"/>
    <col min="10" max="11" width="10.44140625" style="28" bestFit="1" customWidth="1"/>
    <col min="12" max="12" width="11.6640625" style="28" bestFit="1" customWidth="1"/>
    <col min="13" max="13" width="10.44140625" style="28" bestFit="1" customWidth="1"/>
    <col min="14" max="14" width="11" style="28" bestFit="1" customWidth="1"/>
    <col min="15" max="15" width="10.5546875" style="28" bestFit="1" customWidth="1"/>
    <col min="16" max="16384" width="8.88671875" style="28"/>
  </cols>
  <sheetData>
    <row r="1" spans="1:18" ht="14.4" x14ac:dyDescent="0.3">
      <c r="A1" s="729" t="str">
        <f>'BDJ-6 Base Revenue (Summary)'!A1:I1</f>
        <v>Puget Sound Energy</v>
      </c>
      <c r="B1" s="786"/>
      <c r="C1" s="786"/>
      <c r="D1" s="786"/>
      <c r="E1" s="78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8" ht="14.4" customHeight="1" x14ac:dyDescent="0.3">
      <c r="A2" s="729" t="s">
        <v>622</v>
      </c>
      <c r="B2" s="786"/>
      <c r="C2" s="786"/>
      <c r="D2" s="786"/>
      <c r="E2" s="786"/>
      <c r="F2" s="746"/>
      <c r="G2" s="746"/>
      <c r="H2" s="746"/>
      <c r="I2" s="746"/>
      <c r="J2" s="746"/>
      <c r="K2" s="746"/>
      <c r="L2" s="746"/>
      <c r="M2" s="746"/>
      <c r="N2" s="746"/>
      <c r="O2" s="746"/>
    </row>
    <row r="3" spans="1:18" ht="14.4" customHeight="1" x14ac:dyDescent="0.3">
      <c r="A3" s="729" t="str">
        <f>'BDJ-6 Base Revenue (Summary)'!A4:I4</f>
        <v>2022 General Rate Case (GRC)</v>
      </c>
      <c r="B3" s="786"/>
      <c r="C3" s="786"/>
      <c r="D3" s="786"/>
      <c r="E3" s="786"/>
      <c r="F3" s="746"/>
      <c r="G3" s="746"/>
      <c r="H3" s="746"/>
      <c r="I3" s="746"/>
      <c r="J3" s="746"/>
      <c r="K3" s="746"/>
      <c r="L3" s="746"/>
      <c r="M3" s="746"/>
      <c r="N3" s="746"/>
      <c r="O3" s="746"/>
    </row>
    <row r="4" spans="1:18" ht="14.4" customHeight="1" x14ac:dyDescent="0.3">
      <c r="A4" s="729" t="str">
        <f>'BDJ-6 Base Revenue (Summary)'!A5:I5</f>
        <v>Test Year Ending June 30, 2021</v>
      </c>
      <c r="B4" s="786"/>
      <c r="C4" s="786"/>
      <c r="D4" s="786"/>
      <c r="E4" s="786"/>
      <c r="F4" s="746"/>
      <c r="G4" s="746"/>
      <c r="H4" s="746"/>
      <c r="I4" s="746"/>
      <c r="J4" s="746"/>
      <c r="K4" s="746"/>
      <c r="L4" s="746"/>
      <c r="M4" s="746"/>
      <c r="N4" s="746"/>
      <c r="O4" s="746"/>
    </row>
    <row r="7" spans="1:18" ht="10.8" thickBot="1" x14ac:dyDescent="0.25">
      <c r="B7" s="792" t="s">
        <v>203</v>
      </c>
      <c r="C7" s="793"/>
      <c r="D7" s="793"/>
      <c r="E7" s="794"/>
    </row>
    <row r="8" spans="1:18" s="458" customFormat="1" ht="10.8" thickBot="1" x14ac:dyDescent="0.25">
      <c r="A8" s="475"/>
      <c r="D8" s="344" t="s">
        <v>954</v>
      </c>
      <c r="E8" s="344" t="s">
        <v>205</v>
      </c>
      <c r="F8" s="28"/>
      <c r="G8" s="463" t="s">
        <v>94</v>
      </c>
      <c r="H8" s="410"/>
      <c r="I8" s="410"/>
      <c r="J8" s="410"/>
      <c r="K8" s="410"/>
      <c r="L8" s="410"/>
      <c r="M8" s="410"/>
      <c r="N8" s="410"/>
      <c r="O8" s="411"/>
      <c r="P8" s="28"/>
      <c r="Q8" s="28"/>
      <c r="R8" s="28"/>
    </row>
    <row r="9" spans="1:18" x14ac:dyDescent="0.2">
      <c r="B9" s="18" t="s">
        <v>80</v>
      </c>
      <c r="C9" s="18">
        <v>250</v>
      </c>
      <c r="D9" s="43">
        <v>915.43</v>
      </c>
      <c r="E9" s="262">
        <f>D9/C9</f>
        <v>3.6617199999999999</v>
      </c>
      <c r="G9" s="464"/>
      <c r="H9" s="465"/>
      <c r="I9" s="19"/>
      <c r="J9" s="19"/>
      <c r="K9" s="19"/>
      <c r="L9" s="19"/>
      <c r="M9" s="19"/>
      <c r="N9" s="19"/>
      <c r="O9" s="414"/>
    </row>
    <row r="10" spans="1:18" x14ac:dyDescent="0.2">
      <c r="B10" s="18" t="s">
        <v>80</v>
      </c>
      <c r="C10" s="18">
        <v>400</v>
      </c>
      <c r="D10" s="43">
        <v>919.24</v>
      </c>
      <c r="E10" s="262">
        <f>D10/C10</f>
        <v>2.2980999999999998</v>
      </c>
      <c r="G10" s="466" t="s">
        <v>95</v>
      </c>
      <c r="H10" s="265"/>
      <c r="I10" s="19"/>
      <c r="J10" s="19"/>
      <c r="K10" s="19"/>
      <c r="L10" s="19"/>
      <c r="M10" s="19"/>
      <c r="N10" s="19"/>
      <c r="O10" s="414"/>
    </row>
    <row r="11" spans="1:18" x14ac:dyDescent="0.2">
      <c r="B11" s="18" t="s">
        <v>80</v>
      </c>
      <c r="C11" s="18">
        <v>1000</v>
      </c>
      <c r="D11" s="43">
        <v>1237.33</v>
      </c>
      <c r="E11" s="262">
        <f>D11/C11</f>
        <v>1.2373299999999998</v>
      </c>
      <c r="G11" s="466" t="s">
        <v>96</v>
      </c>
      <c r="H11" s="265">
        <v>0.9838768513853785</v>
      </c>
      <c r="I11" s="19"/>
      <c r="J11" s="19"/>
      <c r="K11" s="19"/>
      <c r="L11" s="19"/>
      <c r="M11" s="19"/>
      <c r="N11" s="19"/>
      <c r="O11" s="414"/>
    </row>
    <row r="12" spans="1:18" x14ac:dyDescent="0.2">
      <c r="B12" s="469"/>
      <c r="G12" s="466" t="s">
        <v>97</v>
      </c>
      <c r="H12" s="265">
        <v>0.96801365869200617</v>
      </c>
      <c r="I12" s="19"/>
      <c r="J12" s="19"/>
      <c r="K12" s="19"/>
      <c r="L12" s="19"/>
      <c r="M12" s="19"/>
      <c r="N12" s="19"/>
      <c r="O12" s="414"/>
    </row>
    <row r="13" spans="1:18" x14ac:dyDescent="0.2">
      <c r="B13" s="469"/>
      <c r="G13" s="466" t="s">
        <v>98</v>
      </c>
      <c r="H13" s="265">
        <v>0.93602731738401235</v>
      </c>
      <c r="I13" s="19"/>
      <c r="J13" s="19"/>
      <c r="K13" s="19"/>
      <c r="L13" s="19"/>
      <c r="M13" s="19"/>
      <c r="N13" s="19"/>
      <c r="O13" s="414"/>
    </row>
    <row r="14" spans="1:18" ht="10.8" thickBot="1" x14ac:dyDescent="0.25">
      <c r="B14" s="795" t="s">
        <v>204</v>
      </c>
      <c r="C14" s="779"/>
      <c r="D14" s="779"/>
      <c r="E14" s="796"/>
      <c r="F14" s="458"/>
      <c r="G14" s="467" t="s">
        <v>99</v>
      </c>
      <c r="H14" s="468">
        <v>46.730769536019466</v>
      </c>
      <c r="I14" s="19"/>
      <c r="J14" s="19"/>
      <c r="K14" s="19"/>
      <c r="L14" s="19"/>
      <c r="M14" s="19"/>
      <c r="N14" s="19"/>
      <c r="O14" s="414"/>
      <c r="P14" s="458"/>
      <c r="Q14" s="458"/>
      <c r="R14" s="458"/>
    </row>
    <row r="15" spans="1:18" x14ac:dyDescent="0.2">
      <c r="D15" s="344" t="s">
        <v>599</v>
      </c>
      <c r="E15" s="344" t="s">
        <v>205</v>
      </c>
      <c r="G15" s="415" t="s">
        <v>100</v>
      </c>
      <c r="H15" s="19">
        <v>3</v>
      </c>
      <c r="I15" s="19"/>
      <c r="J15" s="19"/>
      <c r="K15" s="19"/>
      <c r="L15" s="19"/>
      <c r="M15" s="19"/>
      <c r="N15" s="19"/>
      <c r="O15" s="414"/>
    </row>
    <row r="16" spans="1:18" x14ac:dyDescent="0.2">
      <c r="B16" s="18" t="s">
        <v>80</v>
      </c>
      <c r="C16" s="18">
        <v>70</v>
      </c>
      <c r="D16" s="43">
        <f>H$24+C16*H$25</f>
        <v>804.13942857142865</v>
      </c>
      <c r="E16" s="262">
        <f t="shared" ref="E16:E22" si="0">D16/C16</f>
        <v>11.48770612244898</v>
      </c>
      <c r="G16" s="415"/>
      <c r="H16" s="19"/>
      <c r="I16" s="19"/>
      <c r="J16" s="19"/>
      <c r="K16" s="19"/>
      <c r="L16" s="19"/>
      <c r="M16" s="19"/>
      <c r="N16" s="19"/>
      <c r="O16" s="414"/>
    </row>
    <row r="17" spans="1:15" ht="10.8" thickBot="1" x14ac:dyDescent="0.25">
      <c r="B17" s="18" t="s">
        <v>80</v>
      </c>
      <c r="C17" s="18">
        <v>100</v>
      </c>
      <c r="D17" s="43">
        <f>H$24+C17*H$25</f>
        <v>817.88071428571436</v>
      </c>
      <c r="E17" s="262">
        <f t="shared" si="0"/>
        <v>8.1788071428571438</v>
      </c>
      <c r="G17" s="415" t="s">
        <v>101</v>
      </c>
      <c r="H17" s="19"/>
      <c r="I17" s="19"/>
      <c r="J17" s="19"/>
      <c r="K17" s="19"/>
      <c r="L17" s="19"/>
      <c r="M17" s="19"/>
      <c r="N17" s="19"/>
      <c r="O17" s="414"/>
    </row>
    <row r="18" spans="1:15" x14ac:dyDescent="0.2">
      <c r="B18" s="18" t="s">
        <v>80</v>
      </c>
      <c r="C18" s="18">
        <v>150</v>
      </c>
      <c r="D18" s="43">
        <f>H$24+C18*H$25</f>
        <v>840.78285714285721</v>
      </c>
      <c r="E18" s="262">
        <f t="shared" si="0"/>
        <v>5.6052190476190482</v>
      </c>
      <c r="G18" s="470"/>
      <c r="H18" s="471" t="s">
        <v>105</v>
      </c>
      <c r="I18" s="471" t="s">
        <v>106</v>
      </c>
      <c r="J18" s="471" t="s">
        <v>107</v>
      </c>
      <c r="K18" s="471" t="s">
        <v>108</v>
      </c>
      <c r="L18" s="471" t="s">
        <v>109</v>
      </c>
      <c r="M18" s="19"/>
      <c r="N18" s="19"/>
      <c r="O18" s="414"/>
    </row>
    <row r="19" spans="1:15" x14ac:dyDescent="0.2">
      <c r="B19" s="18" t="s">
        <v>80</v>
      </c>
      <c r="C19" s="18">
        <v>175</v>
      </c>
      <c r="D19" s="43">
        <f>H$24+C19*H$25</f>
        <v>852.23392857142869</v>
      </c>
      <c r="E19" s="262">
        <f t="shared" si="0"/>
        <v>4.8699081632653067</v>
      </c>
      <c r="G19" s="466" t="s">
        <v>102</v>
      </c>
      <c r="H19" s="265">
        <v>1</v>
      </c>
      <c r="I19" s="265">
        <v>66088.026578571429</v>
      </c>
      <c r="J19" s="265">
        <v>66088.026578571429</v>
      </c>
      <c r="K19" s="265">
        <v>30.263344262198654</v>
      </c>
      <c r="L19" s="265">
        <v>0.11447358872584112</v>
      </c>
      <c r="M19" s="19"/>
      <c r="N19" s="19"/>
      <c r="O19" s="414"/>
    </row>
    <row r="20" spans="1:15" x14ac:dyDescent="0.2">
      <c r="B20" s="18" t="s">
        <v>80</v>
      </c>
      <c r="C20" s="18">
        <v>250</v>
      </c>
      <c r="D20" s="43">
        <f>D9</f>
        <v>915.43</v>
      </c>
      <c r="E20" s="262">
        <f t="shared" si="0"/>
        <v>3.6617199999999999</v>
      </c>
      <c r="G20" s="466" t="s">
        <v>103</v>
      </c>
      <c r="H20" s="265">
        <v>1</v>
      </c>
      <c r="I20" s="265">
        <v>2183.764821428565</v>
      </c>
      <c r="J20" s="265">
        <v>2183.764821428565</v>
      </c>
      <c r="K20" s="265"/>
      <c r="L20" s="265"/>
      <c r="M20" s="19"/>
      <c r="N20" s="19"/>
      <c r="O20" s="414"/>
    </row>
    <row r="21" spans="1:15" ht="10.8" thickBot="1" x14ac:dyDescent="0.25">
      <c r="B21" s="18" t="s">
        <v>80</v>
      </c>
      <c r="C21" s="18">
        <v>400</v>
      </c>
      <c r="D21" s="43">
        <f>D10</f>
        <v>919.24</v>
      </c>
      <c r="E21" s="262">
        <f t="shared" si="0"/>
        <v>2.2980999999999998</v>
      </c>
      <c r="G21" s="467" t="s">
        <v>20</v>
      </c>
      <c r="H21" s="468">
        <v>2</v>
      </c>
      <c r="I21" s="468">
        <v>68271.791399999987</v>
      </c>
      <c r="J21" s="468"/>
      <c r="K21" s="468"/>
      <c r="L21" s="468"/>
      <c r="M21" s="19"/>
      <c r="N21" s="19"/>
      <c r="O21" s="414"/>
    </row>
    <row r="22" spans="1:15" ht="10.8" thickBot="1" x14ac:dyDescent="0.25">
      <c r="B22" s="18" t="s">
        <v>80</v>
      </c>
      <c r="C22" s="18">
        <v>1000</v>
      </c>
      <c r="D22" s="43">
        <f>D11</f>
        <v>1237.33</v>
      </c>
      <c r="E22" s="262">
        <f t="shared" si="0"/>
        <v>1.2373299999999998</v>
      </c>
      <c r="G22" s="415"/>
      <c r="H22" s="19"/>
      <c r="I22" s="19"/>
      <c r="J22" s="19"/>
      <c r="K22" s="19"/>
      <c r="L22" s="19"/>
      <c r="M22" s="19"/>
      <c r="N22" s="19"/>
      <c r="O22" s="414"/>
    </row>
    <row r="23" spans="1:15" x14ac:dyDescent="0.2">
      <c r="G23" s="470"/>
      <c r="H23" s="471" t="s">
        <v>110</v>
      </c>
      <c r="I23" s="471" t="s">
        <v>99</v>
      </c>
      <c r="J23" s="471" t="s">
        <v>111</v>
      </c>
      <c r="K23" s="471" t="s">
        <v>112</v>
      </c>
      <c r="L23" s="471" t="s">
        <v>113</v>
      </c>
      <c r="M23" s="471" t="s">
        <v>114</v>
      </c>
      <c r="N23" s="471" t="s">
        <v>115</v>
      </c>
      <c r="O23" s="472" t="s">
        <v>116</v>
      </c>
    </row>
    <row r="24" spans="1:15" ht="14.4" x14ac:dyDescent="0.3">
      <c r="A24" s="469"/>
      <c r="F24" s="346"/>
      <c r="G24" s="466" t="s">
        <v>104</v>
      </c>
      <c r="H24" s="265">
        <v>772.07642857142866</v>
      </c>
      <c r="I24" s="265">
        <v>53.151002759945619</v>
      </c>
      <c r="J24" s="265">
        <v>14.526093365697747</v>
      </c>
      <c r="K24" s="265">
        <v>4.3756908561668424E-2</v>
      </c>
      <c r="L24" s="265">
        <v>96.728905570572692</v>
      </c>
      <c r="M24" s="265">
        <v>1447.4239515722848</v>
      </c>
      <c r="N24" s="265">
        <v>96.728905570572692</v>
      </c>
      <c r="O24" s="473">
        <v>1447.4239515722848</v>
      </c>
    </row>
    <row r="25" spans="1:15" ht="10.8" thickBot="1" x14ac:dyDescent="0.25">
      <c r="F25" s="344"/>
      <c r="G25" s="467" t="s">
        <v>202</v>
      </c>
      <c r="H25" s="468">
        <v>0.45804285714285703</v>
      </c>
      <c r="I25" s="468">
        <v>8.3262156678132332E-2</v>
      </c>
      <c r="J25" s="468">
        <v>5.501212980988706</v>
      </c>
      <c r="K25" s="468">
        <v>0.11447358872584114</v>
      </c>
      <c r="L25" s="468">
        <v>-0.59990315238494851</v>
      </c>
      <c r="M25" s="468">
        <v>1.5159888666706625</v>
      </c>
      <c r="N25" s="468">
        <v>-0.59990315238494851</v>
      </c>
      <c r="O25" s="474">
        <v>1.5159888666706625</v>
      </c>
    </row>
  </sheetData>
  <mergeCells count="6">
    <mergeCell ref="B7:E7"/>
    <mergeCell ref="B14:E14"/>
    <mergeCell ref="A1:O1"/>
    <mergeCell ref="A2:O2"/>
    <mergeCell ref="A3:O3"/>
    <mergeCell ref="A4:O4"/>
  </mergeCells>
  <pageMargins left="0.7" right="0.7" top="0.75" bottom="0.75" header="0.3" footer="0.3"/>
  <pageSetup scale="82" orientation="landscape" r:id="rId1"/>
  <headerFooter>
    <oddFooter>&amp;R&amp;F
&amp;A</oddFooter>
  </headerFooter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43"/>
  <sheetViews>
    <sheetView workbookViewId="0">
      <selection activeCell="E36" sqref="E36"/>
    </sheetView>
  </sheetViews>
  <sheetFormatPr defaultColWidth="8.88671875" defaultRowHeight="10.199999999999999" x14ac:dyDescent="0.2"/>
  <cols>
    <col min="1" max="1" width="27.109375" style="50" bestFit="1" customWidth="1"/>
    <col min="2" max="2" width="11.5546875" style="50" customWidth="1"/>
    <col min="3" max="3" width="11.88671875" style="50" bestFit="1" customWidth="1"/>
    <col min="4" max="4" width="11.5546875" style="50" customWidth="1"/>
    <col min="5" max="6" width="10.6640625" style="50" bestFit="1" customWidth="1"/>
    <col min="7" max="7" width="11.5546875" style="50" customWidth="1"/>
    <col min="8" max="8" width="11.44140625" style="50" customWidth="1"/>
    <col min="9" max="9" width="10.6640625" style="50" bestFit="1" customWidth="1"/>
    <col min="10" max="10" width="8.88671875" style="52"/>
    <col min="11" max="16384" width="8.88671875" style="50"/>
  </cols>
  <sheetData>
    <row r="1" spans="1:10" x14ac:dyDescent="0.2">
      <c r="A1" s="729" t="str">
        <f>'Schedules 55E &amp; 58E Pole'!A1:M1</f>
        <v>Puget Sound Energy</v>
      </c>
      <c r="B1" s="729"/>
      <c r="C1" s="729"/>
      <c r="D1" s="729"/>
      <c r="E1" s="729"/>
      <c r="F1" s="729"/>
      <c r="G1" s="729"/>
      <c r="H1" s="729"/>
      <c r="I1" s="729"/>
    </row>
    <row r="2" spans="1:10" x14ac:dyDescent="0.2">
      <c r="A2" s="729" t="s">
        <v>952</v>
      </c>
      <c r="B2" s="729"/>
      <c r="C2" s="729"/>
      <c r="D2" s="729"/>
      <c r="E2" s="729"/>
      <c r="F2" s="729"/>
      <c r="G2" s="729"/>
      <c r="H2" s="729"/>
      <c r="I2" s="729"/>
    </row>
    <row r="3" spans="1:10" x14ac:dyDescent="0.2">
      <c r="A3" s="729" t="str">
        <f>'Schedules 55E &amp; 58E Pole'!A3:M3</f>
        <v>2022 General Rate Case (GRC)</v>
      </c>
      <c r="B3" s="729"/>
      <c r="C3" s="729"/>
      <c r="D3" s="729"/>
      <c r="E3" s="729"/>
      <c r="F3" s="729"/>
      <c r="G3" s="729"/>
      <c r="H3" s="729"/>
      <c r="I3" s="729"/>
    </row>
    <row r="4" spans="1:10" x14ac:dyDescent="0.2">
      <c r="A4" s="729" t="str">
        <f>'Schedules 55E &amp; 58E Pole'!A4:M4</f>
        <v>Test Year Ending June 30, 2021</v>
      </c>
      <c r="B4" s="729"/>
      <c r="C4" s="729"/>
      <c r="D4" s="729"/>
      <c r="E4" s="729"/>
      <c r="F4" s="729"/>
      <c r="G4" s="729"/>
      <c r="H4" s="729"/>
      <c r="I4" s="729"/>
    </row>
    <row r="6" spans="1:10" s="52" customFormat="1" ht="20.399999999999999" x14ac:dyDescent="0.2">
      <c r="A6" s="104"/>
      <c r="B6" s="104" t="s">
        <v>957</v>
      </c>
      <c r="C6" s="101" t="s">
        <v>15</v>
      </c>
      <c r="D6" s="104" t="s">
        <v>414</v>
      </c>
      <c r="E6" s="104" t="s">
        <v>76</v>
      </c>
      <c r="F6" s="104" t="s">
        <v>77</v>
      </c>
      <c r="G6" s="104" t="s">
        <v>171</v>
      </c>
      <c r="H6" s="104" t="s">
        <v>169</v>
      </c>
      <c r="I6" s="292" t="s">
        <v>170</v>
      </c>
    </row>
    <row r="7" spans="1:10" s="52" customFormat="1" x14ac:dyDescent="0.2">
      <c r="A7" s="291" t="s">
        <v>3</v>
      </c>
      <c r="B7" s="291" t="s">
        <v>4</v>
      </c>
      <c r="C7" s="291" t="s">
        <v>5</v>
      </c>
      <c r="D7" s="291" t="s">
        <v>6</v>
      </c>
      <c r="E7" s="291" t="s">
        <v>7</v>
      </c>
      <c r="F7" s="291" t="s">
        <v>21</v>
      </c>
      <c r="G7" s="291" t="s">
        <v>8</v>
      </c>
      <c r="H7" s="291" t="s">
        <v>9</v>
      </c>
      <c r="I7" s="291" t="s">
        <v>22</v>
      </c>
    </row>
    <row r="8" spans="1:10" x14ac:dyDescent="0.2">
      <c r="A8" s="255" t="s">
        <v>47</v>
      </c>
      <c r="B8" s="655">
        <f t="shared" ref="B8:B22" si="0">+C8/D8</f>
        <v>1.0198813526128789</v>
      </c>
      <c r="C8" s="295">
        <f>'BDJ-6 Rate Design Lighting'!L11*(D8/SUM($D$8:$D$10))</f>
        <v>467.70098674505135</v>
      </c>
      <c r="D8" s="295">
        <f t="shared" ref="D8:D22" si="1">SUM(E8:I8)</f>
        <v>458.5837220641672</v>
      </c>
      <c r="E8" s="295">
        <f>'WP12 Condensed Sch. Level Costs'!$AN$8</f>
        <v>0</v>
      </c>
      <c r="F8" s="295">
        <f>'WP12 Condensed Sch. Level Costs'!$AO$8</f>
        <v>0</v>
      </c>
      <c r="G8" s="295">
        <f>'WP12 Condensed Sch. Level Costs'!$AP$8</f>
        <v>104.29766153056092</v>
      </c>
      <c r="H8" s="295">
        <f>'WP12 Condensed Sch. Level Costs'!$AQ$8</f>
        <v>56.869947299238802</v>
      </c>
      <c r="I8" s="295">
        <f>'WP12 Condensed Sch. Level Costs'!$AR$8</f>
        <v>297.41611323436746</v>
      </c>
    </row>
    <row r="9" spans="1:10" x14ac:dyDescent="0.2">
      <c r="A9" s="255" t="s">
        <v>71</v>
      </c>
      <c r="B9" s="655">
        <f t="shared" si="0"/>
        <v>1.0198813526128789</v>
      </c>
      <c r="C9" s="295">
        <f>'BDJ-6 Rate Design Lighting'!L11*(D9/SUM($D$8:$D$10))</f>
        <v>5283.2422546414027</v>
      </c>
      <c r="D9" s="295">
        <f t="shared" si="1"/>
        <v>5180.251841163712</v>
      </c>
      <c r="E9" s="295">
        <f>SUM('WP12 Condensed Sch. Level Costs'!$AN$10:$AN$12)</f>
        <v>0</v>
      </c>
      <c r="F9" s="295">
        <f>SUM('WP12 Condensed Sch. Level Costs'!$AO$10:$AO$12)</f>
        <v>1108.4664815415811</v>
      </c>
      <c r="G9" s="295">
        <f>SUM('WP12 Condensed Sch. Level Costs'!$AP$10:$AP$12)</f>
        <v>926.06359718005729</v>
      </c>
      <c r="H9" s="295">
        <f>SUM('WP12 Condensed Sch. Level Costs'!$AQ$10:$AQ$12)</f>
        <v>504.95080325402716</v>
      </c>
      <c r="I9" s="295">
        <f>SUM('WP12 Condensed Sch. Level Costs'!$AR$10:$AR$12)</f>
        <v>2640.7709591880466</v>
      </c>
    </row>
    <row r="10" spans="1:10" x14ac:dyDescent="0.2">
      <c r="A10" s="255" t="s">
        <v>72</v>
      </c>
      <c r="B10" s="655">
        <f t="shared" si="0"/>
        <v>1.0198813526128787</v>
      </c>
      <c r="C10" s="295">
        <f>'BDJ-6 Rate Design Lighting'!L11*(D10/SUM($D$8:$D$10))</f>
        <v>63.056758613546968</v>
      </c>
      <c r="D10" s="295">
        <f t="shared" si="1"/>
        <v>61.827543421594186</v>
      </c>
      <c r="E10" s="295">
        <f>SUM('WP12 Condensed Sch. Level Costs'!$AN$14:$AN$17)</f>
        <v>0</v>
      </c>
      <c r="F10" s="295">
        <f>SUM('WP12 Condensed Sch. Level Costs'!$AO$14:$AO$17)</f>
        <v>0</v>
      </c>
      <c r="G10" s="295">
        <f>SUM('WP12 Condensed Sch. Level Costs'!$AP$14:$AP$17)</f>
        <v>14.06170321097701</v>
      </c>
      <c r="H10" s="295">
        <f>SUM('WP12 Condensed Sch. Level Costs'!$AQ$14:$AQ$17)</f>
        <v>7.6673657760915184</v>
      </c>
      <c r="I10" s="295">
        <f>SUM('WP12 Condensed Sch. Level Costs'!$AR$14:$AR$17)</f>
        <v>40.098474434525656</v>
      </c>
    </row>
    <row r="11" spans="1:10" x14ac:dyDescent="0.2">
      <c r="A11" s="255" t="s">
        <v>178</v>
      </c>
      <c r="B11" s="655">
        <f t="shared" si="0"/>
        <v>0.99115539759388138</v>
      </c>
      <c r="C11" s="295">
        <f>'BDJ-6 Rate Design Lighting'!L12</f>
        <v>936796</v>
      </c>
      <c r="D11" s="295">
        <f t="shared" si="1"/>
        <v>945155.52482905937</v>
      </c>
      <c r="E11" s="295">
        <f>'WP5 Facilities Charge (51 &amp; 52)'!$C$43</f>
        <v>0</v>
      </c>
      <c r="F11" s="295">
        <f>'WP5 Facilities Charge (51 &amp; 52)'!$C$28</f>
        <v>720339.9779406992</v>
      </c>
      <c r="G11" s="295">
        <f>SUM('WP12 Condensed Sch. Level Costs'!$AP$20:$AP$28)</f>
        <v>51130.76345280571</v>
      </c>
      <c r="H11" s="295">
        <f>SUM('WP12 Condensed Sch. Level Costs'!$AQ$20:$AQ$28)</f>
        <v>27879.856367430384</v>
      </c>
      <c r="I11" s="295">
        <f>SUM('WP12 Condensed Sch. Level Costs'!$AR$20:$AR$28)</f>
        <v>145804.92706812406</v>
      </c>
    </row>
    <row r="12" spans="1:10" s="28" customFormat="1" x14ac:dyDescent="0.2">
      <c r="A12" s="256" t="s">
        <v>48</v>
      </c>
      <c r="B12" s="655">
        <f t="shared" si="0"/>
        <v>1.0229662135344058</v>
      </c>
      <c r="C12" s="295">
        <f>'BDJ-6 Rate Design Lighting'!L13</f>
        <v>1835449</v>
      </c>
      <c r="D12" s="295">
        <f t="shared" si="1"/>
        <v>1794242.0538586709</v>
      </c>
      <c r="E12" s="295">
        <f>'WP5 Facilities Charge (51 &amp; 52)'!$C$44</f>
        <v>0</v>
      </c>
      <c r="F12" s="295">
        <f>'WP5 Facilities Charge (51 &amp; 52)'!$C$29</f>
        <v>869015.8310706421</v>
      </c>
      <c r="G12" s="295">
        <f>SUM('WP12 Condensed Sch. Level Costs'!$AP$41:$AP$56)</f>
        <v>210428.16563393548</v>
      </c>
      <c r="H12" s="295">
        <f>SUM('WP12 Condensed Sch. Level Costs'!$AQ$41:$AQ$56)</f>
        <v>114739.28096049276</v>
      </c>
      <c r="I12" s="295">
        <f>SUM('WP12 Condensed Sch. Level Costs'!$AR$41:$AR$56)</f>
        <v>600058.77619360073</v>
      </c>
      <c r="J12" s="19"/>
    </row>
    <row r="13" spans="1:10" x14ac:dyDescent="0.2">
      <c r="A13" s="255" t="s">
        <v>49</v>
      </c>
      <c r="B13" s="655">
        <f t="shared" si="0"/>
        <v>1.0349138042916217</v>
      </c>
      <c r="C13" s="295">
        <f>'BDJ-6 Rate Design Lighting'!L14*(D13/SUM($D$13:$D$16))</f>
        <v>7806136.3783997251</v>
      </c>
      <c r="D13" s="295">
        <f t="shared" si="1"/>
        <v>7542788.9221584713</v>
      </c>
      <c r="E13" s="295">
        <f>SUM('WP12 Condensed Sch. Level Costs'!$AN$58:$AN$72)</f>
        <v>4525541.4047211865</v>
      </c>
      <c r="F13" s="295">
        <f>SUM('WP12 Condensed Sch. Level Costs'!$AO$58:$AO$72)</f>
        <v>1153210.6773208815</v>
      </c>
      <c r="G13" s="295">
        <f>SUM('WP12 Condensed Sch. Level Costs'!$AP$58:$AP$72)</f>
        <v>423945.88834479701</v>
      </c>
      <c r="H13" s="295">
        <f>SUM('WP12 Condensed Sch. Level Costs'!$AQ$58:$AQ$72)</f>
        <v>231163.19171578961</v>
      </c>
      <c r="I13" s="295">
        <f>SUM('WP12 Condensed Sch. Level Costs'!$AR$58:$AR$72)</f>
        <v>1208927.7600558158</v>
      </c>
    </row>
    <row r="14" spans="1:10" x14ac:dyDescent="0.2">
      <c r="A14" s="255" t="s">
        <v>179</v>
      </c>
      <c r="B14" s="655">
        <f t="shared" si="0"/>
        <v>1.0349138042916219</v>
      </c>
      <c r="C14" s="295">
        <f>'BDJ-6 Rate Design Lighting'!L14*(D14/SUM($D$13:$D$16))</f>
        <v>3801616.0596036199</v>
      </c>
      <c r="D14" s="295">
        <f t="shared" si="1"/>
        <v>3673364.9158402625</v>
      </c>
      <c r="E14" s="295">
        <f>SUM('WP12 Condensed Sch. Level Costs'!$AN$75:$AN$83)</f>
        <v>2930033.6435178579</v>
      </c>
      <c r="F14" s="295">
        <f>SUM('WP12 Condensed Sch. Level Costs'!$AO$75:$AO$83)</f>
        <v>148085.71478038674</v>
      </c>
      <c r="G14" s="295">
        <f>SUM('WP12 Condensed Sch. Level Costs'!$AP$75:$AP$83)</f>
        <v>135379.24854515563</v>
      </c>
      <c r="H14" s="295">
        <f>SUM('WP12 Condensed Sch. Level Costs'!$AQ$75:$AQ$83)</f>
        <v>73817.673543117897</v>
      </c>
      <c r="I14" s="295">
        <f>SUM('WP12 Condensed Sch. Level Costs'!$AR$75:$AR$83)</f>
        <v>386048.63545374485</v>
      </c>
    </row>
    <row r="15" spans="1:10" x14ac:dyDescent="0.2">
      <c r="A15" s="255" t="s">
        <v>50</v>
      </c>
      <c r="B15" s="655">
        <f t="shared" si="0"/>
        <v>1.0349138042916219</v>
      </c>
      <c r="C15" s="295">
        <f>'BDJ-6 Rate Design Lighting'!L14*(D15/SUM($D$13:$D$16))</f>
        <v>161699.28293645295</v>
      </c>
      <c r="D15" s="295">
        <f t="shared" si="1"/>
        <v>156244.20339733793</v>
      </c>
      <c r="E15" s="295">
        <f>SUM('WP12 Condensed Sch. Level Costs'!$AN$96:$AN$111)</f>
        <v>0</v>
      </c>
      <c r="F15" s="295">
        <f>SUM('WP12 Condensed Sch. Level Costs'!$AO$96:$AO$111)</f>
        <v>37390.46692614651</v>
      </c>
      <c r="G15" s="295">
        <f>SUM('WP12 Condensed Sch. Level Costs'!$AP$96:$AP$111)</f>
        <v>27031.414726884432</v>
      </c>
      <c r="H15" s="295">
        <f>SUM('WP12 Condensed Sch. Level Costs'!$AQ$96:$AQ$111)</f>
        <v>14739.305832771131</v>
      </c>
      <c r="I15" s="295">
        <f>SUM('WP12 Condensed Sch. Level Costs'!$AR$96:$AR$111)</f>
        <v>77083.015911535855</v>
      </c>
    </row>
    <row r="16" spans="1:10" x14ac:dyDescent="0.2">
      <c r="A16" s="255" t="s">
        <v>180</v>
      </c>
      <c r="B16" s="655">
        <f t="shared" si="0"/>
        <v>1.0349138042916219</v>
      </c>
      <c r="C16" s="295">
        <f>'BDJ-6 Rate Design Lighting'!L14*(D16/SUM($D$13:$D$16))</f>
        <v>175006.27906020285</v>
      </c>
      <c r="D16" s="295">
        <f t="shared" si="1"/>
        <v>169102.27531460091</v>
      </c>
      <c r="E16" s="295">
        <f>SUM('WP12 Condensed Sch. Level Costs'!$AN$114:$AN$119)</f>
        <v>0</v>
      </c>
      <c r="F16" s="295">
        <f>SUM('WP12 Condensed Sch. Level Costs'!$AO$114:$AO$119)</f>
        <v>19984.839589159434</v>
      </c>
      <c r="G16" s="295">
        <f>SUM('WP12 Condensed Sch. Level Costs'!$AP$114:$AP$119)</f>
        <v>33914.417567183227</v>
      </c>
      <c r="H16" s="295">
        <f>SUM('WP12 Condensed Sch. Level Costs'!$AQ$114:$AQ$119)</f>
        <v>18492.37184637113</v>
      </c>
      <c r="I16" s="295">
        <f>SUM('WP12 Condensed Sch. Level Costs'!$AR$114:$AR$119)</f>
        <v>96710.646311887118</v>
      </c>
    </row>
    <row r="17" spans="1:9" x14ac:dyDescent="0.2">
      <c r="A17" s="255" t="s">
        <v>51</v>
      </c>
      <c r="B17" s="655">
        <f t="shared" si="0"/>
        <v>1.172217159418232</v>
      </c>
      <c r="C17" s="295">
        <f>'BDJ-6 Rate Design Lighting'!L15*(D17/SUM($D$17:$D$18))</f>
        <v>411610.04824370804</v>
      </c>
      <c r="D17" s="295">
        <f t="shared" si="1"/>
        <v>351138.05060488015</v>
      </c>
      <c r="E17" s="295">
        <f>SUM('WP12 Condensed Sch. Level Costs'!$AN$124:$AN$132)</f>
        <v>0</v>
      </c>
      <c r="F17" s="295">
        <f>SUM('WP12 Condensed Sch. Level Costs'!$AO$124:$AO$132)</f>
        <v>0</v>
      </c>
      <c r="G17" s="295">
        <f>SUM('WP12 Condensed Sch. Level Costs'!$AP$124:$AP$132)</f>
        <v>79860.831927576175</v>
      </c>
      <c r="H17" s="295">
        <f>SUM('WP12 Condensed Sch. Level Costs'!$AQ$124:$AQ$132)</f>
        <v>43545.379985953376</v>
      </c>
      <c r="I17" s="295">
        <f>SUM('WP12 Condensed Sch. Level Costs'!$AR$124:$AR$132)</f>
        <v>227731.8386913506</v>
      </c>
    </row>
    <row r="18" spans="1:9" x14ac:dyDescent="0.2">
      <c r="A18" s="255" t="s">
        <v>181</v>
      </c>
      <c r="B18" s="655">
        <f t="shared" si="0"/>
        <v>1.1722171594182318</v>
      </c>
      <c r="C18" s="295">
        <f>'BDJ-6 Rate Design Lighting'!L15*(D18/SUM($D$17:$D$18))</f>
        <v>150669.95175629191</v>
      </c>
      <c r="D18" s="295">
        <f t="shared" si="1"/>
        <v>128534.16326977246</v>
      </c>
      <c r="E18" s="295">
        <f>SUM('WP12 Condensed Sch. Level Costs'!$AN$135:$AN$142)</f>
        <v>0</v>
      </c>
      <c r="F18" s="295">
        <f>SUM('WP12 Condensed Sch. Level Costs'!$AO$135:$AO$142)</f>
        <v>0</v>
      </c>
      <c r="G18" s="295">
        <f>SUM('WP12 Condensed Sch. Level Costs'!$AP$135:$AP$142)</f>
        <v>29233.075686774544</v>
      </c>
      <c r="H18" s="295">
        <f>SUM('WP12 Condensed Sch. Level Costs'!$AQ$135:$AQ$142)</f>
        <v>15939.79624571346</v>
      </c>
      <c r="I18" s="295">
        <f>SUM('WP12 Condensed Sch. Level Costs'!$AR$135:$AR$142)</f>
        <v>83361.291337284449</v>
      </c>
    </row>
    <row r="19" spans="1:9" x14ac:dyDescent="0.2">
      <c r="A19" s="255" t="s">
        <v>246</v>
      </c>
      <c r="B19" s="655">
        <f t="shared" si="0"/>
        <v>1.0179659240834711</v>
      </c>
      <c r="C19" s="295">
        <f>'BDJ-6 Rate Design Lighting'!L16</f>
        <v>1074221</v>
      </c>
      <c r="D19" s="295">
        <f t="shared" si="1"/>
        <v>1055262.2387308085</v>
      </c>
      <c r="E19" s="295">
        <f>SUM('WP12 Condensed Sch. Level Costs'!$AN$145:$AN$162)</f>
        <v>645058.81426661124</v>
      </c>
      <c r="F19" s="295">
        <f>SUM('WP12 Condensed Sch. Level Costs'!$AO$145:$AO$162)</f>
        <v>149021.15234773647</v>
      </c>
      <c r="G19" s="295">
        <f>SUM('WP12 Condensed Sch. Level Costs'!$AP$145:$AP$162)</f>
        <v>59294.184811201194</v>
      </c>
      <c r="H19" s="295">
        <f>SUM('WP12 Condensed Sch. Level Costs'!$AQ$145:$AQ$162)</f>
        <v>32804.277321846341</v>
      </c>
      <c r="I19" s="295">
        <f>SUM('WP12 Condensed Sch. Level Costs'!$AR$145:$AR$162)</f>
        <v>169083.80998341338</v>
      </c>
    </row>
    <row r="20" spans="1:9" x14ac:dyDescent="0.2">
      <c r="A20" s="255" t="s">
        <v>52</v>
      </c>
      <c r="B20" s="655">
        <f t="shared" si="0"/>
        <v>1.8415305775449227</v>
      </c>
      <c r="C20" s="295">
        <f>'BDJ-6 Rate Design Lighting'!L17</f>
        <v>906827</v>
      </c>
      <c r="D20" s="295">
        <f t="shared" si="1"/>
        <v>492431.1391065559</v>
      </c>
      <c r="E20" s="295">
        <f>'WP12 Condensed Sch. Level Costs'!$AN$203</f>
        <v>0</v>
      </c>
      <c r="F20" s="295">
        <f>'WP12 Condensed Sch. Level Costs'!$AO$203</f>
        <v>0</v>
      </c>
      <c r="G20" s="295">
        <f>'WP12 Condensed Sch. Level Costs'!$AP$203</f>
        <v>13264.223479085382</v>
      </c>
      <c r="H20" s="295">
        <f>'WP12 Condensed Sch. Level Costs'!$AQ$203</f>
        <v>32076.925191769762</v>
      </c>
      <c r="I20" s="295">
        <f>'WP12 Condensed Sch. Level Costs'!$AR$203</f>
        <v>447089.99043570075</v>
      </c>
    </row>
    <row r="21" spans="1:9" x14ac:dyDescent="0.2">
      <c r="A21" s="255" t="s">
        <v>200</v>
      </c>
      <c r="B21" s="655">
        <f t="shared" si="0"/>
        <v>1.0243909327432035</v>
      </c>
      <c r="C21" s="295">
        <f>'BDJ-6 Rate Design Lighting'!L18</f>
        <v>405614</v>
      </c>
      <c r="D21" s="295">
        <f t="shared" si="1"/>
        <v>395956.25755277957</v>
      </c>
      <c r="E21" s="295">
        <f>SUM('WP12 Condensed Sch. Level Costs'!$AN$165:$AN$194)</f>
        <v>184083.64685068588</v>
      </c>
      <c r="F21" s="295">
        <f>SUM('WP12 Condensed Sch. Level Costs'!$AO$165:$AO$194)</f>
        <v>42932.799333854411</v>
      </c>
      <c r="G21" s="295">
        <f>SUM('WP12 Condensed Sch. Level Costs'!$AP$165:$AP$194)</f>
        <v>38353.094626465347</v>
      </c>
      <c r="H21" s="295">
        <f>SUM('WP12 Condensed Sch. Level Costs'!$AQ$165:$AQ$194)</f>
        <v>21218.700556954267</v>
      </c>
      <c r="I21" s="295">
        <f>SUM('WP12 Condensed Sch. Level Costs'!$AR$165:$AR$194)</f>
        <v>109368.01618481967</v>
      </c>
    </row>
    <row r="22" spans="1:9" x14ac:dyDescent="0.2">
      <c r="A22" s="255" t="s">
        <v>183</v>
      </c>
      <c r="B22" s="655">
        <f t="shared" si="0"/>
        <v>1.270833291616998</v>
      </c>
      <c r="C22" s="295">
        <f>'BDJ-6 Rate Design Lighting'!L19</f>
        <v>112327</v>
      </c>
      <c r="D22" s="295">
        <f t="shared" si="1"/>
        <v>88388.46191783034</v>
      </c>
      <c r="E22" s="295">
        <f>SUM('WP12 Condensed Sch. Level Costs'!$AN$205:$AN$208)</f>
        <v>58432.831148365163</v>
      </c>
      <c r="F22" s="295">
        <f>SUM('WP12 Condensed Sch. Level Costs'!$AO$205:$AO$208)</f>
        <v>29955.63076946517</v>
      </c>
      <c r="G22" s="295">
        <f>SUM('WP12 Condensed Sch. Level Costs'!$AP$205:$AP$208)</f>
        <v>0</v>
      </c>
      <c r="H22" s="295">
        <f>SUM('WP12 Condensed Sch. Level Costs'!$AQ$205:$AQ$208)</f>
        <v>0</v>
      </c>
      <c r="I22" s="295">
        <f>SUM('WP12 Condensed Sch. Level Costs'!$AR$205:$AR$208)</f>
        <v>0</v>
      </c>
    </row>
    <row r="23" spans="1:9" x14ac:dyDescent="0.2">
      <c r="A23" s="255"/>
      <c r="B23" s="655"/>
      <c r="C23" s="295"/>
      <c r="D23" s="295"/>
      <c r="E23" s="295"/>
      <c r="F23" s="295"/>
      <c r="G23" s="295"/>
      <c r="H23" s="295"/>
      <c r="I23" s="295"/>
    </row>
    <row r="24" spans="1:9" x14ac:dyDescent="0.2">
      <c r="A24" s="254" t="s">
        <v>88</v>
      </c>
      <c r="B24" s="656">
        <f>+C24/D24</f>
        <v>1.0586652583874443</v>
      </c>
      <c r="C24" s="266">
        <f t="shared" ref="C24:I24" si="2">SUM(C8:C22)</f>
        <v>17783786.000000004</v>
      </c>
      <c r="D24" s="266">
        <f t="shared" si="2"/>
        <v>16798308.86968768</v>
      </c>
      <c r="E24" s="266">
        <f t="shared" si="2"/>
        <v>8343150.3405047068</v>
      </c>
      <c r="F24" s="266">
        <f t="shared" si="2"/>
        <v>3171045.5565605126</v>
      </c>
      <c r="G24" s="266">
        <f t="shared" si="2"/>
        <v>1102879.7317637859</v>
      </c>
      <c r="H24" s="266">
        <f t="shared" si="2"/>
        <v>626986.24768453941</v>
      </c>
      <c r="I24" s="266">
        <f t="shared" si="2"/>
        <v>3554246.9931741338</v>
      </c>
    </row>
    <row r="26" spans="1:9" x14ac:dyDescent="0.2">
      <c r="B26" s="647"/>
      <c r="C26" s="647"/>
      <c r="D26" s="647"/>
      <c r="E26" s="647"/>
      <c r="F26" s="647"/>
      <c r="G26" s="647"/>
      <c r="H26" s="647"/>
      <c r="I26" s="647"/>
    </row>
    <row r="27" spans="1:9" x14ac:dyDescent="0.2">
      <c r="B27" s="647"/>
      <c r="C27" s="647"/>
      <c r="D27" s="647"/>
      <c r="E27" s="647"/>
      <c r="F27" s="647"/>
      <c r="G27" s="647"/>
      <c r="H27" s="647"/>
      <c r="I27" s="647"/>
    </row>
    <row r="28" spans="1:9" x14ac:dyDescent="0.2">
      <c r="B28" s="647"/>
      <c r="C28" s="647"/>
      <c r="D28" s="647"/>
      <c r="E28" s="647"/>
      <c r="F28" s="647"/>
      <c r="G28" s="647"/>
      <c r="H28" s="647"/>
      <c r="I28" s="647"/>
    </row>
    <row r="29" spans="1:9" ht="13.8" x14ac:dyDescent="0.3">
      <c r="A29" s="641"/>
      <c r="B29" s="647"/>
      <c r="C29" s="647"/>
      <c r="D29" s="647"/>
      <c r="E29" s="647"/>
      <c r="F29" s="647"/>
      <c r="G29" s="647"/>
      <c r="H29" s="647"/>
      <c r="I29" s="647"/>
    </row>
    <row r="30" spans="1:9" x14ac:dyDescent="0.2">
      <c r="B30" s="647"/>
      <c r="C30" s="647"/>
      <c r="D30" s="647"/>
      <c r="E30" s="647"/>
      <c r="F30" s="647"/>
      <c r="G30" s="647"/>
      <c r="H30" s="647"/>
      <c r="I30" s="647"/>
    </row>
    <row r="31" spans="1:9" x14ac:dyDescent="0.2">
      <c r="B31" s="647"/>
      <c r="C31" s="647"/>
      <c r="D31" s="647"/>
      <c r="E31" s="647"/>
      <c r="F31" s="647"/>
      <c r="G31" s="647"/>
      <c r="H31" s="647"/>
      <c r="I31" s="647"/>
    </row>
    <row r="32" spans="1:9" x14ac:dyDescent="0.2">
      <c r="B32" s="647"/>
      <c r="C32" s="647"/>
      <c r="D32" s="647"/>
      <c r="E32" s="647"/>
      <c r="F32" s="647"/>
      <c r="G32" s="647"/>
      <c r="H32" s="647"/>
      <c r="I32" s="647"/>
    </row>
    <row r="33" spans="2:9" x14ac:dyDescent="0.2">
      <c r="B33" s="647"/>
      <c r="C33" s="647"/>
      <c r="D33" s="647"/>
      <c r="E33" s="647"/>
      <c r="F33" s="647"/>
      <c r="G33" s="647"/>
      <c r="H33" s="647"/>
      <c r="I33" s="647"/>
    </row>
    <row r="34" spans="2:9" x14ac:dyDescent="0.2">
      <c r="B34" s="647"/>
      <c r="C34" s="647"/>
      <c r="D34" s="647"/>
      <c r="E34" s="647"/>
      <c r="F34" s="647"/>
      <c r="G34" s="647"/>
      <c r="H34" s="647"/>
      <c r="I34" s="647"/>
    </row>
    <row r="35" spans="2:9" x14ac:dyDescent="0.2">
      <c r="B35" s="647"/>
      <c r="C35" s="647"/>
      <c r="D35" s="647"/>
      <c r="E35" s="647"/>
      <c r="F35" s="647"/>
      <c r="G35" s="647"/>
      <c r="H35" s="647"/>
      <c r="I35" s="647"/>
    </row>
    <row r="36" spans="2:9" x14ac:dyDescent="0.2">
      <c r="B36" s="647"/>
      <c r="C36" s="647"/>
      <c r="D36" s="647"/>
      <c r="E36" s="647"/>
      <c r="F36" s="647"/>
      <c r="G36" s="647"/>
      <c r="H36" s="647"/>
      <c r="I36" s="647"/>
    </row>
    <row r="37" spans="2:9" x14ac:dyDescent="0.2">
      <c r="B37" s="647"/>
      <c r="C37" s="647"/>
      <c r="D37" s="647"/>
      <c r="E37" s="647"/>
      <c r="F37" s="647"/>
      <c r="G37" s="647"/>
      <c r="H37" s="647"/>
      <c r="I37" s="647"/>
    </row>
    <row r="38" spans="2:9" x14ac:dyDescent="0.2">
      <c r="B38" s="647"/>
      <c r="C38" s="647"/>
      <c r="D38" s="647"/>
      <c r="E38" s="647"/>
      <c r="F38" s="647"/>
      <c r="G38" s="647"/>
      <c r="H38" s="647"/>
      <c r="I38" s="647"/>
    </row>
    <row r="39" spans="2:9" x14ac:dyDescent="0.2">
      <c r="B39" s="647"/>
      <c r="C39" s="647"/>
      <c r="D39" s="647"/>
      <c r="E39" s="647"/>
      <c r="F39" s="647"/>
      <c r="G39" s="647"/>
      <c r="H39" s="647"/>
      <c r="I39" s="647"/>
    </row>
    <row r="40" spans="2:9" x14ac:dyDescent="0.2">
      <c r="B40" s="647"/>
      <c r="C40" s="647"/>
      <c r="D40" s="647"/>
      <c r="E40" s="647"/>
      <c r="F40" s="647"/>
      <c r="G40" s="647"/>
      <c r="H40" s="647"/>
      <c r="I40" s="647"/>
    </row>
    <row r="41" spans="2:9" x14ac:dyDescent="0.2">
      <c r="B41" s="647"/>
      <c r="C41" s="647"/>
      <c r="D41" s="647"/>
      <c r="E41" s="647"/>
      <c r="F41" s="647"/>
      <c r="G41" s="647"/>
      <c r="H41" s="647"/>
      <c r="I41" s="647"/>
    </row>
    <row r="42" spans="2:9" x14ac:dyDescent="0.2">
      <c r="B42" s="647"/>
      <c r="C42" s="647"/>
      <c r="D42" s="647"/>
      <c r="E42" s="647"/>
      <c r="F42" s="647"/>
      <c r="G42" s="647"/>
      <c r="H42" s="647"/>
      <c r="I42" s="647"/>
    </row>
    <row r="43" spans="2:9" x14ac:dyDescent="0.2">
      <c r="B43" s="647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r:id="rId1"/>
  <headerFooter>
    <oddFooter>&amp;R&amp;F
&amp;A</oddFooter>
  </headerFooter>
  <customProperties>
    <customPr name="_pios_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X62"/>
  <sheetViews>
    <sheetView workbookViewId="0">
      <selection activeCell="D32" sqref="D32"/>
    </sheetView>
  </sheetViews>
  <sheetFormatPr defaultColWidth="8.88671875" defaultRowHeight="10.199999999999999" x14ac:dyDescent="0.2"/>
  <cols>
    <col min="1" max="1" width="29" style="28" bestFit="1" customWidth="1"/>
    <col min="2" max="2" width="8" style="28" bestFit="1" customWidth="1"/>
    <col min="3" max="3" width="10.6640625" style="262" bestFit="1" customWidth="1"/>
    <col min="4" max="4" width="6.5546875" style="28" customWidth="1"/>
    <col min="5" max="5" width="10.33203125" style="28" customWidth="1"/>
    <col min="6" max="14" width="8.88671875" style="28"/>
    <col min="15" max="15" width="1.109375" style="28" customWidth="1"/>
    <col min="16" max="16" width="18" style="28" bestFit="1" customWidth="1"/>
    <col min="17" max="17" width="12" style="28" bestFit="1" customWidth="1"/>
    <col min="18" max="18" width="14.5546875" style="28" bestFit="1" customWidth="1"/>
    <col min="19" max="20" width="12" style="28" bestFit="1" customWidth="1"/>
    <col min="21" max="21" width="13.44140625" style="28" bestFit="1" customWidth="1"/>
    <col min="22" max="22" width="12" style="28" bestFit="1" customWidth="1"/>
    <col min="23" max="23" width="12.6640625" style="28" bestFit="1" customWidth="1"/>
    <col min="24" max="24" width="12.5546875" style="28" bestFit="1" customWidth="1"/>
    <col min="25" max="16384" width="8.88671875" style="28"/>
  </cols>
  <sheetData>
    <row r="1" spans="1:24" ht="15" customHeight="1" x14ac:dyDescent="0.3">
      <c r="A1" s="729" t="str">
        <f>'BDJ-6 Base Revenue (Summary)'!A1:I1</f>
        <v>Puget Sound Energy</v>
      </c>
      <c r="B1" s="731"/>
      <c r="C1" s="731"/>
      <c r="D1" s="731"/>
      <c r="E1" s="731"/>
      <c r="F1" s="746"/>
      <c r="G1" s="746"/>
      <c r="H1" s="746"/>
      <c r="I1" s="746"/>
      <c r="J1" s="746"/>
      <c r="K1" s="746"/>
      <c r="L1" s="746"/>
      <c r="M1" s="746"/>
      <c r="N1" s="746"/>
      <c r="O1" s="349"/>
    </row>
    <row r="2" spans="1:24" ht="15" customHeight="1" thickBot="1" x14ac:dyDescent="0.35">
      <c r="A2" s="729" t="s">
        <v>621</v>
      </c>
      <c r="B2" s="731"/>
      <c r="C2" s="731"/>
      <c r="D2" s="731"/>
      <c r="E2" s="731"/>
      <c r="F2" s="746"/>
      <c r="G2" s="746"/>
      <c r="H2" s="746"/>
      <c r="I2" s="746"/>
      <c r="J2" s="746"/>
      <c r="K2" s="746"/>
      <c r="L2" s="746"/>
      <c r="M2" s="746"/>
      <c r="N2" s="746"/>
      <c r="O2" s="349"/>
    </row>
    <row r="3" spans="1:24" ht="14.4" customHeight="1" x14ac:dyDescent="0.3">
      <c r="A3" s="729" t="str">
        <f>'BDJ-6 Base Revenue (Summary)'!A4:I4</f>
        <v>2022 General Rate Case (GRC)</v>
      </c>
      <c r="B3" s="731"/>
      <c r="C3" s="731"/>
      <c r="D3" s="731"/>
      <c r="E3" s="731"/>
      <c r="F3" s="746"/>
      <c r="G3" s="746"/>
      <c r="H3" s="746"/>
      <c r="I3" s="746"/>
      <c r="J3" s="746"/>
      <c r="K3" s="746"/>
      <c r="L3" s="746"/>
      <c r="M3" s="746"/>
      <c r="N3" s="746"/>
      <c r="O3" s="349"/>
      <c r="P3" s="463" t="s">
        <v>94</v>
      </c>
      <c r="Q3" s="410"/>
      <c r="R3" s="410"/>
      <c r="S3" s="410"/>
      <c r="T3" s="410"/>
      <c r="U3" s="410"/>
      <c r="V3" s="410"/>
      <c r="W3" s="410"/>
      <c r="X3" s="411"/>
    </row>
    <row r="4" spans="1:24" ht="14.4" customHeight="1" thickBot="1" x14ac:dyDescent="0.35">
      <c r="A4" s="729" t="str">
        <f>'BDJ-6 Base Revenue (Summary)'!A5:I5</f>
        <v>Test Year Ending June 30, 2021</v>
      </c>
      <c r="B4" s="731"/>
      <c r="C4" s="731"/>
      <c r="D4" s="731"/>
      <c r="E4" s="731"/>
      <c r="F4" s="746"/>
      <c r="G4" s="746"/>
      <c r="H4" s="746"/>
      <c r="I4" s="746"/>
      <c r="J4" s="746"/>
      <c r="K4" s="746"/>
      <c r="L4" s="746"/>
      <c r="M4" s="746"/>
      <c r="N4" s="746"/>
      <c r="O4" s="349"/>
      <c r="P4" s="415"/>
      <c r="Q4" s="19"/>
      <c r="R4" s="19"/>
      <c r="S4" s="19"/>
      <c r="T4" s="19"/>
      <c r="U4" s="19"/>
      <c r="V4" s="19"/>
      <c r="W4" s="19"/>
      <c r="X4" s="414"/>
    </row>
    <row r="5" spans="1:24" x14ac:dyDescent="0.2">
      <c r="P5" s="464" t="s">
        <v>95</v>
      </c>
      <c r="Q5" s="465"/>
      <c r="R5" s="19"/>
      <c r="S5" s="19"/>
      <c r="T5" s="19"/>
      <c r="U5" s="19"/>
      <c r="V5" s="19"/>
      <c r="W5" s="19"/>
      <c r="X5" s="414"/>
    </row>
    <row r="6" spans="1:24" s="250" customFormat="1" x14ac:dyDescent="0.2">
      <c r="C6" s="263"/>
      <c r="P6" s="466" t="s">
        <v>96</v>
      </c>
      <c r="Q6" s="265">
        <v>0.57767394622330925</v>
      </c>
      <c r="R6" s="19"/>
      <c r="S6" s="19"/>
      <c r="T6" s="19"/>
      <c r="U6" s="19"/>
      <c r="V6" s="19"/>
      <c r="W6" s="19"/>
      <c r="X6" s="414"/>
    </row>
    <row r="7" spans="1:24" s="250" customFormat="1" x14ac:dyDescent="0.2">
      <c r="A7" s="250" t="s">
        <v>597</v>
      </c>
      <c r="B7" s="250" t="s">
        <v>1077</v>
      </c>
      <c r="C7" s="263"/>
      <c r="P7" s="466" t="s">
        <v>97</v>
      </c>
      <c r="Q7" s="265">
        <v>0.33370718814521078</v>
      </c>
      <c r="R7" s="19"/>
      <c r="S7" s="19"/>
      <c r="T7" s="19"/>
      <c r="U7" s="19"/>
      <c r="V7" s="19"/>
      <c r="W7" s="19"/>
      <c r="X7" s="414"/>
    </row>
    <row r="8" spans="1:24" ht="10.8" thickBot="1" x14ac:dyDescent="0.25">
      <c r="P8" s="466" t="s">
        <v>98</v>
      </c>
      <c r="Q8" s="265">
        <v>0.23852250073738374</v>
      </c>
      <c r="R8" s="19"/>
      <c r="S8" s="19"/>
      <c r="T8" s="19"/>
      <c r="U8" s="19"/>
      <c r="V8" s="19"/>
      <c r="W8" s="19"/>
      <c r="X8" s="414"/>
    </row>
    <row r="9" spans="1:24" s="344" customFormat="1" ht="21" thickBot="1" x14ac:dyDescent="0.25">
      <c r="A9" s="476" t="s">
        <v>551</v>
      </c>
      <c r="B9" s="477" t="s">
        <v>93</v>
      </c>
      <c r="C9" s="478" t="s">
        <v>599</v>
      </c>
      <c r="D9" s="479" t="s">
        <v>369</v>
      </c>
      <c r="E9" s="480" t="s">
        <v>412</v>
      </c>
      <c r="P9" s="466" t="s">
        <v>99</v>
      </c>
      <c r="Q9" s="265">
        <v>22.8402234147852</v>
      </c>
      <c r="R9" s="19"/>
      <c r="S9" s="19"/>
      <c r="T9" s="19"/>
      <c r="U9" s="19"/>
      <c r="V9" s="19"/>
      <c r="W9" s="19"/>
      <c r="X9" s="414"/>
    </row>
    <row r="10" spans="1:24" s="344" customFormat="1" ht="10.8" thickBot="1" x14ac:dyDescent="0.25">
      <c r="A10" s="415" t="s">
        <v>933</v>
      </c>
      <c r="B10" s="481">
        <v>15</v>
      </c>
      <c r="C10" s="84">
        <f>Q$19+B10*Q$20</f>
        <v>875.41268444011189</v>
      </c>
      <c r="D10" s="482" t="s">
        <v>600</v>
      </c>
      <c r="E10" s="483">
        <f t="shared" ref="E10:E19" si="0">C10/B10</f>
        <v>58.360845629340794</v>
      </c>
      <c r="P10" s="467" t="s">
        <v>100</v>
      </c>
      <c r="Q10" s="468">
        <v>9</v>
      </c>
      <c r="R10" s="19"/>
      <c r="S10" s="19"/>
      <c r="T10" s="19"/>
      <c r="U10" s="19"/>
      <c r="V10" s="19"/>
      <c r="W10" s="19"/>
      <c r="X10" s="414"/>
    </row>
    <row r="11" spans="1:24" x14ac:dyDescent="0.2">
      <c r="A11" s="415" t="s">
        <v>539</v>
      </c>
      <c r="B11" s="481">
        <v>45</v>
      </c>
      <c r="C11" s="84">
        <v>870.45377419354838</v>
      </c>
      <c r="D11" s="482" t="s">
        <v>600</v>
      </c>
      <c r="E11" s="483">
        <f t="shared" si="0"/>
        <v>19.343417204301076</v>
      </c>
      <c r="F11" s="330"/>
      <c r="P11" s="415"/>
      <c r="Q11" s="19"/>
      <c r="R11" s="19"/>
      <c r="S11" s="19"/>
      <c r="T11" s="19"/>
      <c r="U11" s="19"/>
      <c r="V11" s="19"/>
      <c r="W11" s="19"/>
      <c r="X11" s="414"/>
    </row>
    <row r="12" spans="1:24" ht="10.8" thickBot="1" x14ac:dyDescent="0.25">
      <c r="A12" s="415" t="s">
        <v>543</v>
      </c>
      <c r="B12" s="481">
        <v>75</v>
      </c>
      <c r="C12" s="84">
        <v>851.13228571428579</v>
      </c>
      <c r="D12" s="482" t="s">
        <v>600</v>
      </c>
      <c r="E12" s="483">
        <f t="shared" si="0"/>
        <v>11.348430476190478</v>
      </c>
      <c r="F12" s="330"/>
      <c r="P12" s="415" t="s">
        <v>101</v>
      </c>
      <c r="Q12" s="19"/>
      <c r="R12" s="19"/>
      <c r="S12" s="19"/>
      <c r="T12" s="19"/>
      <c r="U12" s="19"/>
      <c r="V12" s="19"/>
      <c r="W12" s="19"/>
      <c r="X12" s="414"/>
    </row>
    <row r="13" spans="1:24" x14ac:dyDescent="0.2">
      <c r="A13" s="415" t="s">
        <v>544</v>
      </c>
      <c r="B13" s="481">
        <v>105</v>
      </c>
      <c r="C13" s="84">
        <v>910.30015384615376</v>
      </c>
      <c r="D13" s="482" t="s">
        <v>600</v>
      </c>
      <c r="E13" s="483">
        <f t="shared" si="0"/>
        <v>8.6695252747252738</v>
      </c>
      <c r="F13" s="330"/>
      <c r="P13" s="470"/>
      <c r="Q13" s="471" t="s">
        <v>105</v>
      </c>
      <c r="R13" s="471" t="s">
        <v>106</v>
      </c>
      <c r="S13" s="471" t="s">
        <v>107</v>
      </c>
      <c r="T13" s="471" t="s">
        <v>108</v>
      </c>
      <c r="U13" s="471" t="s">
        <v>109</v>
      </c>
      <c r="V13" s="19"/>
      <c r="W13" s="19"/>
      <c r="X13" s="414"/>
    </row>
    <row r="14" spans="1:24" x14ac:dyDescent="0.2">
      <c r="A14" s="415" t="s">
        <v>545</v>
      </c>
      <c r="B14" s="481">
        <v>135</v>
      </c>
      <c r="C14" s="84">
        <v>939.25</v>
      </c>
      <c r="D14" s="482" t="s">
        <v>600</v>
      </c>
      <c r="E14" s="483">
        <f t="shared" si="0"/>
        <v>6.9574074074074073</v>
      </c>
      <c r="F14" s="330"/>
      <c r="P14" s="466" t="s">
        <v>102</v>
      </c>
      <c r="Q14" s="265">
        <v>1</v>
      </c>
      <c r="R14" s="265">
        <v>1828.9387816836643</v>
      </c>
      <c r="S14" s="265">
        <v>1828.9387816836643</v>
      </c>
      <c r="T14" s="265">
        <v>3.5058915171451206</v>
      </c>
      <c r="U14" s="265">
        <v>0.10331259384295374</v>
      </c>
      <c r="V14" s="19"/>
      <c r="W14" s="19"/>
      <c r="X14" s="414"/>
    </row>
    <row r="15" spans="1:24" x14ac:dyDescent="0.2">
      <c r="A15" s="415" t="s">
        <v>546</v>
      </c>
      <c r="B15" s="481">
        <v>165</v>
      </c>
      <c r="C15" s="84">
        <v>908.3504999999999</v>
      </c>
      <c r="D15" s="482" t="s">
        <v>600</v>
      </c>
      <c r="E15" s="483">
        <f t="shared" si="0"/>
        <v>5.5051545454545447</v>
      </c>
      <c r="F15" s="330"/>
      <c r="P15" s="466" t="s">
        <v>103</v>
      </c>
      <c r="Q15" s="265">
        <v>7</v>
      </c>
      <c r="R15" s="265">
        <v>3651.7306394611151</v>
      </c>
      <c r="S15" s="265">
        <v>521.67580563730212</v>
      </c>
      <c r="T15" s="265"/>
      <c r="U15" s="265"/>
      <c r="V15" s="19"/>
      <c r="W15" s="19"/>
      <c r="X15" s="414"/>
    </row>
    <row r="16" spans="1:24" ht="10.8" thickBot="1" x14ac:dyDescent="0.25">
      <c r="A16" s="415" t="s">
        <v>547</v>
      </c>
      <c r="B16" s="481">
        <v>195</v>
      </c>
      <c r="C16" s="84">
        <v>908.3504999999999</v>
      </c>
      <c r="D16" s="482" t="s">
        <v>600</v>
      </c>
      <c r="E16" s="483">
        <f t="shared" si="0"/>
        <v>4.658207692307692</v>
      </c>
      <c r="F16" s="330"/>
      <c r="P16" s="467" t="s">
        <v>20</v>
      </c>
      <c r="Q16" s="468">
        <v>8</v>
      </c>
      <c r="R16" s="468">
        <v>5480.6694211447793</v>
      </c>
      <c r="S16" s="468"/>
      <c r="T16" s="468"/>
      <c r="U16" s="468"/>
      <c r="V16" s="19"/>
      <c r="W16" s="19"/>
      <c r="X16" s="414"/>
    </row>
    <row r="17" spans="1:24" ht="10.8" thickBot="1" x14ac:dyDescent="0.25">
      <c r="A17" s="415" t="s">
        <v>576</v>
      </c>
      <c r="B17" s="481">
        <v>225</v>
      </c>
      <c r="C17" s="84">
        <v>913.10849999999994</v>
      </c>
      <c r="D17" s="482" t="s">
        <v>600</v>
      </c>
      <c r="E17" s="483">
        <f t="shared" si="0"/>
        <v>4.0582599999999998</v>
      </c>
      <c r="F17" s="330"/>
      <c r="P17" s="467"/>
      <c r="Q17" s="468"/>
      <c r="R17" s="468"/>
      <c r="S17" s="468"/>
      <c r="T17" s="468"/>
      <c r="U17" s="468"/>
      <c r="V17" s="19"/>
      <c r="W17" s="19"/>
      <c r="X17" s="414"/>
    </row>
    <row r="18" spans="1:24" x14ac:dyDescent="0.2">
      <c r="A18" s="415" t="s">
        <v>548</v>
      </c>
      <c r="B18" s="481">
        <v>255</v>
      </c>
      <c r="C18" s="84">
        <v>913.10849999999994</v>
      </c>
      <c r="D18" s="482" t="s">
        <v>600</v>
      </c>
      <c r="E18" s="483">
        <f t="shared" si="0"/>
        <v>3.5808176470588231</v>
      </c>
      <c r="F18" s="330"/>
      <c r="P18" s="470"/>
      <c r="Q18" s="471" t="s">
        <v>110</v>
      </c>
      <c r="R18" s="471" t="s">
        <v>99</v>
      </c>
      <c r="S18" s="471" t="s">
        <v>111</v>
      </c>
      <c r="T18" s="471" t="s">
        <v>112</v>
      </c>
      <c r="U18" s="471" t="s">
        <v>113</v>
      </c>
      <c r="V18" s="471" t="s">
        <v>114</v>
      </c>
      <c r="W18" s="471" t="s">
        <v>115</v>
      </c>
      <c r="X18" s="472" t="s">
        <v>116</v>
      </c>
    </row>
    <row r="19" spans="1:24" ht="10.8" thickBot="1" x14ac:dyDescent="0.25">
      <c r="A19" s="484" t="s">
        <v>549</v>
      </c>
      <c r="B19" s="485">
        <v>285</v>
      </c>
      <c r="C19" s="85">
        <v>913.10849999999994</v>
      </c>
      <c r="D19" s="486" t="s">
        <v>600</v>
      </c>
      <c r="E19" s="487">
        <f t="shared" si="0"/>
        <v>3.2038894736842103</v>
      </c>
      <c r="F19" s="330"/>
      <c r="P19" s="466" t="s">
        <v>104</v>
      </c>
      <c r="Q19" s="265">
        <v>872.65214495352325</v>
      </c>
      <c r="R19" s="265">
        <v>17.915789974571346</v>
      </c>
      <c r="S19" s="265">
        <v>48.708549619755317</v>
      </c>
      <c r="T19" s="265">
        <v>4.0230747897574399E-10</v>
      </c>
      <c r="U19" s="265">
        <v>830.28803349320901</v>
      </c>
      <c r="V19" s="265">
        <v>915.01625641383748</v>
      </c>
      <c r="W19" s="265">
        <v>830.28803349320901</v>
      </c>
      <c r="X19" s="473">
        <v>915.01625641383748</v>
      </c>
    </row>
    <row r="20" spans="1:24" ht="10.8" thickBot="1" x14ac:dyDescent="0.25">
      <c r="A20" s="19"/>
      <c r="B20" s="19"/>
      <c r="C20" s="488"/>
      <c r="D20" s="74"/>
      <c r="E20" s="43"/>
      <c r="F20" s="330"/>
      <c r="P20" s="467" t="s">
        <v>202</v>
      </c>
      <c r="Q20" s="468">
        <v>0.18403596577257827</v>
      </c>
      <c r="R20" s="468">
        <v>9.8288672121244203E-2</v>
      </c>
      <c r="S20" s="468">
        <v>1.8724026055165373</v>
      </c>
      <c r="T20" s="468">
        <v>0.10331259384295383</v>
      </c>
      <c r="U20" s="468">
        <v>-4.8379811982167426E-2</v>
      </c>
      <c r="V20" s="468">
        <v>0.41645174352732395</v>
      </c>
      <c r="W20" s="468">
        <v>-4.8379811982167426E-2</v>
      </c>
      <c r="X20" s="474">
        <v>0.41645174352732395</v>
      </c>
    </row>
    <row r="21" spans="1:24" ht="10.8" thickBot="1" x14ac:dyDescent="0.25">
      <c r="A21" s="19"/>
      <c r="B21" s="19"/>
      <c r="C21" s="488"/>
      <c r="D21" s="74"/>
      <c r="E21" s="43"/>
      <c r="F21" s="330"/>
    </row>
    <row r="22" spans="1:24" x14ac:dyDescent="0.2">
      <c r="A22" s="19"/>
      <c r="B22" s="19"/>
      <c r="C22" s="488"/>
      <c r="D22" s="74"/>
      <c r="E22" s="43"/>
      <c r="F22" s="330"/>
      <c r="P22" s="463" t="s">
        <v>94</v>
      </c>
      <c r="Q22" s="410"/>
      <c r="R22" s="410"/>
      <c r="S22" s="410"/>
      <c r="T22" s="410"/>
      <c r="U22" s="410"/>
      <c r="V22" s="410"/>
      <c r="W22" s="410"/>
      <c r="X22" s="411"/>
    </row>
    <row r="23" spans="1:24" ht="10.8" thickBot="1" x14ac:dyDescent="0.25">
      <c r="A23" s="19"/>
      <c r="B23" s="19"/>
      <c r="C23" s="488"/>
      <c r="D23" s="74"/>
      <c r="E23" s="43"/>
      <c r="F23" s="330"/>
      <c r="P23" s="415"/>
      <c r="Q23" s="19"/>
      <c r="R23" s="19"/>
      <c r="S23" s="19"/>
      <c r="T23" s="19"/>
      <c r="U23" s="19"/>
      <c r="V23" s="19"/>
      <c r="W23" s="19"/>
      <c r="X23" s="414"/>
    </row>
    <row r="24" spans="1:24" x14ac:dyDescent="0.2">
      <c r="P24" s="464" t="s">
        <v>95</v>
      </c>
      <c r="Q24" s="465"/>
      <c r="R24" s="19"/>
      <c r="S24" s="19"/>
      <c r="T24" s="19"/>
      <c r="U24" s="19"/>
      <c r="V24" s="19"/>
      <c r="W24" s="19"/>
      <c r="X24" s="414"/>
    </row>
    <row r="25" spans="1:24" x14ac:dyDescent="0.2">
      <c r="P25" s="466" t="s">
        <v>96</v>
      </c>
      <c r="Q25" s="265">
        <v>0.91119395163249539</v>
      </c>
      <c r="R25" s="19"/>
      <c r="S25" s="19"/>
      <c r="T25" s="19"/>
      <c r="U25" s="19"/>
      <c r="V25" s="19"/>
      <c r="W25" s="19"/>
      <c r="X25" s="414"/>
    </row>
    <row r="26" spans="1:24" s="250" customFormat="1" x14ac:dyDescent="0.2">
      <c r="A26" s="250" t="s">
        <v>617</v>
      </c>
      <c r="B26" s="250" t="s">
        <v>619</v>
      </c>
      <c r="C26" s="263"/>
      <c r="P26" s="466" t="s">
        <v>97</v>
      </c>
      <c r="Q26" s="265">
        <v>0.83027441749164244</v>
      </c>
      <c r="R26" s="19"/>
      <c r="S26" s="19"/>
      <c r="T26" s="19"/>
      <c r="U26" s="19"/>
      <c r="V26" s="19"/>
      <c r="W26" s="19"/>
      <c r="X26" s="414"/>
    </row>
    <row r="27" spans="1:24" ht="10.8" thickBot="1" x14ac:dyDescent="0.25">
      <c r="P27" s="466" t="s">
        <v>98</v>
      </c>
      <c r="Q27" s="265">
        <v>0.66054883498328487</v>
      </c>
      <c r="R27" s="19"/>
      <c r="S27" s="19"/>
      <c r="T27" s="19"/>
      <c r="U27" s="19"/>
      <c r="V27" s="19"/>
      <c r="W27" s="19"/>
      <c r="X27" s="414"/>
    </row>
    <row r="28" spans="1:24" s="344" customFormat="1" ht="21" thickBot="1" x14ac:dyDescent="0.25">
      <c r="A28" s="476" t="s">
        <v>551</v>
      </c>
      <c r="B28" s="477" t="s">
        <v>93</v>
      </c>
      <c r="C28" s="478" t="s">
        <v>599</v>
      </c>
      <c r="D28" s="479" t="s">
        <v>369</v>
      </c>
      <c r="E28" s="480" t="s">
        <v>412</v>
      </c>
      <c r="P28" s="466" t="s">
        <v>99</v>
      </c>
      <c r="Q28" s="265">
        <v>94.044076191255556</v>
      </c>
      <c r="R28" s="19"/>
      <c r="S28" s="19"/>
      <c r="T28" s="19"/>
      <c r="U28" s="19"/>
      <c r="V28" s="19"/>
      <c r="W28" s="19"/>
      <c r="X28" s="414"/>
    </row>
    <row r="29" spans="1:24" s="344" customFormat="1" ht="10.8" thickBot="1" x14ac:dyDescent="0.25">
      <c r="A29" s="415" t="s">
        <v>933</v>
      </c>
      <c r="B29" s="481">
        <v>15</v>
      </c>
      <c r="C29" s="84">
        <f>Q$38+B29*Q$39</f>
        <v>690.48333333333335</v>
      </c>
      <c r="D29" s="482" t="s">
        <v>600</v>
      </c>
      <c r="E29" s="483">
        <f t="shared" ref="E29:E38" si="1">C29/B29</f>
        <v>46.032222222222224</v>
      </c>
      <c r="P29" s="467" t="s">
        <v>100</v>
      </c>
      <c r="Q29" s="468">
        <v>3</v>
      </c>
      <c r="R29" s="19"/>
      <c r="S29" s="19"/>
      <c r="T29" s="19"/>
      <c r="U29" s="19"/>
      <c r="V29" s="19"/>
      <c r="W29" s="19"/>
      <c r="X29" s="414"/>
    </row>
    <row r="30" spans="1:24" x14ac:dyDescent="0.2">
      <c r="A30" s="415" t="s">
        <v>539</v>
      </c>
      <c r="B30" s="481">
        <v>45</v>
      </c>
      <c r="C30" s="84">
        <v>799.17</v>
      </c>
      <c r="D30" s="482" t="s">
        <v>600</v>
      </c>
      <c r="E30" s="483">
        <f t="shared" si="1"/>
        <v>17.759333333333334</v>
      </c>
      <c r="P30" s="415"/>
      <c r="Q30" s="19"/>
      <c r="R30" s="19"/>
      <c r="S30" s="19"/>
      <c r="T30" s="19"/>
      <c r="U30" s="19"/>
      <c r="V30" s="19"/>
      <c r="W30" s="19"/>
      <c r="X30" s="414"/>
    </row>
    <row r="31" spans="1:24" ht="10.8" thickBot="1" x14ac:dyDescent="0.25">
      <c r="A31" s="415" t="s">
        <v>543</v>
      </c>
      <c r="B31" s="481">
        <v>75</v>
      </c>
      <c r="C31" s="84">
        <v>1061.43</v>
      </c>
      <c r="D31" s="482" t="s">
        <v>600</v>
      </c>
      <c r="E31" s="483">
        <f t="shared" si="1"/>
        <v>14.1524</v>
      </c>
      <c r="P31" s="415" t="s">
        <v>101</v>
      </c>
      <c r="Q31" s="19"/>
      <c r="R31" s="19"/>
      <c r="S31" s="19"/>
      <c r="T31" s="19"/>
      <c r="U31" s="19"/>
      <c r="V31" s="19"/>
      <c r="W31" s="19"/>
      <c r="X31" s="414"/>
    </row>
    <row r="32" spans="1:24" x14ac:dyDescent="0.2">
      <c r="A32" s="415" t="s">
        <v>544</v>
      </c>
      <c r="B32" s="481">
        <v>105</v>
      </c>
      <c r="C32" s="84">
        <v>1093.33</v>
      </c>
      <c r="D32" s="482" t="s">
        <v>600</v>
      </c>
      <c r="E32" s="483">
        <f t="shared" si="1"/>
        <v>10.412666666666667</v>
      </c>
      <c r="P32" s="470"/>
      <c r="Q32" s="471" t="s">
        <v>105</v>
      </c>
      <c r="R32" s="471" t="s">
        <v>106</v>
      </c>
      <c r="S32" s="471" t="s">
        <v>107</v>
      </c>
      <c r="T32" s="471" t="s">
        <v>108</v>
      </c>
      <c r="U32" s="471" t="s">
        <v>109</v>
      </c>
      <c r="V32" s="19"/>
      <c r="W32" s="19"/>
      <c r="X32" s="414"/>
    </row>
    <row r="33" spans="1:24" x14ac:dyDescent="0.2">
      <c r="A33" s="415" t="s">
        <v>545</v>
      </c>
      <c r="B33" s="481">
        <v>135</v>
      </c>
      <c r="C33" s="84">
        <f t="shared" ref="C33:C38" si="2">Q$38+B33*Q$39</f>
        <v>1278.8033333333333</v>
      </c>
      <c r="D33" s="482" t="s">
        <v>600</v>
      </c>
      <c r="E33" s="483">
        <f t="shared" si="1"/>
        <v>9.4726172839506173</v>
      </c>
      <c r="P33" s="466" t="s">
        <v>102</v>
      </c>
      <c r="Q33" s="265">
        <v>1</v>
      </c>
      <c r="R33" s="265">
        <v>43265.052799999998</v>
      </c>
      <c r="S33" s="265">
        <v>43265.052799999998</v>
      </c>
      <c r="T33" s="265">
        <v>4.8918637085882946</v>
      </c>
      <c r="U33" s="265">
        <v>0.27032364718000562</v>
      </c>
      <c r="V33" s="19"/>
      <c r="W33" s="19"/>
      <c r="X33" s="414"/>
    </row>
    <row r="34" spans="1:24" x14ac:dyDescent="0.2">
      <c r="A34" s="415" t="s">
        <v>546</v>
      </c>
      <c r="B34" s="481">
        <v>165</v>
      </c>
      <c r="C34" s="84">
        <f t="shared" si="2"/>
        <v>1425.8833333333332</v>
      </c>
      <c r="D34" s="482" t="s">
        <v>600</v>
      </c>
      <c r="E34" s="483">
        <f t="shared" si="1"/>
        <v>8.6417171717171701</v>
      </c>
      <c r="P34" s="466" t="s">
        <v>103</v>
      </c>
      <c r="Q34" s="265">
        <v>1</v>
      </c>
      <c r="R34" s="265">
        <v>8844.2882666666792</v>
      </c>
      <c r="S34" s="265">
        <v>8844.2882666666792</v>
      </c>
      <c r="T34" s="265"/>
      <c r="U34" s="265"/>
      <c r="V34" s="19"/>
      <c r="W34" s="19"/>
      <c r="X34" s="414"/>
    </row>
    <row r="35" spans="1:24" ht="10.8" thickBot="1" x14ac:dyDescent="0.25">
      <c r="A35" s="415" t="s">
        <v>547</v>
      </c>
      <c r="B35" s="481">
        <v>195</v>
      </c>
      <c r="C35" s="84">
        <f t="shared" si="2"/>
        <v>1572.9633333333331</v>
      </c>
      <c r="D35" s="482" t="s">
        <v>600</v>
      </c>
      <c r="E35" s="483">
        <f t="shared" si="1"/>
        <v>8.0664786324786313</v>
      </c>
      <c r="P35" s="467" t="s">
        <v>20</v>
      </c>
      <c r="Q35" s="468">
        <v>2</v>
      </c>
      <c r="R35" s="468">
        <v>52109.341066666675</v>
      </c>
      <c r="S35" s="468"/>
      <c r="T35" s="468"/>
      <c r="U35" s="468"/>
      <c r="V35" s="19"/>
      <c r="W35" s="19"/>
      <c r="X35" s="414"/>
    </row>
    <row r="36" spans="1:24" ht="10.8" thickBot="1" x14ac:dyDescent="0.25">
      <c r="A36" s="415" t="s">
        <v>576</v>
      </c>
      <c r="B36" s="481">
        <v>225</v>
      </c>
      <c r="C36" s="84">
        <f t="shared" si="2"/>
        <v>1720.0433333333333</v>
      </c>
      <c r="D36" s="482" t="s">
        <v>600</v>
      </c>
      <c r="E36" s="483">
        <f t="shared" si="1"/>
        <v>7.6446370370370369</v>
      </c>
      <c r="P36" s="467"/>
      <c r="Q36" s="468"/>
      <c r="R36" s="468"/>
      <c r="S36" s="468"/>
      <c r="T36" s="468"/>
      <c r="U36" s="468"/>
      <c r="V36" s="19"/>
      <c r="W36" s="19"/>
      <c r="X36" s="414"/>
    </row>
    <row r="37" spans="1:24" x14ac:dyDescent="0.2">
      <c r="A37" s="415" t="s">
        <v>548</v>
      </c>
      <c r="B37" s="481">
        <v>255</v>
      </c>
      <c r="C37" s="84">
        <f t="shared" si="2"/>
        <v>1867.1233333333332</v>
      </c>
      <c r="D37" s="482" t="s">
        <v>600</v>
      </c>
      <c r="E37" s="483">
        <f t="shared" si="1"/>
        <v>7.3220522875816991</v>
      </c>
      <c r="P37" s="470"/>
      <c r="Q37" s="471" t="s">
        <v>110</v>
      </c>
      <c r="R37" s="471" t="s">
        <v>99</v>
      </c>
      <c r="S37" s="471" t="s">
        <v>111</v>
      </c>
      <c r="T37" s="471" t="s">
        <v>112</v>
      </c>
      <c r="U37" s="471" t="s">
        <v>113</v>
      </c>
      <c r="V37" s="471" t="s">
        <v>114</v>
      </c>
      <c r="W37" s="471" t="s">
        <v>115</v>
      </c>
      <c r="X37" s="472" t="s">
        <v>116</v>
      </c>
    </row>
    <row r="38" spans="1:24" ht="10.8" thickBot="1" x14ac:dyDescent="0.25">
      <c r="A38" s="484" t="s">
        <v>549</v>
      </c>
      <c r="B38" s="485">
        <v>285</v>
      </c>
      <c r="C38" s="85">
        <f t="shared" si="2"/>
        <v>2014.2033333333331</v>
      </c>
      <c r="D38" s="486" t="s">
        <v>600</v>
      </c>
      <c r="E38" s="487">
        <f t="shared" si="1"/>
        <v>7.0673801169590638</v>
      </c>
      <c r="P38" s="466" t="s">
        <v>104</v>
      </c>
      <c r="Q38" s="265">
        <v>616.94333333333338</v>
      </c>
      <c r="R38" s="265">
        <v>174.88995660764019</v>
      </c>
      <c r="S38" s="265">
        <v>3.5276087049265228</v>
      </c>
      <c r="T38" s="265">
        <v>0.17585416221563993</v>
      </c>
      <c r="U38" s="265">
        <v>-1605.2442616240535</v>
      </c>
      <c r="V38" s="265">
        <v>2839.1309282907205</v>
      </c>
      <c r="W38" s="265">
        <v>-1605.2442616240535</v>
      </c>
      <c r="X38" s="473">
        <v>2839.1309282907205</v>
      </c>
    </row>
    <row r="39" spans="1:24" ht="10.8" thickBot="1" x14ac:dyDescent="0.25">
      <c r="A39" s="19"/>
      <c r="B39" s="19"/>
      <c r="C39" s="43"/>
      <c r="D39" s="74"/>
      <c r="E39" s="43"/>
      <c r="P39" s="467" t="s">
        <v>202</v>
      </c>
      <c r="Q39" s="468">
        <v>4.9026666666666658</v>
      </c>
      <c r="R39" s="468">
        <v>2.2166401335087049</v>
      </c>
      <c r="S39" s="468">
        <v>2.211755797683888</v>
      </c>
      <c r="T39" s="468">
        <v>0.27032364718000568</v>
      </c>
      <c r="U39" s="468">
        <v>-23.262416696116574</v>
      </c>
      <c r="V39" s="468">
        <v>33.067750029449904</v>
      </c>
      <c r="W39" s="468">
        <v>-23.262416696116574</v>
      </c>
      <c r="X39" s="474">
        <v>33.067750029449904</v>
      </c>
    </row>
    <row r="40" spans="1:24" s="19" customFormat="1" x14ac:dyDescent="0.2">
      <c r="C40" s="43"/>
      <c r="D40" s="74"/>
      <c r="E40" s="43"/>
    </row>
    <row r="41" spans="1:24" s="250" customFormat="1" ht="10.8" thickBot="1" x14ac:dyDescent="0.25">
      <c r="A41" s="250" t="s">
        <v>618</v>
      </c>
      <c r="B41" s="250" t="s">
        <v>620</v>
      </c>
      <c r="C41" s="263"/>
    </row>
    <row r="42" spans="1:24" ht="10.8" thickBot="1" x14ac:dyDescent="0.25">
      <c r="P42" s="463" t="s">
        <v>94</v>
      </c>
      <c r="Q42" s="410"/>
      <c r="R42" s="410"/>
      <c r="S42" s="410"/>
      <c r="T42" s="410"/>
      <c r="U42" s="410"/>
      <c r="V42" s="410"/>
      <c r="W42" s="410"/>
      <c r="X42" s="411"/>
    </row>
    <row r="43" spans="1:24" s="344" customFormat="1" ht="21" thickBot="1" x14ac:dyDescent="0.25">
      <c r="A43" s="476" t="s">
        <v>551</v>
      </c>
      <c r="B43" s="477" t="s">
        <v>93</v>
      </c>
      <c r="C43" s="478" t="s">
        <v>599</v>
      </c>
      <c r="D43" s="477" t="s">
        <v>369</v>
      </c>
      <c r="E43" s="480" t="s">
        <v>412</v>
      </c>
      <c r="P43" s="415"/>
      <c r="Q43" s="19"/>
      <c r="R43" s="19"/>
      <c r="S43" s="19"/>
      <c r="T43" s="19"/>
      <c r="U43" s="19"/>
      <c r="V43" s="19"/>
      <c r="W43" s="19"/>
      <c r="X43" s="414"/>
    </row>
    <row r="44" spans="1:24" s="344" customFormat="1" x14ac:dyDescent="0.2">
      <c r="A44" s="415" t="s">
        <v>933</v>
      </c>
      <c r="B44" s="481">
        <v>15</v>
      </c>
      <c r="C44" s="84">
        <f>Q$58+B44*Q$59</f>
        <v>764.05999999999972</v>
      </c>
      <c r="D44" s="482" t="s">
        <v>600</v>
      </c>
      <c r="E44" s="483">
        <f t="shared" ref="E44:E59" si="3">C44/B44</f>
        <v>50.937333333333314</v>
      </c>
      <c r="P44" s="464" t="s">
        <v>95</v>
      </c>
      <c r="Q44" s="465"/>
      <c r="R44" s="19"/>
      <c r="S44" s="19"/>
      <c r="T44" s="19"/>
      <c r="U44" s="19"/>
      <c r="V44" s="19"/>
      <c r="W44" s="19"/>
      <c r="X44" s="414"/>
    </row>
    <row r="45" spans="1:24" x14ac:dyDescent="0.2">
      <c r="A45" s="415" t="s">
        <v>539</v>
      </c>
      <c r="B45" s="481">
        <v>45</v>
      </c>
      <c r="C45" s="84">
        <f>Q$58+B45*Q$59</f>
        <v>917.8399999999998</v>
      </c>
      <c r="D45" s="482" t="s">
        <v>600</v>
      </c>
      <c r="E45" s="483">
        <f t="shared" si="3"/>
        <v>20.396444444444441</v>
      </c>
      <c r="P45" s="466" t="s">
        <v>96</v>
      </c>
      <c r="Q45" s="265">
        <v>1</v>
      </c>
      <c r="R45" s="19"/>
      <c r="S45" s="19"/>
      <c r="T45" s="19"/>
      <c r="U45" s="19"/>
      <c r="V45" s="19"/>
      <c r="W45" s="19"/>
      <c r="X45" s="414"/>
    </row>
    <row r="46" spans="1:24" x14ac:dyDescent="0.2">
      <c r="A46" s="415" t="s">
        <v>543</v>
      </c>
      <c r="B46" s="481">
        <v>75</v>
      </c>
      <c r="C46" s="84">
        <v>1071.6199999999999</v>
      </c>
      <c r="D46" s="482" t="s">
        <v>600</v>
      </c>
      <c r="E46" s="483">
        <f t="shared" si="3"/>
        <v>14.288266666666665</v>
      </c>
      <c r="P46" s="466" t="s">
        <v>97</v>
      </c>
      <c r="Q46" s="265">
        <v>1</v>
      </c>
      <c r="R46" s="19"/>
      <c r="S46" s="19"/>
      <c r="T46" s="19"/>
      <c r="U46" s="19"/>
      <c r="V46" s="19"/>
      <c r="W46" s="19"/>
      <c r="X46" s="414"/>
    </row>
    <row r="47" spans="1:24" x14ac:dyDescent="0.2">
      <c r="A47" s="415" t="s">
        <v>544</v>
      </c>
      <c r="B47" s="481">
        <v>105</v>
      </c>
      <c r="C47" s="84">
        <v>1225.4000000000001</v>
      </c>
      <c r="D47" s="482" t="s">
        <v>600</v>
      </c>
      <c r="E47" s="483">
        <f t="shared" si="3"/>
        <v>11.670476190476192</v>
      </c>
      <c r="P47" s="466" t="s">
        <v>98</v>
      </c>
      <c r="Q47" s="265">
        <v>65535</v>
      </c>
      <c r="R47" s="19"/>
      <c r="S47" s="19"/>
      <c r="T47" s="19"/>
      <c r="U47" s="19"/>
      <c r="V47" s="19"/>
      <c r="W47" s="19"/>
      <c r="X47" s="414"/>
    </row>
    <row r="48" spans="1:24" x14ac:dyDescent="0.2">
      <c r="A48" s="415" t="s">
        <v>545</v>
      </c>
      <c r="B48" s="481">
        <v>135</v>
      </c>
      <c r="C48" s="84">
        <f t="shared" ref="C48:C59" si="4">Q$58+B48*Q$59</f>
        <v>1379.1800000000003</v>
      </c>
      <c r="D48" s="482" t="s">
        <v>600</v>
      </c>
      <c r="E48" s="483">
        <f t="shared" si="3"/>
        <v>10.21614814814815</v>
      </c>
      <c r="P48" s="466" t="s">
        <v>99</v>
      </c>
      <c r="Q48" s="265">
        <v>0</v>
      </c>
      <c r="R48" s="19"/>
      <c r="S48" s="19"/>
      <c r="T48" s="19"/>
      <c r="U48" s="19"/>
      <c r="V48" s="19"/>
      <c r="W48" s="19"/>
      <c r="X48" s="414"/>
    </row>
    <row r="49" spans="1:24" ht="10.8" thickBot="1" x14ac:dyDescent="0.25">
      <c r="A49" s="415" t="s">
        <v>546</v>
      </c>
      <c r="B49" s="481">
        <v>165</v>
      </c>
      <c r="C49" s="84">
        <f t="shared" si="4"/>
        <v>1532.9600000000005</v>
      </c>
      <c r="D49" s="482" t="s">
        <v>600</v>
      </c>
      <c r="E49" s="483">
        <f t="shared" si="3"/>
        <v>9.2906666666666702</v>
      </c>
      <c r="P49" s="467" t="s">
        <v>100</v>
      </c>
      <c r="Q49" s="468">
        <v>2</v>
      </c>
      <c r="R49" s="19"/>
      <c r="S49" s="19"/>
      <c r="T49" s="19"/>
      <c r="U49" s="19"/>
      <c r="V49" s="19"/>
      <c r="W49" s="19"/>
      <c r="X49" s="414"/>
    </row>
    <row r="50" spans="1:24" x14ac:dyDescent="0.2">
      <c r="A50" s="415" t="s">
        <v>547</v>
      </c>
      <c r="B50" s="481">
        <v>195</v>
      </c>
      <c r="C50" s="84">
        <f t="shared" si="4"/>
        <v>1686.7400000000007</v>
      </c>
      <c r="D50" s="482" t="s">
        <v>600</v>
      </c>
      <c r="E50" s="483">
        <f t="shared" si="3"/>
        <v>8.6499487179487211</v>
      </c>
      <c r="P50" s="415"/>
      <c r="Q50" s="19"/>
      <c r="R50" s="19"/>
      <c r="S50" s="19"/>
      <c r="T50" s="19"/>
      <c r="U50" s="19"/>
      <c r="V50" s="19"/>
      <c r="W50" s="19"/>
      <c r="X50" s="414"/>
    </row>
    <row r="51" spans="1:24" ht="10.8" thickBot="1" x14ac:dyDescent="0.25">
      <c r="A51" s="415" t="s">
        <v>576</v>
      </c>
      <c r="B51" s="481">
        <v>225</v>
      </c>
      <c r="C51" s="84">
        <f t="shared" si="4"/>
        <v>1840.5200000000007</v>
      </c>
      <c r="D51" s="482" t="s">
        <v>600</v>
      </c>
      <c r="E51" s="483">
        <f t="shared" si="3"/>
        <v>8.180088888888891</v>
      </c>
      <c r="P51" s="415" t="s">
        <v>101</v>
      </c>
      <c r="Q51" s="19"/>
      <c r="R51" s="19"/>
      <c r="S51" s="19"/>
      <c r="T51" s="19"/>
      <c r="U51" s="19"/>
      <c r="V51" s="19"/>
      <c r="W51" s="19"/>
      <c r="X51" s="414"/>
    </row>
    <row r="52" spans="1:24" x14ac:dyDescent="0.2">
      <c r="A52" s="415" t="s">
        <v>548</v>
      </c>
      <c r="B52" s="481">
        <v>255</v>
      </c>
      <c r="C52" s="84">
        <f t="shared" si="4"/>
        <v>1994.3000000000009</v>
      </c>
      <c r="D52" s="482" t="s">
        <v>600</v>
      </c>
      <c r="E52" s="483">
        <f t="shared" si="3"/>
        <v>7.8207843137254933</v>
      </c>
      <c r="P52" s="470"/>
      <c r="Q52" s="471" t="s">
        <v>105</v>
      </c>
      <c r="R52" s="471" t="s">
        <v>106</v>
      </c>
      <c r="S52" s="471" t="s">
        <v>107</v>
      </c>
      <c r="T52" s="471" t="s">
        <v>108</v>
      </c>
      <c r="U52" s="471" t="s">
        <v>109</v>
      </c>
      <c r="V52" s="19"/>
      <c r="W52" s="19"/>
      <c r="X52" s="414"/>
    </row>
    <row r="53" spans="1:24" x14ac:dyDescent="0.2">
      <c r="A53" s="415" t="s">
        <v>549</v>
      </c>
      <c r="B53" s="481">
        <v>285</v>
      </c>
      <c r="C53" s="84">
        <f t="shared" si="4"/>
        <v>2148.0800000000008</v>
      </c>
      <c r="D53" s="482" t="s">
        <v>600</v>
      </c>
      <c r="E53" s="483">
        <f t="shared" si="3"/>
        <v>7.5371228070175471</v>
      </c>
      <c r="P53" s="466" t="s">
        <v>102</v>
      </c>
      <c r="Q53" s="265">
        <v>1</v>
      </c>
      <c r="R53" s="265">
        <v>11824.144200000032</v>
      </c>
      <c r="S53" s="265">
        <v>11824.144200000032</v>
      </c>
      <c r="T53" s="265" t="e">
        <v>#NUM!</v>
      </c>
      <c r="U53" s="265" t="e">
        <v>#NUM!</v>
      </c>
      <c r="V53" s="19"/>
      <c r="W53" s="19"/>
      <c r="X53" s="414"/>
    </row>
    <row r="54" spans="1:24" x14ac:dyDescent="0.2">
      <c r="A54" s="415" t="s">
        <v>579</v>
      </c>
      <c r="B54" s="481">
        <v>350</v>
      </c>
      <c r="C54" s="84">
        <f t="shared" si="4"/>
        <v>2481.2700000000013</v>
      </c>
      <c r="D54" s="482" t="s">
        <v>600</v>
      </c>
      <c r="E54" s="483">
        <f t="shared" si="3"/>
        <v>7.0893428571428609</v>
      </c>
      <c r="P54" s="466" t="s">
        <v>103</v>
      </c>
      <c r="Q54" s="265">
        <v>0</v>
      </c>
      <c r="R54" s="265">
        <v>0</v>
      </c>
      <c r="S54" s="265">
        <v>65535</v>
      </c>
      <c r="T54" s="265"/>
      <c r="U54" s="265"/>
      <c r="V54" s="19"/>
      <c r="W54" s="19"/>
      <c r="X54" s="414"/>
    </row>
    <row r="55" spans="1:24" ht="10.8" thickBot="1" x14ac:dyDescent="0.25">
      <c r="A55" s="415" t="s">
        <v>580</v>
      </c>
      <c r="B55" s="481">
        <v>450</v>
      </c>
      <c r="C55" s="84">
        <f t="shared" si="4"/>
        <v>2993.8700000000017</v>
      </c>
      <c r="D55" s="482" t="s">
        <v>600</v>
      </c>
      <c r="E55" s="483">
        <f t="shared" si="3"/>
        <v>6.6530444444444479</v>
      </c>
      <c r="P55" s="467" t="s">
        <v>20</v>
      </c>
      <c r="Q55" s="468">
        <v>1</v>
      </c>
      <c r="R55" s="468">
        <v>11824.144200000032</v>
      </c>
      <c r="S55" s="468"/>
      <c r="T55" s="468"/>
      <c r="U55" s="468"/>
      <c r="V55" s="19"/>
      <c r="W55" s="19"/>
      <c r="X55" s="414"/>
    </row>
    <row r="56" spans="1:24" ht="10.8" thickBot="1" x14ac:dyDescent="0.25">
      <c r="A56" s="415" t="s">
        <v>581</v>
      </c>
      <c r="B56" s="481">
        <v>550</v>
      </c>
      <c r="C56" s="84">
        <f t="shared" si="4"/>
        <v>3506.4700000000021</v>
      </c>
      <c r="D56" s="482" t="s">
        <v>600</v>
      </c>
      <c r="E56" s="483">
        <f t="shared" si="3"/>
        <v>6.3754000000000035</v>
      </c>
      <c r="P56" s="467"/>
      <c r="Q56" s="468"/>
      <c r="R56" s="468"/>
      <c r="S56" s="468"/>
      <c r="T56" s="468"/>
      <c r="U56" s="468"/>
      <c r="V56" s="19"/>
      <c r="W56" s="19"/>
      <c r="X56" s="414"/>
    </row>
    <row r="57" spans="1:24" x14ac:dyDescent="0.2">
      <c r="A57" s="415" t="s">
        <v>582</v>
      </c>
      <c r="B57" s="481">
        <v>650</v>
      </c>
      <c r="C57" s="84">
        <f t="shared" si="4"/>
        <v>4019.0700000000029</v>
      </c>
      <c r="D57" s="482" t="s">
        <v>600</v>
      </c>
      <c r="E57" s="483">
        <f t="shared" si="3"/>
        <v>6.1831846153846195</v>
      </c>
      <c r="P57" s="470"/>
      <c r="Q57" s="471" t="s">
        <v>110</v>
      </c>
      <c r="R57" s="471" t="s">
        <v>99</v>
      </c>
      <c r="S57" s="471" t="s">
        <v>111</v>
      </c>
      <c r="T57" s="471" t="s">
        <v>112</v>
      </c>
      <c r="U57" s="471" t="s">
        <v>113</v>
      </c>
      <c r="V57" s="471" t="s">
        <v>114</v>
      </c>
      <c r="W57" s="471" t="s">
        <v>115</v>
      </c>
      <c r="X57" s="472" t="s">
        <v>116</v>
      </c>
    </row>
    <row r="58" spans="1:24" x14ac:dyDescent="0.2">
      <c r="A58" s="415" t="s">
        <v>583</v>
      </c>
      <c r="B58" s="481">
        <v>750</v>
      </c>
      <c r="C58" s="84">
        <f t="shared" si="4"/>
        <v>4531.6700000000037</v>
      </c>
      <c r="D58" s="482" t="s">
        <v>600</v>
      </c>
      <c r="E58" s="483">
        <f t="shared" si="3"/>
        <v>6.0422266666666715</v>
      </c>
      <c r="P58" s="466" t="s">
        <v>104</v>
      </c>
      <c r="Q58" s="265">
        <v>687.16999999999962</v>
      </c>
      <c r="R58" s="265">
        <v>0</v>
      </c>
      <c r="S58" s="265">
        <v>65535</v>
      </c>
      <c r="T58" s="265" t="e">
        <v>#NUM!</v>
      </c>
      <c r="U58" s="265">
        <v>687.16999999999962</v>
      </c>
      <c r="V58" s="265">
        <v>687.16999999999962</v>
      </c>
      <c r="W58" s="265">
        <v>687.16999999999962</v>
      </c>
      <c r="X58" s="473">
        <v>687.16999999999962</v>
      </c>
    </row>
    <row r="59" spans="1:24" ht="10.8" thickBot="1" x14ac:dyDescent="0.25">
      <c r="A59" s="484" t="s">
        <v>584</v>
      </c>
      <c r="B59" s="485">
        <v>850</v>
      </c>
      <c r="C59" s="85">
        <f t="shared" si="4"/>
        <v>5044.2700000000041</v>
      </c>
      <c r="D59" s="486" t="s">
        <v>600</v>
      </c>
      <c r="E59" s="487">
        <f t="shared" si="3"/>
        <v>5.9344352941176517</v>
      </c>
      <c r="P59" s="467" t="s">
        <v>202</v>
      </c>
      <c r="Q59" s="468">
        <v>5.1260000000000048</v>
      </c>
      <c r="R59" s="468">
        <v>0</v>
      </c>
      <c r="S59" s="468">
        <v>65535</v>
      </c>
      <c r="T59" s="468" t="e">
        <v>#NUM!</v>
      </c>
      <c r="U59" s="468">
        <v>5.1260000000000048</v>
      </c>
      <c r="V59" s="468">
        <v>5.1260000000000048</v>
      </c>
      <c r="W59" s="468">
        <v>5.1260000000000048</v>
      </c>
      <c r="X59" s="474">
        <v>5.1260000000000048</v>
      </c>
    </row>
    <row r="61" spans="1:24" ht="10.8" thickBot="1" x14ac:dyDescent="0.25"/>
    <row r="62" spans="1:24" ht="10.8" thickBot="1" x14ac:dyDescent="0.25">
      <c r="A62" s="489" t="s">
        <v>953</v>
      </c>
      <c r="B62" s="490">
        <v>1918.5159516629201</v>
      </c>
    </row>
  </sheetData>
  <mergeCells count="4">
    <mergeCell ref="A1:N1"/>
    <mergeCell ref="A3:N3"/>
    <mergeCell ref="A4:N4"/>
    <mergeCell ref="A2:N2"/>
  </mergeCells>
  <pageMargins left="0.7" right="0.7" top="0.75" bottom="0.75" header="0.3" footer="0.3"/>
  <pageSetup scale="46" fitToHeight="2" orientation="landscape" r:id="rId1"/>
  <headerFooter>
    <oddFooter>&amp;R&amp;F
&amp;A</oddFooter>
  </headerFooter>
  <customProperties>
    <customPr name="_pios_id" r:id="rId2"/>
  </customProperties>
  <drawing r:id="rId3"/>
  <legacy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43"/>
  <sheetViews>
    <sheetView workbookViewId="0">
      <selection activeCell="D32" sqref="D32"/>
    </sheetView>
  </sheetViews>
  <sheetFormatPr defaultColWidth="8.88671875" defaultRowHeight="10.199999999999999" x14ac:dyDescent="0.2"/>
  <cols>
    <col min="1" max="1" width="8.88671875" style="28"/>
    <col min="2" max="2" width="12.33203125" style="28" customWidth="1"/>
    <col min="3" max="3" width="9.88671875" style="28" bestFit="1" customWidth="1"/>
    <col min="4" max="4" width="8.5546875" style="28" customWidth="1"/>
    <col min="5" max="7" width="12.33203125" style="28" customWidth="1"/>
    <col min="8" max="8" width="11.6640625" style="28" bestFit="1" customWidth="1"/>
    <col min="9" max="9" width="9.88671875" style="28" bestFit="1" customWidth="1"/>
    <col min="10" max="10" width="8" style="28" customWidth="1"/>
    <col min="11" max="11" width="9" style="28" bestFit="1" customWidth="1"/>
    <col min="12" max="18" width="12.33203125" style="28" customWidth="1"/>
    <col min="19" max="16384" width="8.88671875" style="28"/>
  </cols>
  <sheetData>
    <row r="1" spans="1:18" ht="14.4" x14ac:dyDescent="0.3">
      <c r="A1" s="729" t="str">
        <f>'BDJ-6 Base Revenue (Summary)'!A1:I1</f>
        <v>Puget Sound Energy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</row>
    <row r="2" spans="1:18" x14ac:dyDescent="0.2">
      <c r="A2" s="729" t="s">
        <v>604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</row>
    <row r="3" spans="1:18" ht="14.4" x14ac:dyDescent="0.3">
      <c r="A3" s="729" t="str">
        <f>'BDJ-6 Base Revenue (Summary)'!A4:I4</f>
        <v>2022 General Rate Case (GRC)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</row>
    <row r="4" spans="1:18" ht="14.4" x14ac:dyDescent="0.3">
      <c r="A4" s="729" t="str">
        <f>'BDJ-6 Base Revenue (Summary)'!A5:I5</f>
        <v>Test Year Ending June 30, 2021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</row>
    <row r="6" spans="1:18" ht="40.799999999999997" x14ac:dyDescent="0.2">
      <c r="B6" s="386" t="s">
        <v>1078</v>
      </c>
      <c r="C6" s="386" t="s">
        <v>270</v>
      </c>
      <c r="D6" s="386" t="s">
        <v>271</v>
      </c>
      <c r="E6" s="386" t="s">
        <v>274</v>
      </c>
      <c r="F6" s="386" t="s">
        <v>332</v>
      </c>
    </row>
    <row r="7" spans="1:18" x14ac:dyDescent="0.2">
      <c r="B7" s="491">
        <f>'WP12 Condensed Sch. Level Costs'!M203</f>
        <v>935.51408333333336</v>
      </c>
      <c r="C7" s="492">
        <f>SUM('WP12 Condensed Sch. Level Costs'!M8:M208)</f>
        <v>14496.452083333339</v>
      </c>
      <c r="D7" s="86">
        <f>B7/C7</f>
        <v>6.4534003075752563E-2</v>
      </c>
      <c r="E7" s="493">
        <f>'BDJ-6 Classification of Costs'!J45</f>
        <v>416459.23464275408</v>
      </c>
      <c r="F7" s="494">
        <f>E12</f>
        <v>520.12911145527744</v>
      </c>
    </row>
    <row r="8" spans="1:18" x14ac:dyDescent="0.2">
      <c r="B8" s="495"/>
      <c r="C8" s="19"/>
      <c r="D8" s="156"/>
      <c r="E8" s="496"/>
      <c r="F8" s="497"/>
    </row>
    <row r="10" spans="1:18" x14ac:dyDescent="0.2">
      <c r="B10" s="797" t="s">
        <v>327</v>
      </c>
      <c r="C10" s="797"/>
      <c r="D10" s="797"/>
      <c r="E10" s="797"/>
      <c r="F10" s="797"/>
      <c r="G10" s="797"/>
    </row>
    <row r="11" spans="1:18" ht="81.599999999999994" x14ac:dyDescent="0.2">
      <c r="A11" s="498" t="s">
        <v>321</v>
      </c>
      <c r="B11" s="499" t="s">
        <v>322</v>
      </c>
      <c r="C11" s="500" t="s">
        <v>323</v>
      </c>
      <c r="D11" s="386" t="s">
        <v>267</v>
      </c>
      <c r="E11" s="386" t="s">
        <v>325</v>
      </c>
      <c r="F11" s="386" t="s">
        <v>330</v>
      </c>
      <c r="G11" s="386" t="s">
        <v>331</v>
      </c>
      <c r="H11" s="386" t="s">
        <v>326</v>
      </c>
      <c r="I11" s="386" t="s">
        <v>328</v>
      </c>
      <c r="J11" s="386" t="s">
        <v>324</v>
      </c>
      <c r="K11" s="386" t="s">
        <v>329</v>
      </c>
      <c r="L11" s="386" t="s">
        <v>333</v>
      </c>
      <c r="M11" s="386" t="s">
        <v>335</v>
      </c>
      <c r="N11" s="386" t="s">
        <v>334</v>
      </c>
      <c r="O11" s="386" t="s">
        <v>336</v>
      </c>
      <c r="P11" s="386" t="s">
        <v>337</v>
      </c>
      <c r="Q11" s="386" t="s">
        <v>338</v>
      </c>
      <c r="R11" s="386" t="s">
        <v>339</v>
      </c>
    </row>
    <row r="12" spans="1:18" x14ac:dyDescent="0.2">
      <c r="A12" s="501">
        <v>44039</v>
      </c>
      <c r="B12" s="502">
        <v>44039</v>
      </c>
      <c r="C12" s="503" t="s">
        <v>999</v>
      </c>
      <c r="D12" s="503" t="s">
        <v>269</v>
      </c>
      <c r="E12" s="504">
        <v>520.12911145527744</v>
      </c>
      <c r="F12" s="144">
        <f>IF(D12="Dark", F$7, E12)</f>
        <v>520.12911145527744</v>
      </c>
      <c r="G12" s="144">
        <f>E12-F12</f>
        <v>0</v>
      </c>
      <c r="H12" s="504">
        <v>0</v>
      </c>
      <c r="I12" s="144">
        <f>SUM(E12,H12)</f>
        <v>520.12911145527744</v>
      </c>
      <c r="J12" s="144">
        <f>IF(D12="Light",IF(I12&lt;B$7,0,I12-B$7),IF(I12&lt;C$7,0,I12-C$7))</f>
        <v>0</v>
      </c>
      <c r="K12" s="144">
        <f>I12-J12</f>
        <v>520.12911145527744</v>
      </c>
      <c r="L12" s="505">
        <f t="shared" ref="L12:L23" si="0">I12/I$25</f>
        <v>2.9435576085545149E-2</v>
      </c>
      <c r="M12" s="506">
        <f>F12/$I12</f>
        <v>1</v>
      </c>
      <c r="N12" s="506">
        <f>G12/$I12</f>
        <v>0</v>
      </c>
      <c r="O12" s="507">
        <f>H12/$I12</f>
        <v>0</v>
      </c>
      <c r="P12" s="507">
        <f t="shared" ref="P12:P23" si="1">$L12*M12</f>
        <v>2.9435576085545149E-2</v>
      </c>
      <c r="Q12" s="247">
        <f t="shared" ref="Q12:Q20" si="2">$L12*N12</f>
        <v>0</v>
      </c>
      <c r="R12" s="505">
        <f t="shared" ref="R12:R23" si="3">$L12*O12</f>
        <v>0</v>
      </c>
    </row>
    <row r="13" spans="1:18" x14ac:dyDescent="0.2">
      <c r="A13" s="501">
        <v>44060</v>
      </c>
      <c r="B13" s="502">
        <v>44060</v>
      </c>
      <c r="C13" s="503" t="s">
        <v>999</v>
      </c>
      <c r="D13" s="503" t="s">
        <v>269</v>
      </c>
      <c r="E13" s="504">
        <v>520.12911145527744</v>
      </c>
      <c r="F13" s="144">
        <f t="shared" ref="F13:F23" si="4">IF(D13="Dark", F$7, E13)</f>
        <v>520.12911145527744</v>
      </c>
      <c r="G13" s="144">
        <f t="shared" ref="G13:G23" si="5">E13-F13</f>
        <v>0</v>
      </c>
      <c r="H13" s="504">
        <v>0</v>
      </c>
      <c r="I13" s="144">
        <f>SUM(E13,H13)</f>
        <v>520.12911145527744</v>
      </c>
      <c r="J13" s="144">
        <f>IF(D13="Light",IF(I13&lt;B$7,0,I13-B$7),IF(I13&lt;C$7,0,I13-C$7))</f>
        <v>0</v>
      </c>
      <c r="K13" s="144">
        <f>I13-J13</f>
        <v>520.12911145527744</v>
      </c>
      <c r="L13" s="505">
        <f t="shared" si="0"/>
        <v>2.9435576085545149E-2</v>
      </c>
      <c r="M13" s="506">
        <f>F13/$I13</f>
        <v>1</v>
      </c>
      <c r="N13" s="506">
        <f t="shared" ref="N13:N20" si="6">G13/$I13</f>
        <v>0</v>
      </c>
      <c r="O13" s="507">
        <f t="shared" ref="O13:O23" si="7">H13/$I13</f>
        <v>0</v>
      </c>
      <c r="P13" s="507">
        <f t="shared" si="1"/>
        <v>2.9435576085545149E-2</v>
      </c>
      <c r="Q13" s="247">
        <f t="shared" si="2"/>
        <v>0</v>
      </c>
      <c r="R13" s="505">
        <f t="shared" si="3"/>
        <v>0</v>
      </c>
    </row>
    <row r="14" spans="1:18" x14ac:dyDescent="0.2">
      <c r="A14" s="501">
        <v>44084</v>
      </c>
      <c r="B14" s="502">
        <v>44084</v>
      </c>
      <c r="C14" s="503" t="s">
        <v>999</v>
      </c>
      <c r="D14" s="503" t="s">
        <v>269</v>
      </c>
      <c r="E14" s="504">
        <v>520.12911145527744</v>
      </c>
      <c r="F14" s="144">
        <f t="shared" si="4"/>
        <v>520.12911145527744</v>
      </c>
      <c r="G14" s="144">
        <f t="shared" si="5"/>
        <v>0</v>
      </c>
      <c r="H14" s="504">
        <v>0</v>
      </c>
      <c r="I14" s="144">
        <f t="shared" ref="I14:I23" si="8">SUM(E14,H14)</f>
        <v>520.12911145527744</v>
      </c>
      <c r="J14" s="144">
        <f t="shared" ref="J14:J20" si="9">IF(D14="Light",IF(I14&lt;B$7,0,I14-B$7),IF(I14&lt;C$7,0,I14-C$7))</f>
        <v>0</v>
      </c>
      <c r="K14" s="144">
        <f t="shared" ref="K14:K23" si="10">I14-J14</f>
        <v>520.12911145527744</v>
      </c>
      <c r="L14" s="505">
        <f t="shared" si="0"/>
        <v>2.9435576085545149E-2</v>
      </c>
      <c r="M14" s="506">
        <f t="shared" ref="M14:M23" si="11">F14/$I14</f>
        <v>1</v>
      </c>
      <c r="N14" s="506">
        <f t="shared" si="6"/>
        <v>0</v>
      </c>
      <c r="O14" s="507">
        <f t="shared" si="7"/>
        <v>0</v>
      </c>
      <c r="P14" s="507">
        <f t="shared" si="1"/>
        <v>2.9435576085545149E-2</v>
      </c>
      <c r="Q14" s="247">
        <f t="shared" si="2"/>
        <v>0</v>
      </c>
      <c r="R14" s="505">
        <f t="shared" si="3"/>
        <v>0</v>
      </c>
    </row>
    <row r="15" spans="1:18" x14ac:dyDescent="0.2">
      <c r="A15" s="501">
        <v>44130</v>
      </c>
      <c r="B15" s="502">
        <v>44130</v>
      </c>
      <c r="C15" s="503">
        <v>0.375</v>
      </c>
      <c r="D15" s="503" t="s">
        <v>269</v>
      </c>
      <c r="E15" s="504">
        <v>520.12911145527744</v>
      </c>
      <c r="F15" s="144">
        <f t="shared" si="4"/>
        <v>520.12911145527744</v>
      </c>
      <c r="G15" s="144">
        <f t="shared" si="5"/>
        <v>0</v>
      </c>
      <c r="H15" s="504">
        <v>0</v>
      </c>
      <c r="I15" s="144">
        <f t="shared" si="8"/>
        <v>520.12911145527744</v>
      </c>
      <c r="J15" s="144">
        <f t="shared" si="9"/>
        <v>0</v>
      </c>
      <c r="K15" s="144">
        <f t="shared" si="10"/>
        <v>520.12911145527744</v>
      </c>
      <c r="L15" s="505">
        <f t="shared" si="0"/>
        <v>2.9435576085545149E-2</v>
      </c>
      <c r="M15" s="506">
        <f t="shared" si="11"/>
        <v>1</v>
      </c>
      <c r="N15" s="506">
        <f t="shared" si="6"/>
        <v>0</v>
      </c>
      <c r="O15" s="507">
        <f t="shared" si="7"/>
        <v>0</v>
      </c>
      <c r="P15" s="507">
        <f t="shared" si="1"/>
        <v>2.9435576085545149E-2</v>
      </c>
      <c r="Q15" s="247">
        <f t="shared" si="2"/>
        <v>0</v>
      </c>
      <c r="R15" s="505">
        <f t="shared" si="3"/>
        <v>0</v>
      </c>
    </row>
    <row r="16" spans="1:18" x14ac:dyDescent="0.2">
      <c r="A16" s="501">
        <v>44144</v>
      </c>
      <c r="B16" s="502">
        <v>44144</v>
      </c>
      <c r="C16" s="503">
        <v>0.375</v>
      </c>
      <c r="D16" s="503" t="s">
        <v>269</v>
      </c>
      <c r="E16" s="504">
        <v>520.12911145527744</v>
      </c>
      <c r="F16" s="144">
        <f t="shared" si="4"/>
        <v>520.12911145527744</v>
      </c>
      <c r="G16" s="144">
        <f t="shared" si="5"/>
        <v>0</v>
      </c>
      <c r="H16" s="504">
        <v>0</v>
      </c>
      <c r="I16" s="144">
        <f t="shared" si="8"/>
        <v>520.12911145527744</v>
      </c>
      <c r="J16" s="144">
        <f>IF(D16="Light",IF(I16&lt;B$7,0,I16-B$7),IF(I16&lt;C$7,0,I16-C$7))</f>
        <v>0</v>
      </c>
      <c r="K16" s="144">
        <f t="shared" si="10"/>
        <v>520.12911145527744</v>
      </c>
      <c r="L16" s="505">
        <f t="shared" si="0"/>
        <v>2.9435576085545149E-2</v>
      </c>
      <c r="M16" s="506">
        <f t="shared" si="11"/>
        <v>1</v>
      </c>
      <c r="N16" s="506">
        <f t="shared" si="6"/>
        <v>0</v>
      </c>
      <c r="O16" s="507">
        <f t="shared" si="7"/>
        <v>0</v>
      </c>
      <c r="P16" s="507">
        <f t="shared" si="1"/>
        <v>2.9435576085545149E-2</v>
      </c>
      <c r="Q16" s="247">
        <f t="shared" si="2"/>
        <v>0</v>
      </c>
      <c r="R16" s="505">
        <f t="shared" si="3"/>
        <v>0</v>
      </c>
    </row>
    <row r="17" spans="1:20" x14ac:dyDescent="0.2">
      <c r="A17" s="501">
        <v>44188</v>
      </c>
      <c r="B17" s="502">
        <v>44188</v>
      </c>
      <c r="C17" s="503" t="s">
        <v>999</v>
      </c>
      <c r="D17" s="503" t="s">
        <v>268</v>
      </c>
      <c r="E17" s="504">
        <v>16112.776646952683</v>
      </c>
      <c r="F17" s="144">
        <f t="shared" si="4"/>
        <v>520.12911145527744</v>
      </c>
      <c r="G17" s="144">
        <f t="shared" si="5"/>
        <v>15592.647535497406</v>
      </c>
      <c r="H17" s="504">
        <v>1557.3076735881295</v>
      </c>
      <c r="I17" s="144">
        <f t="shared" si="8"/>
        <v>17670.084320540813</v>
      </c>
      <c r="J17" s="144">
        <f t="shared" si="9"/>
        <v>3173.6322372074737</v>
      </c>
      <c r="K17" s="144">
        <f t="shared" si="10"/>
        <v>14496.452083333339</v>
      </c>
      <c r="L17" s="505">
        <f t="shared" si="0"/>
        <v>1</v>
      </c>
      <c r="M17" s="506">
        <f t="shared" si="11"/>
        <v>2.9435576085545149E-2</v>
      </c>
      <c r="N17" s="506">
        <f t="shared" si="6"/>
        <v>0.88243198236306863</v>
      </c>
      <c r="O17" s="507">
        <f t="shared" si="7"/>
        <v>8.8132441551386234E-2</v>
      </c>
      <c r="P17" s="507">
        <f t="shared" si="1"/>
        <v>2.9435576085545149E-2</v>
      </c>
      <c r="Q17" s="247">
        <f t="shared" si="2"/>
        <v>0.88243198236306863</v>
      </c>
      <c r="R17" s="505">
        <f t="shared" si="3"/>
        <v>8.8132441551386234E-2</v>
      </c>
    </row>
    <row r="18" spans="1:20" x14ac:dyDescent="0.2">
      <c r="A18" s="501">
        <v>44222</v>
      </c>
      <c r="B18" s="502">
        <v>44222</v>
      </c>
      <c r="C18" s="503" t="s">
        <v>999</v>
      </c>
      <c r="D18" s="503" t="s">
        <v>268</v>
      </c>
      <c r="E18" s="504">
        <v>13773.879516628078</v>
      </c>
      <c r="F18" s="144">
        <f t="shared" si="4"/>
        <v>520.12911145527744</v>
      </c>
      <c r="G18" s="144">
        <f t="shared" si="5"/>
        <v>13253.750405172801</v>
      </c>
      <c r="H18" s="504">
        <v>1323.7115225499099</v>
      </c>
      <c r="I18" s="144">
        <f t="shared" si="8"/>
        <v>15097.591039177987</v>
      </c>
      <c r="J18" s="144">
        <f t="shared" si="9"/>
        <v>601.13895584464808</v>
      </c>
      <c r="K18" s="144">
        <f t="shared" si="10"/>
        <v>14496.452083333339</v>
      </c>
      <c r="L18" s="505">
        <f t="shared" si="0"/>
        <v>0.85441533641283207</v>
      </c>
      <c r="M18" s="506">
        <f t="shared" si="11"/>
        <v>3.4451132641330089E-2</v>
      </c>
      <c r="N18" s="506">
        <f t="shared" si="6"/>
        <v>0.87787186517236748</v>
      </c>
      <c r="O18" s="507">
        <f t="shared" si="7"/>
        <v>8.7677002186302533E-2</v>
      </c>
      <c r="P18" s="507">
        <f t="shared" si="1"/>
        <v>2.9435576085545149E-2</v>
      </c>
      <c r="Q18" s="247">
        <f t="shared" si="2"/>
        <v>0.75006718500860869</v>
      </c>
      <c r="R18" s="505">
        <f t="shared" si="3"/>
        <v>7.4912575318678287E-2</v>
      </c>
    </row>
    <row r="19" spans="1:20" x14ac:dyDescent="0.2">
      <c r="A19" s="501">
        <v>44239</v>
      </c>
      <c r="B19" s="502">
        <v>44239</v>
      </c>
      <c r="C19" s="503" t="s">
        <v>999</v>
      </c>
      <c r="D19" s="503" t="s">
        <v>268</v>
      </c>
      <c r="E19" s="504">
        <v>6757.188125654242</v>
      </c>
      <c r="F19" s="144">
        <f t="shared" si="4"/>
        <v>520.12911145527744</v>
      </c>
      <c r="G19" s="144">
        <f t="shared" si="5"/>
        <v>6237.0590141989642</v>
      </c>
      <c r="H19" s="504">
        <v>622.92306943525205</v>
      </c>
      <c r="I19" s="144">
        <f t="shared" si="8"/>
        <v>7380.1111950894938</v>
      </c>
      <c r="J19" s="144">
        <f t="shared" si="9"/>
        <v>0</v>
      </c>
      <c r="K19" s="144">
        <f t="shared" si="10"/>
        <v>7380.1111950894938</v>
      </c>
      <c r="L19" s="505">
        <f t="shared" si="0"/>
        <v>0.41766134565132723</v>
      </c>
      <c r="M19" s="506">
        <f t="shared" si="11"/>
        <v>7.0477137499141723E-2</v>
      </c>
      <c r="N19" s="506">
        <f t="shared" si="6"/>
        <v>0.8451172142702833</v>
      </c>
      <c r="O19" s="507">
        <f t="shared" si="7"/>
        <v>8.4405648230574962E-2</v>
      </c>
      <c r="P19" s="507">
        <f t="shared" si="1"/>
        <v>2.9435576085545149E-2</v>
      </c>
      <c r="Q19" s="247">
        <f t="shared" si="2"/>
        <v>0.3529727929452276</v>
      </c>
      <c r="R19" s="505">
        <f t="shared" si="3"/>
        <v>3.5252976620554509E-2</v>
      </c>
    </row>
    <row r="20" spans="1:20" x14ac:dyDescent="0.2">
      <c r="A20" s="501">
        <v>44271</v>
      </c>
      <c r="B20" s="502">
        <v>44271</v>
      </c>
      <c r="C20" s="503">
        <v>0.375</v>
      </c>
      <c r="D20" s="503" t="s">
        <v>269</v>
      </c>
      <c r="E20" s="504">
        <v>520.12911145527744</v>
      </c>
      <c r="F20" s="144">
        <f t="shared" si="4"/>
        <v>520.12911145527744</v>
      </c>
      <c r="G20" s="144">
        <f t="shared" si="5"/>
        <v>0</v>
      </c>
      <c r="H20" s="504">
        <v>0</v>
      </c>
      <c r="I20" s="144">
        <f t="shared" si="8"/>
        <v>520.12911145527744</v>
      </c>
      <c r="J20" s="144">
        <f t="shared" si="9"/>
        <v>0</v>
      </c>
      <c r="K20" s="144">
        <f t="shared" si="10"/>
        <v>520.12911145527744</v>
      </c>
      <c r="L20" s="505">
        <f t="shared" si="0"/>
        <v>2.9435576085545149E-2</v>
      </c>
      <c r="M20" s="506">
        <f t="shared" si="11"/>
        <v>1</v>
      </c>
      <c r="N20" s="506">
        <f t="shared" si="6"/>
        <v>0</v>
      </c>
      <c r="O20" s="507">
        <f t="shared" si="7"/>
        <v>0</v>
      </c>
      <c r="P20" s="507">
        <f t="shared" si="1"/>
        <v>2.9435576085545149E-2</v>
      </c>
      <c r="Q20" s="247">
        <f t="shared" si="2"/>
        <v>0</v>
      </c>
      <c r="R20" s="505">
        <f t="shared" si="3"/>
        <v>0</v>
      </c>
    </row>
    <row r="21" spans="1:20" x14ac:dyDescent="0.2">
      <c r="A21" s="501">
        <v>44291</v>
      </c>
      <c r="B21" s="502">
        <v>44291</v>
      </c>
      <c r="C21" s="503">
        <v>0.375</v>
      </c>
      <c r="D21" s="503" t="s">
        <v>269</v>
      </c>
      <c r="E21" s="504">
        <v>520.12911145527744</v>
      </c>
      <c r="F21" s="144">
        <f>IF(D21="Dark", F$7, E21)</f>
        <v>520.12911145527744</v>
      </c>
      <c r="G21" s="144">
        <f>E21-F21</f>
        <v>0</v>
      </c>
      <c r="H21" s="504">
        <v>0</v>
      </c>
      <c r="I21" s="144">
        <f>SUM(E21,H21)</f>
        <v>520.12911145527744</v>
      </c>
      <c r="J21" s="144">
        <f>IF(D21="Light",IF(I21&lt;B$7,0,I21-B$7),IF(I21&lt;C$7,0,I21-C$7))</f>
        <v>0</v>
      </c>
      <c r="K21" s="144">
        <f t="shared" si="10"/>
        <v>520.12911145527744</v>
      </c>
      <c r="L21" s="505">
        <f t="shared" si="0"/>
        <v>2.9435576085545149E-2</v>
      </c>
      <c r="M21" s="506">
        <f>F21/$I21</f>
        <v>1</v>
      </c>
      <c r="N21" s="506">
        <f>G21/$I21</f>
        <v>0</v>
      </c>
      <c r="O21" s="507">
        <f>H21/$I21</f>
        <v>0</v>
      </c>
      <c r="P21" s="507">
        <f t="shared" si="1"/>
        <v>2.9435576085545149E-2</v>
      </c>
      <c r="Q21" s="247">
        <f>$L21*N21</f>
        <v>0</v>
      </c>
      <c r="R21" s="505">
        <f t="shared" si="3"/>
        <v>0</v>
      </c>
    </row>
    <row r="22" spans="1:20" x14ac:dyDescent="0.2">
      <c r="A22" s="501">
        <v>44323</v>
      </c>
      <c r="B22" s="502">
        <v>44323</v>
      </c>
      <c r="C22" s="503">
        <v>0.41666666666666669</v>
      </c>
      <c r="D22" s="503" t="s">
        <v>269</v>
      </c>
      <c r="E22" s="504">
        <v>520.12911145527744</v>
      </c>
      <c r="F22" s="144">
        <f t="shared" si="4"/>
        <v>520.12911145527744</v>
      </c>
      <c r="G22" s="144">
        <f t="shared" si="5"/>
        <v>0</v>
      </c>
      <c r="H22" s="504">
        <v>0</v>
      </c>
      <c r="I22" s="144">
        <f t="shared" si="8"/>
        <v>520.12911145527744</v>
      </c>
      <c r="J22" s="144">
        <f>IF(D22="Light",IF(I22&lt;B$7,0,I22-B$7),IF(I22&lt;C$7,0,I22-C$7))</f>
        <v>0</v>
      </c>
      <c r="K22" s="144">
        <f t="shared" si="10"/>
        <v>520.12911145527744</v>
      </c>
      <c r="L22" s="505">
        <f t="shared" si="0"/>
        <v>2.9435576085545149E-2</v>
      </c>
      <c r="M22" s="506">
        <f t="shared" si="11"/>
        <v>1</v>
      </c>
      <c r="N22" s="506">
        <f>G22/$I22</f>
        <v>0</v>
      </c>
      <c r="O22" s="507">
        <f t="shared" si="7"/>
        <v>0</v>
      </c>
      <c r="P22" s="507">
        <f t="shared" si="1"/>
        <v>2.9435576085545149E-2</v>
      </c>
      <c r="Q22" s="247">
        <f>$L22*N22</f>
        <v>0</v>
      </c>
      <c r="R22" s="505">
        <f t="shared" si="3"/>
        <v>0</v>
      </c>
    </row>
    <row r="23" spans="1:20" x14ac:dyDescent="0.2">
      <c r="A23" s="508">
        <v>44375</v>
      </c>
      <c r="B23" s="509">
        <v>44375</v>
      </c>
      <c r="C23" s="510">
        <v>0.70833333333333337</v>
      </c>
      <c r="D23" s="510" t="s">
        <v>269</v>
      </c>
      <c r="E23" s="511">
        <v>520.12911145527744</v>
      </c>
      <c r="F23" s="145">
        <f t="shared" si="4"/>
        <v>520.12911145527744</v>
      </c>
      <c r="G23" s="145">
        <f t="shared" si="5"/>
        <v>0</v>
      </c>
      <c r="H23" s="511">
        <v>0</v>
      </c>
      <c r="I23" s="145">
        <f t="shared" si="8"/>
        <v>520.12911145527744</v>
      </c>
      <c r="J23" s="145">
        <f>IF(D23="Light",IF(I23&lt;B$7,0,I23-B$7),IF(I23&lt;C$7,0,I23-C$7))</f>
        <v>0</v>
      </c>
      <c r="K23" s="145">
        <f t="shared" si="10"/>
        <v>520.12911145527744</v>
      </c>
      <c r="L23" s="512">
        <f t="shared" si="0"/>
        <v>2.9435576085545149E-2</v>
      </c>
      <c r="M23" s="513">
        <f t="shared" si="11"/>
        <v>1</v>
      </c>
      <c r="N23" s="513">
        <f>G23/$I23</f>
        <v>0</v>
      </c>
      <c r="O23" s="514">
        <f t="shared" si="7"/>
        <v>0</v>
      </c>
      <c r="P23" s="514">
        <f t="shared" si="1"/>
        <v>2.9435576085545149E-2</v>
      </c>
      <c r="Q23" s="515">
        <f>$L23*N23</f>
        <v>0</v>
      </c>
      <c r="R23" s="512">
        <f t="shared" si="3"/>
        <v>0</v>
      </c>
    </row>
    <row r="24" spans="1:20" ht="10.8" thickBot="1" x14ac:dyDescent="0.25">
      <c r="C24" s="516"/>
      <c r="D24" s="516"/>
      <c r="E24" s="517"/>
      <c r="F24" s="517"/>
      <c r="G24" s="517"/>
      <c r="H24" s="517"/>
      <c r="I24" s="517"/>
      <c r="J24" s="517"/>
      <c r="K24" s="517"/>
      <c r="P24" s="518"/>
      <c r="Q24" s="518"/>
      <c r="R24" s="518"/>
    </row>
    <row r="25" spans="1:20" x14ac:dyDescent="0.2">
      <c r="B25" s="519" t="s">
        <v>272</v>
      </c>
      <c r="C25" s="520"/>
      <c r="D25" s="520"/>
      <c r="E25" s="521">
        <f>MAX(E12:E23)</f>
        <v>16112.776646952683</v>
      </c>
      <c r="F25" s="521"/>
      <c r="G25" s="521"/>
      <c r="H25" s="521">
        <f>MAX(H12:H23)</f>
        <v>1557.3076735881295</v>
      </c>
      <c r="I25" s="521">
        <f>MAX(I12:I23)</f>
        <v>17670.084320540813</v>
      </c>
      <c r="J25" s="521">
        <f>MAX(J12:J23)</f>
        <v>3173.6322372074737</v>
      </c>
      <c r="K25" s="517"/>
      <c r="N25" s="522" t="s">
        <v>341</v>
      </c>
      <c r="O25" s="410" t="s">
        <v>273</v>
      </c>
      <c r="P25" s="523">
        <f>SUM(P12:P23)</f>
        <v>0.3532269130265418</v>
      </c>
      <c r="Q25" s="523">
        <f>SUM(Q12:Q23)</f>
        <v>1.9854719603169049</v>
      </c>
      <c r="R25" s="524">
        <f>SUM(R12:R23)</f>
        <v>0.19829799349061902</v>
      </c>
    </row>
    <row r="26" spans="1:20" ht="10.8" thickBot="1" x14ac:dyDescent="0.25">
      <c r="E26" s="517"/>
      <c r="F26" s="517"/>
      <c r="G26" s="517"/>
      <c r="H26" s="517"/>
      <c r="I26" s="517"/>
      <c r="J26" s="517"/>
      <c r="K26" s="517"/>
      <c r="N26" s="484"/>
      <c r="O26" s="422" t="s">
        <v>340</v>
      </c>
      <c r="P26" s="525">
        <f>P25/SUM(P25:R25)</f>
        <v>0.13923033080735961</v>
      </c>
      <c r="Q26" s="525">
        <f>Q25/SUM(P25:R25)</f>
        <v>0.78260717869730279</v>
      </c>
      <c r="R26" s="526">
        <f>R25/SUM(P25:R25)</f>
        <v>7.8162490495337633E-2</v>
      </c>
      <c r="T26" s="518"/>
    </row>
    <row r="27" spans="1:20" ht="10.8" thickBot="1" x14ac:dyDescent="0.25">
      <c r="E27" s="517"/>
      <c r="F27" s="517"/>
      <c r="G27" s="517"/>
      <c r="H27" s="517"/>
      <c r="I27" s="517"/>
      <c r="J27" s="517"/>
      <c r="K27" s="517"/>
    </row>
    <row r="28" spans="1:20" ht="20.399999999999999" x14ac:dyDescent="0.2">
      <c r="E28" s="517"/>
      <c r="F28" s="517"/>
      <c r="G28" s="517"/>
      <c r="H28" s="527" t="s">
        <v>602</v>
      </c>
      <c r="I28" s="528">
        <f>MAX(I12:I23)</f>
        <v>17670.084320540813</v>
      </c>
      <c r="J28" s="517"/>
      <c r="K28" s="517"/>
      <c r="N28" s="522" t="s">
        <v>342</v>
      </c>
      <c r="O28" s="410" t="s">
        <v>273</v>
      </c>
      <c r="P28" s="523">
        <f>SUM(P16:P19)</f>
        <v>0.1177423043421806</v>
      </c>
      <c r="Q28" s="523">
        <f t="shared" ref="Q28:R28" si="12">SUM(Q16:Q19)</f>
        <v>1.9854719603169049</v>
      </c>
      <c r="R28" s="524">
        <f t="shared" si="12"/>
        <v>0.19829799349061902</v>
      </c>
    </row>
    <row r="29" spans="1:20" ht="10.8" thickBot="1" x14ac:dyDescent="0.25">
      <c r="M29" s="518"/>
      <c r="N29" s="529"/>
      <c r="O29" s="530" t="s">
        <v>340</v>
      </c>
      <c r="P29" s="525">
        <f>P28/SUM(P28:R28)</f>
        <v>5.1158669229439277E-2</v>
      </c>
      <c r="Q29" s="525">
        <f>Q28/SUM(P28:R28)</f>
        <v>0.86268146228042275</v>
      </c>
      <c r="R29" s="526">
        <f>R28/SUM(P28:R28)</f>
        <v>8.6159868490137972E-2</v>
      </c>
    </row>
    <row r="30" spans="1:20" x14ac:dyDescent="0.2">
      <c r="M30" s="518"/>
      <c r="N30" s="518"/>
      <c r="O30" s="518"/>
    </row>
    <row r="31" spans="1:20" x14ac:dyDescent="0.2">
      <c r="M31" s="518"/>
      <c r="N31" s="518"/>
      <c r="O31" s="518"/>
    </row>
    <row r="32" spans="1:20" x14ac:dyDescent="0.2">
      <c r="M32" s="518"/>
      <c r="N32" s="518"/>
      <c r="O32" s="518"/>
    </row>
    <row r="33" spans="13:17" x14ac:dyDescent="0.2">
      <c r="M33" s="518"/>
      <c r="N33" s="518"/>
      <c r="O33" s="518"/>
    </row>
    <row r="34" spans="13:17" x14ac:dyDescent="0.2">
      <c r="M34" s="518"/>
      <c r="N34" s="518"/>
      <c r="O34" s="518"/>
    </row>
    <row r="35" spans="13:17" x14ac:dyDescent="0.2">
      <c r="M35" s="518"/>
      <c r="N35" s="518"/>
      <c r="O35" s="518"/>
    </row>
    <row r="36" spans="13:17" x14ac:dyDescent="0.2">
      <c r="M36" s="518"/>
      <c r="N36" s="518"/>
      <c r="O36" s="518"/>
    </row>
    <row r="37" spans="13:17" x14ac:dyDescent="0.2">
      <c r="M37" s="518"/>
      <c r="N37" s="518"/>
      <c r="O37" s="518"/>
    </row>
    <row r="38" spans="13:17" x14ac:dyDescent="0.2">
      <c r="M38" s="518"/>
      <c r="N38" s="518"/>
      <c r="O38" s="518"/>
    </row>
    <row r="39" spans="13:17" x14ac:dyDescent="0.2">
      <c r="M39" s="518"/>
      <c r="N39" s="518"/>
      <c r="O39" s="518"/>
    </row>
    <row r="41" spans="13:17" x14ac:dyDescent="0.2">
      <c r="M41" s="518"/>
      <c r="N41" s="518"/>
      <c r="O41" s="518"/>
      <c r="Q41" s="518"/>
    </row>
    <row r="43" spans="13:17" x14ac:dyDescent="0.2">
      <c r="M43" s="518"/>
      <c r="N43" s="518"/>
      <c r="O43" s="518"/>
    </row>
  </sheetData>
  <mergeCells count="5">
    <mergeCell ref="B10:G10"/>
    <mergeCell ref="A1:R1"/>
    <mergeCell ref="A2:R2"/>
    <mergeCell ref="A3:R3"/>
    <mergeCell ref="A4:R4"/>
  </mergeCells>
  <pageMargins left="0.7" right="0.7" top="0.75" bottom="0.75" header="0.3" footer="0.3"/>
  <pageSetup scale="61" orientation="landscape" r:id="rId1"/>
  <headerFooter>
    <oddFooter>&amp;R&amp;F
&amp;A</oddFooter>
  </headerFooter>
  <customProperties>
    <customPr name="_pios_id" r:id="rId2"/>
  </customProperties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46"/>
  <sheetViews>
    <sheetView workbookViewId="0">
      <pane ySplit="6" topLeftCell="A7" activePane="bottomLeft" state="frozen"/>
      <selection activeCell="D32" sqref="D32"/>
      <selection pane="bottomLeft" activeCell="D32" sqref="D32"/>
    </sheetView>
  </sheetViews>
  <sheetFormatPr defaultColWidth="8.88671875" defaultRowHeight="10.199999999999999" x14ac:dyDescent="0.2"/>
  <cols>
    <col min="1" max="1" width="4.33203125" style="28" customWidth="1"/>
    <col min="2" max="2" width="31.6640625" style="28" customWidth="1"/>
    <col min="3" max="3" width="13.88671875" style="28" bestFit="1" customWidth="1"/>
    <col min="4" max="4" width="12.88671875" style="32" bestFit="1" customWidth="1"/>
    <col min="5" max="5" width="13.88671875" style="28" bestFit="1" customWidth="1"/>
    <col min="6" max="6" width="9.5546875" style="28" customWidth="1"/>
    <col min="7" max="7" width="9.88671875" style="28" bestFit="1" customWidth="1"/>
    <col min="8" max="8" width="12.33203125" style="28" bestFit="1" customWidth="1"/>
    <col min="9" max="10" width="11.5546875" style="28" bestFit="1" customWidth="1"/>
    <col min="11" max="16384" width="8.88671875" style="28"/>
  </cols>
  <sheetData>
    <row r="1" spans="1:6" x14ac:dyDescent="0.2">
      <c r="A1" s="729" t="str">
        <f>'BDJ-6 Base Revenue (Summary)'!A1:I1</f>
        <v>Puget Sound Energy</v>
      </c>
      <c r="B1" s="729"/>
      <c r="C1" s="729"/>
      <c r="D1" s="729"/>
      <c r="E1" s="729"/>
      <c r="F1" s="729"/>
    </row>
    <row r="2" spans="1:6" x14ac:dyDescent="0.2">
      <c r="A2" s="729" t="s">
        <v>615</v>
      </c>
      <c r="B2" s="729" t="s">
        <v>550</v>
      </c>
      <c r="C2" s="729"/>
      <c r="D2" s="729"/>
      <c r="E2" s="729"/>
      <c r="F2" s="729"/>
    </row>
    <row r="3" spans="1:6" x14ac:dyDescent="0.2">
      <c r="A3" s="729" t="str">
        <f>'BDJ-6 Base Revenue (Summary)'!A4:I4</f>
        <v>2022 General Rate Case (GRC)</v>
      </c>
      <c r="B3" s="729"/>
      <c r="C3" s="729"/>
      <c r="D3" s="729"/>
      <c r="E3" s="729"/>
      <c r="F3" s="729"/>
    </row>
    <row r="4" spans="1:6" x14ac:dyDescent="0.2">
      <c r="A4" s="729" t="str">
        <f>'BDJ-6 Base Revenue (Summary)'!A5:I5</f>
        <v>Test Year Ending June 30, 2021</v>
      </c>
      <c r="B4" s="729"/>
      <c r="C4" s="729"/>
      <c r="D4" s="729"/>
      <c r="E4" s="729"/>
      <c r="F4" s="729"/>
    </row>
    <row r="6" spans="1:6" s="458" customFormat="1" ht="37.950000000000003" customHeight="1" x14ac:dyDescent="0.2">
      <c r="A6" s="531" t="s">
        <v>1</v>
      </c>
      <c r="B6" s="285" t="s">
        <v>607</v>
      </c>
      <c r="C6" s="285" t="s">
        <v>635</v>
      </c>
      <c r="D6" s="285" t="s">
        <v>606</v>
      </c>
      <c r="E6" s="285" t="s">
        <v>608</v>
      </c>
      <c r="F6" s="285" t="s">
        <v>276</v>
      </c>
    </row>
    <row r="7" spans="1:6" x14ac:dyDescent="0.2">
      <c r="A7" s="28">
        <v>1</v>
      </c>
      <c r="B7" s="532" t="s">
        <v>613</v>
      </c>
    </row>
    <row r="8" spans="1:6" x14ac:dyDescent="0.2">
      <c r="A8" s="28">
        <f t="shared" ref="A8:A15" si="0">A7+1</f>
        <v>2</v>
      </c>
      <c r="B8" s="53" t="s">
        <v>275</v>
      </c>
      <c r="C8" s="330">
        <v>0</v>
      </c>
      <c r="D8" s="72" t="s">
        <v>133</v>
      </c>
      <c r="E8" s="329">
        <f>IF(D8="Yes",C8, 0)</f>
        <v>0</v>
      </c>
      <c r="F8" s="44">
        <f>E8/'BDJ-6 Classification of Costs'!D$12</f>
        <v>0</v>
      </c>
    </row>
    <row r="9" spans="1:6" x14ac:dyDescent="0.2">
      <c r="A9" s="28">
        <f t="shared" si="0"/>
        <v>3</v>
      </c>
      <c r="B9" s="53" t="s">
        <v>651</v>
      </c>
      <c r="C9" s="330">
        <v>42331597.166666664</v>
      </c>
      <c r="D9" s="32" t="s">
        <v>159</v>
      </c>
      <c r="E9" s="329">
        <f>IF(D9="Yes",C9, 0)</f>
        <v>0</v>
      </c>
      <c r="F9" s="44">
        <f>E9/'BDJ-6 Classification of Costs'!D$12</f>
        <v>0</v>
      </c>
    </row>
    <row r="10" spans="1:6" x14ac:dyDescent="0.2">
      <c r="A10" s="28">
        <f t="shared" si="0"/>
        <v>4</v>
      </c>
      <c r="B10" s="53"/>
      <c r="C10" s="330"/>
      <c r="E10" s="329"/>
      <c r="F10" s="44"/>
    </row>
    <row r="11" spans="1:6" x14ac:dyDescent="0.2">
      <c r="A11" s="28">
        <f t="shared" si="0"/>
        <v>5</v>
      </c>
      <c r="B11" s="533" t="s">
        <v>614</v>
      </c>
      <c r="C11" s="330"/>
      <c r="E11" s="329"/>
      <c r="F11" s="44"/>
    </row>
    <row r="12" spans="1:6" x14ac:dyDescent="0.2">
      <c r="A12" s="28">
        <f t="shared" si="0"/>
        <v>6</v>
      </c>
      <c r="B12" s="53" t="s">
        <v>275</v>
      </c>
      <c r="C12" s="330">
        <v>0</v>
      </c>
      <c r="D12" s="72" t="s">
        <v>133</v>
      </c>
      <c r="E12" s="329">
        <f>IF(D12="Yes",C12, 0)</f>
        <v>0</v>
      </c>
      <c r="F12" s="44">
        <f>E12/'BDJ-6 Classification of Costs'!D$12</f>
        <v>0</v>
      </c>
    </row>
    <row r="13" spans="1:6" x14ac:dyDescent="0.2">
      <c r="A13" s="28">
        <f t="shared" si="0"/>
        <v>7</v>
      </c>
      <c r="B13" s="53" t="s">
        <v>651</v>
      </c>
      <c r="C13" s="330">
        <v>51068702.583333336</v>
      </c>
      <c r="D13" s="32" t="s">
        <v>159</v>
      </c>
      <c r="E13" s="329">
        <f>IF(D13="Yes",C13, 0)</f>
        <v>0</v>
      </c>
      <c r="F13" s="44">
        <f>E13/'BDJ-6 Classification of Costs'!D$12</f>
        <v>0</v>
      </c>
    </row>
    <row r="14" spans="1:6" x14ac:dyDescent="0.2">
      <c r="A14" s="28">
        <f t="shared" si="0"/>
        <v>8</v>
      </c>
      <c r="B14" s="22"/>
      <c r="C14" s="330"/>
      <c r="F14" s="297"/>
    </row>
    <row r="15" spans="1:6" ht="10.8" thickBot="1" x14ac:dyDescent="0.25">
      <c r="A15" s="28">
        <f t="shared" si="0"/>
        <v>9</v>
      </c>
      <c r="B15" s="290" t="s">
        <v>20</v>
      </c>
      <c r="C15" s="534">
        <f>SUM(C8:C13)</f>
        <v>93400299.75</v>
      </c>
      <c r="D15" s="535"/>
      <c r="E15" s="534">
        <f>SUM(E8:E13)</f>
        <v>0</v>
      </c>
      <c r="F15" s="270">
        <f>E15/'BDJ-6 Classification of Costs'!D$12</f>
        <v>0</v>
      </c>
    </row>
    <row r="16" spans="1:6" ht="11.4" thickTop="1" thickBot="1" x14ac:dyDescent="0.25"/>
    <row r="17" spans="1:7" ht="20.399999999999999" x14ac:dyDescent="0.2">
      <c r="A17" s="536" t="s">
        <v>1</v>
      </c>
      <c r="B17" s="537" t="s">
        <v>609</v>
      </c>
      <c r="C17" s="537" t="s">
        <v>20</v>
      </c>
      <c r="D17" s="538" t="s">
        <v>613</v>
      </c>
      <c r="E17" s="538" t="s">
        <v>614</v>
      </c>
      <c r="F17" s="411"/>
    </row>
    <row r="18" spans="1:7" x14ac:dyDescent="0.2">
      <c r="A18" s="415">
        <f>A15+1</f>
        <v>10</v>
      </c>
      <c r="B18" s="19" t="s">
        <v>277</v>
      </c>
      <c r="C18" s="43">
        <f>SUM('BDJ-6 Classification of Costs'!F23:F25)</f>
        <v>2620715.0577569148</v>
      </c>
      <c r="D18" s="43">
        <f>(C9/C$15)*C18</f>
        <v>1187780.4933231305</v>
      </c>
      <c r="E18" s="43">
        <f>C18-D18</f>
        <v>1432934.5644337842</v>
      </c>
      <c r="F18" s="483"/>
      <c r="G18" s="539"/>
    </row>
    <row r="19" spans="1:7" x14ac:dyDescent="0.2">
      <c r="A19" s="415">
        <f t="shared" ref="A19:A29" si="1">A18+1</f>
        <v>11</v>
      </c>
      <c r="B19" s="19" t="s">
        <v>383</v>
      </c>
      <c r="C19" s="43">
        <f>'BDJ-6 Classification of Costs'!D12</f>
        <v>26884580.480796691</v>
      </c>
      <c r="D19" s="43">
        <f>(C9/C$15)*C19</f>
        <v>12184834.88761946</v>
      </c>
      <c r="E19" s="43">
        <f>C19-D19</f>
        <v>14699745.593177231</v>
      </c>
      <c r="F19" s="483"/>
    </row>
    <row r="20" spans="1:7" x14ac:dyDescent="0.2">
      <c r="A20" s="415">
        <f t="shared" si="1"/>
        <v>12</v>
      </c>
      <c r="B20" s="19" t="s">
        <v>384</v>
      </c>
      <c r="C20" s="43">
        <f>'BDJ-6 Classification of Costs'!E12</f>
        <v>33724417.477119975</v>
      </c>
      <c r="D20" s="43">
        <f>(C9/C$15)*C20</f>
        <v>15284838.048091335</v>
      </c>
      <c r="E20" s="43">
        <f>C20-D20</f>
        <v>18439579.429028638</v>
      </c>
      <c r="F20" s="483"/>
    </row>
    <row r="21" spans="1:7" x14ac:dyDescent="0.2">
      <c r="A21" s="415">
        <f t="shared" si="1"/>
        <v>13</v>
      </c>
      <c r="B21" s="19" t="s">
        <v>631</v>
      </c>
      <c r="C21" s="43">
        <f>C9+C13</f>
        <v>93400299.75</v>
      </c>
      <c r="D21" s="43">
        <f>C9</f>
        <v>42331597.166666664</v>
      </c>
      <c r="E21" s="43">
        <f>C21-D21</f>
        <v>51068702.583333336</v>
      </c>
      <c r="F21" s="483"/>
    </row>
    <row r="22" spans="1:7" x14ac:dyDescent="0.2">
      <c r="A22" s="415">
        <f t="shared" si="1"/>
        <v>14</v>
      </c>
      <c r="B22" s="19" t="s">
        <v>279</v>
      </c>
      <c r="C22" s="274">
        <f>SUM(C19:C21)</f>
        <v>154009297.70791668</v>
      </c>
      <c r="D22" s="274">
        <f>SUM(D19:D21)</f>
        <v>69801270.102377459</v>
      </c>
      <c r="E22" s="274">
        <f>SUM(E19:E21)</f>
        <v>84208027.605539203</v>
      </c>
      <c r="F22" s="483"/>
      <c r="G22" s="539"/>
    </row>
    <row r="23" spans="1:7" ht="10.8" thickBot="1" x14ac:dyDescent="0.25">
      <c r="A23" s="415">
        <f t="shared" si="1"/>
        <v>15</v>
      </c>
      <c r="B23" s="540" t="s">
        <v>280</v>
      </c>
      <c r="C23" s="541">
        <f>C18/C22</f>
        <v>1.7016602872426446E-2</v>
      </c>
      <c r="D23" s="541">
        <f>D18/D22</f>
        <v>1.7016602872426446E-2</v>
      </c>
      <c r="E23" s="541">
        <f>E18/E22</f>
        <v>1.7016602872426449E-2</v>
      </c>
      <c r="F23" s="414"/>
    </row>
    <row r="24" spans="1:7" ht="10.8" thickTop="1" x14ac:dyDescent="0.2">
      <c r="A24" s="415">
        <f t="shared" si="1"/>
        <v>16</v>
      </c>
      <c r="B24" s="19" t="s">
        <v>281</v>
      </c>
      <c r="C24" s="542">
        <f>C23/12</f>
        <v>1.4180502393688706E-3</v>
      </c>
      <c r="D24" s="542">
        <f>D23/12</f>
        <v>1.4180502393688706E-3</v>
      </c>
      <c r="E24" s="542">
        <f>E23/12</f>
        <v>1.4180502393688708E-3</v>
      </c>
      <c r="F24" s="543"/>
    </row>
    <row r="25" spans="1:7" x14ac:dyDescent="0.2">
      <c r="A25" s="415">
        <f t="shared" si="1"/>
        <v>17</v>
      </c>
      <c r="B25" s="19" t="s">
        <v>283</v>
      </c>
      <c r="C25" s="49">
        <f>C23*C21</f>
        <v>1589355.8090113411</v>
      </c>
      <c r="D25" s="49">
        <f>D23*D21</f>
        <v>720339.9779406992</v>
      </c>
      <c r="E25" s="49">
        <f>E23*E21</f>
        <v>869015.8310706421</v>
      </c>
      <c r="F25" s="414"/>
      <c r="G25" s="329"/>
    </row>
    <row r="26" spans="1:7" x14ac:dyDescent="0.2">
      <c r="A26" s="415">
        <f t="shared" si="1"/>
        <v>18</v>
      </c>
      <c r="B26" s="19" t="s">
        <v>285</v>
      </c>
      <c r="C26" s="49">
        <f>C25/12</f>
        <v>132446.31741761175</v>
      </c>
      <c r="D26" s="49">
        <f>D25/12</f>
        <v>60028.331495058264</v>
      </c>
      <c r="E26" s="49">
        <f>E25/12</f>
        <v>72417.985922553504</v>
      </c>
      <c r="F26" s="483"/>
      <c r="G26" s="544"/>
    </row>
    <row r="27" spans="1:7" x14ac:dyDescent="0.2">
      <c r="A27" s="415">
        <f t="shared" si="1"/>
        <v>19</v>
      </c>
      <c r="B27" s="290"/>
      <c r="C27" s="49"/>
      <c r="D27" s="49"/>
      <c r="E27" s="49"/>
      <c r="F27" s="414"/>
      <c r="G27" s="320"/>
    </row>
    <row r="28" spans="1:7" x14ac:dyDescent="0.2">
      <c r="A28" s="415">
        <f t="shared" si="1"/>
        <v>20</v>
      </c>
      <c r="B28" s="290" t="s">
        <v>611</v>
      </c>
      <c r="C28" s="545">
        <f>D25</f>
        <v>720339.9779406992</v>
      </c>
      <c r="D28" s="70"/>
      <c r="E28" s="70"/>
      <c r="F28" s="414"/>
      <c r="G28" s="320"/>
    </row>
    <row r="29" spans="1:7" ht="10.8" thickBot="1" x14ac:dyDescent="0.25">
      <c r="A29" s="415">
        <f t="shared" si="1"/>
        <v>21</v>
      </c>
      <c r="B29" s="290" t="s">
        <v>612</v>
      </c>
      <c r="C29" s="546">
        <f>E25</f>
        <v>869015.8310706421</v>
      </c>
      <c r="D29" s="70"/>
      <c r="E29" s="19"/>
      <c r="F29" s="414"/>
    </row>
    <row r="30" spans="1:7" ht="11.4" thickTop="1" thickBot="1" x14ac:dyDescent="0.25">
      <c r="A30" s="484"/>
      <c r="B30" s="547"/>
      <c r="C30" s="548"/>
      <c r="D30" s="422"/>
      <c r="E30" s="548"/>
      <c r="F30" s="549"/>
    </row>
    <row r="31" spans="1:7" ht="30" customHeight="1" x14ac:dyDescent="0.2">
      <c r="A31" s="531" t="s">
        <v>1</v>
      </c>
      <c r="B31" s="531" t="s">
        <v>610</v>
      </c>
      <c r="C31" s="550" t="s">
        <v>278</v>
      </c>
      <c r="D31" s="14"/>
      <c r="E31" s="19"/>
      <c r="F31" s="19"/>
    </row>
    <row r="32" spans="1:7" x14ac:dyDescent="0.2">
      <c r="A32" s="28">
        <f>A29+1</f>
        <v>22</v>
      </c>
      <c r="B32" s="28" t="s">
        <v>386</v>
      </c>
      <c r="C32" s="329">
        <f>'BDJ-6 Classification of Costs'!D51</f>
        <v>4720752.4150982806</v>
      </c>
      <c r="D32" s="14"/>
    </row>
    <row r="33" spans="1:6" x14ac:dyDescent="0.2">
      <c r="A33" s="28">
        <f t="shared" ref="A33:A44" si="2">A32+1</f>
        <v>23</v>
      </c>
      <c r="B33" s="28" t="s">
        <v>385</v>
      </c>
      <c r="C33" s="329">
        <f>'BDJ-6 Classification of Costs'!E51</f>
        <v>3622397.9254064234</v>
      </c>
      <c r="D33" s="14"/>
    </row>
    <row r="34" spans="1:6" x14ac:dyDescent="0.2">
      <c r="A34" s="28">
        <f t="shared" si="2"/>
        <v>24</v>
      </c>
      <c r="B34" s="28" t="s">
        <v>387</v>
      </c>
      <c r="C34" s="545">
        <f>SUM(C32:C33)</f>
        <v>8343150.340504704</v>
      </c>
      <c r="D34" s="14"/>
      <c r="E34" s="19"/>
      <c r="F34" s="14"/>
    </row>
    <row r="35" spans="1:6" x14ac:dyDescent="0.2">
      <c r="A35" s="28">
        <f t="shared" si="2"/>
        <v>25</v>
      </c>
      <c r="B35" s="28" t="s">
        <v>383</v>
      </c>
      <c r="C35" s="329">
        <f>'BDJ-6 Classification of Costs'!D12</f>
        <v>26884580.480796691</v>
      </c>
      <c r="D35" s="262"/>
      <c r="E35" s="496"/>
      <c r="F35" s="19"/>
    </row>
    <row r="36" spans="1:6" x14ac:dyDescent="0.2">
      <c r="A36" s="28">
        <f t="shared" si="2"/>
        <v>26</v>
      </c>
      <c r="B36" s="28" t="s">
        <v>384</v>
      </c>
      <c r="C36" s="329">
        <f>'BDJ-6 Classification of Costs'!E12</f>
        <v>33724417.477119975</v>
      </c>
      <c r="D36" s="262"/>
      <c r="E36" s="43"/>
      <c r="F36" s="19"/>
    </row>
    <row r="37" spans="1:6" x14ac:dyDescent="0.2">
      <c r="A37" s="28">
        <f t="shared" si="2"/>
        <v>27</v>
      </c>
      <c r="B37" s="458" t="s">
        <v>279</v>
      </c>
      <c r="C37" s="551">
        <f>SUM(C35:C36)</f>
        <v>60608997.957916662</v>
      </c>
      <c r="D37" s="14"/>
      <c r="E37" s="43"/>
      <c r="F37" s="19"/>
    </row>
    <row r="38" spans="1:6" ht="10.8" thickBot="1" x14ac:dyDescent="0.25">
      <c r="A38" s="28">
        <f t="shared" si="2"/>
        <v>28</v>
      </c>
      <c r="B38" s="28" t="s">
        <v>311</v>
      </c>
      <c r="C38" s="541">
        <f>C34/C37</f>
        <v>0.13765530897405198</v>
      </c>
      <c r="D38" s="14"/>
      <c r="E38" s="19"/>
      <c r="F38" s="19"/>
    </row>
    <row r="39" spans="1:6" ht="10.8" thickTop="1" x14ac:dyDescent="0.2">
      <c r="A39" s="28">
        <f t="shared" si="2"/>
        <v>29</v>
      </c>
      <c r="B39" s="28" t="s">
        <v>282</v>
      </c>
      <c r="C39" s="542">
        <f>C38/12</f>
        <v>1.1471275747837665E-2</v>
      </c>
      <c r="D39" s="552"/>
      <c r="E39" s="19"/>
      <c r="F39" s="19"/>
    </row>
    <row r="40" spans="1:6" x14ac:dyDescent="0.2">
      <c r="A40" s="28">
        <f t="shared" si="2"/>
        <v>30</v>
      </c>
      <c r="B40" s="28" t="s">
        <v>284</v>
      </c>
      <c r="C40" s="329">
        <f>C38*E15</f>
        <v>0</v>
      </c>
      <c r="D40" s="553"/>
      <c r="E40" s="19"/>
      <c r="F40" s="19"/>
    </row>
    <row r="41" spans="1:6" x14ac:dyDescent="0.2">
      <c r="A41" s="28">
        <f t="shared" si="2"/>
        <v>31</v>
      </c>
      <c r="B41" s="28" t="s">
        <v>285</v>
      </c>
      <c r="C41" s="329">
        <f>C40/12</f>
        <v>0</v>
      </c>
      <c r="D41" s="14"/>
      <c r="E41" s="19"/>
      <c r="F41" s="19"/>
    </row>
    <row r="42" spans="1:6" x14ac:dyDescent="0.2">
      <c r="A42" s="28">
        <f t="shared" si="2"/>
        <v>32</v>
      </c>
      <c r="C42" s="329"/>
      <c r="D42" s="14"/>
      <c r="E42" s="19"/>
      <c r="F42" s="19"/>
    </row>
    <row r="43" spans="1:6" x14ac:dyDescent="0.2">
      <c r="A43" s="28">
        <f t="shared" si="2"/>
        <v>33</v>
      </c>
      <c r="B43" s="290" t="s">
        <v>611</v>
      </c>
      <c r="C43" s="545">
        <f>SUM(C8)*C38</f>
        <v>0</v>
      </c>
      <c r="D43" s="328"/>
      <c r="E43" s="19"/>
      <c r="F43" s="19"/>
    </row>
    <row r="44" spans="1:6" ht="10.8" thickBot="1" x14ac:dyDescent="0.25">
      <c r="A44" s="28">
        <f t="shared" si="2"/>
        <v>34</v>
      </c>
      <c r="B44" s="290" t="s">
        <v>612</v>
      </c>
      <c r="C44" s="546">
        <f>SUM(C12)*C38</f>
        <v>0</v>
      </c>
      <c r="D44" s="14"/>
      <c r="E44" s="19"/>
      <c r="F44" s="19"/>
    </row>
    <row r="45" spans="1:6" ht="10.8" thickTop="1" x14ac:dyDescent="0.2">
      <c r="B45" s="19"/>
      <c r="C45" s="19"/>
      <c r="D45" s="14"/>
      <c r="E45" s="19"/>
    </row>
    <row r="46" spans="1:6" x14ac:dyDescent="0.2">
      <c r="B46" s="19"/>
      <c r="C46" s="19"/>
      <c r="D46" s="14"/>
      <c r="E46" s="19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scale="92" orientation="landscape" r:id="rId1"/>
  <headerFooter>
    <oddFooter>&amp;R&amp;F
&amp;A</oddFooter>
  </headerFooter>
  <customProperties>
    <customPr name="_pios_id" r:id="rId2"/>
  </customProperties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27"/>
  <sheetViews>
    <sheetView topLeftCell="B1" zoomScaleNormal="100" zoomScaleSheetLayoutView="100" workbookViewId="0">
      <selection activeCell="D32" sqref="D32"/>
    </sheetView>
  </sheetViews>
  <sheetFormatPr defaultColWidth="9.109375" defaultRowHeight="10.199999999999999" x14ac:dyDescent="0.2"/>
  <cols>
    <col min="1" max="1" width="10.5546875" style="60" bestFit="1" customWidth="1"/>
    <col min="2" max="2" width="37" style="60" bestFit="1" customWidth="1"/>
    <col min="3" max="14" width="8.5546875" style="60" customWidth="1"/>
    <col min="15" max="15" width="10.5546875" style="60" customWidth="1"/>
    <col min="16" max="16" width="10" style="60" customWidth="1"/>
    <col min="17" max="17" width="0.5546875" style="60" customWidth="1"/>
    <col min="18" max="18" width="10.33203125" style="60" customWidth="1"/>
    <col min="19" max="19" width="9.88671875" style="60" bestFit="1" customWidth="1"/>
    <col min="20" max="20" width="0.5546875" style="60" customWidth="1"/>
    <col min="21" max="263" width="13.6640625" style="60" customWidth="1"/>
    <col min="264" max="16384" width="9.109375" style="60"/>
  </cols>
  <sheetData>
    <row r="1" spans="1:20" ht="12" customHeight="1" x14ac:dyDescent="0.3">
      <c r="A1" s="798" t="str">
        <f>'BDJ-6 Base Revenue (Summary)'!A1:I1</f>
        <v>Puget Sound Energy</v>
      </c>
      <c r="B1" s="798">
        <f>'BDJ-6 Base Revenue (Summary)'!A1:I1</f>
        <v>0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</row>
    <row r="2" spans="1:20" ht="12" customHeight="1" x14ac:dyDescent="0.3">
      <c r="A2" s="798" t="str">
        <f>'BDJ-6 Base Revenue (Summary)'!A4:I4</f>
        <v>2022 General Rate Case (GRC)</v>
      </c>
      <c r="B2" s="798">
        <f>'BDJ-6 Base Revenue (Summary)'!A2:I2</f>
        <v>0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</row>
    <row r="3" spans="1:20" ht="12" customHeight="1" x14ac:dyDescent="0.3">
      <c r="A3" s="798" t="s">
        <v>630</v>
      </c>
      <c r="B3" s="798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</row>
    <row r="4" spans="1:20" ht="12" customHeight="1" x14ac:dyDescent="0.3">
      <c r="A4" s="798" t="str">
        <f>'BDJ-6 Base Revenue (Summary)'!A5:I5</f>
        <v>Test Year Ending June 30, 2021</v>
      </c>
      <c r="B4" s="798">
        <f>'BDJ-6 Base Revenue (Summary)'!A3:I3</f>
        <v>0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</row>
    <row r="5" spans="1:20" ht="12" customHeight="1" x14ac:dyDescent="0.3">
      <c r="A5" s="798"/>
      <c r="B5" s="798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</row>
    <row r="7" spans="1:20" ht="10.8" thickBot="1" x14ac:dyDescent="0.25"/>
    <row r="8" spans="1:20" ht="41.4" thickBot="1" x14ac:dyDescent="0.25">
      <c r="A8" s="554" t="s">
        <v>185</v>
      </c>
      <c r="B8" s="555" t="s">
        <v>186</v>
      </c>
      <c r="C8" s="556">
        <v>44013</v>
      </c>
      <c r="D8" s="556">
        <v>43313</v>
      </c>
      <c r="E8" s="556">
        <v>43344</v>
      </c>
      <c r="F8" s="556">
        <v>43374</v>
      </c>
      <c r="G8" s="556">
        <v>43405</v>
      </c>
      <c r="H8" s="556">
        <v>43435</v>
      </c>
      <c r="I8" s="556">
        <v>44197</v>
      </c>
      <c r="J8" s="556">
        <v>44228</v>
      </c>
      <c r="K8" s="556">
        <v>44256</v>
      </c>
      <c r="L8" s="556">
        <v>44287</v>
      </c>
      <c r="M8" s="556">
        <v>44317</v>
      </c>
      <c r="N8" s="556">
        <v>44348</v>
      </c>
      <c r="O8" s="557" t="s">
        <v>868</v>
      </c>
      <c r="P8" s="558" t="s">
        <v>542</v>
      </c>
      <c r="Q8" s="61"/>
      <c r="R8" s="559" t="s">
        <v>515</v>
      </c>
      <c r="S8" s="560" t="s">
        <v>261</v>
      </c>
    </row>
    <row r="9" spans="1:20" x14ac:dyDescent="0.2">
      <c r="A9" s="561" t="s">
        <v>187</v>
      </c>
      <c r="B9" s="61" t="s">
        <v>188</v>
      </c>
      <c r="C9" s="62">
        <v>10</v>
      </c>
      <c r="D9" s="62">
        <v>10</v>
      </c>
      <c r="E9" s="62">
        <v>10</v>
      </c>
      <c r="F9" s="62">
        <v>10</v>
      </c>
      <c r="G9" s="62">
        <v>10</v>
      </c>
      <c r="H9" s="62">
        <v>10</v>
      </c>
      <c r="I9" s="62">
        <v>10</v>
      </c>
      <c r="J9" s="62">
        <v>10</v>
      </c>
      <c r="K9" s="62">
        <v>10</v>
      </c>
      <c r="L9" s="62">
        <v>10</v>
      </c>
      <c r="M9" s="62">
        <v>10</v>
      </c>
      <c r="N9" s="62">
        <v>10</v>
      </c>
      <c r="O9" s="562">
        <f>SUM(C9:N9)</f>
        <v>120</v>
      </c>
      <c r="P9" s="563">
        <f>AVERAGE(C9:N9)</f>
        <v>10</v>
      </c>
      <c r="Q9" s="62"/>
      <c r="R9" s="155">
        <f>P9/P$22</f>
        <v>1.1657955583189226E-3</v>
      </c>
      <c r="S9" s="575">
        <f>R9*'BDJ-6 Classification of Costs'!I$45</f>
        <v>1305.0412156050174</v>
      </c>
      <c r="T9" s="564"/>
    </row>
    <row r="10" spans="1:20" x14ac:dyDescent="0.2">
      <c r="A10" s="561" t="s">
        <v>187</v>
      </c>
      <c r="B10" s="61" t="s">
        <v>189</v>
      </c>
      <c r="C10" s="62">
        <v>1027</v>
      </c>
      <c r="D10" s="62">
        <v>1037</v>
      </c>
      <c r="E10" s="62">
        <v>1048</v>
      </c>
      <c r="F10" s="62">
        <v>1072</v>
      </c>
      <c r="G10" s="62">
        <v>1083</v>
      </c>
      <c r="H10" s="62">
        <v>1107</v>
      </c>
      <c r="I10" s="62">
        <v>1122</v>
      </c>
      <c r="J10" s="62">
        <v>1130</v>
      </c>
      <c r="K10" s="62">
        <v>1140</v>
      </c>
      <c r="L10" s="62">
        <v>1144</v>
      </c>
      <c r="M10" s="62">
        <v>1152</v>
      </c>
      <c r="N10" s="62">
        <v>1154</v>
      </c>
      <c r="O10" s="562">
        <f t="shared" ref="O10:O19" si="0">SUM(C10:N10)</f>
        <v>13216</v>
      </c>
      <c r="P10" s="563">
        <f t="shared" ref="P10:P16" si="1">AVERAGE(C10:N10)</f>
        <v>1101.3333333333333</v>
      </c>
      <c r="Q10" s="62"/>
      <c r="R10" s="155">
        <f t="shared" ref="R10:R17" si="2">P10/P$22</f>
        <v>0.12839295082285734</v>
      </c>
      <c r="S10" s="575">
        <f>R10*'BDJ-6 Classification of Costs'!I$45</f>
        <v>143728.53921196592</v>
      </c>
      <c r="T10" s="564"/>
    </row>
    <row r="11" spans="1:20" x14ac:dyDescent="0.2">
      <c r="A11" s="561" t="s">
        <v>187</v>
      </c>
      <c r="B11" s="61" t="s">
        <v>190</v>
      </c>
      <c r="C11" s="62">
        <v>2325</v>
      </c>
      <c r="D11" s="62">
        <v>2321</v>
      </c>
      <c r="E11" s="62">
        <v>2318</v>
      </c>
      <c r="F11" s="62">
        <v>2316</v>
      </c>
      <c r="G11" s="62">
        <v>2315</v>
      </c>
      <c r="H11" s="62">
        <v>2308</v>
      </c>
      <c r="I11" s="62">
        <v>2304</v>
      </c>
      <c r="J11" s="62">
        <v>2305</v>
      </c>
      <c r="K11" s="62">
        <v>2304</v>
      </c>
      <c r="L11" s="62">
        <v>2305</v>
      </c>
      <c r="M11" s="62">
        <v>2305</v>
      </c>
      <c r="N11" s="62">
        <v>2305</v>
      </c>
      <c r="O11" s="562">
        <f t="shared" si="0"/>
        <v>27731</v>
      </c>
      <c r="P11" s="563">
        <f t="shared" si="1"/>
        <v>2310.9166666666665</v>
      </c>
      <c r="Q11" s="62"/>
      <c r="R11" s="155">
        <f t="shared" si="2"/>
        <v>0.26940563856451705</v>
      </c>
      <c r="S11" s="575">
        <f>R11*'BDJ-6 Classification of Costs'!I$45</f>
        <v>301584.14958285616</v>
      </c>
      <c r="T11" s="564"/>
    </row>
    <row r="12" spans="1:20" x14ac:dyDescent="0.2">
      <c r="A12" s="561" t="s">
        <v>187</v>
      </c>
      <c r="B12" s="61" t="s">
        <v>191</v>
      </c>
      <c r="C12" s="62">
        <v>3044</v>
      </c>
      <c r="D12" s="62">
        <v>3053</v>
      </c>
      <c r="E12" s="62">
        <v>3066</v>
      </c>
      <c r="F12" s="62">
        <v>3078</v>
      </c>
      <c r="G12" s="62">
        <v>3083</v>
      </c>
      <c r="H12" s="62">
        <v>3089</v>
      </c>
      <c r="I12" s="62">
        <v>3098</v>
      </c>
      <c r="J12" s="62">
        <v>3099</v>
      </c>
      <c r="K12" s="62">
        <v>3108</v>
      </c>
      <c r="L12" s="62">
        <v>3118</v>
      </c>
      <c r="M12" s="62">
        <v>3129</v>
      </c>
      <c r="N12" s="62">
        <v>3135</v>
      </c>
      <c r="O12" s="562">
        <f t="shared" si="0"/>
        <v>37100</v>
      </c>
      <c r="P12" s="563">
        <f t="shared" si="1"/>
        <v>3091.6666666666665</v>
      </c>
      <c r="Q12" s="62"/>
      <c r="R12" s="155">
        <f t="shared" si="2"/>
        <v>0.36042512678026695</v>
      </c>
      <c r="S12" s="575">
        <f>R12*'BDJ-6 Classification of Costs'!I$45</f>
        <v>403475.24249121791</v>
      </c>
      <c r="T12" s="564"/>
    </row>
    <row r="13" spans="1:20" x14ac:dyDescent="0.2">
      <c r="A13" s="561" t="s">
        <v>187</v>
      </c>
      <c r="B13" s="61" t="s">
        <v>192</v>
      </c>
      <c r="C13" s="62">
        <v>48</v>
      </c>
      <c r="D13" s="62">
        <v>47</v>
      </c>
      <c r="E13" s="62">
        <v>47</v>
      </c>
      <c r="F13" s="62">
        <v>47</v>
      </c>
      <c r="G13" s="62">
        <v>48</v>
      </c>
      <c r="H13" s="62">
        <v>48</v>
      </c>
      <c r="I13" s="62">
        <v>48</v>
      </c>
      <c r="J13" s="62">
        <v>48</v>
      </c>
      <c r="K13" s="62">
        <v>48</v>
      </c>
      <c r="L13" s="62">
        <v>48</v>
      </c>
      <c r="M13" s="62">
        <v>48</v>
      </c>
      <c r="N13" s="62">
        <v>50</v>
      </c>
      <c r="O13" s="562">
        <f t="shared" si="0"/>
        <v>575</v>
      </c>
      <c r="P13" s="563">
        <f t="shared" si="1"/>
        <v>47.916666666666664</v>
      </c>
      <c r="Q13" s="62"/>
      <c r="R13" s="155">
        <f t="shared" si="2"/>
        <v>5.5861037169448379E-3</v>
      </c>
      <c r="S13" s="575">
        <f>R13*'BDJ-6 Classification of Costs'!I$45</f>
        <v>6253.3224914407083</v>
      </c>
      <c r="T13" s="564"/>
    </row>
    <row r="14" spans="1:20" x14ac:dyDescent="0.2">
      <c r="A14" s="561" t="s">
        <v>187</v>
      </c>
      <c r="B14" s="61" t="s">
        <v>193</v>
      </c>
      <c r="C14" s="62">
        <v>820</v>
      </c>
      <c r="D14" s="62">
        <v>815</v>
      </c>
      <c r="E14" s="62">
        <v>833</v>
      </c>
      <c r="F14" s="62">
        <v>835</v>
      </c>
      <c r="G14" s="62">
        <v>835</v>
      </c>
      <c r="H14" s="62">
        <v>835</v>
      </c>
      <c r="I14" s="62">
        <v>836</v>
      </c>
      <c r="J14" s="62">
        <v>837</v>
      </c>
      <c r="K14" s="62">
        <v>837</v>
      </c>
      <c r="L14" s="62">
        <v>829</v>
      </c>
      <c r="M14" s="62">
        <v>842</v>
      </c>
      <c r="N14" s="62">
        <v>828</v>
      </c>
      <c r="O14" s="562">
        <f t="shared" si="0"/>
        <v>9982</v>
      </c>
      <c r="P14" s="563">
        <f t="shared" si="1"/>
        <v>831.83333333333337</v>
      </c>
      <c r="Q14" s="62"/>
      <c r="R14" s="155">
        <f t="shared" si="2"/>
        <v>9.6974760526162398E-2</v>
      </c>
      <c r="S14" s="575">
        <f>R14*'BDJ-6 Classification of Costs'!I$45</f>
        <v>108557.67845141071</v>
      </c>
      <c r="T14" s="564"/>
    </row>
    <row r="15" spans="1:20" x14ac:dyDescent="0.2">
      <c r="A15" s="561" t="s">
        <v>187</v>
      </c>
      <c r="B15" s="61" t="s">
        <v>194</v>
      </c>
      <c r="C15" s="62">
        <v>847</v>
      </c>
      <c r="D15" s="62">
        <v>849</v>
      </c>
      <c r="E15" s="62">
        <v>855</v>
      </c>
      <c r="F15" s="62">
        <v>839</v>
      </c>
      <c r="G15" s="62">
        <v>845</v>
      </c>
      <c r="H15" s="62">
        <v>836</v>
      </c>
      <c r="I15" s="62">
        <v>848</v>
      </c>
      <c r="J15" s="62">
        <v>840</v>
      </c>
      <c r="K15" s="62">
        <v>830</v>
      </c>
      <c r="L15" s="62">
        <v>842</v>
      </c>
      <c r="M15" s="62">
        <v>863</v>
      </c>
      <c r="N15" s="62">
        <v>859</v>
      </c>
      <c r="O15" s="562">
        <f t="shared" si="0"/>
        <v>10153</v>
      </c>
      <c r="P15" s="563">
        <f t="shared" si="1"/>
        <v>846.08333333333337</v>
      </c>
      <c r="Q15" s="62"/>
      <c r="R15" s="155">
        <f t="shared" si="2"/>
        <v>9.8636019196766858E-2</v>
      </c>
      <c r="S15" s="575">
        <f>R15*'BDJ-6 Classification of Costs'!I$45</f>
        <v>110417.36218364786</v>
      </c>
      <c r="T15" s="564"/>
    </row>
    <row r="16" spans="1:20" x14ac:dyDescent="0.2">
      <c r="A16" s="561"/>
      <c r="B16" s="565" t="s">
        <v>264</v>
      </c>
      <c r="C16" s="562">
        <f t="shared" ref="C16:O16" si="3">SUM(C14:C15)</f>
        <v>1667</v>
      </c>
      <c r="D16" s="562">
        <f t="shared" si="3"/>
        <v>1664</v>
      </c>
      <c r="E16" s="562">
        <f t="shared" si="3"/>
        <v>1688</v>
      </c>
      <c r="F16" s="562">
        <f t="shared" si="3"/>
        <v>1674</v>
      </c>
      <c r="G16" s="562">
        <f t="shared" si="3"/>
        <v>1680</v>
      </c>
      <c r="H16" s="562">
        <f t="shared" si="3"/>
        <v>1671</v>
      </c>
      <c r="I16" s="562">
        <f t="shared" si="3"/>
        <v>1684</v>
      </c>
      <c r="J16" s="562">
        <f t="shared" si="3"/>
        <v>1677</v>
      </c>
      <c r="K16" s="562">
        <f t="shared" si="3"/>
        <v>1667</v>
      </c>
      <c r="L16" s="562">
        <f t="shared" si="3"/>
        <v>1671</v>
      </c>
      <c r="M16" s="562">
        <f t="shared" si="3"/>
        <v>1705</v>
      </c>
      <c r="N16" s="562">
        <f t="shared" si="3"/>
        <v>1687</v>
      </c>
      <c r="O16" s="562">
        <f t="shared" si="3"/>
        <v>20135</v>
      </c>
      <c r="P16" s="563">
        <f t="shared" si="1"/>
        <v>1677.9166666666667</v>
      </c>
      <c r="Q16" s="62"/>
      <c r="R16" s="566">
        <f t="shared" si="2"/>
        <v>0.19561077972292926</v>
      </c>
      <c r="S16" s="567">
        <f>R16*'BDJ-6 Classification of Costs'!I$45</f>
        <v>218975.04063505857</v>
      </c>
      <c r="T16" s="564"/>
    </row>
    <row r="17" spans="1:20" x14ac:dyDescent="0.2">
      <c r="A17" s="561" t="s">
        <v>187</v>
      </c>
      <c r="B17" s="61" t="s">
        <v>195</v>
      </c>
      <c r="C17" s="62">
        <v>105</v>
      </c>
      <c r="D17" s="62">
        <v>105</v>
      </c>
      <c r="E17" s="62">
        <v>105</v>
      </c>
      <c r="F17" s="62">
        <v>105</v>
      </c>
      <c r="G17" s="62">
        <v>105</v>
      </c>
      <c r="H17" s="62">
        <v>105</v>
      </c>
      <c r="I17" s="62">
        <v>105</v>
      </c>
      <c r="J17" s="62">
        <v>104</v>
      </c>
      <c r="K17" s="62">
        <v>104</v>
      </c>
      <c r="L17" s="62">
        <v>104</v>
      </c>
      <c r="M17" s="62">
        <v>104</v>
      </c>
      <c r="N17" s="62">
        <v>102</v>
      </c>
      <c r="O17" s="562">
        <f t="shared" si="0"/>
        <v>1253</v>
      </c>
      <c r="P17" s="563">
        <f>AVERAGE(C17:N17)</f>
        <v>104.41666666666667</v>
      </c>
      <c r="Q17" s="62"/>
      <c r="R17" s="155">
        <f t="shared" si="2"/>
        <v>1.2172848621446752E-2</v>
      </c>
      <c r="S17" s="575">
        <f>R17*'BDJ-6 Classification of Costs'!I$45</f>
        <v>13626.805359609058</v>
      </c>
      <c r="T17" s="564"/>
    </row>
    <row r="18" spans="1:20" x14ac:dyDescent="0.2">
      <c r="A18" s="561" t="s">
        <v>187</v>
      </c>
      <c r="B18" s="61" t="s">
        <v>196</v>
      </c>
      <c r="C18" s="62">
        <v>305</v>
      </c>
      <c r="D18" s="62">
        <v>296</v>
      </c>
      <c r="E18" s="62">
        <v>303</v>
      </c>
      <c r="F18" s="62">
        <v>307</v>
      </c>
      <c r="G18" s="62">
        <v>307</v>
      </c>
      <c r="H18" s="62">
        <v>304</v>
      </c>
      <c r="I18" s="62">
        <v>304</v>
      </c>
      <c r="J18" s="62">
        <v>305</v>
      </c>
      <c r="K18" s="62">
        <v>307</v>
      </c>
      <c r="L18" s="62">
        <v>309</v>
      </c>
      <c r="M18" s="62">
        <v>306</v>
      </c>
      <c r="N18" s="62">
        <v>311</v>
      </c>
      <c r="O18" s="562">
        <f t="shared" si="0"/>
        <v>3664</v>
      </c>
      <c r="P18" s="563">
        <f>AVERAGE(C18:N18)</f>
        <v>305.33333333333331</v>
      </c>
      <c r="Q18" s="62"/>
      <c r="R18" s="155">
        <f>P18/P$22</f>
        <v>3.5595624380671105E-2</v>
      </c>
      <c r="S18" s="575">
        <f>R18*'BDJ-6 Classification of Costs'!I$45</f>
        <v>39847.258449806533</v>
      </c>
      <c r="T18" s="564"/>
    </row>
    <row r="19" spans="1:20" x14ac:dyDescent="0.2">
      <c r="A19" s="561" t="s">
        <v>187</v>
      </c>
      <c r="B19" s="61" t="s">
        <v>197</v>
      </c>
      <c r="C19" s="62">
        <v>31</v>
      </c>
      <c r="D19" s="62">
        <v>33</v>
      </c>
      <c r="E19" s="62">
        <v>32</v>
      </c>
      <c r="F19" s="62">
        <v>34</v>
      </c>
      <c r="G19" s="62">
        <v>34</v>
      </c>
      <c r="H19" s="62">
        <v>31</v>
      </c>
      <c r="I19" s="62">
        <v>31</v>
      </c>
      <c r="J19" s="62">
        <v>32</v>
      </c>
      <c r="K19" s="62">
        <v>34</v>
      </c>
      <c r="L19" s="62">
        <v>34</v>
      </c>
      <c r="M19" s="62">
        <v>35</v>
      </c>
      <c r="N19" s="62">
        <v>32</v>
      </c>
      <c r="O19" s="562">
        <f t="shared" si="0"/>
        <v>393</v>
      </c>
      <c r="P19" s="563">
        <f>AVERAGE(C19:N19)</f>
        <v>32.75</v>
      </c>
      <c r="Q19" s="62"/>
      <c r="R19" s="155">
        <f>P19/P$22</f>
        <v>3.8179804534944719E-3</v>
      </c>
      <c r="S19" s="575">
        <f>R19*'BDJ-6 Classification of Costs'!I$45</f>
        <v>4274.009981106432</v>
      </c>
      <c r="T19" s="564"/>
    </row>
    <row r="20" spans="1:20" x14ac:dyDescent="0.2">
      <c r="A20" s="561"/>
      <c r="B20" s="565" t="s">
        <v>263</v>
      </c>
      <c r="C20" s="562">
        <f>SUM(C18:C19)</f>
        <v>336</v>
      </c>
      <c r="D20" s="562">
        <f t="shared" ref="D20:O20" si="4">SUM(D18:D19)</f>
        <v>329</v>
      </c>
      <c r="E20" s="562">
        <f t="shared" si="4"/>
        <v>335</v>
      </c>
      <c r="F20" s="562">
        <f t="shared" si="4"/>
        <v>341</v>
      </c>
      <c r="G20" s="562">
        <f t="shared" si="4"/>
        <v>341</v>
      </c>
      <c r="H20" s="562">
        <f t="shared" si="4"/>
        <v>335</v>
      </c>
      <c r="I20" s="562">
        <f t="shared" si="4"/>
        <v>335</v>
      </c>
      <c r="J20" s="562">
        <f t="shared" si="4"/>
        <v>337</v>
      </c>
      <c r="K20" s="562">
        <f t="shared" si="4"/>
        <v>341</v>
      </c>
      <c r="L20" s="562">
        <f t="shared" si="4"/>
        <v>343</v>
      </c>
      <c r="M20" s="562">
        <f t="shared" si="4"/>
        <v>341</v>
      </c>
      <c r="N20" s="562">
        <f t="shared" si="4"/>
        <v>343</v>
      </c>
      <c r="O20" s="562">
        <f t="shared" si="4"/>
        <v>4057</v>
      </c>
      <c r="P20" s="563">
        <f>SUM(P18:P19)</f>
        <v>338.08333333333331</v>
      </c>
      <c r="Q20" s="62"/>
      <c r="R20" s="566">
        <f>P20/P$22</f>
        <v>3.9413604834165575E-2</v>
      </c>
      <c r="S20" s="567">
        <f>R20*'BDJ-6 Classification of Costs'!I$45</f>
        <v>44121.268430912962</v>
      </c>
      <c r="T20" s="564"/>
    </row>
    <row r="21" spans="1:20" x14ac:dyDescent="0.2">
      <c r="A21" s="561" t="s">
        <v>187</v>
      </c>
      <c r="B21" s="565" t="s">
        <v>198</v>
      </c>
      <c r="C21" s="562">
        <f>SUM(C9:C13,C16,C17,C20)</f>
        <v>8562</v>
      </c>
      <c r="D21" s="562">
        <f t="shared" ref="D21:O21" si="5">SUM(D9:D13,D16,D17,D20)</f>
        <v>8566</v>
      </c>
      <c r="E21" s="562">
        <f t="shared" si="5"/>
        <v>8617</v>
      </c>
      <c r="F21" s="562">
        <f t="shared" si="5"/>
        <v>8643</v>
      </c>
      <c r="G21" s="562">
        <f t="shared" si="5"/>
        <v>8665</v>
      </c>
      <c r="H21" s="562">
        <f t="shared" si="5"/>
        <v>8673</v>
      </c>
      <c r="I21" s="562">
        <f t="shared" si="5"/>
        <v>8706</v>
      </c>
      <c r="J21" s="562">
        <f t="shared" si="5"/>
        <v>8710</v>
      </c>
      <c r="K21" s="562">
        <f t="shared" si="5"/>
        <v>8722</v>
      </c>
      <c r="L21" s="562">
        <f t="shared" si="5"/>
        <v>8743</v>
      </c>
      <c r="M21" s="562">
        <f t="shared" si="5"/>
        <v>8794</v>
      </c>
      <c r="N21" s="562">
        <f t="shared" si="5"/>
        <v>8786</v>
      </c>
      <c r="O21" s="562">
        <f t="shared" si="5"/>
        <v>104187</v>
      </c>
      <c r="P21" s="563">
        <f>SUM(P9:P13,P16,P17,P20)</f>
        <v>8682.25</v>
      </c>
      <c r="Q21" s="62"/>
      <c r="R21" s="566">
        <f>SUM(R9:R13,R16,R17,R20)</f>
        <v>1.0121728486214467</v>
      </c>
      <c r="S21" s="567">
        <f>SUM(S9:S13,S16,S17,S20)</f>
        <v>1133069.409418666</v>
      </c>
    </row>
    <row r="22" spans="1:20" ht="10.8" thickBot="1" x14ac:dyDescent="0.25">
      <c r="A22" s="568" t="s">
        <v>199</v>
      </c>
      <c r="B22" s="569" t="s">
        <v>265</v>
      </c>
      <c r="C22" s="570">
        <f>SUM(C9:C13,C16,C20)</f>
        <v>8457</v>
      </c>
      <c r="D22" s="570">
        <f t="shared" ref="D22:O22" si="6">SUM(D9:D13,D16,D20)</f>
        <v>8461</v>
      </c>
      <c r="E22" s="570">
        <f t="shared" si="6"/>
        <v>8512</v>
      </c>
      <c r="F22" s="570">
        <f t="shared" si="6"/>
        <v>8538</v>
      </c>
      <c r="G22" s="570">
        <f t="shared" si="6"/>
        <v>8560</v>
      </c>
      <c r="H22" s="570">
        <f t="shared" si="6"/>
        <v>8568</v>
      </c>
      <c r="I22" s="570">
        <f t="shared" si="6"/>
        <v>8601</v>
      </c>
      <c r="J22" s="570">
        <f t="shared" si="6"/>
        <v>8606</v>
      </c>
      <c r="K22" s="570">
        <f t="shared" si="6"/>
        <v>8618</v>
      </c>
      <c r="L22" s="570">
        <f t="shared" si="6"/>
        <v>8639</v>
      </c>
      <c r="M22" s="570">
        <f t="shared" si="6"/>
        <v>8690</v>
      </c>
      <c r="N22" s="570">
        <f t="shared" si="6"/>
        <v>8684</v>
      </c>
      <c r="O22" s="570">
        <f t="shared" si="6"/>
        <v>102934</v>
      </c>
      <c r="P22" s="571">
        <f>SUM(P9:P13,P16,P20)</f>
        <v>8577.8333333333339</v>
      </c>
      <c r="Q22" s="62"/>
      <c r="R22" s="572">
        <f>SUM(R9:R13,R16,R20)</f>
        <v>0.99999999999999989</v>
      </c>
      <c r="S22" s="573">
        <f>SUM(S9:S13,S16,S20)</f>
        <v>1119442.6040590571</v>
      </c>
    </row>
    <row r="27" spans="1:20" x14ac:dyDescent="0.2"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</row>
  </sheetData>
  <mergeCells count="5">
    <mergeCell ref="A1:P1"/>
    <mergeCell ref="A2:P2"/>
    <mergeCell ref="A4:P4"/>
    <mergeCell ref="A5:P5"/>
    <mergeCell ref="A3:P3"/>
  </mergeCells>
  <pageMargins left="0.75" right="0.75" top="1" bottom="1" header="0.5" footer="0.5"/>
  <pageSetup scale="62" orientation="landscape" horizontalDpi="300" verticalDpi="300" r:id="rId1"/>
  <headerFooter alignWithMargins="0">
    <oddFooter>&amp;R&amp;F
&amp;A</oddFooter>
  </headerFooter>
  <customProperties>
    <customPr name="_pios_id" r:id="rId2"/>
  </customPropertie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W46"/>
  <sheetViews>
    <sheetView zoomScaleNormal="100" workbookViewId="0">
      <pane xSplit="4" ySplit="8" topLeftCell="F9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30.33203125" defaultRowHeight="10.199999999999999" x14ac:dyDescent="0.2"/>
  <cols>
    <col min="1" max="1" width="6.6640625" style="60" bestFit="1" customWidth="1"/>
    <col min="2" max="2" width="8.88671875" style="60" customWidth="1"/>
    <col min="3" max="3" width="28.44140625" style="60" bestFit="1" customWidth="1"/>
    <col min="4" max="4" width="14.44140625" style="79" bestFit="1" customWidth="1"/>
    <col min="5" max="21" width="9.88671875" style="51" customWidth="1"/>
    <col min="22" max="23" width="10" style="51" bestFit="1" customWidth="1"/>
    <col min="24" max="16384" width="30.33203125" style="60"/>
  </cols>
  <sheetData>
    <row r="1" spans="1:23" ht="12" customHeight="1" x14ac:dyDescent="0.2">
      <c r="A1" s="736" t="str">
        <f>'BDJ-6 Base Revenue (Summary)'!A1:I1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</row>
    <row r="2" spans="1:23" ht="12" customHeight="1" x14ac:dyDescent="0.2">
      <c r="A2" s="736" t="s">
        <v>501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</row>
    <row r="3" spans="1:23" ht="12" customHeight="1" x14ac:dyDescent="0.2">
      <c r="A3" s="736" t="str">
        <f>'BDJ-6 Base Revenue (Summary)'!A4:I4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</row>
    <row r="4" spans="1:23" ht="12" customHeight="1" x14ac:dyDescent="0.2">
      <c r="A4" s="736" t="str">
        <f>'BDJ-6 Base Revenue (Summary)'!A5:I5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</row>
    <row r="5" spans="1:23" x14ac:dyDescent="0.2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</row>
    <row r="6" spans="1:23" ht="14.4" x14ac:dyDescent="0.3">
      <c r="A6" s="19"/>
      <c r="B6" s="19"/>
      <c r="C6" s="19"/>
      <c r="D6" s="14"/>
      <c r="E6" s="802" t="s">
        <v>943</v>
      </c>
      <c r="F6" s="803"/>
      <c r="G6" s="14" t="s">
        <v>647</v>
      </c>
      <c r="H6" s="14" t="s">
        <v>647</v>
      </c>
      <c r="I6" s="14" t="s">
        <v>647</v>
      </c>
      <c r="J6" s="14" t="s">
        <v>647</v>
      </c>
      <c r="K6" s="14" t="s">
        <v>647</v>
      </c>
      <c r="L6" s="14" t="s">
        <v>647</v>
      </c>
      <c r="M6" s="14" t="s">
        <v>647</v>
      </c>
      <c r="N6" s="14" t="s">
        <v>647</v>
      </c>
      <c r="O6" s="14"/>
      <c r="P6" s="14" t="s">
        <v>647</v>
      </c>
      <c r="Q6" s="14" t="s">
        <v>647</v>
      </c>
      <c r="R6" s="14" t="s">
        <v>647</v>
      </c>
      <c r="S6" s="14" t="s">
        <v>647</v>
      </c>
      <c r="T6" s="14"/>
      <c r="U6" s="14" t="s">
        <v>647</v>
      </c>
    </row>
    <row r="7" spans="1:23" ht="21" thickBot="1" x14ac:dyDescent="0.25">
      <c r="A7" s="19"/>
      <c r="B7" s="19"/>
      <c r="C7" s="19"/>
      <c r="D7" s="14"/>
      <c r="E7" s="222" t="s">
        <v>646</v>
      </c>
      <c r="F7" s="222" t="s">
        <v>646</v>
      </c>
      <c r="G7" s="14" t="s">
        <v>585</v>
      </c>
      <c r="H7" s="14" t="s">
        <v>585</v>
      </c>
      <c r="I7" s="14" t="s">
        <v>585</v>
      </c>
      <c r="J7" s="14" t="s">
        <v>585</v>
      </c>
      <c r="K7" s="14" t="s">
        <v>585</v>
      </c>
      <c r="L7" s="14" t="s">
        <v>585</v>
      </c>
      <c r="M7" s="14" t="s">
        <v>585</v>
      </c>
      <c r="N7" s="14" t="s">
        <v>585</v>
      </c>
      <c r="O7" s="14"/>
      <c r="P7" s="14" t="s">
        <v>585</v>
      </c>
      <c r="Q7" s="14" t="s">
        <v>585</v>
      </c>
      <c r="R7" s="14" t="s">
        <v>585</v>
      </c>
      <c r="S7" s="14" t="s">
        <v>585</v>
      </c>
      <c r="T7" s="14"/>
      <c r="U7" s="14" t="s">
        <v>585</v>
      </c>
    </row>
    <row r="8" spans="1:23" s="66" customFormat="1" ht="112.2" x14ac:dyDescent="0.2">
      <c r="A8" s="63" t="s">
        <v>1</v>
      </c>
      <c r="B8" s="63" t="s">
        <v>206</v>
      </c>
      <c r="C8" s="64" t="s">
        <v>53</v>
      </c>
      <c r="D8" s="65" t="s">
        <v>207</v>
      </c>
      <c r="E8" s="64" t="s">
        <v>982</v>
      </c>
      <c r="F8" s="64" t="s">
        <v>983</v>
      </c>
      <c r="G8" s="64" t="s">
        <v>984</v>
      </c>
      <c r="H8" s="64" t="s">
        <v>985</v>
      </c>
      <c r="I8" s="64" t="s">
        <v>986</v>
      </c>
      <c r="J8" s="63" t="s">
        <v>987</v>
      </c>
      <c r="K8" s="63" t="s">
        <v>988</v>
      </c>
      <c r="L8" s="63" t="s">
        <v>989</v>
      </c>
      <c r="M8" s="63" t="s">
        <v>990</v>
      </c>
      <c r="N8" s="64" t="s">
        <v>991</v>
      </c>
      <c r="O8" s="64" t="s">
        <v>992</v>
      </c>
      <c r="P8" s="64" t="s">
        <v>993</v>
      </c>
      <c r="Q8" s="64" t="s">
        <v>994</v>
      </c>
      <c r="R8" s="64" t="s">
        <v>995</v>
      </c>
      <c r="S8" s="64" t="s">
        <v>996</v>
      </c>
      <c r="T8" s="64" t="s">
        <v>649</v>
      </c>
      <c r="U8" s="64" t="s">
        <v>997</v>
      </c>
      <c r="V8" s="225" t="s">
        <v>946</v>
      </c>
      <c r="W8" s="225" t="s">
        <v>945</v>
      </c>
    </row>
    <row r="9" spans="1:23" ht="14.4" x14ac:dyDescent="0.3">
      <c r="F9" s="799" t="s">
        <v>944</v>
      </c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1"/>
      <c r="V9" s="289"/>
      <c r="W9" s="226"/>
    </row>
    <row r="10" spans="1:23" x14ac:dyDescent="0.2">
      <c r="A10" s="51">
        <v>1</v>
      </c>
      <c r="B10" s="51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226"/>
      <c r="W10" s="226"/>
    </row>
    <row r="11" spans="1:23" x14ac:dyDescent="0.2">
      <c r="A11" s="51">
        <f t="shared" ref="A11:A33" si="0">A10+1</f>
        <v>2</v>
      </c>
      <c r="B11" s="51">
        <v>51</v>
      </c>
      <c r="C11" s="68" t="s">
        <v>218</v>
      </c>
      <c r="D11" s="79" t="s">
        <v>221</v>
      </c>
      <c r="E11" s="576">
        <v>1.4200000000000001E-2</v>
      </c>
      <c r="F11" s="576">
        <v>1.4200000000000001E-2</v>
      </c>
      <c r="G11" s="576">
        <v>0</v>
      </c>
      <c r="H11" s="576">
        <v>0</v>
      </c>
      <c r="I11" s="576">
        <v>0</v>
      </c>
      <c r="J11" s="576">
        <v>0</v>
      </c>
      <c r="K11" s="576">
        <v>0</v>
      </c>
      <c r="L11" s="576">
        <v>0</v>
      </c>
      <c r="M11" s="576">
        <v>0</v>
      </c>
      <c r="N11" s="576">
        <v>0</v>
      </c>
      <c r="O11" s="576">
        <v>0</v>
      </c>
      <c r="P11" s="576">
        <v>0</v>
      </c>
      <c r="Q11" s="576">
        <v>0</v>
      </c>
      <c r="R11" s="576">
        <v>0</v>
      </c>
      <c r="S11" s="576">
        <v>0</v>
      </c>
      <c r="T11" s="576">
        <v>0</v>
      </c>
      <c r="U11" s="576">
        <v>0</v>
      </c>
      <c r="V11" s="227">
        <f>SUM(E11)</f>
        <v>1.4200000000000001E-2</v>
      </c>
      <c r="W11" s="227"/>
    </row>
    <row r="12" spans="1:23" x14ac:dyDescent="0.2">
      <c r="A12" s="51">
        <f t="shared" si="0"/>
        <v>3</v>
      </c>
      <c r="B12" s="51">
        <v>51</v>
      </c>
      <c r="C12" s="68" t="s">
        <v>218</v>
      </c>
      <c r="D12" s="80" t="s">
        <v>222</v>
      </c>
      <c r="E12" s="576">
        <v>1.3600000000000001E-3</v>
      </c>
      <c r="F12" s="576">
        <v>1.3600000000000001E-3</v>
      </c>
      <c r="G12" s="576">
        <v>0</v>
      </c>
      <c r="H12" s="576">
        <v>0</v>
      </c>
      <c r="I12" s="576">
        <v>0</v>
      </c>
      <c r="J12" s="576">
        <v>0</v>
      </c>
      <c r="K12" s="576">
        <v>0</v>
      </c>
      <c r="L12" s="576">
        <v>0</v>
      </c>
      <c r="M12" s="576">
        <v>0</v>
      </c>
      <c r="N12" s="576">
        <v>0</v>
      </c>
      <c r="O12" s="576">
        <v>0</v>
      </c>
      <c r="P12" s="576">
        <v>0</v>
      </c>
      <c r="Q12" s="576">
        <v>0</v>
      </c>
      <c r="R12" s="576">
        <v>0</v>
      </c>
      <c r="S12" s="576">
        <v>0</v>
      </c>
      <c r="T12" s="576">
        <v>0</v>
      </c>
      <c r="U12" s="576">
        <v>0</v>
      </c>
      <c r="V12" s="227">
        <f>SUM(E12)</f>
        <v>1.3600000000000001E-3</v>
      </c>
      <c r="W12" s="227"/>
    </row>
    <row r="13" spans="1:23" x14ac:dyDescent="0.2">
      <c r="A13" s="51">
        <f t="shared" si="0"/>
        <v>4</v>
      </c>
      <c r="B13" s="51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26"/>
      <c r="W13" s="226"/>
    </row>
    <row r="14" spans="1:23" x14ac:dyDescent="0.2">
      <c r="A14" s="51">
        <f t="shared" si="0"/>
        <v>5</v>
      </c>
      <c r="B14" s="51">
        <f>B15</f>
        <v>51</v>
      </c>
      <c r="C14" s="68" t="s">
        <v>219</v>
      </c>
      <c r="D14" s="79" t="s">
        <v>929</v>
      </c>
      <c r="E14" s="286">
        <f>E15</f>
        <v>0.36</v>
      </c>
      <c r="F14" s="287">
        <f>F15</f>
        <v>6.2974000000000002E-2</v>
      </c>
      <c r="G14" s="287">
        <f t="shared" ref="G14:W14" si="1">G15</f>
        <v>3.0298995648176466E-3</v>
      </c>
      <c r="H14" s="287">
        <f t="shared" si="1"/>
        <v>2.1304423544318677E-3</v>
      </c>
      <c r="I14" s="287">
        <f t="shared" si="1"/>
        <v>-1.3569999999999999E-3</v>
      </c>
      <c r="J14" s="287">
        <f t="shared" si="1"/>
        <v>3.607E-3</v>
      </c>
      <c r="K14" s="287">
        <f t="shared" si="1"/>
        <v>2.944E-3</v>
      </c>
      <c r="L14" s="287">
        <f t="shared" si="1"/>
        <v>0</v>
      </c>
      <c r="M14" s="287">
        <f t="shared" si="1"/>
        <v>-2.0000000000000002E-5</v>
      </c>
      <c r="N14" s="287">
        <f t="shared" si="1"/>
        <v>9.2899999999999996E-3</v>
      </c>
      <c r="O14" s="287">
        <f t="shared" si="1"/>
        <v>0</v>
      </c>
      <c r="P14" s="287">
        <f t="shared" si="1"/>
        <v>0</v>
      </c>
      <c r="Q14" s="287">
        <f t="shared" si="1"/>
        <v>2.725E-3</v>
      </c>
      <c r="R14" s="287">
        <f t="shared" si="1"/>
        <v>0</v>
      </c>
      <c r="S14" s="287">
        <f t="shared" si="1"/>
        <v>-2.5026385155877801E-3</v>
      </c>
      <c r="T14" s="287">
        <f t="shared" si="1"/>
        <v>0</v>
      </c>
      <c r="U14" s="287">
        <f t="shared" si="1"/>
        <v>0</v>
      </c>
      <c r="V14" s="228">
        <f t="shared" si="1"/>
        <v>0.36</v>
      </c>
      <c r="W14" s="288">
        <f t="shared" si="1"/>
        <v>8.2820703403661725E-2</v>
      </c>
    </row>
    <row r="15" spans="1:23" x14ac:dyDescent="0.2">
      <c r="A15" s="51">
        <f t="shared" si="0"/>
        <v>6</v>
      </c>
      <c r="B15" s="51">
        <v>51</v>
      </c>
      <c r="C15" s="68" t="s">
        <v>219</v>
      </c>
      <c r="D15" s="79" t="s">
        <v>526</v>
      </c>
      <c r="E15" s="286">
        <v>0.36</v>
      </c>
      <c r="F15" s="287">
        <v>6.2974000000000002E-2</v>
      </c>
      <c r="G15" s="287">
        <v>3.0298995648176466E-3</v>
      </c>
      <c r="H15" s="287">
        <v>2.1304423544318677E-3</v>
      </c>
      <c r="I15" s="287">
        <v>-1.3569999999999999E-3</v>
      </c>
      <c r="J15" s="287">
        <v>3.607E-3</v>
      </c>
      <c r="K15" s="287">
        <v>2.944E-3</v>
      </c>
      <c r="L15" s="286">
        <v>0</v>
      </c>
      <c r="M15" s="287">
        <v>-2.0000000000000002E-5</v>
      </c>
      <c r="N15" s="287">
        <v>9.2899999999999996E-3</v>
      </c>
      <c r="O15" s="286">
        <v>0</v>
      </c>
      <c r="P15" s="286">
        <v>0</v>
      </c>
      <c r="Q15" s="287">
        <v>2.725E-3</v>
      </c>
      <c r="R15" s="286">
        <v>0</v>
      </c>
      <c r="S15" s="287">
        <v>-2.5026385155877801E-3</v>
      </c>
      <c r="T15" s="286">
        <v>0</v>
      </c>
      <c r="U15" s="286">
        <v>0</v>
      </c>
      <c r="V15" s="234">
        <f>SUM(E15)</f>
        <v>0.36</v>
      </c>
      <c r="W15" s="233">
        <f>SUM(F15:U15)</f>
        <v>8.2820703403661725E-2</v>
      </c>
    </row>
    <row r="16" spans="1:23" x14ac:dyDescent="0.2">
      <c r="A16" s="51">
        <f t="shared" si="0"/>
        <v>7</v>
      </c>
      <c r="B16" s="51">
        <v>51</v>
      </c>
      <c r="C16" s="68" t="s">
        <v>219</v>
      </c>
      <c r="D16" s="79" t="s">
        <v>527</v>
      </c>
      <c r="E16" s="286">
        <v>0.6</v>
      </c>
      <c r="F16" s="287">
        <v>6.2974000000000002E-2</v>
      </c>
      <c r="G16" s="287">
        <v>3.0298995648176466E-3</v>
      </c>
      <c r="H16" s="287">
        <v>2.1304423544318677E-3</v>
      </c>
      <c r="I16" s="287">
        <v>-1.3569999999999999E-3</v>
      </c>
      <c r="J16" s="287">
        <v>3.607E-3</v>
      </c>
      <c r="K16" s="287">
        <v>2.944E-3</v>
      </c>
      <c r="L16" s="286">
        <v>0</v>
      </c>
      <c r="M16" s="287">
        <v>-2.0000000000000002E-5</v>
      </c>
      <c r="N16" s="287">
        <v>9.2899999999999996E-3</v>
      </c>
      <c r="O16" s="286">
        <v>0</v>
      </c>
      <c r="P16" s="286">
        <v>0</v>
      </c>
      <c r="Q16" s="287">
        <v>2.725E-3</v>
      </c>
      <c r="R16" s="286">
        <v>0</v>
      </c>
      <c r="S16" s="287">
        <v>-2.5026385155877801E-3</v>
      </c>
      <c r="T16" s="286">
        <v>0</v>
      </c>
      <c r="U16" s="286">
        <v>0</v>
      </c>
      <c r="V16" s="234">
        <f t="shared" ref="V16:V23" si="2">SUM(E16)</f>
        <v>0.6</v>
      </c>
      <c r="W16" s="233">
        <f t="shared" ref="W16:W23" si="3">SUM(F16:U16)</f>
        <v>8.2820703403661725E-2</v>
      </c>
    </row>
    <row r="17" spans="1:23" x14ac:dyDescent="0.2">
      <c r="A17" s="51">
        <f t="shared" si="0"/>
        <v>8</v>
      </c>
      <c r="B17" s="51">
        <v>51</v>
      </c>
      <c r="C17" s="68" t="s">
        <v>219</v>
      </c>
      <c r="D17" s="79" t="s">
        <v>528</v>
      </c>
      <c r="E17" s="286">
        <v>0.85</v>
      </c>
      <c r="F17" s="287">
        <v>6.2974000000000002E-2</v>
      </c>
      <c r="G17" s="287">
        <v>3.0298995648176466E-3</v>
      </c>
      <c r="H17" s="287">
        <v>2.1304423544318677E-3</v>
      </c>
      <c r="I17" s="287">
        <v>-1.3569999999999999E-3</v>
      </c>
      <c r="J17" s="287">
        <v>3.607E-3</v>
      </c>
      <c r="K17" s="287">
        <v>2.944E-3</v>
      </c>
      <c r="L17" s="286">
        <v>0</v>
      </c>
      <c r="M17" s="287">
        <v>-2.0000000000000002E-5</v>
      </c>
      <c r="N17" s="287">
        <v>9.2899999999999996E-3</v>
      </c>
      <c r="O17" s="286">
        <v>0</v>
      </c>
      <c r="P17" s="286">
        <v>0</v>
      </c>
      <c r="Q17" s="287">
        <v>2.725E-3</v>
      </c>
      <c r="R17" s="286">
        <v>0</v>
      </c>
      <c r="S17" s="287">
        <v>-2.5026385155877801E-3</v>
      </c>
      <c r="T17" s="286">
        <v>0</v>
      </c>
      <c r="U17" s="286">
        <v>0</v>
      </c>
      <c r="V17" s="234">
        <f t="shared" si="2"/>
        <v>0.85</v>
      </c>
      <c r="W17" s="233">
        <f t="shared" si="3"/>
        <v>8.2820703403661725E-2</v>
      </c>
    </row>
    <row r="18" spans="1:23" x14ac:dyDescent="0.2">
      <c r="A18" s="51">
        <f t="shared" si="0"/>
        <v>9</v>
      </c>
      <c r="B18" s="51">
        <v>51</v>
      </c>
      <c r="C18" s="68" t="s">
        <v>219</v>
      </c>
      <c r="D18" s="79" t="s">
        <v>529</v>
      </c>
      <c r="E18" s="286">
        <v>1.0900000000000001</v>
      </c>
      <c r="F18" s="287">
        <v>6.2974000000000002E-2</v>
      </c>
      <c r="G18" s="287">
        <v>3.0298995648176466E-3</v>
      </c>
      <c r="H18" s="287">
        <v>2.1304423544318677E-3</v>
      </c>
      <c r="I18" s="287">
        <v>-1.3569999999999999E-3</v>
      </c>
      <c r="J18" s="287">
        <v>3.607E-3</v>
      </c>
      <c r="K18" s="287">
        <v>2.944E-3</v>
      </c>
      <c r="L18" s="286">
        <v>0</v>
      </c>
      <c r="M18" s="287">
        <v>-2.0000000000000002E-5</v>
      </c>
      <c r="N18" s="287">
        <v>9.2899999999999996E-3</v>
      </c>
      <c r="O18" s="286">
        <v>0</v>
      </c>
      <c r="P18" s="286">
        <v>0</v>
      </c>
      <c r="Q18" s="287">
        <v>2.725E-3</v>
      </c>
      <c r="R18" s="286">
        <v>0</v>
      </c>
      <c r="S18" s="287">
        <v>-2.5026385155877801E-3</v>
      </c>
      <c r="T18" s="286">
        <v>0</v>
      </c>
      <c r="U18" s="286">
        <v>0</v>
      </c>
      <c r="V18" s="234">
        <f t="shared" si="2"/>
        <v>1.0900000000000001</v>
      </c>
      <c r="W18" s="233">
        <f t="shared" si="3"/>
        <v>8.2820703403661725E-2</v>
      </c>
    </row>
    <row r="19" spans="1:23" x14ac:dyDescent="0.2">
      <c r="A19" s="51">
        <f t="shared" si="0"/>
        <v>10</v>
      </c>
      <c r="B19" s="51">
        <v>51</v>
      </c>
      <c r="C19" s="68" t="s">
        <v>219</v>
      </c>
      <c r="D19" s="79" t="s">
        <v>519</v>
      </c>
      <c r="E19" s="286">
        <v>1.33</v>
      </c>
      <c r="F19" s="287">
        <v>6.2974000000000002E-2</v>
      </c>
      <c r="G19" s="287">
        <v>3.0298995648176466E-3</v>
      </c>
      <c r="H19" s="287">
        <v>2.1304423544318677E-3</v>
      </c>
      <c r="I19" s="287">
        <v>-1.3569999999999999E-3</v>
      </c>
      <c r="J19" s="287">
        <v>3.607E-3</v>
      </c>
      <c r="K19" s="287">
        <v>2.944E-3</v>
      </c>
      <c r="L19" s="286">
        <v>0</v>
      </c>
      <c r="M19" s="287">
        <v>-2.0000000000000002E-5</v>
      </c>
      <c r="N19" s="287">
        <v>9.2899999999999996E-3</v>
      </c>
      <c r="O19" s="286">
        <v>0</v>
      </c>
      <c r="P19" s="286">
        <v>0</v>
      </c>
      <c r="Q19" s="287">
        <v>2.725E-3</v>
      </c>
      <c r="R19" s="286">
        <v>0</v>
      </c>
      <c r="S19" s="287">
        <v>-2.5026385155877801E-3</v>
      </c>
      <c r="T19" s="286">
        <v>0</v>
      </c>
      <c r="U19" s="286">
        <v>0</v>
      </c>
      <c r="V19" s="234">
        <f t="shared" si="2"/>
        <v>1.33</v>
      </c>
      <c r="W19" s="233">
        <f t="shared" si="3"/>
        <v>8.2820703403661725E-2</v>
      </c>
    </row>
    <row r="20" spans="1:23" x14ac:dyDescent="0.2">
      <c r="A20" s="51">
        <f t="shared" si="0"/>
        <v>11</v>
      </c>
      <c r="B20" s="51">
        <v>51</v>
      </c>
      <c r="C20" s="68" t="s">
        <v>219</v>
      </c>
      <c r="D20" s="79" t="s">
        <v>520</v>
      </c>
      <c r="E20" s="286">
        <v>1.57</v>
      </c>
      <c r="F20" s="287">
        <v>6.2974000000000002E-2</v>
      </c>
      <c r="G20" s="287">
        <v>3.0298995648176466E-3</v>
      </c>
      <c r="H20" s="287">
        <v>2.1304423544318677E-3</v>
      </c>
      <c r="I20" s="287">
        <v>-1.3569999999999999E-3</v>
      </c>
      <c r="J20" s="287">
        <v>3.607E-3</v>
      </c>
      <c r="K20" s="287">
        <v>2.944E-3</v>
      </c>
      <c r="L20" s="286">
        <v>0</v>
      </c>
      <c r="M20" s="287">
        <v>-2.0000000000000002E-5</v>
      </c>
      <c r="N20" s="287">
        <v>9.2899999999999996E-3</v>
      </c>
      <c r="O20" s="286">
        <v>0</v>
      </c>
      <c r="P20" s="286">
        <v>0</v>
      </c>
      <c r="Q20" s="287">
        <v>2.725E-3</v>
      </c>
      <c r="R20" s="286">
        <v>0</v>
      </c>
      <c r="S20" s="287">
        <v>-2.5026385155877801E-3</v>
      </c>
      <c r="T20" s="286">
        <v>0</v>
      </c>
      <c r="U20" s="286">
        <v>0</v>
      </c>
      <c r="V20" s="234">
        <f t="shared" si="2"/>
        <v>1.57</v>
      </c>
      <c r="W20" s="233">
        <f t="shared" si="3"/>
        <v>8.2820703403661725E-2</v>
      </c>
    </row>
    <row r="21" spans="1:23" x14ac:dyDescent="0.2">
      <c r="A21" s="51">
        <f t="shared" si="0"/>
        <v>12</v>
      </c>
      <c r="B21" s="51">
        <v>51</v>
      </c>
      <c r="C21" s="68" t="s">
        <v>219</v>
      </c>
      <c r="D21" s="79" t="s">
        <v>521</v>
      </c>
      <c r="E21" s="286">
        <v>1.81</v>
      </c>
      <c r="F21" s="287">
        <v>6.2974000000000002E-2</v>
      </c>
      <c r="G21" s="287">
        <v>3.0298995648176466E-3</v>
      </c>
      <c r="H21" s="287">
        <v>2.1304423544318677E-3</v>
      </c>
      <c r="I21" s="287">
        <v>-1.3569999999999999E-3</v>
      </c>
      <c r="J21" s="287">
        <v>3.607E-3</v>
      </c>
      <c r="K21" s="287">
        <v>2.944E-3</v>
      </c>
      <c r="L21" s="286">
        <v>0</v>
      </c>
      <c r="M21" s="287">
        <v>-2.0000000000000002E-5</v>
      </c>
      <c r="N21" s="287">
        <v>9.2899999999999996E-3</v>
      </c>
      <c r="O21" s="286">
        <v>0</v>
      </c>
      <c r="P21" s="286">
        <v>0</v>
      </c>
      <c r="Q21" s="287">
        <v>2.725E-3</v>
      </c>
      <c r="R21" s="286">
        <v>0</v>
      </c>
      <c r="S21" s="287">
        <v>-2.5026385155877801E-3</v>
      </c>
      <c r="T21" s="286">
        <v>0</v>
      </c>
      <c r="U21" s="286">
        <v>0</v>
      </c>
      <c r="V21" s="234">
        <f t="shared" si="2"/>
        <v>1.81</v>
      </c>
      <c r="W21" s="233">
        <f t="shared" si="3"/>
        <v>8.2820703403661725E-2</v>
      </c>
    </row>
    <row r="22" spans="1:23" x14ac:dyDescent="0.2">
      <c r="A22" s="51">
        <f t="shared" si="0"/>
        <v>13</v>
      </c>
      <c r="B22" s="51">
        <v>51</v>
      </c>
      <c r="C22" s="68" t="s">
        <v>219</v>
      </c>
      <c r="D22" s="79" t="s">
        <v>522</v>
      </c>
      <c r="E22" s="286">
        <v>2.06</v>
      </c>
      <c r="F22" s="287">
        <v>6.2974000000000002E-2</v>
      </c>
      <c r="G22" s="287">
        <v>3.0298995648176466E-3</v>
      </c>
      <c r="H22" s="287">
        <v>2.1304423544318677E-3</v>
      </c>
      <c r="I22" s="287">
        <v>-1.3569999999999999E-3</v>
      </c>
      <c r="J22" s="287">
        <v>3.607E-3</v>
      </c>
      <c r="K22" s="287">
        <v>2.944E-3</v>
      </c>
      <c r="L22" s="286">
        <v>0</v>
      </c>
      <c r="M22" s="287">
        <v>-2.0000000000000002E-5</v>
      </c>
      <c r="N22" s="287">
        <v>9.2899999999999996E-3</v>
      </c>
      <c r="O22" s="286">
        <v>0</v>
      </c>
      <c r="P22" s="286">
        <v>0</v>
      </c>
      <c r="Q22" s="287">
        <v>2.725E-3</v>
      </c>
      <c r="R22" s="286">
        <v>0</v>
      </c>
      <c r="S22" s="287">
        <v>-2.5026385155877801E-3</v>
      </c>
      <c r="T22" s="286">
        <v>0</v>
      </c>
      <c r="U22" s="286">
        <v>0</v>
      </c>
      <c r="V22" s="234">
        <f t="shared" si="2"/>
        <v>2.06</v>
      </c>
      <c r="W22" s="233">
        <f t="shared" si="3"/>
        <v>8.2820703403661725E-2</v>
      </c>
    </row>
    <row r="23" spans="1:23" x14ac:dyDescent="0.2">
      <c r="A23" s="51">
        <f t="shared" si="0"/>
        <v>14</v>
      </c>
      <c r="B23" s="51">
        <v>51</v>
      </c>
      <c r="C23" s="68" t="s">
        <v>219</v>
      </c>
      <c r="D23" s="79" t="s">
        <v>523</v>
      </c>
      <c r="E23" s="286">
        <v>2.2999999999999998</v>
      </c>
      <c r="F23" s="287">
        <v>6.2974000000000002E-2</v>
      </c>
      <c r="G23" s="287">
        <v>3.0298995648176466E-3</v>
      </c>
      <c r="H23" s="287">
        <v>2.1304423544318677E-3</v>
      </c>
      <c r="I23" s="287">
        <v>-1.3569999999999999E-3</v>
      </c>
      <c r="J23" s="287">
        <v>3.607E-3</v>
      </c>
      <c r="K23" s="287">
        <v>2.944E-3</v>
      </c>
      <c r="L23" s="286">
        <v>0</v>
      </c>
      <c r="M23" s="287">
        <v>-2.0000000000000002E-5</v>
      </c>
      <c r="N23" s="287">
        <v>9.2899999999999996E-3</v>
      </c>
      <c r="O23" s="286">
        <v>0</v>
      </c>
      <c r="P23" s="286">
        <v>0</v>
      </c>
      <c r="Q23" s="287">
        <v>2.725E-3</v>
      </c>
      <c r="R23" s="286">
        <v>0</v>
      </c>
      <c r="S23" s="287">
        <v>-2.5026385155877801E-3</v>
      </c>
      <c r="T23" s="286">
        <v>0</v>
      </c>
      <c r="U23" s="286">
        <v>0</v>
      </c>
      <c r="V23" s="234">
        <f t="shared" si="2"/>
        <v>2.2999999999999998</v>
      </c>
      <c r="W23" s="233">
        <f t="shared" si="3"/>
        <v>8.2820703403661725E-2</v>
      </c>
    </row>
    <row r="24" spans="1:23" x14ac:dyDescent="0.2">
      <c r="A24" s="51">
        <f t="shared" si="0"/>
        <v>15</v>
      </c>
      <c r="B24" s="51"/>
      <c r="E24" s="286"/>
      <c r="F24" s="287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26"/>
      <c r="W24" s="226"/>
    </row>
    <row r="25" spans="1:23" x14ac:dyDescent="0.2">
      <c r="A25" s="51">
        <f t="shared" si="0"/>
        <v>16</v>
      </c>
      <c r="B25" s="51"/>
      <c r="E25" s="286"/>
      <c r="F25" s="287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26"/>
      <c r="W25" s="226"/>
    </row>
    <row r="26" spans="1:23" x14ac:dyDescent="0.2">
      <c r="A26" s="51">
        <f t="shared" si="0"/>
        <v>17</v>
      </c>
      <c r="B26" s="51">
        <f>B27</f>
        <v>53</v>
      </c>
      <c r="C26" s="68" t="s">
        <v>219</v>
      </c>
      <c r="D26" s="79" t="s">
        <v>929</v>
      </c>
      <c r="E26" s="286">
        <f>E27</f>
        <v>9.879999999999999</v>
      </c>
      <c r="F26" s="287">
        <f>F27</f>
        <v>6.2974000000000002E-2</v>
      </c>
      <c r="G26" s="287">
        <f t="shared" ref="G26:W26" si="4">G27</f>
        <v>3.0298995648176466E-3</v>
      </c>
      <c r="H26" s="287">
        <f t="shared" si="4"/>
        <v>2.1304423544318677E-3</v>
      </c>
      <c r="I26" s="287">
        <f t="shared" si="4"/>
        <v>-1.3569999999999999E-3</v>
      </c>
      <c r="J26" s="287">
        <f t="shared" si="4"/>
        <v>3.607E-3</v>
      </c>
      <c r="K26" s="287">
        <f t="shared" si="4"/>
        <v>2.944E-3</v>
      </c>
      <c r="L26" s="287">
        <f t="shared" si="4"/>
        <v>0</v>
      </c>
      <c r="M26" s="287">
        <f t="shared" si="4"/>
        <v>-2.0000000000000002E-5</v>
      </c>
      <c r="N26" s="287">
        <f t="shared" si="4"/>
        <v>9.2899999999999996E-3</v>
      </c>
      <c r="O26" s="287">
        <f t="shared" si="4"/>
        <v>0</v>
      </c>
      <c r="P26" s="287">
        <f t="shared" si="4"/>
        <v>0</v>
      </c>
      <c r="Q26" s="287">
        <f t="shared" si="4"/>
        <v>2.725E-3</v>
      </c>
      <c r="R26" s="287">
        <f t="shared" si="4"/>
        <v>0</v>
      </c>
      <c r="S26" s="287">
        <f t="shared" si="4"/>
        <v>-2.5026385155877801E-3</v>
      </c>
      <c r="T26" s="287">
        <f t="shared" si="4"/>
        <v>0</v>
      </c>
      <c r="U26" s="287">
        <f t="shared" si="4"/>
        <v>0</v>
      </c>
      <c r="V26" s="228">
        <f t="shared" si="4"/>
        <v>9.879999999999999</v>
      </c>
      <c r="W26" s="288">
        <f t="shared" si="4"/>
        <v>8.2820703403661725E-2</v>
      </c>
    </row>
    <row r="27" spans="1:23" x14ac:dyDescent="0.2">
      <c r="A27" s="51">
        <f t="shared" si="0"/>
        <v>18</v>
      </c>
      <c r="B27" s="51">
        <v>53</v>
      </c>
      <c r="C27" s="68" t="s">
        <v>517</v>
      </c>
      <c r="D27" s="79" t="s">
        <v>526</v>
      </c>
      <c r="E27" s="286">
        <v>9.879999999999999</v>
      </c>
      <c r="F27" s="287">
        <v>6.2974000000000002E-2</v>
      </c>
      <c r="G27" s="287">
        <v>3.0298995648176466E-3</v>
      </c>
      <c r="H27" s="287">
        <v>2.1304423544318677E-3</v>
      </c>
      <c r="I27" s="287">
        <v>-1.3569999999999999E-3</v>
      </c>
      <c r="J27" s="287">
        <v>3.607E-3</v>
      </c>
      <c r="K27" s="287">
        <v>2.944E-3</v>
      </c>
      <c r="L27" s="286">
        <v>0</v>
      </c>
      <c r="M27" s="287">
        <v>-2.0000000000000002E-5</v>
      </c>
      <c r="N27" s="287">
        <v>9.2899999999999996E-3</v>
      </c>
      <c r="O27" s="286">
        <v>0</v>
      </c>
      <c r="P27" s="286">
        <v>0</v>
      </c>
      <c r="Q27" s="287">
        <v>2.725E-3</v>
      </c>
      <c r="R27" s="286">
        <v>0</v>
      </c>
      <c r="S27" s="287">
        <v>-2.5026385155877801E-3</v>
      </c>
      <c r="T27" s="286">
        <v>0</v>
      </c>
      <c r="U27" s="286">
        <v>0</v>
      </c>
      <c r="V27" s="234">
        <f>SUM(E27)</f>
        <v>9.879999999999999</v>
      </c>
      <c r="W27" s="233">
        <f>SUM(F27:U27)</f>
        <v>8.2820703403661725E-2</v>
      </c>
    </row>
    <row r="28" spans="1:23" x14ac:dyDescent="0.2">
      <c r="A28" s="51">
        <f t="shared" si="0"/>
        <v>19</v>
      </c>
      <c r="B28" s="51">
        <v>53</v>
      </c>
      <c r="C28" s="68" t="s">
        <v>517</v>
      </c>
      <c r="D28" s="79" t="s">
        <v>527</v>
      </c>
      <c r="E28" s="286">
        <v>10.14</v>
      </c>
      <c r="F28" s="287">
        <v>6.2974000000000002E-2</v>
      </c>
      <c r="G28" s="287">
        <v>3.0298995648176466E-3</v>
      </c>
      <c r="H28" s="287">
        <v>2.1304423544318677E-3</v>
      </c>
      <c r="I28" s="287">
        <v>-1.3569999999999999E-3</v>
      </c>
      <c r="J28" s="287">
        <v>3.607E-3</v>
      </c>
      <c r="K28" s="287">
        <v>2.944E-3</v>
      </c>
      <c r="L28" s="286">
        <v>0</v>
      </c>
      <c r="M28" s="287">
        <v>-2.0000000000000002E-5</v>
      </c>
      <c r="N28" s="287">
        <v>9.2899999999999996E-3</v>
      </c>
      <c r="O28" s="286">
        <v>0</v>
      </c>
      <c r="P28" s="286">
        <v>0</v>
      </c>
      <c r="Q28" s="287">
        <v>2.725E-3</v>
      </c>
      <c r="R28" s="286">
        <v>0</v>
      </c>
      <c r="S28" s="287">
        <v>-2.5026385155877801E-3</v>
      </c>
      <c r="T28" s="286">
        <v>0</v>
      </c>
      <c r="U28" s="286">
        <v>0</v>
      </c>
      <c r="V28" s="234">
        <f t="shared" ref="V28:V35" si="5">SUM(E28)</f>
        <v>10.14</v>
      </c>
      <c r="W28" s="233">
        <f t="shared" ref="W28:W35" si="6">SUM(F28:U28)</f>
        <v>8.2820703403661725E-2</v>
      </c>
    </row>
    <row r="29" spans="1:23" x14ac:dyDescent="0.2">
      <c r="A29" s="51">
        <f t="shared" si="0"/>
        <v>20</v>
      </c>
      <c r="B29" s="51">
        <v>53</v>
      </c>
      <c r="C29" s="68" t="s">
        <v>517</v>
      </c>
      <c r="D29" s="79" t="s">
        <v>528</v>
      </c>
      <c r="E29" s="286">
        <v>10.91</v>
      </c>
      <c r="F29" s="287">
        <v>6.2974000000000002E-2</v>
      </c>
      <c r="G29" s="287">
        <v>3.0298995648176466E-3</v>
      </c>
      <c r="H29" s="287">
        <v>2.1304423544318677E-3</v>
      </c>
      <c r="I29" s="287">
        <v>-1.3569999999999999E-3</v>
      </c>
      <c r="J29" s="287">
        <v>3.607E-3</v>
      </c>
      <c r="K29" s="287">
        <v>2.944E-3</v>
      </c>
      <c r="L29" s="286">
        <v>0</v>
      </c>
      <c r="M29" s="287">
        <v>-2.0000000000000002E-5</v>
      </c>
      <c r="N29" s="287">
        <v>9.2899999999999996E-3</v>
      </c>
      <c r="O29" s="286">
        <v>0</v>
      </c>
      <c r="P29" s="286">
        <v>0</v>
      </c>
      <c r="Q29" s="287">
        <v>2.725E-3</v>
      </c>
      <c r="R29" s="286">
        <v>0</v>
      </c>
      <c r="S29" s="287">
        <v>-2.5026385155877801E-3</v>
      </c>
      <c r="T29" s="286">
        <v>0</v>
      </c>
      <c r="U29" s="286">
        <v>0</v>
      </c>
      <c r="V29" s="234">
        <f t="shared" si="5"/>
        <v>10.91</v>
      </c>
      <c r="W29" s="233">
        <f t="shared" si="6"/>
        <v>8.2820703403661725E-2</v>
      </c>
    </row>
    <row r="30" spans="1:23" x14ac:dyDescent="0.2">
      <c r="A30" s="51">
        <f t="shared" si="0"/>
        <v>21</v>
      </c>
      <c r="B30" s="51">
        <v>53</v>
      </c>
      <c r="C30" s="68" t="s">
        <v>517</v>
      </c>
      <c r="D30" s="79" t="s">
        <v>529</v>
      </c>
      <c r="E30" s="286">
        <v>10.61</v>
      </c>
      <c r="F30" s="287">
        <v>6.2974000000000002E-2</v>
      </c>
      <c r="G30" s="287">
        <v>3.0298995648176466E-3</v>
      </c>
      <c r="H30" s="287">
        <v>2.1304423544318677E-3</v>
      </c>
      <c r="I30" s="287">
        <v>-1.3569999999999999E-3</v>
      </c>
      <c r="J30" s="287">
        <v>3.607E-3</v>
      </c>
      <c r="K30" s="287">
        <v>2.944E-3</v>
      </c>
      <c r="L30" s="286">
        <v>0</v>
      </c>
      <c r="M30" s="287">
        <v>-2.0000000000000002E-5</v>
      </c>
      <c r="N30" s="287">
        <v>9.2899999999999996E-3</v>
      </c>
      <c r="O30" s="286">
        <v>0</v>
      </c>
      <c r="P30" s="286">
        <v>0</v>
      </c>
      <c r="Q30" s="287">
        <v>2.725E-3</v>
      </c>
      <c r="R30" s="286">
        <v>0</v>
      </c>
      <c r="S30" s="287">
        <v>-2.5026385155877801E-3</v>
      </c>
      <c r="T30" s="286">
        <v>0</v>
      </c>
      <c r="U30" s="286">
        <v>0</v>
      </c>
      <c r="V30" s="234">
        <f t="shared" si="5"/>
        <v>10.61</v>
      </c>
      <c r="W30" s="233">
        <f t="shared" si="6"/>
        <v>8.2820703403661725E-2</v>
      </c>
    </row>
    <row r="31" spans="1:23" x14ac:dyDescent="0.2">
      <c r="A31" s="51">
        <f t="shared" si="0"/>
        <v>22</v>
      </c>
      <c r="B31" s="51">
        <v>53</v>
      </c>
      <c r="C31" s="68" t="s">
        <v>517</v>
      </c>
      <c r="D31" s="79" t="s">
        <v>519</v>
      </c>
      <c r="E31" s="286">
        <v>11.56</v>
      </c>
      <c r="F31" s="287">
        <v>6.2974000000000002E-2</v>
      </c>
      <c r="G31" s="287">
        <v>3.0298995648176466E-3</v>
      </c>
      <c r="H31" s="287">
        <v>2.1304423544318677E-3</v>
      </c>
      <c r="I31" s="287">
        <v>-1.3569999999999999E-3</v>
      </c>
      <c r="J31" s="287">
        <v>3.607E-3</v>
      </c>
      <c r="K31" s="287">
        <v>2.944E-3</v>
      </c>
      <c r="L31" s="286">
        <v>0</v>
      </c>
      <c r="M31" s="287">
        <v>-2.0000000000000002E-5</v>
      </c>
      <c r="N31" s="287">
        <v>9.2899999999999996E-3</v>
      </c>
      <c r="O31" s="286">
        <v>0</v>
      </c>
      <c r="P31" s="286">
        <v>0</v>
      </c>
      <c r="Q31" s="287">
        <v>2.725E-3</v>
      </c>
      <c r="R31" s="286">
        <v>0</v>
      </c>
      <c r="S31" s="287">
        <v>-2.5026385155877801E-3</v>
      </c>
      <c r="T31" s="286">
        <v>0</v>
      </c>
      <c r="U31" s="286">
        <v>0</v>
      </c>
      <c r="V31" s="234">
        <f t="shared" si="5"/>
        <v>11.56</v>
      </c>
      <c r="W31" s="233">
        <f t="shared" si="6"/>
        <v>8.2820703403661725E-2</v>
      </c>
    </row>
    <row r="32" spans="1:23" x14ac:dyDescent="0.2">
      <c r="A32" s="51">
        <f t="shared" si="0"/>
        <v>23</v>
      </c>
      <c r="B32" s="51">
        <v>53</v>
      </c>
      <c r="C32" s="68" t="s">
        <v>517</v>
      </c>
      <c r="D32" s="79" t="s">
        <v>520</v>
      </c>
      <c r="E32" s="286">
        <v>11.63</v>
      </c>
      <c r="F32" s="287">
        <v>6.2974000000000002E-2</v>
      </c>
      <c r="G32" s="287">
        <v>3.0298995648176466E-3</v>
      </c>
      <c r="H32" s="287">
        <v>2.1304423544318677E-3</v>
      </c>
      <c r="I32" s="287">
        <v>-1.3569999999999999E-3</v>
      </c>
      <c r="J32" s="287">
        <v>3.607E-3</v>
      </c>
      <c r="K32" s="287">
        <v>2.944E-3</v>
      </c>
      <c r="L32" s="286">
        <v>0</v>
      </c>
      <c r="M32" s="287">
        <v>-2.0000000000000002E-5</v>
      </c>
      <c r="N32" s="287">
        <v>9.2899999999999996E-3</v>
      </c>
      <c r="O32" s="286">
        <v>0</v>
      </c>
      <c r="P32" s="286">
        <v>0</v>
      </c>
      <c r="Q32" s="287">
        <v>2.725E-3</v>
      </c>
      <c r="R32" s="286">
        <v>0</v>
      </c>
      <c r="S32" s="287">
        <v>-2.5026385155877801E-3</v>
      </c>
      <c r="T32" s="286">
        <v>0</v>
      </c>
      <c r="U32" s="286">
        <v>0</v>
      </c>
      <c r="V32" s="234">
        <f t="shared" si="5"/>
        <v>11.63</v>
      </c>
      <c r="W32" s="233">
        <f t="shared" si="6"/>
        <v>8.2820703403661725E-2</v>
      </c>
    </row>
    <row r="33" spans="1:23" x14ac:dyDescent="0.2">
      <c r="A33" s="51">
        <f t="shared" si="0"/>
        <v>24</v>
      </c>
      <c r="B33" s="51">
        <v>53</v>
      </c>
      <c r="C33" s="68" t="s">
        <v>517</v>
      </c>
      <c r="D33" s="79" t="s">
        <v>521</v>
      </c>
      <c r="E33" s="286">
        <v>12.43</v>
      </c>
      <c r="F33" s="287">
        <v>6.2974000000000002E-2</v>
      </c>
      <c r="G33" s="287">
        <v>3.0298995648176466E-3</v>
      </c>
      <c r="H33" s="287">
        <v>2.1304423544318677E-3</v>
      </c>
      <c r="I33" s="287">
        <v>-1.3569999999999999E-3</v>
      </c>
      <c r="J33" s="287">
        <v>3.607E-3</v>
      </c>
      <c r="K33" s="287">
        <v>2.944E-3</v>
      </c>
      <c r="L33" s="286">
        <v>0</v>
      </c>
      <c r="M33" s="287">
        <v>-2.0000000000000002E-5</v>
      </c>
      <c r="N33" s="287">
        <v>9.2899999999999996E-3</v>
      </c>
      <c r="O33" s="286">
        <v>0</v>
      </c>
      <c r="P33" s="286">
        <v>0</v>
      </c>
      <c r="Q33" s="287">
        <v>2.725E-3</v>
      </c>
      <c r="R33" s="286">
        <v>0</v>
      </c>
      <c r="S33" s="287">
        <v>-2.5026385155877801E-3</v>
      </c>
      <c r="T33" s="286">
        <v>0</v>
      </c>
      <c r="U33" s="286">
        <v>0</v>
      </c>
      <c r="V33" s="234">
        <f t="shared" si="5"/>
        <v>12.43</v>
      </c>
      <c r="W33" s="233">
        <f t="shared" si="6"/>
        <v>8.2820703403661725E-2</v>
      </c>
    </row>
    <row r="34" spans="1:23" x14ac:dyDescent="0.2">
      <c r="A34" s="51">
        <f t="shared" ref="A34:A36" si="7">A33+1</f>
        <v>25</v>
      </c>
      <c r="B34" s="51">
        <v>53</v>
      </c>
      <c r="C34" s="68" t="s">
        <v>517</v>
      </c>
      <c r="D34" s="79" t="s">
        <v>522</v>
      </c>
      <c r="E34" s="286">
        <v>13.41</v>
      </c>
      <c r="F34" s="287">
        <v>6.2974000000000002E-2</v>
      </c>
      <c r="G34" s="287">
        <v>3.0298995648176466E-3</v>
      </c>
      <c r="H34" s="287">
        <v>2.1304423544318677E-3</v>
      </c>
      <c r="I34" s="287">
        <v>-1.3569999999999999E-3</v>
      </c>
      <c r="J34" s="287">
        <v>3.607E-3</v>
      </c>
      <c r="K34" s="287">
        <v>2.944E-3</v>
      </c>
      <c r="L34" s="286">
        <v>0</v>
      </c>
      <c r="M34" s="287">
        <v>-2.0000000000000002E-5</v>
      </c>
      <c r="N34" s="287">
        <v>9.2899999999999996E-3</v>
      </c>
      <c r="O34" s="286">
        <v>0</v>
      </c>
      <c r="P34" s="286">
        <v>0</v>
      </c>
      <c r="Q34" s="287">
        <v>2.725E-3</v>
      </c>
      <c r="R34" s="286">
        <v>0</v>
      </c>
      <c r="S34" s="287">
        <v>-2.5026385155877801E-3</v>
      </c>
      <c r="T34" s="286">
        <v>0</v>
      </c>
      <c r="U34" s="286">
        <v>0</v>
      </c>
      <c r="V34" s="234">
        <f t="shared" si="5"/>
        <v>13.41</v>
      </c>
      <c r="W34" s="233">
        <f t="shared" si="6"/>
        <v>8.2820703403661725E-2</v>
      </c>
    </row>
    <row r="35" spans="1:23" x14ac:dyDescent="0.2">
      <c r="A35" s="51">
        <f t="shared" si="7"/>
        <v>26</v>
      </c>
      <c r="B35" s="51">
        <v>53</v>
      </c>
      <c r="C35" s="68" t="s">
        <v>517</v>
      </c>
      <c r="D35" s="79" t="s">
        <v>523</v>
      </c>
      <c r="E35" s="286">
        <v>13.649999999999999</v>
      </c>
      <c r="F35" s="287">
        <v>6.2974000000000002E-2</v>
      </c>
      <c r="G35" s="287">
        <v>3.0298995648176466E-3</v>
      </c>
      <c r="H35" s="287">
        <v>2.1304423544318677E-3</v>
      </c>
      <c r="I35" s="287">
        <v>-1.3569999999999999E-3</v>
      </c>
      <c r="J35" s="287">
        <v>3.607E-3</v>
      </c>
      <c r="K35" s="287">
        <v>2.944E-3</v>
      </c>
      <c r="L35" s="286">
        <v>0</v>
      </c>
      <c r="M35" s="287">
        <v>-2.0000000000000002E-5</v>
      </c>
      <c r="N35" s="287">
        <v>9.2899999999999996E-3</v>
      </c>
      <c r="O35" s="286">
        <v>0</v>
      </c>
      <c r="P35" s="286">
        <v>0</v>
      </c>
      <c r="Q35" s="287">
        <v>2.725E-3</v>
      </c>
      <c r="R35" s="286">
        <v>0</v>
      </c>
      <c r="S35" s="287">
        <v>-2.5026385155877801E-3</v>
      </c>
      <c r="T35" s="286">
        <v>0</v>
      </c>
      <c r="U35" s="286">
        <v>0</v>
      </c>
      <c r="V35" s="234">
        <f t="shared" si="5"/>
        <v>13.649999999999999</v>
      </c>
      <c r="W35" s="233">
        <f t="shared" si="6"/>
        <v>8.2820703403661725E-2</v>
      </c>
    </row>
    <row r="36" spans="1:23" ht="10.8" thickBot="1" x14ac:dyDescent="0.25">
      <c r="A36" s="51">
        <f t="shared" si="7"/>
        <v>27</v>
      </c>
      <c r="B36" s="51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29"/>
      <c r="W36" s="229"/>
    </row>
    <row r="46" spans="1:23" s="51" customFormat="1" x14ac:dyDescent="0.2">
      <c r="A46" s="60"/>
      <c r="B46" s="60"/>
      <c r="C46" s="60"/>
      <c r="D46" s="79"/>
      <c r="O46" s="51" t="s">
        <v>91</v>
      </c>
    </row>
  </sheetData>
  <mergeCells count="6">
    <mergeCell ref="F9:U9"/>
    <mergeCell ref="A1:W1"/>
    <mergeCell ref="A2:W2"/>
    <mergeCell ref="A3:W3"/>
    <mergeCell ref="A4:W4"/>
    <mergeCell ref="E6:F6"/>
  </mergeCells>
  <printOptions horizontalCentered="1"/>
  <pageMargins left="0.25" right="0.25" top="0.75" bottom="0.87" header="0.3" footer="0.3"/>
  <pageSetup scale="54" fitToHeight="10" orientation="landscape" r:id="rId1"/>
  <headerFooter alignWithMargins="0">
    <oddFooter>&amp;R&amp;F
&amp;A</oddFooter>
  </headerFooter>
  <customProperties>
    <customPr name="_pios_id" r:id="rId2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208"/>
  <sheetViews>
    <sheetView zoomScaleNormal="100" workbookViewId="0">
      <pane xSplit="4" ySplit="8" topLeftCell="E9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30.33203125" defaultRowHeight="10.199999999999999" x14ac:dyDescent="0.2"/>
  <cols>
    <col min="1" max="1" width="6.6640625" style="60" bestFit="1" customWidth="1"/>
    <col min="2" max="2" width="8.109375" style="60" customWidth="1"/>
    <col min="3" max="3" width="32.109375" style="60" bestFit="1" customWidth="1"/>
    <col min="4" max="4" width="26" style="79" bestFit="1" customWidth="1"/>
    <col min="5" max="20" width="11.33203125" style="51" customWidth="1"/>
    <col min="21" max="21" width="10" style="51" bestFit="1" customWidth="1"/>
    <col min="22" max="16384" width="30.33203125" style="60"/>
  </cols>
  <sheetData>
    <row r="1" spans="1:21" ht="12" customHeight="1" x14ac:dyDescent="0.2">
      <c r="A1" s="736" t="str">
        <f>'BDJ-6 Base Revenue (Summary)'!A1:I1</f>
        <v>Puget Sound Energy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</row>
    <row r="2" spans="1:21" ht="12" customHeight="1" x14ac:dyDescent="0.2">
      <c r="A2" s="736" t="s">
        <v>501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</row>
    <row r="3" spans="1:21" ht="12" customHeight="1" x14ac:dyDescent="0.2">
      <c r="A3" s="736" t="str">
        <f>'BDJ-6 Base Revenue (Summary)'!A4:I4</f>
        <v>2022 General Rate Case (GRC)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</row>
    <row r="4" spans="1:21" ht="12" customHeight="1" x14ac:dyDescent="0.2">
      <c r="A4" s="736" t="str">
        <f>'BDJ-6 Base Revenue (Summary)'!A5:I5</f>
        <v>Test Year Ending June 30, 2021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</row>
    <row r="5" spans="1:21" x14ac:dyDescent="0.2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</row>
    <row r="6" spans="1:21" x14ac:dyDescent="0.2">
      <c r="A6" s="19"/>
      <c r="B6" s="19"/>
      <c r="C6" s="19"/>
      <c r="D6" s="14"/>
      <c r="E6" s="14"/>
      <c r="F6" s="14" t="s">
        <v>647</v>
      </c>
      <c r="G6" s="14" t="s">
        <v>647</v>
      </c>
      <c r="H6" s="14" t="s">
        <v>647</v>
      </c>
      <c r="I6" s="14" t="s">
        <v>647</v>
      </c>
      <c r="J6" s="14" t="s">
        <v>647</v>
      </c>
      <c r="K6" s="14" t="s">
        <v>647</v>
      </c>
      <c r="L6" s="14" t="s">
        <v>647</v>
      </c>
      <c r="M6" s="14" t="s">
        <v>647</v>
      </c>
      <c r="N6" s="14"/>
      <c r="O6" s="14" t="s">
        <v>647</v>
      </c>
      <c r="P6" s="14" t="s">
        <v>647</v>
      </c>
      <c r="Q6" s="14" t="s">
        <v>647</v>
      </c>
      <c r="R6" s="14" t="s">
        <v>647</v>
      </c>
      <c r="S6" s="14"/>
      <c r="T6" s="14" t="s">
        <v>647</v>
      </c>
    </row>
    <row r="7" spans="1:21" ht="10.8" thickBot="1" x14ac:dyDescent="0.25">
      <c r="A7" s="19"/>
      <c r="B7" s="19"/>
      <c r="C7" s="19"/>
      <c r="D7" s="14"/>
      <c r="E7" s="222" t="s">
        <v>646</v>
      </c>
      <c r="F7" s="14" t="s">
        <v>585</v>
      </c>
      <c r="G7" s="14" t="s">
        <v>585</v>
      </c>
      <c r="H7" s="14" t="s">
        <v>585</v>
      </c>
      <c r="I7" s="14" t="s">
        <v>585</v>
      </c>
      <c r="J7" s="14" t="s">
        <v>585</v>
      </c>
      <c r="K7" s="14" t="s">
        <v>585</v>
      </c>
      <c r="L7" s="14" t="s">
        <v>585</v>
      </c>
      <c r="M7" s="14" t="s">
        <v>585</v>
      </c>
      <c r="N7" s="14"/>
      <c r="O7" s="14" t="s">
        <v>585</v>
      </c>
      <c r="P7" s="14" t="s">
        <v>585</v>
      </c>
      <c r="Q7" s="14" t="s">
        <v>585</v>
      </c>
      <c r="R7" s="14" t="s">
        <v>585</v>
      </c>
      <c r="S7" s="14"/>
      <c r="T7" s="14" t="s">
        <v>585</v>
      </c>
    </row>
    <row r="8" spans="1:21" s="66" customFormat="1" ht="102" x14ac:dyDescent="0.2">
      <c r="A8" s="63" t="s">
        <v>1</v>
      </c>
      <c r="B8" s="63" t="s">
        <v>206</v>
      </c>
      <c r="C8" s="64" t="s">
        <v>53</v>
      </c>
      <c r="D8" s="65" t="s">
        <v>207</v>
      </c>
      <c r="E8" s="64" t="s">
        <v>998</v>
      </c>
      <c r="F8" s="64" t="s">
        <v>984</v>
      </c>
      <c r="G8" s="64" t="s">
        <v>985</v>
      </c>
      <c r="H8" s="64" t="s">
        <v>986</v>
      </c>
      <c r="I8" s="63" t="s">
        <v>987</v>
      </c>
      <c r="J8" s="63" t="s">
        <v>988</v>
      </c>
      <c r="K8" s="63" t="s">
        <v>989</v>
      </c>
      <c r="L8" s="63" t="s">
        <v>990</v>
      </c>
      <c r="M8" s="64" t="s">
        <v>991</v>
      </c>
      <c r="N8" s="64" t="s">
        <v>992</v>
      </c>
      <c r="O8" s="64" t="s">
        <v>993</v>
      </c>
      <c r="P8" s="64" t="s">
        <v>994</v>
      </c>
      <c r="Q8" s="64" t="s">
        <v>995</v>
      </c>
      <c r="R8" s="64" t="s">
        <v>996</v>
      </c>
      <c r="S8" s="64" t="s">
        <v>649</v>
      </c>
      <c r="T8" s="64" t="s">
        <v>997</v>
      </c>
      <c r="U8" s="225" t="s">
        <v>947</v>
      </c>
    </row>
    <row r="9" spans="1:21" x14ac:dyDescent="0.2">
      <c r="U9" s="226"/>
    </row>
    <row r="10" spans="1:21" x14ac:dyDescent="0.2">
      <c r="A10" s="51">
        <v>1</v>
      </c>
      <c r="B10" s="51">
        <v>3</v>
      </c>
      <c r="C10" s="67" t="s">
        <v>211</v>
      </c>
      <c r="D10" s="24" t="s">
        <v>212</v>
      </c>
      <c r="E10" s="286">
        <v>0.7</v>
      </c>
      <c r="F10" s="286">
        <v>0.02</v>
      </c>
      <c r="G10" s="286">
        <v>0.02</v>
      </c>
      <c r="H10" s="286">
        <v>-0.01</v>
      </c>
      <c r="I10" s="286">
        <v>0.03</v>
      </c>
      <c r="J10" s="286">
        <v>0.02</v>
      </c>
      <c r="K10" s="286">
        <v>0</v>
      </c>
      <c r="L10" s="286">
        <v>0</v>
      </c>
      <c r="M10" s="286">
        <v>0.01</v>
      </c>
      <c r="N10" s="286">
        <v>0</v>
      </c>
      <c r="O10" s="286">
        <v>0</v>
      </c>
      <c r="P10" s="286">
        <v>0.02</v>
      </c>
      <c r="Q10" s="286">
        <v>0</v>
      </c>
      <c r="R10" s="286">
        <v>-0.02</v>
      </c>
      <c r="S10" s="286">
        <v>0</v>
      </c>
      <c r="T10" s="286">
        <v>0</v>
      </c>
      <c r="U10" s="228">
        <f>SUM(E10:T10)</f>
        <v>0.79</v>
      </c>
    </row>
    <row r="11" spans="1:21" x14ac:dyDescent="0.2">
      <c r="A11" s="51">
        <f t="shared" ref="A11:A42" si="0">A10+1</f>
        <v>2</v>
      </c>
      <c r="U11" s="226"/>
    </row>
    <row r="12" spans="1:21" x14ac:dyDescent="0.2">
      <c r="A12" s="51">
        <f t="shared" si="0"/>
        <v>3</v>
      </c>
      <c r="B12" s="51">
        <v>50</v>
      </c>
      <c r="C12" s="60" t="s">
        <v>213</v>
      </c>
      <c r="D12" s="79" t="s">
        <v>214</v>
      </c>
      <c r="E12" s="286">
        <v>4.82</v>
      </c>
      <c r="F12" s="286">
        <v>0.11</v>
      </c>
      <c r="G12" s="286">
        <v>7.0000000000000007E-2</v>
      </c>
      <c r="H12" s="286">
        <v>-0.05</v>
      </c>
      <c r="I12" s="286">
        <v>0.13</v>
      </c>
      <c r="J12" s="286">
        <v>0.1</v>
      </c>
      <c r="K12" s="286">
        <v>0</v>
      </c>
      <c r="L12" s="286">
        <v>0</v>
      </c>
      <c r="M12" s="286">
        <v>0.05</v>
      </c>
      <c r="N12" s="286">
        <v>0</v>
      </c>
      <c r="O12" s="286">
        <v>0</v>
      </c>
      <c r="P12" s="286">
        <v>0.1</v>
      </c>
      <c r="Q12" s="286">
        <v>0</v>
      </c>
      <c r="R12" s="286">
        <v>-0.1</v>
      </c>
      <c r="S12" s="286">
        <v>0</v>
      </c>
      <c r="T12" s="286">
        <v>0</v>
      </c>
      <c r="U12" s="228">
        <f>SUM(E12:T12)</f>
        <v>5.23</v>
      </c>
    </row>
    <row r="13" spans="1:21" x14ac:dyDescent="0.2">
      <c r="A13" s="51">
        <f t="shared" si="0"/>
        <v>4</v>
      </c>
      <c r="B13" s="51">
        <v>50</v>
      </c>
      <c r="C13" s="60" t="s">
        <v>213</v>
      </c>
      <c r="D13" s="79" t="s">
        <v>215</v>
      </c>
      <c r="E13" s="286">
        <v>7.21</v>
      </c>
      <c r="F13" s="286">
        <v>0.2</v>
      </c>
      <c r="G13" s="286">
        <v>0.13</v>
      </c>
      <c r="H13" s="286">
        <v>-0.09</v>
      </c>
      <c r="I13" s="286">
        <v>0.24</v>
      </c>
      <c r="J13" s="286">
        <v>0.18</v>
      </c>
      <c r="K13" s="286">
        <v>0</v>
      </c>
      <c r="L13" s="286">
        <v>0</v>
      </c>
      <c r="M13" s="286">
        <v>0.1</v>
      </c>
      <c r="N13" s="286">
        <v>0</v>
      </c>
      <c r="O13" s="286">
        <v>0</v>
      </c>
      <c r="P13" s="286">
        <v>0.17</v>
      </c>
      <c r="Q13" s="286">
        <v>0</v>
      </c>
      <c r="R13" s="286">
        <v>-0.18</v>
      </c>
      <c r="S13" s="286">
        <v>0</v>
      </c>
      <c r="T13" s="286">
        <v>0</v>
      </c>
      <c r="U13" s="228">
        <f>SUM(E13:T13)</f>
        <v>7.9600000000000009</v>
      </c>
    </row>
    <row r="14" spans="1:21" x14ac:dyDescent="0.2">
      <c r="A14" s="51">
        <f t="shared" si="0"/>
        <v>5</v>
      </c>
      <c r="B14" s="51">
        <v>50</v>
      </c>
      <c r="C14" s="60" t="s">
        <v>213</v>
      </c>
      <c r="D14" s="79" t="s">
        <v>216</v>
      </c>
      <c r="E14" s="286">
        <v>14.37</v>
      </c>
      <c r="F14" s="286">
        <v>0.45</v>
      </c>
      <c r="G14" s="286">
        <v>0.3</v>
      </c>
      <c r="H14" s="286">
        <v>-0.19</v>
      </c>
      <c r="I14" s="286">
        <v>0.54</v>
      </c>
      <c r="J14" s="286">
        <v>0.42</v>
      </c>
      <c r="K14" s="286">
        <v>0</v>
      </c>
      <c r="L14" s="286">
        <v>-0.01</v>
      </c>
      <c r="M14" s="286">
        <v>0.22</v>
      </c>
      <c r="N14" s="286">
        <v>0</v>
      </c>
      <c r="O14" s="286">
        <v>0</v>
      </c>
      <c r="P14" s="286">
        <v>0.4</v>
      </c>
      <c r="Q14" s="286">
        <v>0</v>
      </c>
      <c r="R14" s="286">
        <v>-0.41</v>
      </c>
      <c r="S14" s="286">
        <v>0</v>
      </c>
      <c r="T14" s="286">
        <v>0</v>
      </c>
      <c r="U14" s="228">
        <f>SUM(E14:T14)</f>
        <v>16.089999999999996</v>
      </c>
    </row>
    <row r="15" spans="1:21" x14ac:dyDescent="0.2">
      <c r="A15" s="51">
        <f t="shared" si="0"/>
        <v>6</v>
      </c>
      <c r="B15" s="51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26"/>
    </row>
    <row r="16" spans="1:21" x14ac:dyDescent="0.2">
      <c r="A16" s="51">
        <f t="shared" si="0"/>
        <v>7</v>
      </c>
      <c r="B16" s="51">
        <v>50</v>
      </c>
      <c r="C16" s="60" t="s">
        <v>217</v>
      </c>
      <c r="D16" s="79" t="s">
        <v>214</v>
      </c>
      <c r="E16" s="286">
        <v>3.19</v>
      </c>
      <c r="F16" s="286">
        <v>0.11</v>
      </c>
      <c r="G16" s="286">
        <v>7.0000000000000007E-2</v>
      </c>
      <c r="H16" s="286">
        <v>-0.05</v>
      </c>
      <c r="I16" s="286">
        <v>0.13</v>
      </c>
      <c r="J16" s="286">
        <v>0.1</v>
      </c>
      <c r="K16" s="286">
        <v>0</v>
      </c>
      <c r="L16" s="286">
        <v>0</v>
      </c>
      <c r="M16" s="286">
        <v>0.05</v>
      </c>
      <c r="N16" s="286">
        <v>0</v>
      </c>
      <c r="O16" s="286">
        <v>0</v>
      </c>
      <c r="P16" s="286">
        <v>0.1</v>
      </c>
      <c r="Q16" s="286">
        <v>0</v>
      </c>
      <c r="R16" s="286">
        <v>-0.1</v>
      </c>
      <c r="S16" s="286">
        <v>0</v>
      </c>
      <c r="T16" s="286">
        <v>0</v>
      </c>
      <c r="U16" s="228">
        <f>SUM(E16:T16)</f>
        <v>3.5999999999999996</v>
      </c>
    </row>
    <row r="17" spans="1:21" x14ac:dyDescent="0.2">
      <c r="A17" s="51">
        <f t="shared" si="0"/>
        <v>8</v>
      </c>
      <c r="B17" s="51">
        <v>50</v>
      </c>
      <c r="C17" s="60" t="s">
        <v>217</v>
      </c>
      <c r="D17" s="79" t="s">
        <v>215</v>
      </c>
      <c r="E17" s="286">
        <v>5.57</v>
      </c>
      <c r="F17" s="286">
        <v>0.2</v>
      </c>
      <c r="G17" s="286">
        <v>0.13</v>
      </c>
      <c r="H17" s="286">
        <v>-0.09</v>
      </c>
      <c r="I17" s="286">
        <v>0.24</v>
      </c>
      <c r="J17" s="286">
        <v>0.18</v>
      </c>
      <c r="K17" s="286">
        <v>0</v>
      </c>
      <c r="L17" s="286">
        <v>0</v>
      </c>
      <c r="M17" s="286">
        <v>0.1</v>
      </c>
      <c r="N17" s="286">
        <v>0</v>
      </c>
      <c r="O17" s="286">
        <v>0</v>
      </c>
      <c r="P17" s="286">
        <v>0.17</v>
      </c>
      <c r="Q17" s="286">
        <v>0</v>
      </c>
      <c r="R17" s="286">
        <v>-0.18</v>
      </c>
      <c r="S17" s="286">
        <v>0</v>
      </c>
      <c r="T17" s="286">
        <v>0</v>
      </c>
      <c r="U17" s="228">
        <f>SUM(E17:T17)</f>
        <v>6.32</v>
      </c>
    </row>
    <row r="18" spans="1:21" x14ac:dyDescent="0.2">
      <c r="A18" s="51">
        <f t="shared" si="0"/>
        <v>9</v>
      </c>
      <c r="B18" s="51">
        <v>50</v>
      </c>
      <c r="C18" s="60" t="s">
        <v>217</v>
      </c>
      <c r="D18" s="79" t="s">
        <v>216</v>
      </c>
      <c r="E18" s="286">
        <v>12.74</v>
      </c>
      <c r="F18" s="286">
        <v>0.45</v>
      </c>
      <c r="G18" s="286">
        <v>0.3</v>
      </c>
      <c r="H18" s="286">
        <v>-0.19</v>
      </c>
      <c r="I18" s="286">
        <v>0.54</v>
      </c>
      <c r="J18" s="286">
        <v>0.42</v>
      </c>
      <c r="K18" s="286">
        <v>0</v>
      </c>
      <c r="L18" s="286">
        <v>-0.01</v>
      </c>
      <c r="M18" s="286">
        <v>0.22</v>
      </c>
      <c r="N18" s="286">
        <v>0</v>
      </c>
      <c r="O18" s="286">
        <v>0</v>
      </c>
      <c r="P18" s="286">
        <v>0.4</v>
      </c>
      <c r="Q18" s="286">
        <v>0</v>
      </c>
      <c r="R18" s="286">
        <v>-0.41</v>
      </c>
      <c r="S18" s="286">
        <v>0</v>
      </c>
      <c r="T18" s="286">
        <v>0</v>
      </c>
      <c r="U18" s="228">
        <f>SUM(E18:T18)</f>
        <v>14.46</v>
      </c>
    </row>
    <row r="19" spans="1:21" x14ac:dyDescent="0.2">
      <c r="A19" s="51">
        <f t="shared" si="0"/>
        <v>10</v>
      </c>
      <c r="B19" s="51">
        <v>50</v>
      </c>
      <c r="C19" s="60" t="s">
        <v>217</v>
      </c>
      <c r="D19" s="79" t="s">
        <v>530</v>
      </c>
      <c r="E19" s="286">
        <v>22.3</v>
      </c>
      <c r="F19" s="286">
        <v>0.78</v>
      </c>
      <c r="G19" s="286">
        <v>0.52</v>
      </c>
      <c r="H19" s="286">
        <v>-0.34</v>
      </c>
      <c r="I19" s="286">
        <v>0.95</v>
      </c>
      <c r="J19" s="286">
        <v>0.74</v>
      </c>
      <c r="K19" s="286">
        <v>0</v>
      </c>
      <c r="L19" s="286">
        <v>-0.01</v>
      </c>
      <c r="M19" s="286">
        <v>0.38</v>
      </c>
      <c r="N19" s="286">
        <v>0</v>
      </c>
      <c r="O19" s="286">
        <v>0</v>
      </c>
      <c r="P19" s="286">
        <v>0.7</v>
      </c>
      <c r="Q19" s="286">
        <v>0</v>
      </c>
      <c r="R19" s="286">
        <v>-0.72</v>
      </c>
      <c r="S19" s="286">
        <v>0</v>
      </c>
      <c r="T19" s="286">
        <v>0</v>
      </c>
      <c r="U19" s="228">
        <f>SUM(E19:T19)</f>
        <v>25.299999999999997</v>
      </c>
    </row>
    <row r="20" spans="1:21" x14ac:dyDescent="0.2">
      <c r="A20" s="51">
        <f t="shared" si="0"/>
        <v>11</v>
      </c>
      <c r="B20" s="51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226"/>
    </row>
    <row r="21" spans="1:21" x14ac:dyDescent="0.2">
      <c r="A21" s="51">
        <f t="shared" si="0"/>
        <v>12</v>
      </c>
      <c r="B21" s="51">
        <v>51</v>
      </c>
      <c r="C21" s="68" t="s">
        <v>218</v>
      </c>
      <c r="D21" s="79" t="s">
        <v>221</v>
      </c>
      <c r="E21" s="576">
        <v>1.4200000000000001E-2</v>
      </c>
      <c r="F21" s="576">
        <v>0</v>
      </c>
      <c r="G21" s="576">
        <v>0</v>
      </c>
      <c r="H21" s="576">
        <v>0</v>
      </c>
      <c r="I21" s="576">
        <v>0</v>
      </c>
      <c r="J21" s="576">
        <v>0</v>
      </c>
      <c r="K21" s="576">
        <v>0</v>
      </c>
      <c r="L21" s="576">
        <v>0</v>
      </c>
      <c r="M21" s="576">
        <v>0</v>
      </c>
      <c r="N21" s="576">
        <v>0</v>
      </c>
      <c r="O21" s="576">
        <v>0</v>
      </c>
      <c r="P21" s="576">
        <v>0</v>
      </c>
      <c r="Q21" s="576">
        <v>0</v>
      </c>
      <c r="R21" s="576">
        <v>0</v>
      </c>
      <c r="S21" s="576">
        <v>0</v>
      </c>
      <c r="T21" s="576">
        <v>0</v>
      </c>
      <c r="U21" s="227">
        <f>SUM(E21:T21)</f>
        <v>1.4200000000000001E-2</v>
      </c>
    </row>
    <row r="22" spans="1:21" x14ac:dyDescent="0.2">
      <c r="A22" s="51">
        <f t="shared" si="0"/>
        <v>13</v>
      </c>
      <c r="B22" s="51">
        <v>51</v>
      </c>
      <c r="C22" s="68" t="s">
        <v>218</v>
      </c>
      <c r="D22" s="80" t="s">
        <v>222</v>
      </c>
      <c r="E22" s="576">
        <v>1.3600000000000001E-3</v>
      </c>
      <c r="F22" s="576">
        <v>0</v>
      </c>
      <c r="G22" s="576">
        <v>0</v>
      </c>
      <c r="H22" s="576">
        <v>0</v>
      </c>
      <c r="I22" s="576">
        <v>0</v>
      </c>
      <c r="J22" s="576">
        <v>0</v>
      </c>
      <c r="K22" s="576">
        <v>0</v>
      </c>
      <c r="L22" s="576">
        <v>0</v>
      </c>
      <c r="M22" s="576">
        <v>0</v>
      </c>
      <c r="N22" s="576">
        <v>0</v>
      </c>
      <c r="O22" s="576">
        <v>0</v>
      </c>
      <c r="P22" s="576">
        <v>0</v>
      </c>
      <c r="Q22" s="576">
        <v>0</v>
      </c>
      <c r="R22" s="576">
        <v>0</v>
      </c>
      <c r="S22" s="576">
        <v>0</v>
      </c>
      <c r="T22" s="576">
        <v>0</v>
      </c>
      <c r="U22" s="227">
        <f>SUM(E22:T22)</f>
        <v>1.3600000000000001E-3</v>
      </c>
    </row>
    <row r="23" spans="1:21" x14ac:dyDescent="0.2">
      <c r="A23" s="51">
        <f t="shared" si="0"/>
        <v>14</v>
      </c>
      <c r="B23" s="51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26"/>
    </row>
    <row r="24" spans="1:21" x14ac:dyDescent="0.2">
      <c r="A24" s="51">
        <f t="shared" si="0"/>
        <v>15</v>
      </c>
      <c r="B24" s="51">
        <f>B25</f>
        <v>51</v>
      </c>
      <c r="C24" s="68" t="s">
        <v>219</v>
      </c>
      <c r="D24" s="79" t="s">
        <v>929</v>
      </c>
      <c r="E24" s="286">
        <f t="shared" ref="E24:U24" si="1">E25</f>
        <v>1.43</v>
      </c>
      <c r="F24" s="286">
        <f t="shared" si="1"/>
        <v>0.05</v>
      </c>
      <c r="G24" s="286">
        <f t="shared" si="1"/>
        <v>0.03</v>
      </c>
      <c r="H24" s="286">
        <f t="shared" si="1"/>
        <v>-0.02</v>
      </c>
      <c r="I24" s="286">
        <f t="shared" si="1"/>
        <v>0.06</v>
      </c>
      <c r="J24" s="286">
        <f t="shared" si="1"/>
        <v>0.05</v>
      </c>
      <c r="K24" s="286">
        <f t="shared" si="1"/>
        <v>0</v>
      </c>
      <c r="L24" s="286">
        <f t="shared" si="1"/>
        <v>0</v>
      </c>
      <c r="M24" s="286">
        <f t="shared" si="1"/>
        <v>0.03</v>
      </c>
      <c r="N24" s="286">
        <f t="shared" si="1"/>
        <v>0</v>
      </c>
      <c r="O24" s="286">
        <f t="shared" si="1"/>
        <v>0</v>
      </c>
      <c r="P24" s="286">
        <f t="shared" si="1"/>
        <v>0.04</v>
      </c>
      <c r="Q24" s="286">
        <f t="shared" si="1"/>
        <v>0</v>
      </c>
      <c r="R24" s="286">
        <f t="shared" si="1"/>
        <v>-0.05</v>
      </c>
      <c r="S24" s="286">
        <f t="shared" si="1"/>
        <v>0</v>
      </c>
      <c r="T24" s="286">
        <f t="shared" si="1"/>
        <v>0</v>
      </c>
      <c r="U24" s="228">
        <f t="shared" si="1"/>
        <v>1.62</v>
      </c>
    </row>
    <row r="25" spans="1:21" x14ac:dyDescent="0.2">
      <c r="A25" s="51">
        <f t="shared" si="0"/>
        <v>16</v>
      </c>
      <c r="B25" s="51">
        <v>51</v>
      </c>
      <c r="C25" s="68" t="s">
        <v>219</v>
      </c>
      <c r="D25" s="79" t="s">
        <v>930</v>
      </c>
      <c r="E25" s="286">
        <v>1.43</v>
      </c>
      <c r="F25" s="286">
        <v>0.05</v>
      </c>
      <c r="G25" s="286">
        <v>0.03</v>
      </c>
      <c r="H25" s="286">
        <v>-0.02</v>
      </c>
      <c r="I25" s="286">
        <v>0.06</v>
      </c>
      <c r="J25" s="286">
        <v>0.05</v>
      </c>
      <c r="K25" s="286">
        <v>0</v>
      </c>
      <c r="L25" s="286">
        <v>0</v>
      </c>
      <c r="M25" s="286">
        <v>0.03</v>
      </c>
      <c r="N25" s="286">
        <v>0</v>
      </c>
      <c r="O25" s="286">
        <v>0</v>
      </c>
      <c r="P25" s="286">
        <v>0.04</v>
      </c>
      <c r="Q25" s="286">
        <v>0</v>
      </c>
      <c r="R25" s="286">
        <v>-0.05</v>
      </c>
      <c r="S25" s="286">
        <v>0</v>
      </c>
      <c r="T25" s="286">
        <v>0</v>
      </c>
      <c r="U25" s="228">
        <f t="shared" ref="U25:U33" si="2">SUM(E25:T25)</f>
        <v>1.62</v>
      </c>
    </row>
    <row r="26" spans="1:21" x14ac:dyDescent="0.2">
      <c r="A26" s="51">
        <f t="shared" si="0"/>
        <v>17</v>
      </c>
      <c r="B26" s="51">
        <v>51</v>
      </c>
      <c r="C26" s="68" t="s">
        <v>219</v>
      </c>
      <c r="D26" s="79" t="s">
        <v>527</v>
      </c>
      <c r="E26" s="286">
        <v>2.39</v>
      </c>
      <c r="F26" s="286">
        <v>0.08</v>
      </c>
      <c r="G26" s="286">
        <v>0.06</v>
      </c>
      <c r="H26" s="286">
        <v>-0.04</v>
      </c>
      <c r="I26" s="286">
        <v>0.1</v>
      </c>
      <c r="J26" s="286">
        <v>0.08</v>
      </c>
      <c r="K26" s="286">
        <v>0</v>
      </c>
      <c r="L26" s="286">
        <v>0</v>
      </c>
      <c r="M26" s="286">
        <v>0.04</v>
      </c>
      <c r="N26" s="286">
        <v>0</v>
      </c>
      <c r="O26" s="286">
        <v>0</v>
      </c>
      <c r="P26" s="286">
        <v>7.0000000000000007E-2</v>
      </c>
      <c r="Q26" s="286">
        <v>0</v>
      </c>
      <c r="R26" s="286">
        <v>-0.08</v>
      </c>
      <c r="S26" s="286">
        <v>0</v>
      </c>
      <c r="T26" s="286">
        <v>0</v>
      </c>
      <c r="U26" s="228">
        <f t="shared" si="2"/>
        <v>2.7</v>
      </c>
    </row>
    <row r="27" spans="1:21" x14ac:dyDescent="0.2">
      <c r="A27" s="51">
        <f t="shared" si="0"/>
        <v>18</v>
      </c>
      <c r="B27" s="51">
        <v>51</v>
      </c>
      <c r="C27" s="68" t="s">
        <v>219</v>
      </c>
      <c r="D27" s="79" t="s">
        <v>528</v>
      </c>
      <c r="E27" s="286">
        <v>3.34</v>
      </c>
      <c r="F27" s="286">
        <v>0.12</v>
      </c>
      <c r="G27" s="286">
        <v>0.08</v>
      </c>
      <c r="H27" s="286">
        <v>-0.05</v>
      </c>
      <c r="I27" s="286">
        <v>0.14000000000000001</v>
      </c>
      <c r="J27" s="286">
        <v>0.11</v>
      </c>
      <c r="K27" s="286">
        <v>0</v>
      </c>
      <c r="L27" s="286">
        <v>0</v>
      </c>
      <c r="M27" s="286">
        <v>0.06</v>
      </c>
      <c r="N27" s="286">
        <v>0</v>
      </c>
      <c r="O27" s="286">
        <v>0</v>
      </c>
      <c r="P27" s="286">
        <v>0.1</v>
      </c>
      <c r="Q27" s="286">
        <v>0</v>
      </c>
      <c r="R27" s="286">
        <v>-0.11</v>
      </c>
      <c r="S27" s="286">
        <v>0</v>
      </c>
      <c r="T27" s="286">
        <v>0</v>
      </c>
      <c r="U27" s="228">
        <f t="shared" si="2"/>
        <v>3.7900000000000005</v>
      </c>
    </row>
    <row r="28" spans="1:21" x14ac:dyDescent="0.2">
      <c r="A28" s="51">
        <f t="shared" si="0"/>
        <v>19</v>
      </c>
      <c r="B28" s="51">
        <v>51</v>
      </c>
      <c r="C28" s="68" t="s">
        <v>219</v>
      </c>
      <c r="D28" s="79" t="s">
        <v>529</v>
      </c>
      <c r="E28" s="286">
        <v>4.3</v>
      </c>
      <c r="F28" s="286">
        <v>0.15</v>
      </c>
      <c r="G28" s="286">
        <v>0.1</v>
      </c>
      <c r="H28" s="286">
        <v>-7.0000000000000007E-2</v>
      </c>
      <c r="I28" s="286">
        <v>0.18</v>
      </c>
      <c r="J28" s="286">
        <v>0.14000000000000001</v>
      </c>
      <c r="K28" s="286">
        <v>0</v>
      </c>
      <c r="L28" s="286">
        <v>0</v>
      </c>
      <c r="M28" s="286">
        <v>7.0000000000000007E-2</v>
      </c>
      <c r="N28" s="286">
        <v>0</v>
      </c>
      <c r="O28" s="286">
        <v>0</v>
      </c>
      <c r="P28" s="286">
        <v>0.13</v>
      </c>
      <c r="Q28" s="286">
        <v>0</v>
      </c>
      <c r="R28" s="286">
        <v>-0.14000000000000001</v>
      </c>
      <c r="S28" s="286">
        <v>0</v>
      </c>
      <c r="T28" s="286">
        <v>0</v>
      </c>
      <c r="U28" s="228">
        <f t="shared" si="2"/>
        <v>4.8599999999999994</v>
      </c>
    </row>
    <row r="29" spans="1:21" x14ac:dyDescent="0.2">
      <c r="A29" s="51">
        <f t="shared" si="0"/>
        <v>20</v>
      </c>
      <c r="B29" s="51">
        <v>51</v>
      </c>
      <c r="C29" s="68" t="s">
        <v>219</v>
      </c>
      <c r="D29" s="79" t="s">
        <v>519</v>
      </c>
      <c r="E29" s="286">
        <v>5.26</v>
      </c>
      <c r="F29" s="286">
        <v>0.18</v>
      </c>
      <c r="G29" s="286">
        <v>0.12</v>
      </c>
      <c r="H29" s="286">
        <v>-0.08</v>
      </c>
      <c r="I29" s="286">
        <v>0.22</v>
      </c>
      <c r="J29" s="286">
        <v>0.17</v>
      </c>
      <c r="K29" s="286">
        <v>0</v>
      </c>
      <c r="L29" s="286">
        <v>0</v>
      </c>
      <c r="M29" s="286">
        <v>9.0000000000000011E-2</v>
      </c>
      <c r="N29" s="286">
        <v>0</v>
      </c>
      <c r="O29" s="286">
        <v>0</v>
      </c>
      <c r="P29" s="286">
        <v>0.16</v>
      </c>
      <c r="Q29" s="286">
        <v>0</v>
      </c>
      <c r="R29" s="286">
        <v>-0.17</v>
      </c>
      <c r="S29" s="286">
        <v>0</v>
      </c>
      <c r="T29" s="286">
        <v>0</v>
      </c>
      <c r="U29" s="228">
        <f t="shared" si="2"/>
        <v>5.9499999999999993</v>
      </c>
    </row>
    <row r="30" spans="1:21" x14ac:dyDescent="0.2">
      <c r="A30" s="51">
        <f t="shared" si="0"/>
        <v>21</v>
      </c>
      <c r="B30" s="51">
        <v>51</v>
      </c>
      <c r="C30" s="68" t="s">
        <v>219</v>
      </c>
      <c r="D30" s="79" t="s">
        <v>520</v>
      </c>
      <c r="E30" s="286">
        <v>6.21</v>
      </c>
      <c r="F30" s="286">
        <v>0.22</v>
      </c>
      <c r="G30" s="286">
        <v>0.15</v>
      </c>
      <c r="H30" s="286">
        <v>-0.1</v>
      </c>
      <c r="I30" s="286">
        <v>0.26</v>
      </c>
      <c r="J30" s="286">
        <v>0.21</v>
      </c>
      <c r="K30" s="286">
        <v>0</v>
      </c>
      <c r="L30" s="286">
        <v>0</v>
      </c>
      <c r="M30" s="286">
        <v>0.11</v>
      </c>
      <c r="N30" s="286">
        <v>0</v>
      </c>
      <c r="O30" s="286">
        <v>0</v>
      </c>
      <c r="P30" s="286">
        <v>0.19</v>
      </c>
      <c r="Q30" s="286">
        <v>0</v>
      </c>
      <c r="R30" s="286">
        <v>-0.2</v>
      </c>
      <c r="S30" s="286">
        <v>0</v>
      </c>
      <c r="T30" s="286">
        <v>0</v>
      </c>
      <c r="U30" s="228">
        <f t="shared" si="2"/>
        <v>7.0500000000000007</v>
      </c>
    </row>
    <row r="31" spans="1:21" x14ac:dyDescent="0.2">
      <c r="A31" s="51">
        <f t="shared" si="0"/>
        <v>22</v>
      </c>
      <c r="B31" s="51">
        <v>51</v>
      </c>
      <c r="C31" s="68" t="s">
        <v>219</v>
      </c>
      <c r="D31" s="79" t="s">
        <v>521</v>
      </c>
      <c r="E31" s="286">
        <v>7.17</v>
      </c>
      <c r="F31" s="286">
        <v>0.25</v>
      </c>
      <c r="G31" s="286">
        <v>0.17</v>
      </c>
      <c r="H31" s="286">
        <v>-0.11</v>
      </c>
      <c r="I31" s="286">
        <v>0.3</v>
      </c>
      <c r="J31" s="286">
        <v>0.24</v>
      </c>
      <c r="K31" s="286">
        <v>0</v>
      </c>
      <c r="L31" s="286">
        <v>0</v>
      </c>
      <c r="M31" s="286">
        <v>0.12</v>
      </c>
      <c r="N31" s="286">
        <v>0</v>
      </c>
      <c r="O31" s="286">
        <v>0</v>
      </c>
      <c r="P31" s="286">
        <v>0.22</v>
      </c>
      <c r="Q31" s="286">
        <v>0</v>
      </c>
      <c r="R31" s="286">
        <v>-0.23</v>
      </c>
      <c r="S31" s="286">
        <v>0</v>
      </c>
      <c r="T31" s="286">
        <v>0</v>
      </c>
      <c r="U31" s="228">
        <f t="shared" si="2"/>
        <v>8.129999999999999</v>
      </c>
    </row>
    <row r="32" spans="1:21" x14ac:dyDescent="0.2">
      <c r="A32" s="51">
        <f t="shared" si="0"/>
        <v>23</v>
      </c>
      <c r="B32" s="51">
        <v>51</v>
      </c>
      <c r="C32" s="68" t="s">
        <v>219</v>
      </c>
      <c r="D32" s="79" t="s">
        <v>522</v>
      </c>
      <c r="E32" s="286">
        <v>8.1199999999999992</v>
      </c>
      <c r="F32" s="286">
        <v>0.28999999999999998</v>
      </c>
      <c r="G32" s="286">
        <v>0.19</v>
      </c>
      <c r="H32" s="286">
        <v>-0.12</v>
      </c>
      <c r="I32" s="286">
        <v>0.34</v>
      </c>
      <c r="J32" s="286">
        <v>0.27</v>
      </c>
      <c r="K32" s="286">
        <v>0</v>
      </c>
      <c r="L32" s="286">
        <v>-0.01</v>
      </c>
      <c r="M32" s="286">
        <v>0.14000000000000001</v>
      </c>
      <c r="N32" s="286">
        <v>0</v>
      </c>
      <c r="O32" s="286">
        <v>0</v>
      </c>
      <c r="P32" s="286">
        <v>0.25</v>
      </c>
      <c r="Q32" s="286">
        <v>0</v>
      </c>
      <c r="R32" s="286">
        <v>-0.26</v>
      </c>
      <c r="S32" s="286">
        <v>0</v>
      </c>
      <c r="T32" s="286">
        <v>0</v>
      </c>
      <c r="U32" s="228">
        <f t="shared" si="2"/>
        <v>9.2099999999999991</v>
      </c>
    </row>
    <row r="33" spans="1:21" x14ac:dyDescent="0.2">
      <c r="A33" s="51">
        <f t="shared" si="0"/>
        <v>24</v>
      </c>
      <c r="B33" s="51">
        <v>51</v>
      </c>
      <c r="C33" s="68" t="s">
        <v>219</v>
      </c>
      <c r="D33" s="79" t="s">
        <v>523</v>
      </c>
      <c r="E33" s="286">
        <v>9.08</v>
      </c>
      <c r="F33" s="286">
        <v>0.32</v>
      </c>
      <c r="G33" s="286">
        <v>0.21</v>
      </c>
      <c r="H33" s="286">
        <v>-0.14000000000000001</v>
      </c>
      <c r="I33" s="286">
        <v>0.38</v>
      </c>
      <c r="J33" s="286">
        <v>0.3</v>
      </c>
      <c r="K33" s="286">
        <v>0</v>
      </c>
      <c r="L33" s="286">
        <v>-0.01</v>
      </c>
      <c r="M33" s="286">
        <v>0.15</v>
      </c>
      <c r="N33" s="286">
        <v>0</v>
      </c>
      <c r="O33" s="286">
        <v>0</v>
      </c>
      <c r="P33" s="286">
        <v>0.28000000000000003</v>
      </c>
      <c r="Q33" s="286">
        <v>0</v>
      </c>
      <c r="R33" s="286">
        <v>-0.28999999999999998</v>
      </c>
      <c r="S33" s="286">
        <v>0</v>
      </c>
      <c r="T33" s="286">
        <v>0</v>
      </c>
      <c r="U33" s="228">
        <f t="shared" si="2"/>
        <v>10.280000000000003</v>
      </c>
    </row>
    <row r="34" spans="1:21" x14ac:dyDescent="0.2">
      <c r="A34" s="51">
        <f t="shared" si="0"/>
        <v>25</v>
      </c>
      <c r="B34" s="51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26"/>
    </row>
    <row r="35" spans="1:21" x14ac:dyDescent="0.2">
      <c r="A35" s="51">
        <f t="shared" si="0"/>
        <v>26</v>
      </c>
      <c r="B35" s="51">
        <v>52</v>
      </c>
      <c r="C35" s="60" t="s">
        <v>220</v>
      </c>
      <c r="D35" s="79" t="s">
        <v>221</v>
      </c>
      <c r="E35" s="576">
        <v>1.4200000000000001E-2</v>
      </c>
      <c r="F35" s="576">
        <v>0</v>
      </c>
      <c r="G35" s="576">
        <v>0</v>
      </c>
      <c r="H35" s="576">
        <v>0</v>
      </c>
      <c r="I35" s="576">
        <v>0</v>
      </c>
      <c r="J35" s="576">
        <v>0</v>
      </c>
      <c r="K35" s="576">
        <v>0</v>
      </c>
      <c r="L35" s="576">
        <v>0</v>
      </c>
      <c r="M35" s="576">
        <v>0</v>
      </c>
      <c r="N35" s="576">
        <v>0</v>
      </c>
      <c r="O35" s="576">
        <v>0</v>
      </c>
      <c r="P35" s="576">
        <v>0</v>
      </c>
      <c r="Q35" s="576">
        <v>0</v>
      </c>
      <c r="R35" s="576">
        <v>0</v>
      </c>
      <c r="S35" s="576">
        <v>0</v>
      </c>
      <c r="T35" s="576">
        <v>0</v>
      </c>
      <c r="U35" s="227">
        <f>SUM(E35:T35)</f>
        <v>1.4200000000000001E-2</v>
      </c>
    </row>
    <row r="36" spans="1:21" x14ac:dyDescent="0.2">
      <c r="A36" s="51">
        <f t="shared" si="0"/>
        <v>27</v>
      </c>
      <c r="B36" s="51">
        <v>52</v>
      </c>
      <c r="C36" s="60" t="s">
        <v>220</v>
      </c>
      <c r="D36" s="80" t="s">
        <v>222</v>
      </c>
      <c r="E36" s="576">
        <v>1.3600000000000001E-3</v>
      </c>
      <c r="F36" s="576">
        <v>0</v>
      </c>
      <c r="G36" s="576">
        <v>0</v>
      </c>
      <c r="H36" s="576">
        <v>0</v>
      </c>
      <c r="I36" s="576">
        <v>0</v>
      </c>
      <c r="J36" s="576">
        <v>0</v>
      </c>
      <c r="K36" s="576">
        <v>0</v>
      </c>
      <c r="L36" s="576">
        <v>0</v>
      </c>
      <c r="M36" s="576">
        <v>0</v>
      </c>
      <c r="N36" s="576">
        <v>0</v>
      </c>
      <c r="O36" s="576">
        <v>0</v>
      </c>
      <c r="P36" s="576">
        <v>0</v>
      </c>
      <c r="Q36" s="576">
        <v>0</v>
      </c>
      <c r="R36" s="576">
        <v>0</v>
      </c>
      <c r="S36" s="576">
        <v>0</v>
      </c>
      <c r="T36" s="576">
        <v>0</v>
      </c>
      <c r="U36" s="227">
        <f>SUM(E36:T36)</f>
        <v>1.3600000000000001E-3</v>
      </c>
    </row>
    <row r="37" spans="1:21" x14ac:dyDescent="0.2">
      <c r="A37" s="51">
        <f t="shared" si="0"/>
        <v>28</v>
      </c>
      <c r="B37" s="51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26"/>
    </row>
    <row r="38" spans="1:21" x14ac:dyDescent="0.2">
      <c r="A38" s="51">
        <f t="shared" si="0"/>
        <v>29</v>
      </c>
      <c r="B38" s="51">
        <v>52</v>
      </c>
      <c r="C38" s="60" t="s">
        <v>220</v>
      </c>
      <c r="D38" s="79" t="s">
        <v>223</v>
      </c>
      <c r="E38" s="286">
        <v>1.59</v>
      </c>
      <c r="F38" s="286">
        <v>0.06</v>
      </c>
      <c r="G38" s="286">
        <v>0.04</v>
      </c>
      <c r="H38" s="286">
        <v>-0.02</v>
      </c>
      <c r="I38" s="286">
        <v>7.0000000000000007E-2</v>
      </c>
      <c r="J38" s="286">
        <v>0.05</v>
      </c>
      <c r="K38" s="286">
        <v>0</v>
      </c>
      <c r="L38" s="286">
        <v>0</v>
      </c>
      <c r="M38" s="286">
        <v>0.03</v>
      </c>
      <c r="N38" s="286">
        <v>0</v>
      </c>
      <c r="O38" s="286">
        <v>0</v>
      </c>
      <c r="P38" s="286">
        <v>0.05</v>
      </c>
      <c r="Q38" s="286">
        <v>0</v>
      </c>
      <c r="R38" s="286">
        <v>-0.05</v>
      </c>
      <c r="S38" s="286">
        <v>0</v>
      </c>
      <c r="T38" s="286">
        <v>0</v>
      </c>
      <c r="U38" s="228">
        <f t="shared" ref="U38:U45" si="3">SUM(E38:T38)</f>
        <v>1.8200000000000003</v>
      </c>
    </row>
    <row r="39" spans="1:21" x14ac:dyDescent="0.2">
      <c r="A39" s="51">
        <f t="shared" si="0"/>
        <v>30</v>
      </c>
      <c r="B39" s="51">
        <v>52</v>
      </c>
      <c r="C39" s="60" t="s">
        <v>220</v>
      </c>
      <c r="D39" s="79" t="s">
        <v>224</v>
      </c>
      <c r="E39" s="286">
        <v>2.23</v>
      </c>
      <c r="F39" s="286">
        <v>0.08</v>
      </c>
      <c r="G39" s="286">
        <v>0.05</v>
      </c>
      <c r="H39" s="286">
        <v>-0.03</v>
      </c>
      <c r="I39" s="286">
        <v>0.09</v>
      </c>
      <c r="J39" s="286">
        <v>7.0000000000000007E-2</v>
      </c>
      <c r="K39" s="286">
        <v>0</v>
      </c>
      <c r="L39" s="286">
        <v>0</v>
      </c>
      <c r="M39" s="286">
        <v>0.04</v>
      </c>
      <c r="N39" s="286">
        <v>0</v>
      </c>
      <c r="O39" s="286">
        <v>0</v>
      </c>
      <c r="P39" s="286">
        <v>7.0000000000000007E-2</v>
      </c>
      <c r="Q39" s="286">
        <v>0</v>
      </c>
      <c r="R39" s="286">
        <v>-7.0000000000000007E-2</v>
      </c>
      <c r="S39" s="286">
        <v>0</v>
      </c>
      <c r="T39" s="286">
        <v>0</v>
      </c>
      <c r="U39" s="228">
        <f t="shared" si="3"/>
        <v>2.5299999999999998</v>
      </c>
    </row>
    <row r="40" spans="1:21" x14ac:dyDescent="0.2">
      <c r="A40" s="51">
        <f t="shared" si="0"/>
        <v>31</v>
      </c>
      <c r="B40" s="51">
        <v>52</v>
      </c>
      <c r="C40" s="60" t="s">
        <v>220</v>
      </c>
      <c r="D40" s="79" t="s">
        <v>214</v>
      </c>
      <c r="E40" s="286">
        <v>3.19</v>
      </c>
      <c r="F40" s="286">
        <v>0.11</v>
      </c>
      <c r="G40" s="286">
        <v>7.0000000000000007E-2</v>
      </c>
      <c r="H40" s="286">
        <v>-0.05</v>
      </c>
      <c r="I40" s="286">
        <v>0.13</v>
      </c>
      <c r="J40" s="286">
        <v>0.1</v>
      </c>
      <c r="K40" s="286">
        <v>0</v>
      </c>
      <c r="L40" s="286">
        <v>0</v>
      </c>
      <c r="M40" s="286">
        <v>0.05</v>
      </c>
      <c r="N40" s="286">
        <v>0</v>
      </c>
      <c r="O40" s="286">
        <v>0</v>
      </c>
      <c r="P40" s="286">
        <v>0.1</v>
      </c>
      <c r="Q40" s="286">
        <v>0</v>
      </c>
      <c r="R40" s="286">
        <v>-0.1</v>
      </c>
      <c r="S40" s="286">
        <v>0</v>
      </c>
      <c r="T40" s="286">
        <v>0</v>
      </c>
      <c r="U40" s="228">
        <f t="shared" si="3"/>
        <v>3.5999999999999996</v>
      </c>
    </row>
    <row r="41" spans="1:21" x14ac:dyDescent="0.2">
      <c r="A41" s="51">
        <f t="shared" si="0"/>
        <v>32</v>
      </c>
      <c r="B41" s="51">
        <v>52</v>
      </c>
      <c r="C41" s="60" t="s">
        <v>220</v>
      </c>
      <c r="D41" s="79" t="s">
        <v>225</v>
      </c>
      <c r="E41" s="286">
        <v>4.78</v>
      </c>
      <c r="F41" s="286">
        <v>0.17</v>
      </c>
      <c r="G41" s="286">
        <v>0.11</v>
      </c>
      <c r="H41" s="286">
        <v>-7.0000000000000007E-2</v>
      </c>
      <c r="I41" s="286">
        <v>0.2</v>
      </c>
      <c r="J41" s="286">
        <v>0.16</v>
      </c>
      <c r="K41" s="286">
        <v>0</v>
      </c>
      <c r="L41" s="286">
        <v>0</v>
      </c>
      <c r="M41" s="286">
        <v>0.08</v>
      </c>
      <c r="N41" s="286">
        <v>0</v>
      </c>
      <c r="O41" s="286">
        <v>0</v>
      </c>
      <c r="P41" s="286">
        <v>0.15</v>
      </c>
      <c r="Q41" s="286">
        <v>0</v>
      </c>
      <c r="R41" s="286">
        <v>-0.15</v>
      </c>
      <c r="S41" s="286">
        <v>0</v>
      </c>
      <c r="T41" s="286">
        <v>0</v>
      </c>
      <c r="U41" s="228">
        <f t="shared" si="3"/>
        <v>5.4300000000000006</v>
      </c>
    </row>
    <row r="42" spans="1:21" x14ac:dyDescent="0.2">
      <c r="A42" s="51">
        <f t="shared" si="0"/>
        <v>33</v>
      </c>
      <c r="B42" s="51">
        <v>52</v>
      </c>
      <c r="C42" s="60" t="s">
        <v>220</v>
      </c>
      <c r="D42" s="79" t="s">
        <v>226</v>
      </c>
      <c r="E42" s="286">
        <v>6.37</v>
      </c>
      <c r="F42" s="286">
        <v>0.22</v>
      </c>
      <c r="G42" s="286">
        <v>0.15</v>
      </c>
      <c r="H42" s="286">
        <v>-0.1</v>
      </c>
      <c r="I42" s="286">
        <v>0.27</v>
      </c>
      <c r="J42" s="286">
        <v>0.21</v>
      </c>
      <c r="K42" s="286">
        <v>0</v>
      </c>
      <c r="L42" s="286">
        <v>0</v>
      </c>
      <c r="M42" s="286">
        <v>0.11</v>
      </c>
      <c r="N42" s="286">
        <v>0</v>
      </c>
      <c r="O42" s="286">
        <v>0</v>
      </c>
      <c r="P42" s="286">
        <v>0.2</v>
      </c>
      <c r="Q42" s="286">
        <v>0</v>
      </c>
      <c r="R42" s="286">
        <v>-0.21</v>
      </c>
      <c r="S42" s="286">
        <v>0</v>
      </c>
      <c r="T42" s="286">
        <v>0</v>
      </c>
      <c r="U42" s="228">
        <f t="shared" si="3"/>
        <v>7.2200000000000006</v>
      </c>
    </row>
    <row r="43" spans="1:21" x14ac:dyDescent="0.2">
      <c r="A43" s="51">
        <f t="shared" ref="A43:A74" si="4">A42+1</f>
        <v>34</v>
      </c>
      <c r="B43" s="51">
        <v>52</v>
      </c>
      <c r="C43" s="60" t="s">
        <v>220</v>
      </c>
      <c r="D43" s="79" t="s">
        <v>227</v>
      </c>
      <c r="E43" s="286">
        <v>7.96</v>
      </c>
      <c r="F43" s="286">
        <v>0.28000000000000003</v>
      </c>
      <c r="G43" s="286">
        <v>0.19</v>
      </c>
      <c r="H43" s="286">
        <v>-0.12</v>
      </c>
      <c r="I43" s="286">
        <v>0.34</v>
      </c>
      <c r="J43" s="286">
        <v>0.26</v>
      </c>
      <c r="K43" s="286">
        <v>0</v>
      </c>
      <c r="L43" s="286">
        <v>-0.01</v>
      </c>
      <c r="M43" s="286">
        <v>0.14000000000000001</v>
      </c>
      <c r="N43" s="286">
        <v>0</v>
      </c>
      <c r="O43" s="286">
        <v>0</v>
      </c>
      <c r="P43" s="286">
        <v>0.25</v>
      </c>
      <c r="Q43" s="286">
        <v>0</v>
      </c>
      <c r="R43" s="286">
        <v>-0.26</v>
      </c>
      <c r="S43" s="286">
        <v>0</v>
      </c>
      <c r="T43" s="286">
        <v>0</v>
      </c>
      <c r="U43" s="228">
        <f t="shared" si="3"/>
        <v>9.0300000000000011</v>
      </c>
    </row>
    <row r="44" spans="1:21" x14ac:dyDescent="0.2">
      <c r="A44" s="51">
        <f t="shared" si="4"/>
        <v>35</v>
      </c>
      <c r="B44" s="51">
        <v>52</v>
      </c>
      <c r="C44" s="60" t="s">
        <v>220</v>
      </c>
      <c r="D44" s="79" t="s">
        <v>228</v>
      </c>
      <c r="E44" s="286">
        <v>9.8699999999999992</v>
      </c>
      <c r="F44" s="286">
        <v>0.35</v>
      </c>
      <c r="G44" s="286">
        <v>0.23</v>
      </c>
      <c r="H44" s="286">
        <v>-0.15</v>
      </c>
      <c r="I44" s="286">
        <v>0.42</v>
      </c>
      <c r="J44" s="286">
        <v>0.33</v>
      </c>
      <c r="K44" s="286">
        <v>0</v>
      </c>
      <c r="L44" s="286">
        <v>-0.01</v>
      </c>
      <c r="M44" s="286">
        <v>0.16</v>
      </c>
      <c r="N44" s="286">
        <v>0</v>
      </c>
      <c r="O44" s="286">
        <v>0</v>
      </c>
      <c r="P44" s="286">
        <v>0.31</v>
      </c>
      <c r="Q44" s="286">
        <v>0</v>
      </c>
      <c r="R44" s="286">
        <v>-0.32</v>
      </c>
      <c r="S44" s="286">
        <v>0</v>
      </c>
      <c r="T44" s="286">
        <v>0</v>
      </c>
      <c r="U44" s="228">
        <f t="shared" si="3"/>
        <v>11.19</v>
      </c>
    </row>
    <row r="45" spans="1:21" x14ac:dyDescent="0.2">
      <c r="A45" s="51">
        <f t="shared" si="4"/>
        <v>36</v>
      </c>
      <c r="B45" s="51">
        <v>52</v>
      </c>
      <c r="C45" s="60" t="s">
        <v>220</v>
      </c>
      <c r="D45" s="79" t="s">
        <v>216</v>
      </c>
      <c r="E45" s="286">
        <v>12.74</v>
      </c>
      <c r="F45" s="286">
        <v>0.45</v>
      </c>
      <c r="G45" s="286">
        <v>0.3</v>
      </c>
      <c r="H45" s="286">
        <v>-0.19</v>
      </c>
      <c r="I45" s="286">
        <v>0.54</v>
      </c>
      <c r="J45" s="286">
        <v>0.42</v>
      </c>
      <c r="K45" s="286">
        <v>0</v>
      </c>
      <c r="L45" s="286">
        <v>-0.01</v>
      </c>
      <c r="M45" s="286">
        <v>0.22</v>
      </c>
      <c r="N45" s="286">
        <v>0</v>
      </c>
      <c r="O45" s="286">
        <v>0</v>
      </c>
      <c r="P45" s="286">
        <v>0.4</v>
      </c>
      <c r="Q45" s="286">
        <v>0</v>
      </c>
      <c r="R45" s="286">
        <v>-0.41</v>
      </c>
      <c r="S45" s="286">
        <v>0</v>
      </c>
      <c r="T45" s="286">
        <v>0</v>
      </c>
      <c r="U45" s="228">
        <f t="shared" si="3"/>
        <v>14.46</v>
      </c>
    </row>
    <row r="46" spans="1:21" x14ac:dyDescent="0.2">
      <c r="A46" s="51">
        <f t="shared" si="4"/>
        <v>37</v>
      </c>
      <c r="B46" s="51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26"/>
    </row>
    <row r="47" spans="1:21" x14ac:dyDescent="0.2">
      <c r="A47" s="51">
        <f t="shared" si="4"/>
        <v>38</v>
      </c>
      <c r="B47" s="51">
        <v>52</v>
      </c>
      <c r="C47" s="60" t="s">
        <v>229</v>
      </c>
      <c r="D47" s="80" t="s">
        <v>224</v>
      </c>
      <c r="E47" s="286">
        <v>2.23</v>
      </c>
      <c r="F47" s="286">
        <v>0.08</v>
      </c>
      <c r="G47" s="286">
        <v>0.05</v>
      </c>
      <c r="H47" s="286">
        <v>-0.03</v>
      </c>
      <c r="I47" s="286">
        <v>0.09</v>
      </c>
      <c r="J47" s="286">
        <v>7.0000000000000007E-2</v>
      </c>
      <c r="K47" s="286">
        <v>0</v>
      </c>
      <c r="L47" s="286">
        <v>0</v>
      </c>
      <c r="M47" s="286">
        <v>0.04</v>
      </c>
      <c r="N47" s="286">
        <v>0</v>
      </c>
      <c r="O47" s="286">
        <v>0</v>
      </c>
      <c r="P47" s="286">
        <v>7.0000000000000007E-2</v>
      </c>
      <c r="Q47" s="286">
        <v>0</v>
      </c>
      <c r="R47" s="286">
        <v>-7.0000000000000007E-2</v>
      </c>
      <c r="S47" s="286">
        <v>0</v>
      </c>
      <c r="T47" s="286">
        <v>0</v>
      </c>
      <c r="U47" s="228">
        <f t="shared" ref="U47:U53" si="5">SUM(E47:T47)</f>
        <v>2.5299999999999998</v>
      </c>
    </row>
    <row r="48" spans="1:21" x14ac:dyDescent="0.2">
      <c r="A48" s="51">
        <f t="shared" si="4"/>
        <v>39</v>
      </c>
      <c r="B48" s="51">
        <v>52</v>
      </c>
      <c r="C48" s="60" t="s">
        <v>229</v>
      </c>
      <c r="D48" s="80" t="s">
        <v>214</v>
      </c>
      <c r="E48" s="286">
        <v>3.19</v>
      </c>
      <c r="F48" s="286">
        <v>0.11</v>
      </c>
      <c r="G48" s="286">
        <v>7.0000000000000007E-2</v>
      </c>
      <c r="H48" s="286">
        <v>-0.05</v>
      </c>
      <c r="I48" s="286">
        <v>0.13</v>
      </c>
      <c r="J48" s="286">
        <v>0.1</v>
      </c>
      <c r="K48" s="286">
        <v>0</v>
      </c>
      <c r="L48" s="286">
        <v>0</v>
      </c>
      <c r="M48" s="286">
        <v>0.05</v>
      </c>
      <c r="N48" s="286">
        <v>0</v>
      </c>
      <c r="O48" s="286">
        <v>0</v>
      </c>
      <c r="P48" s="286">
        <v>0.1</v>
      </c>
      <c r="Q48" s="286">
        <v>0</v>
      </c>
      <c r="R48" s="286">
        <v>-0.1</v>
      </c>
      <c r="S48" s="286">
        <v>0</v>
      </c>
      <c r="T48" s="286">
        <v>0</v>
      </c>
      <c r="U48" s="228">
        <f t="shared" si="5"/>
        <v>3.5999999999999996</v>
      </c>
    </row>
    <row r="49" spans="1:21" x14ac:dyDescent="0.2">
      <c r="A49" s="51">
        <f t="shared" si="4"/>
        <v>40</v>
      </c>
      <c r="B49" s="51">
        <v>52</v>
      </c>
      <c r="C49" s="60" t="s">
        <v>229</v>
      </c>
      <c r="D49" s="80" t="s">
        <v>225</v>
      </c>
      <c r="E49" s="286">
        <v>4.78</v>
      </c>
      <c r="F49" s="286">
        <v>0.17</v>
      </c>
      <c r="G49" s="286">
        <v>0.11</v>
      </c>
      <c r="H49" s="286">
        <v>-7.0000000000000007E-2</v>
      </c>
      <c r="I49" s="286">
        <v>0.2</v>
      </c>
      <c r="J49" s="286">
        <v>0.16</v>
      </c>
      <c r="K49" s="286">
        <v>0</v>
      </c>
      <c r="L49" s="286">
        <v>0</v>
      </c>
      <c r="M49" s="286">
        <v>0.08</v>
      </c>
      <c r="N49" s="286">
        <v>0</v>
      </c>
      <c r="O49" s="286">
        <v>0</v>
      </c>
      <c r="P49" s="286">
        <v>0.15</v>
      </c>
      <c r="Q49" s="286">
        <v>0</v>
      </c>
      <c r="R49" s="286">
        <v>-0.15</v>
      </c>
      <c r="S49" s="286">
        <v>0</v>
      </c>
      <c r="T49" s="286">
        <v>0</v>
      </c>
      <c r="U49" s="228">
        <f t="shared" si="5"/>
        <v>5.4300000000000006</v>
      </c>
    </row>
    <row r="50" spans="1:21" x14ac:dyDescent="0.2">
      <c r="A50" s="51">
        <f t="shared" si="4"/>
        <v>41</v>
      </c>
      <c r="B50" s="51">
        <v>52</v>
      </c>
      <c r="C50" s="60" t="s">
        <v>229</v>
      </c>
      <c r="D50" s="79" t="s">
        <v>215</v>
      </c>
      <c r="E50" s="286">
        <v>5.57</v>
      </c>
      <c r="F50" s="286">
        <v>0.2</v>
      </c>
      <c r="G50" s="286">
        <v>0.13</v>
      </c>
      <c r="H50" s="286">
        <v>-0.09</v>
      </c>
      <c r="I50" s="286">
        <v>0.24</v>
      </c>
      <c r="J50" s="286">
        <v>0.18</v>
      </c>
      <c r="K50" s="286">
        <v>0</v>
      </c>
      <c r="L50" s="286">
        <v>0</v>
      </c>
      <c r="M50" s="286">
        <v>0.1</v>
      </c>
      <c r="N50" s="286">
        <v>0</v>
      </c>
      <c r="O50" s="286">
        <v>0</v>
      </c>
      <c r="P50" s="286">
        <v>0.17</v>
      </c>
      <c r="Q50" s="286">
        <v>0</v>
      </c>
      <c r="R50" s="286">
        <v>-0.18</v>
      </c>
      <c r="S50" s="286">
        <v>0</v>
      </c>
      <c r="T50" s="286">
        <v>0</v>
      </c>
      <c r="U50" s="228">
        <f t="shared" si="5"/>
        <v>6.32</v>
      </c>
    </row>
    <row r="51" spans="1:21" x14ac:dyDescent="0.2">
      <c r="A51" s="51">
        <f t="shared" si="4"/>
        <v>42</v>
      </c>
      <c r="B51" s="51">
        <v>52</v>
      </c>
      <c r="C51" s="60" t="s">
        <v>229</v>
      </c>
      <c r="D51" s="79" t="s">
        <v>227</v>
      </c>
      <c r="E51" s="286">
        <v>7.96</v>
      </c>
      <c r="F51" s="286">
        <v>0.28000000000000003</v>
      </c>
      <c r="G51" s="286">
        <v>0.19</v>
      </c>
      <c r="H51" s="286">
        <v>-0.12</v>
      </c>
      <c r="I51" s="286">
        <v>0.34</v>
      </c>
      <c r="J51" s="286">
        <v>0.26</v>
      </c>
      <c r="K51" s="286">
        <v>0</v>
      </c>
      <c r="L51" s="286">
        <v>-0.01</v>
      </c>
      <c r="M51" s="286">
        <v>0.14000000000000001</v>
      </c>
      <c r="N51" s="286">
        <v>0</v>
      </c>
      <c r="O51" s="286">
        <v>0</v>
      </c>
      <c r="P51" s="286">
        <v>0.25</v>
      </c>
      <c r="Q51" s="286">
        <v>0</v>
      </c>
      <c r="R51" s="286">
        <v>-0.26</v>
      </c>
      <c r="S51" s="286">
        <v>0</v>
      </c>
      <c r="T51" s="286">
        <v>0</v>
      </c>
      <c r="U51" s="228">
        <f t="shared" si="5"/>
        <v>9.0300000000000011</v>
      </c>
    </row>
    <row r="52" spans="1:21" x14ac:dyDescent="0.2">
      <c r="A52" s="51">
        <f t="shared" si="4"/>
        <v>43</v>
      </c>
      <c r="B52" s="51">
        <v>52</v>
      </c>
      <c r="C52" s="60" t="s">
        <v>229</v>
      </c>
      <c r="D52" s="79" t="s">
        <v>216</v>
      </c>
      <c r="E52" s="286">
        <v>12.74</v>
      </c>
      <c r="F52" s="286">
        <v>0.45</v>
      </c>
      <c r="G52" s="286">
        <v>0.3</v>
      </c>
      <c r="H52" s="286">
        <v>-0.19</v>
      </c>
      <c r="I52" s="286">
        <v>0.54</v>
      </c>
      <c r="J52" s="286">
        <v>0.42</v>
      </c>
      <c r="K52" s="286">
        <v>0</v>
      </c>
      <c r="L52" s="286">
        <v>-0.01</v>
      </c>
      <c r="M52" s="286">
        <v>0.22</v>
      </c>
      <c r="N52" s="286">
        <v>0</v>
      </c>
      <c r="O52" s="286">
        <v>0</v>
      </c>
      <c r="P52" s="286">
        <v>0.4</v>
      </c>
      <c r="Q52" s="286">
        <v>0</v>
      </c>
      <c r="R52" s="286">
        <v>-0.41</v>
      </c>
      <c r="S52" s="286">
        <v>0</v>
      </c>
      <c r="T52" s="286">
        <v>0</v>
      </c>
      <c r="U52" s="228">
        <f t="shared" si="5"/>
        <v>14.46</v>
      </c>
    </row>
    <row r="53" spans="1:21" x14ac:dyDescent="0.2">
      <c r="A53" s="51">
        <f t="shared" si="4"/>
        <v>44</v>
      </c>
      <c r="B53" s="51">
        <v>52</v>
      </c>
      <c r="C53" s="60" t="s">
        <v>229</v>
      </c>
      <c r="D53" s="79" t="s">
        <v>230</v>
      </c>
      <c r="E53" s="286">
        <v>31.85</v>
      </c>
      <c r="F53" s="286">
        <v>1.1200000000000001</v>
      </c>
      <c r="G53" s="286">
        <v>0.74</v>
      </c>
      <c r="H53" s="286">
        <v>-0.49</v>
      </c>
      <c r="I53" s="286">
        <v>1.35</v>
      </c>
      <c r="J53" s="286">
        <v>1.05</v>
      </c>
      <c r="K53" s="286">
        <v>0</v>
      </c>
      <c r="L53" s="286">
        <v>-0.02</v>
      </c>
      <c r="M53" s="286">
        <v>0.54</v>
      </c>
      <c r="N53" s="286">
        <v>0</v>
      </c>
      <c r="O53" s="286">
        <v>0</v>
      </c>
      <c r="P53" s="286">
        <v>1</v>
      </c>
      <c r="Q53" s="286">
        <v>0</v>
      </c>
      <c r="R53" s="286">
        <v>-1.03</v>
      </c>
      <c r="S53" s="286">
        <v>0</v>
      </c>
      <c r="T53" s="286">
        <v>0</v>
      </c>
      <c r="U53" s="228">
        <f t="shared" si="5"/>
        <v>36.109999999999992</v>
      </c>
    </row>
    <row r="54" spans="1:21" x14ac:dyDescent="0.2">
      <c r="A54" s="51">
        <f t="shared" si="4"/>
        <v>45</v>
      </c>
      <c r="B54" s="51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26"/>
    </row>
    <row r="55" spans="1:21" x14ac:dyDescent="0.2">
      <c r="A55" s="51">
        <f t="shared" si="4"/>
        <v>46</v>
      </c>
      <c r="B55" s="51">
        <v>53</v>
      </c>
      <c r="C55" s="68" t="s">
        <v>231</v>
      </c>
      <c r="D55" s="79" t="s">
        <v>223</v>
      </c>
      <c r="E55" s="286">
        <v>12.97</v>
      </c>
      <c r="F55" s="286">
        <v>0.06</v>
      </c>
      <c r="G55" s="286">
        <v>0.04</v>
      </c>
      <c r="H55" s="286">
        <v>-0.02</v>
      </c>
      <c r="I55" s="286">
        <v>7.0000000000000007E-2</v>
      </c>
      <c r="J55" s="286">
        <v>0.05</v>
      </c>
      <c r="K55" s="286">
        <v>0</v>
      </c>
      <c r="L55" s="286">
        <v>0</v>
      </c>
      <c r="M55" s="286">
        <v>0.55000000000000004</v>
      </c>
      <c r="N55" s="286">
        <v>0</v>
      </c>
      <c r="O55" s="286">
        <v>0</v>
      </c>
      <c r="P55" s="286">
        <v>0.05</v>
      </c>
      <c r="Q55" s="286">
        <v>0</v>
      </c>
      <c r="R55" s="286">
        <v>-0.05</v>
      </c>
      <c r="S55" s="286">
        <v>0</v>
      </c>
      <c r="T55" s="286">
        <v>0</v>
      </c>
      <c r="U55" s="228">
        <f t="shared" ref="U55:U63" si="6">SUM(E55:T55)</f>
        <v>13.720000000000002</v>
      </c>
    </row>
    <row r="56" spans="1:21" x14ac:dyDescent="0.2">
      <c r="A56" s="51">
        <f t="shared" si="4"/>
        <v>47</v>
      </c>
      <c r="B56" s="51">
        <v>53</v>
      </c>
      <c r="C56" s="68" t="s">
        <v>231</v>
      </c>
      <c r="D56" s="79" t="s">
        <v>224</v>
      </c>
      <c r="E56" s="286">
        <v>13.61</v>
      </c>
      <c r="F56" s="286">
        <v>0.08</v>
      </c>
      <c r="G56" s="286">
        <v>0.05</v>
      </c>
      <c r="H56" s="286">
        <v>-0.03</v>
      </c>
      <c r="I56" s="286">
        <v>0.09</v>
      </c>
      <c r="J56" s="286">
        <v>7.0000000000000007E-2</v>
      </c>
      <c r="K56" s="286">
        <v>0</v>
      </c>
      <c r="L56" s="286">
        <v>0</v>
      </c>
      <c r="M56" s="286">
        <v>0.55999999999999994</v>
      </c>
      <c r="N56" s="286">
        <v>0</v>
      </c>
      <c r="O56" s="286">
        <v>0</v>
      </c>
      <c r="P56" s="286">
        <v>7.0000000000000007E-2</v>
      </c>
      <c r="Q56" s="286">
        <v>0</v>
      </c>
      <c r="R56" s="286">
        <v>-7.0000000000000007E-2</v>
      </c>
      <c r="S56" s="286">
        <v>0</v>
      </c>
      <c r="T56" s="286">
        <v>0</v>
      </c>
      <c r="U56" s="228">
        <f t="shared" si="6"/>
        <v>14.430000000000001</v>
      </c>
    </row>
    <row r="57" spans="1:21" x14ac:dyDescent="0.2">
      <c r="A57" s="51">
        <f t="shared" si="4"/>
        <v>48</v>
      </c>
      <c r="B57" s="51">
        <v>53</v>
      </c>
      <c r="C57" s="68" t="s">
        <v>231</v>
      </c>
      <c r="D57" s="79" t="s">
        <v>214</v>
      </c>
      <c r="E57" s="286">
        <v>14.01</v>
      </c>
      <c r="F57" s="286">
        <v>0.11</v>
      </c>
      <c r="G57" s="286">
        <v>7.0000000000000007E-2</v>
      </c>
      <c r="H57" s="286">
        <v>-0.05</v>
      </c>
      <c r="I57" s="286">
        <v>0.13</v>
      </c>
      <c r="J57" s="286">
        <v>0.1</v>
      </c>
      <c r="K57" s="286">
        <v>0</v>
      </c>
      <c r="L57" s="286">
        <v>0</v>
      </c>
      <c r="M57" s="286">
        <v>0.55000000000000004</v>
      </c>
      <c r="N57" s="286">
        <v>0</v>
      </c>
      <c r="O57" s="286">
        <v>0</v>
      </c>
      <c r="P57" s="286">
        <v>0.1</v>
      </c>
      <c r="Q57" s="286">
        <v>0</v>
      </c>
      <c r="R57" s="286">
        <v>-0.1</v>
      </c>
      <c r="S57" s="286">
        <v>0</v>
      </c>
      <c r="T57" s="286">
        <v>0</v>
      </c>
      <c r="U57" s="228">
        <f t="shared" si="6"/>
        <v>14.92</v>
      </c>
    </row>
    <row r="58" spans="1:21" x14ac:dyDescent="0.2">
      <c r="A58" s="51">
        <f t="shared" si="4"/>
        <v>49</v>
      </c>
      <c r="B58" s="51">
        <v>53</v>
      </c>
      <c r="C58" s="68" t="s">
        <v>231</v>
      </c>
      <c r="D58" s="79" t="s">
        <v>225</v>
      </c>
      <c r="E58" s="286">
        <v>15.62</v>
      </c>
      <c r="F58" s="286">
        <v>0.17</v>
      </c>
      <c r="G58" s="286">
        <v>0.11</v>
      </c>
      <c r="H58" s="286">
        <v>-7.0000000000000007E-2</v>
      </c>
      <c r="I58" s="286">
        <v>0.2</v>
      </c>
      <c r="J58" s="286">
        <v>0.16</v>
      </c>
      <c r="K58" s="286">
        <v>0</v>
      </c>
      <c r="L58" s="286">
        <v>0</v>
      </c>
      <c r="M58" s="286">
        <v>0.57999999999999996</v>
      </c>
      <c r="N58" s="286">
        <v>0</v>
      </c>
      <c r="O58" s="286">
        <v>0</v>
      </c>
      <c r="P58" s="286">
        <v>0.15</v>
      </c>
      <c r="Q58" s="286">
        <v>0</v>
      </c>
      <c r="R58" s="286">
        <v>-0.15</v>
      </c>
      <c r="S58" s="286">
        <v>0</v>
      </c>
      <c r="T58" s="286">
        <v>0</v>
      </c>
      <c r="U58" s="228">
        <f t="shared" si="6"/>
        <v>16.769999999999996</v>
      </c>
    </row>
    <row r="59" spans="1:21" x14ac:dyDescent="0.2">
      <c r="A59" s="51">
        <f t="shared" si="4"/>
        <v>50</v>
      </c>
      <c r="B59" s="51">
        <v>53</v>
      </c>
      <c r="C59" s="68" t="s">
        <v>231</v>
      </c>
      <c r="D59" s="79" t="s">
        <v>226</v>
      </c>
      <c r="E59" s="286">
        <v>17.73</v>
      </c>
      <c r="F59" s="286">
        <v>0.22</v>
      </c>
      <c r="G59" s="286">
        <v>0.15</v>
      </c>
      <c r="H59" s="286">
        <v>-0.1</v>
      </c>
      <c r="I59" s="286">
        <v>0.27</v>
      </c>
      <c r="J59" s="286">
        <v>0.21</v>
      </c>
      <c r="K59" s="286">
        <v>0</v>
      </c>
      <c r="L59" s="286">
        <v>0</v>
      </c>
      <c r="M59" s="286">
        <v>0.63</v>
      </c>
      <c r="N59" s="286">
        <v>0</v>
      </c>
      <c r="O59" s="286">
        <v>0</v>
      </c>
      <c r="P59" s="286">
        <v>0.2</v>
      </c>
      <c r="Q59" s="286">
        <v>0</v>
      </c>
      <c r="R59" s="286">
        <v>-0.21</v>
      </c>
      <c r="S59" s="286">
        <v>0</v>
      </c>
      <c r="T59" s="286">
        <v>0</v>
      </c>
      <c r="U59" s="228">
        <f t="shared" si="6"/>
        <v>19.099999999999994</v>
      </c>
    </row>
    <row r="60" spans="1:21" x14ac:dyDescent="0.2">
      <c r="A60" s="51">
        <f t="shared" si="4"/>
        <v>51</v>
      </c>
      <c r="B60" s="51">
        <v>53</v>
      </c>
      <c r="C60" s="68" t="s">
        <v>231</v>
      </c>
      <c r="D60" s="79" t="s">
        <v>227</v>
      </c>
      <c r="E60" s="286">
        <v>19.489999999999998</v>
      </c>
      <c r="F60" s="286">
        <v>0.28000000000000003</v>
      </c>
      <c r="G60" s="286">
        <v>0.19</v>
      </c>
      <c r="H60" s="286">
        <v>-0.12</v>
      </c>
      <c r="I60" s="286">
        <v>0.34</v>
      </c>
      <c r="J60" s="286">
        <v>0.26</v>
      </c>
      <c r="K60" s="286">
        <v>0</v>
      </c>
      <c r="L60" s="286">
        <v>-0.01</v>
      </c>
      <c r="M60" s="286">
        <v>0.67</v>
      </c>
      <c r="N60" s="286">
        <v>0</v>
      </c>
      <c r="O60" s="286">
        <v>0</v>
      </c>
      <c r="P60" s="286">
        <v>0.25</v>
      </c>
      <c r="Q60" s="286">
        <v>0</v>
      </c>
      <c r="R60" s="286">
        <v>-0.26</v>
      </c>
      <c r="S60" s="286">
        <v>0</v>
      </c>
      <c r="T60" s="286">
        <v>0</v>
      </c>
      <c r="U60" s="228">
        <f t="shared" si="6"/>
        <v>21.09</v>
      </c>
    </row>
    <row r="61" spans="1:21" x14ac:dyDescent="0.2">
      <c r="A61" s="51">
        <f t="shared" si="4"/>
        <v>52</v>
      </c>
      <c r="B61" s="51">
        <v>53</v>
      </c>
      <c r="C61" s="68" t="s">
        <v>231</v>
      </c>
      <c r="D61" s="79" t="s">
        <v>228</v>
      </c>
      <c r="E61" s="286">
        <v>21.8</v>
      </c>
      <c r="F61" s="286">
        <v>0.35</v>
      </c>
      <c r="G61" s="286">
        <v>0.23</v>
      </c>
      <c r="H61" s="286">
        <v>-0.15</v>
      </c>
      <c r="I61" s="286">
        <v>0.42</v>
      </c>
      <c r="J61" s="286">
        <v>0.33</v>
      </c>
      <c r="K61" s="286">
        <v>0</v>
      </c>
      <c r="L61" s="286">
        <v>-0.01</v>
      </c>
      <c r="M61" s="286">
        <v>0.71</v>
      </c>
      <c r="N61" s="286">
        <v>0</v>
      </c>
      <c r="O61" s="286">
        <v>0</v>
      </c>
      <c r="P61" s="286">
        <v>0.31</v>
      </c>
      <c r="Q61" s="286">
        <v>0</v>
      </c>
      <c r="R61" s="286">
        <v>-0.32</v>
      </c>
      <c r="S61" s="286">
        <v>0</v>
      </c>
      <c r="T61" s="286">
        <v>0</v>
      </c>
      <c r="U61" s="228">
        <f t="shared" si="6"/>
        <v>23.67</v>
      </c>
    </row>
    <row r="62" spans="1:21" x14ac:dyDescent="0.2">
      <c r="A62" s="51">
        <f t="shared" si="4"/>
        <v>53</v>
      </c>
      <c r="B62" s="51">
        <v>53</v>
      </c>
      <c r="C62" s="68" t="s">
        <v>231</v>
      </c>
      <c r="D62" s="79" t="s">
        <v>216</v>
      </c>
      <c r="E62" s="286">
        <v>25.4</v>
      </c>
      <c r="F62" s="286">
        <v>0.45</v>
      </c>
      <c r="G62" s="286">
        <v>0.3</v>
      </c>
      <c r="H62" s="286">
        <v>-0.19</v>
      </c>
      <c r="I62" s="286">
        <v>0.54</v>
      </c>
      <c r="J62" s="286">
        <v>0.42</v>
      </c>
      <c r="K62" s="286">
        <v>0</v>
      </c>
      <c r="L62" s="286">
        <v>-0.01</v>
      </c>
      <c r="M62" s="286">
        <v>0.80999999999999994</v>
      </c>
      <c r="N62" s="286">
        <v>0</v>
      </c>
      <c r="O62" s="286">
        <v>0</v>
      </c>
      <c r="P62" s="286">
        <v>0.4</v>
      </c>
      <c r="Q62" s="286">
        <v>0</v>
      </c>
      <c r="R62" s="286">
        <v>-0.41</v>
      </c>
      <c r="S62" s="286">
        <v>0</v>
      </c>
      <c r="T62" s="286">
        <v>0</v>
      </c>
      <c r="U62" s="228">
        <f t="shared" si="6"/>
        <v>27.709999999999994</v>
      </c>
    </row>
    <row r="63" spans="1:21" x14ac:dyDescent="0.2">
      <c r="A63" s="51">
        <f t="shared" si="4"/>
        <v>54</v>
      </c>
      <c r="B63" s="51">
        <v>53</v>
      </c>
      <c r="C63" s="68" t="s">
        <v>231</v>
      </c>
      <c r="D63" s="79" t="s">
        <v>230</v>
      </c>
      <c r="E63" s="286">
        <v>46.5</v>
      </c>
      <c r="F63" s="286">
        <v>1.1200000000000001</v>
      </c>
      <c r="G63" s="286">
        <v>0.74</v>
      </c>
      <c r="H63" s="286">
        <v>-0.49</v>
      </c>
      <c r="I63" s="286">
        <v>1.35</v>
      </c>
      <c r="J63" s="286">
        <v>1.05</v>
      </c>
      <c r="K63" s="286">
        <v>0</v>
      </c>
      <c r="L63" s="286">
        <v>-0.02</v>
      </c>
      <c r="M63" s="286">
        <v>1.24</v>
      </c>
      <c r="N63" s="286">
        <v>0</v>
      </c>
      <c r="O63" s="286">
        <v>0</v>
      </c>
      <c r="P63" s="286">
        <v>1</v>
      </c>
      <c r="Q63" s="286">
        <v>0</v>
      </c>
      <c r="R63" s="286">
        <v>-1.03</v>
      </c>
      <c r="S63" s="286">
        <v>0</v>
      </c>
      <c r="T63" s="286">
        <v>0</v>
      </c>
      <c r="U63" s="228">
        <f t="shared" si="6"/>
        <v>51.459999999999994</v>
      </c>
    </row>
    <row r="64" spans="1:21" x14ac:dyDescent="0.2">
      <c r="A64" s="51">
        <f t="shared" si="4"/>
        <v>55</v>
      </c>
      <c r="B64" s="51"/>
      <c r="C64" s="68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26"/>
    </row>
    <row r="65" spans="1:21" x14ac:dyDescent="0.2">
      <c r="A65" s="51">
        <f t="shared" si="4"/>
        <v>56</v>
      </c>
      <c r="B65" s="51">
        <v>53</v>
      </c>
      <c r="C65" s="60" t="s">
        <v>232</v>
      </c>
      <c r="D65" s="80" t="s">
        <v>224</v>
      </c>
      <c r="E65" s="286">
        <v>14.1</v>
      </c>
      <c r="F65" s="286">
        <v>0.08</v>
      </c>
      <c r="G65" s="286">
        <v>0.05</v>
      </c>
      <c r="H65" s="286">
        <v>-0.03</v>
      </c>
      <c r="I65" s="286">
        <v>0.09</v>
      </c>
      <c r="J65" s="286">
        <v>7.0000000000000007E-2</v>
      </c>
      <c r="K65" s="286">
        <v>0</v>
      </c>
      <c r="L65" s="286">
        <v>0</v>
      </c>
      <c r="M65" s="286">
        <v>0.5</v>
      </c>
      <c r="N65" s="286">
        <v>0</v>
      </c>
      <c r="O65" s="286">
        <v>0</v>
      </c>
      <c r="P65" s="286">
        <v>7.0000000000000007E-2</v>
      </c>
      <c r="Q65" s="286">
        <v>0</v>
      </c>
      <c r="R65" s="286">
        <v>-7.0000000000000007E-2</v>
      </c>
      <c r="S65" s="286">
        <v>0</v>
      </c>
      <c r="T65" s="286">
        <v>0</v>
      </c>
      <c r="U65" s="228">
        <f>SUM(E65:T65)</f>
        <v>14.860000000000001</v>
      </c>
    </row>
    <row r="66" spans="1:21" x14ac:dyDescent="0.2">
      <c r="A66" s="51">
        <f t="shared" si="4"/>
        <v>57</v>
      </c>
      <c r="B66" s="51">
        <v>53</v>
      </c>
      <c r="C66" s="60" t="s">
        <v>232</v>
      </c>
      <c r="D66" s="80" t="s">
        <v>214</v>
      </c>
      <c r="E66" s="286">
        <v>15.2</v>
      </c>
      <c r="F66" s="286">
        <v>0.11</v>
      </c>
      <c r="G66" s="286">
        <v>7.0000000000000007E-2</v>
      </c>
      <c r="H66" s="286">
        <v>-0.05</v>
      </c>
      <c r="I66" s="286">
        <v>0.13</v>
      </c>
      <c r="J66" s="286">
        <v>0.1</v>
      </c>
      <c r="K66" s="286">
        <v>0</v>
      </c>
      <c r="L66" s="286">
        <v>0</v>
      </c>
      <c r="M66" s="286">
        <v>0.52</v>
      </c>
      <c r="N66" s="286">
        <v>0</v>
      </c>
      <c r="O66" s="286">
        <v>0</v>
      </c>
      <c r="P66" s="286">
        <v>0.1</v>
      </c>
      <c r="Q66" s="286">
        <v>0</v>
      </c>
      <c r="R66" s="286">
        <v>-0.1</v>
      </c>
      <c r="S66" s="286">
        <v>0</v>
      </c>
      <c r="T66" s="286">
        <v>0</v>
      </c>
      <c r="U66" s="228">
        <f>SUM(E66:T66)</f>
        <v>16.079999999999998</v>
      </c>
    </row>
    <row r="67" spans="1:21" x14ac:dyDescent="0.2">
      <c r="A67" s="51">
        <f t="shared" si="4"/>
        <v>58</v>
      </c>
      <c r="B67" s="51">
        <v>53</v>
      </c>
      <c r="C67" s="60" t="s">
        <v>232</v>
      </c>
      <c r="D67" s="80" t="s">
        <v>225</v>
      </c>
      <c r="E67" s="286">
        <v>17.04</v>
      </c>
      <c r="F67" s="286">
        <v>0.17</v>
      </c>
      <c r="G67" s="286">
        <v>0.11</v>
      </c>
      <c r="H67" s="286">
        <v>-7.0000000000000007E-2</v>
      </c>
      <c r="I67" s="286">
        <v>0.2</v>
      </c>
      <c r="J67" s="286">
        <v>0.16</v>
      </c>
      <c r="K67" s="286">
        <v>0</v>
      </c>
      <c r="L67" s="286">
        <v>0</v>
      </c>
      <c r="M67" s="286">
        <v>0.55999999999999994</v>
      </c>
      <c r="N67" s="286">
        <v>0</v>
      </c>
      <c r="O67" s="286">
        <v>0</v>
      </c>
      <c r="P67" s="286">
        <v>0.15</v>
      </c>
      <c r="Q67" s="286">
        <v>0</v>
      </c>
      <c r="R67" s="286">
        <v>-0.15</v>
      </c>
      <c r="S67" s="286">
        <v>0</v>
      </c>
      <c r="T67" s="286">
        <v>0</v>
      </c>
      <c r="U67" s="228">
        <f>SUM(E67:T67)</f>
        <v>18.169999999999998</v>
      </c>
    </row>
    <row r="68" spans="1:21" x14ac:dyDescent="0.2">
      <c r="A68" s="51">
        <f t="shared" si="4"/>
        <v>59</v>
      </c>
      <c r="B68" s="51">
        <v>53</v>
      </c>
      <c r="C68" s="60" t="s">
        <v>232</v>
      </c>
      <c r="D68" s="79" t="s">
        <v>227</v>
      </c>
      <c r="E68" s="286">
        <v>21.03</v>
      </c>
      <c r="F68" s="286">
        <v>0.28000000000000003</v>
      </c>
      <c r="G68" s="286">
        <v>0.19</v>
      </c>
      <c r="H68" s="286">
        <v>-0.12</v>
      </c>
      <c r="I68" s="286">
        <v>0.24</v>
      </c>
      <c r="J68" s="286">
        <v>0.26</v>
      </c>
      <c r="K68" s="286">
        <v>0</v>
      </c>
      <c r="L68" s="286">
        <v>-0.01</v>
      </c>
      <c r="M68" s="286">
        <v>0.67</v>
      </c>
      <c r="N68" s="286">
        <v>0</v>
      </c>
      <c r="O68" s="286">
        <v>0</v>
      </c>
      <c r="P68" s="286">
        <v>0.25</v>
      </c>
      <c r="Q68" s="286">
        <v>0</v>
      </c>
      <c r="R68" s="286">
        <v>-0.26</v>
      </c>
      <c r="S68" s="286">
        <v>0</v>
      </c>
      <c r="T68" s="286">
        <v>0</v>
      </c>
      <c r="U68" s="228">
        <f>SUM(E68:T68)</f>
        <v>22.53</v>
      </c>
    </row>
    <row r="69" spans="1:21" x14ac:dyDescent="0.2">
      <c r="A69" s="51">
        <f t="shared" si="4"/>
        <v>60</v>
      </c>
      <c r="B69" s="51">
        <v>53</v>
      </c>
      <c r="C69" s="60" t="s">
        <v>232</v>
      </c>
      <c r="D69" s="79" t="s">
        <v>216</v>
      </c>
      <c r="E69" s="286">
        <v>25.85</v>
      </c>
      <c r="F69" s="286">
        <v>0.45</v>
      </c>
      <c r="G69" s="286">
        <v>0.3</v>
      </c>
      <c r="H69" s="286">
        <v>-0.19</v>
      </c>
      <c r="I69" s="286">
        <v>0.54</v>
      </c>
      <c r="J69" s="286">
        <v>0.42</v>
      </c>
      <c r="K69" s="286">
        <v>0</v>
      </c>
      <c r="L69" s="286">
        <v>-0.01</v>
      </c>
      <c r="M69" s="286">
        <v>0.75</v>
      </c>
      <c r="N69" s="286">
        <v>0</v>
      </c>
      <c r="O69" s="286">
        <v>0</v>
      </c>
      <c r="P69" s="286">
        <v>0.4</v>
      </c>
      <c r="Q69" s="286">
        <v>0</v>
      </c>
      <c r="R69" s="286">
        <v>-0.41</v>
      </c>
      <c r="S69" s="286">
        <v>0</v>
      </c>
      <c r="T69" s="286">
        <v>0</v>
      </c>
      <c r="U69" s="228">
        <f>SUM(E69:T69)</f>
        <v>28.099999999999998</v>
      </c>
    </row>
    <row r="70" spans="1:21" x14ac:dyDescent="0.2">
      <c r="A70" s="51">
        <f t="shared" si="4"/>
        <v>61</v>
      </c>
      <c r="B70" s="51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26"/>
    </row>
    <row r="71" spans="1:21" x14ac:dyDescent="0.2">
      <c r="A71" s="51">
        <f t="shared" si="4"/>
        <v>62</v>
      </c>
      <c r="B71" s="51">
        <f>B72</f>
        <v>53</v>
      </c>
      <c r="C71" s="68" t="s">
        <v>517</v>
      </c>
      <c r="D71" s="79" t="s">
        <v>929</v>
      </c>
      <c r="E71" s="286">
        <f t="shared" ref="E71:U71" si="7">E72</f>
        <v>10.95</v>
      </c>
      <c r="F71" s="286">
        <f t="shared" si="7"/>
        <v>0.05</v>
      </c>
      <c r="G71" s="286">
        <f t="shared" si="7"/>
        <v>0.03</v>
      </c>
      <c r="H71" s="286">
        <f t="shared" si="7"/>
        <v>-0.02</v>
      </c>
      <c r="I71" s="286">
        <f t="shared" si="7"/>
        <v>0.06</v>
      </c>
      <c r="J71" s="286">
        <f t="shared" si="7"/>
        <v>0.05</v>
      </c>
      <c r="K71" s="286">
        <f t="shared" si="7"/>
        <v>0</v>
      </c>
      <c r="L71" s="286">
        <f t="shared" si="7"/>
        <v>0</v>
      </c>
      <c r="M71" s="286">
        <f t="shared" si="7"/>
        <v>0.53</v>
      </c>
      <c r="N71" s="286">
        <f t="shared" si="7"/>
        <v>0</v>
      </c>
      <c r="O71" s="286">
        <f t="shared" si="7"/>
        <v>0</v>
      </c>
      <c r="P71" s="286">
        <f t="shared" si="7"/>
        <v>0.04</v>
      </c>
      <c r="Q71" s="286">
        <f t="shared" si="7"/>
        <v>0</v>
      </c>
      <c r="R71" s="286">
        <f t="shared" si="7"/>
        <v>-0.05</v>
      </c>
      <c r="S71" s="286">
        <f t="shared" si="7"/>
        <v>0</v>
      </c>
      <c r="T71" s="286">
        <f t="shared" si="7"/>
        <v>0</v>
      </c>
      <c r="U71" s="228">
        <f t="shared" si="7"/>
        <v>11.639999999999999</v>
      </c>
    </row>
    <row r="72" spans="1:21" x14ac:dyDescent="0.2">
      <c r="A72" s="51">
        <f t="shared" si="4"/>
        <v>63</v>
      </c>
      <c r="B72" s="51">
        <v>53</v>
      </c>
      <c r="C72" s="68" t="s">
        <v>517</v>
      </c>
      <c r="D72" s="79" t="s">
        <v>930</v>
      </c>
      <c r="E72" s="286">
        <v>10.95</v>
      </c>
      <c r="F72" s="286">
        <v>0.05</v>
      </c>
      <c r="G72" s="286">
        <v>0.03</v>
      </c>
      <c r="H72" s="286">
        <v>-0.02</v>
      </c>
      <c r="I72" s="286">
        <v>0.06</v>
      </c>
      <c r="J72" s="286">
        <v>0.05</v>
      </c>
      <c r="K72" s="286">
        <v>0</v>
      </c>
      <c r="L72" s="286">
        <v>0</v>
      </c>
      <c r="M72" s="286">
        <v>0.53</v>
      </c>
      <c r="N72" s="286">
        <v>0</v>
      </c>
      <c r="O72" s="286">
        <v>0</v>
      </c>
      <c r="P72" s="286">
        <v>0.04</v>
      </c>
      <c r="Q72" s="286">
        <v>0</v>
      </c>
      <c r="R72" s="286">
        <v>-0.05</v>
      </c>
      <c r="S72" s="286">
        <v>0</v>
      </c>
      <c r="T72" s="286">
        <v>0</v>
      </c>
      <c r="U72" s="228">
        <f t="shared" ref="U72:U80" si="8">SUM(E72:T72)</f>
        <v>11.639999999999999</v>
      </c>
    </row>
    <row r="73" spans="1:21" x14ac:dyDescent="0.2">
      <c r="A73" s="51">
        <f t="shared" si="4"/>
        <v>64</v>
      </c>
      <c r="B73" s="51">
        <v>53</v>
      </c>
      <c r="C73" s="68" t="s">
        <v>517</v>
      </c>
      <c r="D73" s="79" t="s">
        <v>527</v>
      </c>
      <c r="E73" s="286">
        <v>11.92</v>
      </c>
      <c r="F73" s="286">
        <v>0.08</v>
      </c>
      <c r="G73" s="286">
        <v>0.06</v>
      </c>
      <c r="H73" s="286">
        <v>-0.04</v>
      </c>
      <c r="I73" s="286">
        <v>0.1</v>
      </c>
      <c r="J73" s="286">
        <v>0.08</v>
      </c>
      <c r="K73" s="286">
        <v>0</v>
      </c>
      <c r="L73" s="286">
        <v>0</v>
      </c>
      <c r="M73" s="286">
        <v>0.54</v>
      </c>
      <c r="N73" s="286">
        <v>0</v>
      </c>
      <c r="O73" s="286">
        <v>0</v>
      </c>
      <c r="P73" s="286">
        <v>7.0000000000000007E-2</v>
      </c>
      <c r="Q73" s="286">
        <v>0</v>
      </c>
      <c r="R73" s="286">
        <v>-0.08</v>
      </c>
      <c r="S73" s="286">
        <v>0</v>
      </c>
      <c r="T73" s="286">
        <v>0</v>
      </c>
      <c r="U73" s="228">
        <f t="shared" si="8"/>
        <v>12.730000000000002</v>
      </c>
    </row>
    <row r="74" spans="1:21" x14ac:dyDescent="0.2">
      <c r="A74" s="51">
        <f t="shared" si="4"/>
        <v>65</v>
      </c>
      <c r="B74" s="51">
        <v>53</v>
      </c>
      <c r="C74" s="68" t="s">
        <v>517</v>
      </c>
      <c r="D74" s="79" t="s">
        <v>528</v>
      </c>
      <c r="E74" s="286">
        <v>13.4</v>
      </c>
      <c r="F74" s="286">
        <v>0.12</v>
      </c>
      <c r="G74" s="286">
        <v>0.08</v>
      </c>
      <c r="H74" s="286">
        <v>-0.05</v>
      </c>
      <c r="I74" s="286">
        <v>0.14000000000000001</v>
      </c>
      <c r="J74" s="286">
        <v>0.11</v>
      </c>
      <c r="K74" s="286">
        <v>0</v>
      </c>
      <c r="L74" s="286">
        <v>0</v>
      </c>
      <c r="M74" s="286">
        <v>0.57999999999999996</v>
      </c>
      <c r="N74" s="286">
        <v>0</v>
      </c>
      <c r="O74" s="286">
        <v>0</v>
      </c>
      <c r="P74" s="286">
        <v>0.1</v>
      </c>
      <c r="Q74" s="286">
        <v>0</v>
      </c>
      <c r="R74" s="286">
        <v>-0.11</v>
      </c>
      <c r="S74" s="286">
        <v>0</v>
      </c>
      <c r="T74" s="286">
        <v>0</v>
      </c>
      <c r="U74" s="228">
        <f t="shared" si="8"/>
        <v>14.37</v>
      </c>
    </row>
    <row r="75" spans="1:21" x14ac:dyDescent="0.2">
      <c r="A75" s="51">
        <f t="shared" ref="A75:A106" si="9">A74+1</f>
        <v>66</v>
      </c>
      <c r="B75" s="51">
        <v>53</v>
      </c>
      <c r="C75" s="68" t="s">
        <v>517</v>
      </c>
      <c r="D75" s="79" t="s">
        <v>529</v>
      </c>
      <c r="E75" s="286">
        <v>13.82</v>
      </c>
      <c r="F75" s="286">
        <v>0.15</v>
      </c>
      <c r="G75" s="286">
        <v>0.1</v>
      </c>
      <c r="H75" s="286">
        <v>-7.0000000000000007E-2</v>
      </c>
      <c r="I75" s="286">
        <v>0.18</v>
      </c>
      <c r="J75" s="286">
        <v>0.14000000000000001</v>
      </c>
      <c r="K75" s="286">
        <v>0</v>
      </c>
      <c r="L75" s="286">
        <v>0</v>
      </c>
      <c r="M75" s="286">
        <v>0.56999999999999995</v>
      </c>
      <c r="N75" s="286">
        <v>0</v>
      </c>
      <c r="O75" s="286">
        <v>0</v>
      </c>
      <c r="P75" s="286">
        <v>0.13</v>
      </c>
      <c r="Q75" s="286">
        <v>0</v>
      </c>
      <c r="R75" s="286">
        <v>-0.14000000000000001</v>
      </c>
      <c r="S75" s="286">
        <v>0</v>
      </c>
      <c r="T75" s="286">
        <v>0</v>
      </c>
      <c r="U75" s="228">
        <f t="shared" si="8"/>
        <v>14.88</v>
      </c>
    </row>
    <row r="76" spans="1:21" x14ac:dyDescent="0.2">
      <c r="A76" s="51">
        <f t="shared" si="9"/>
        <v>67</v>
      </c>
      <c r="B76" s="51">
        <v>53</v>
      </c>
      <c r="C76" s="68" t="s">
        <v>517</v>
      </c>
      <c r="D76" s="79" t="s">
        <v>519</v>
      </c>
      <c r="E76" s="286">
        <v>15.48</v>
      </c>
      <c r="F76" s="286">
        <v>0.18</v>
      </c>
      <c r="G76" s="286">
        <v>0.12</v>
      </c>
      <c r="H76" s="286">
        <v>-0.08</v>
      </c>
      <c r="I76" s="286">
        <v>0.22</v>
      </c>
      <c r="J76" s="286">
        <v>0.17</v>
      </c>
      <c r="K76" s="286">
        <v>0</v>
      </c>
      <c r="L76" s="286">
        <v>0</v>
      </c>
      <c r="M76" s="286">
        <v>0.62</v>
      </c>
      <c r="N76" s="286">
        <v>0</v>
      </c>
      <c r="O76" s="286">
        <v>0</v>
      </c>
      <c r="P76" s="286">
        <v>0.16</v>
      </c>
      <c r="Q76" s="286">
        <v>0</v>
      </c>
      <c r="R76" s="286">
        <v>-0.17</v>
      </c>
      <c r="S76" s="286">
        <v>0</v>
      </c>
      <c r="T76" s="286">
        <v>0</v>
      </c>
      <c r="U76" s="228">
        <f t="shared" si="8"/>
        <v>16.7</v>
      </c>
    </row>
    <row r="77" spans="1:21" x14ac:dyDescent="0.2">
      <c r="A77" s="51">
        <f t="shared" si="9"/>
        <v>68</v>
      </c>
      <c r="B77" s="51">
        <v>53</v>
      </c>
      <c r="C77" s="68" t="s">
        <v>517</v>
      </c>
      <c r="D77" s="79" t="s">
        <v>520</v>
      </c>
      <c r="E77" s="286">
        <v>16.27</v>
      </c>
      <c r="F77" s="286">
        <v>0.22</v>
      </c>
      <c r="G77" s="286">
        <v>0.15</v>
      </c>
      <c r="H77" s="286">
        <v>-0.1</v>
      </c>
      <c r="I77" s="286">
        <v>0.26</v>
      </c>
      <c r="J77" s="286">
        <v>0.21</v>
      </c>
      <c r="K77" s="286">
        <v>0</v>
      </c>
      <c r="L77" s="286">
        <v>0</v>
      </c>
      <c r="M77" s="286">
        <v>0.63</v>
      </c>
      <c r="N77" s="286">
        <v>0</v>
      </c>
      <c r="O77" s="286">
        <v>0</v>
      </c>
      <c r="P77" s="286">
        <v>0.19</v>
      </c>
      <c r="Q77" s="286">
        <v>0</v>
      </c>
      <c r="R77" s="286">
        <v>-0.2</v>
      </c>
      <c r="S77" s="286">
        <v>0</v>
      </c>
      <c r="T77" s="286">
        <v>0</v>
      </c>
      <c r="U77" s="228">
        <f t="shared" si="8"/>
        <v>17.63</v>
      </c>
    </row>
    <row r="78" spans="1:21" x14ac:dyDescent="0.2">
      <c r="A78" s="51">
        <f t="shared" si="9"/>
        <v>69</v>
      </c>
      <c r="B78" s="51">
        <v>53</v>
      </c>
      <c r="C78" s="68" t="s">
        <v>517</v>
      </c>
      <c r="D78" s="79" t="s">
        <v>521</v>
      </c>
      <c r="E78" s="286">
        <v>17.78</v>
      </c>
      <c r="F78" s="286">
        <v>0.25</v>
      </c>
      <c r="G78" s="286">
        <v>0.17</v>
      </c>
      <c r="H78" s="286">
        <v>-0.11</v>
      </c>
      <c r="I78" s="286">
        <v>0.3</v>
      </c>
      <c r="J78" s="286">
        <v>0.24</v>
      </c>
      <c r="K78" s="286">
        <v>0</v>
      </c>
      <c r="L78" s="286">
        <v>0</v>
      </c>
      <c r="M78" s="286">
        <v>0.67</v>
      </c>
      <c r="N78" s="286">
        <v>0</v>
      </c>
      <c r="O78" s="286">
        <v>0</v>
      </c>
      <c r="P78" s="286">
        <v>0.22</v>
      </c>
      <c r="Q78" s="286">
        <v>0</v>
      </c>
      <c r="R78" s="286">
        <v>-0.23</v>
      </c>
      <c r="S78" s="286">
        <v>0</v>
      </c>
      <c r="T78" s="286">
        <v>0</v>
      </c>
      <c r="U78" s="228">
        <f t="shared" si="8"/>
        <v>19.290000000000003</v>
      </c>
    </row>
    <row r="79" spans="1:21" x14ac:dyDescent="0.2">
      <c r="A79" s="51">
        <f t="shared" si="9"/>
        <v>70</v>
      </c>
      <c r="B79" s="51">
        <v>53</v>
      </c>
      <c r="C79" s="68" t="s">
        <v>517</v>
      </c>
      <c r="D79" s="79" t="s">
        <v>522</v>
      </c>
      <c r="E79" s="286">
        <v>19.47</v>
      </c>
      <c r="F79" s="286">
        <v>0.28999999999999998</v>
      </c>
      <c r="G79" s="286">
        <v>0.19</v>
      </c>
      <c r="H79" s="286">
        <v>-0.12</v>
      </c>
      <c r="I79" s="286">
        <v>0.34</v>
      </c>
      <c r="J79" s="286">
        <v>0.27</v>
      </c>
      <c r="K79" s="286">
        <v>0</v>
      </c>
      <c r="L79" s="286">
        <v>-0.01</v>
      </c>
      <c r="M79" s="286">
        <v>0.73</v>
      </c>
      <c r="N79" s="286">
        <v>0</v>
      </c>
      <c r="O79" s="286">
        <v>0</v>
      </c>
      <c r="P79" s="286">
        <v>0.25</v>
      </c>
      <c r="Q79" s="286">
        <v>0</v>
      </c>
      <c r="R79" s="286">
        <v>-0.26</v>
      </c>
      <c r="S79" s="286">
        <v>0</v>
      </c>
      <c r="T79" s="286">
        <v>0</v>
      </c>
      <c r="U79" s="228">
        <f t="shared" si="8"/>
        <v>21.149999999999995</v>
      </c>
    </row>
    <row r="80" spans="1:21" x14ac:dyDescent="0.2">
      <c r="A80" s="51">
        <f t="shared" si="9"/>
        <v>71</v>
      </c>
      <c r="B80" s="51">
        <v>53</v>
      </c>
      <c r="C80" s="68" t="s">
        <v>517</v>
      </c>
      <c r="D80" s="79" t="s">
        <v>523</v>
      </c>
      <c r="E80" s="286">
        <v>20.43</v>
      </c>
      <c r="F80" s="286">
        <v>0.32</v>
      </c>
      <c r="G80" s="286">
        <v>0.21</v>
      </c>
      <c r="H80" s="286">
        <v>-0.14000000000000001</v>
      </c>
      <c r="I80" s="286">
        <v>0.38</v>
      </c>
      <c r="J80" s="286">
        <v>0.3</v>
      </c>
      <c r="K80" s="286">
        <v>0</v>
      </c>
      <c r="L80" s="286">
        <v>-0.01</v>
      </c>
      <c r="M80" s="286">
        <v>0.74</v>
      </c>
      <c r="N80" s="286">
        <v>0</v>
      </c>
      <c r="O80" s="286">
        <v>0</v>
      </c>
      <c r="P80" s="286">
        <v>0.28000000000000003</v>
      </c>
      <c r="Q80" s="286">
        <v>0</v>
      </c>
      <c r="R80" s="286">
        <v>-0.28999999999999998</v>
      </c>
      <c r="S80" s="286">
        <v>0</v>
      </c>
      <c r="T80" s="286">
        <v>0</v>
      </c>
      <c r="U80" s="228">
        <f t="shared" si="8"/>
        <v>22.22</v>
      </c>
    </row>
    <row r="81" spans="1:21" x14ac:dyDescent="0.2">
      <c r="A81" s="51">
        <f t="shared" si="9"/>
        <v>72</v>
      </c>
      <c r="B81" s="51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26"/>
    </row>
    <row r="82" spans="1:21" x14ac:dyDescent="0.2">
      <c r="A82" s="51">
        <f t="shared" si="9"/>
        <v>73</v>
      </c>
      <c r="B82" s="51">
        <v>53</v>
      </c>
      <c r="C82" s="68" t="s">
        <v>233</v>
      </c>
      <c r="D82" s="79" t="s">
        <v>223</v>
      </c>
      <c r="E82" s="286">
        <v>3.22</v>
      </c>
      <c r="F82" s="286">
        <v>0.06</v>
      </c>
      <c r="G82" s="286">
        <v>0.04</v>
      </c>
      <c r="H82" s="286">
        <v>-0.02</v>
      </c>
      <c r="I82" s="286">
        <v>7.0000000000000007E-2</v>
      </c>
      <c r="J82" s="286">
        <v>0.05</v>
      </c>
      <c r="K82" s="286">
        <v>0</v>
      </c>
      <c r="L82" s="286">
        <v>0</v>
      </c>
      <c r="M82" s="286">
        <v>0.03</v>
      </c>
      <c r="N82" s="286">
        <v>0</v>
      </c>
      <c r="O82" s="286">
        <v>0</v>
      </c>
      <c r="P82" s="286">
        <v>0.05</v>
      </c>
      <c r="Q82" s="286">
        <v>0</v>
      </c>
      <c r="R82" s="286">
        <v>-0.05</v>
      </c>
      <c r="S82" s="286">
        <v>0</v>
      </c>
      <c r="T82" s="286">
        <v>0</v>
      </c>
      <c r="U82" s="228">
        <f t="shared" ref="U82:U90" si="10">SUM(E82:T82)</f>
        <v>3.4499999999999997</v>
      </c>
    </row>
    <row r="83" spans="1:21" x14ac:dyDescent="0.2">
      <c r="A83" s="51">
        <f t="shared" si="9"/>
        <v>74</v>
      </c>
      <c r="B83" s="51">
        <v>53</v>
      </c>
      <c r="C83" s="68" t="s">
        <v>233</v>
      </c>
      <c r="D83" s="79" t="s">
        <v>224</v>
      </c>
      <c r="E83" s="286">
        <v>3.86</v>
      </c>
      <c r="F83" s="286">
        <v>0.08</v>
      </c>
      <c r="G83" s="286">
        <v>0.05</v>
      </c>
      <c r="H83" s="286">
        <v>-0.03</v>
      </c>
      <c r="I83" s="286">
        <v>0.09</v>
      </c>
      <c r="J83" s="286">
        <v>7.0000000000000007E-2</v>
      </c>
      <c r="K83" s="286">
        <v>0</v>
      </c>
      <c r="L83" s="286">
        <v>0</v>
      </c>
      <c r="M83" s="286">
        <v>0.04</v>
      </c>
      <c r="N83" s="286">
        <v>0</v>
      </c>
      <c r="O83" s="286">
        <v>0</v>
      </c>
      <c r="P83" s="286">
        <v>7.0000000000000007E-2</v>
      </c>
      <c r="Q83" s="286">
        <v>0</v>
      </c>
      <c r="R83" s="286">
        <v>-7.0000000000000007E-2</v>
      </c>
      <c r="S83" s="286">
        <v>0</v>
      </c>
      <c r="T83" s="286">
        <v>0</v>
      </c>
      <c r="U83" s="228">
        <f t="shared" si="10"/>
        <v>4.16</v>
      </c>
    </row>
    <row r="84" spans="1:21" x14ac:dyDescent="0.2">
      <c r="A84" s="51">
        <f t="shared" si="9"/>
        <v>75</v>
      </c>
      <c r="B84" s="51">
        <v>53</v>
      </c>
      <c r="C84" s="68" t="s">
        <v>233</v>
      </c>
      <c r="D84" s="79" t="s">
        <v>214</v>
      </c>
      <c r="E84" s="286">
        <v>4.82</v>
      </c>
      <c r="F84" s="286">
        <v>0.11</v>
      </c>
      <c r="G84" s="286">
        <v>7.0000000000000007E-2</v>
      </c>
      <c r="H84" s="286">
        <v>-0.05</v>
      </c>
      <c r="I84" s="286">
        <v>0.13</v>
      </c>
      <c r="J84" s="286">
        <v>0.1</v>
      </c>
      <c r="K84" s="286">
        <v>0</v>
      </c>
      <c r="L84" s="286">
        <v>0</v>
      </c>
      <c r="M84" s="286">
        <v>0.05</v>
      </c>
      <c r="N84" s="286">
        <v>0</v>
      </c>
      <c r="O84" s="286">
        <v>0</v>
      </c>
      <c r="P84" s="286">
        <v>0.1</v>
      </c>
      <c r="Q84" s="286">
        <v>0</v>
      </c>
      <c r="R84" s="286">
        <v>-0.1</v>
      </c>
      <c r="S84" s="286">
        <v>0</v>
      </c>
      <c r="T84" s="286">
        <v>0</v>
      </c>
      <c r="U84" s="228">
        <f t="shared" si="10"/>
        <v>5.23</v>
      </c>
    </row>
    <row r="85" spans="1:21" x14ac:dyDescent="0.2">
      <c r="A85" s="51">
        <f t="shared" si="9"/>
        <v>76</v>
      </c>
      <c r="B85" s="51">
        <v>53</v>
      </c>
      <c r="C85" s="68" t="s">
        <v>233</v>
      </c>
      <c r="D85" s="79" t="s">
        <v>225</v>
      </c>
      <c r="E85" s="286">
        <v>6.41</v>
      </c>
      <c r="F85" s="286">
        <v>0.17</v>
      </c>
      <c r="G85" s="286">
        <v>0.11</v>
      </c>
      <c r="H85" s="286">
        <v>-7.0000000000000007E-2</v>
      </c>
      <c r="I85" s="286">
        <v>0.2</v>
      </c>
      <c r="J85" s="286">
        <v>0.16</v>
      </c>
      <c r="K85" s="286">
        <v>0</v>
      </c>
      <c r="L85" s="286">
        <v>0</v>
      </c>
      <c r="M85" s="286">
        <v>0.08</v>
      </c>
      <c r="N85" s="286">
        <v>0</v>
      </c>
      <c r="O85" s="286">
        <v>0</v>
      </c>
      <c r="P85" s="286">
        <v>0.15</v>
      </c>
      <c r="Q85" s="286">
        <v>0</v>
      </c>
      <c r="R85" s="286">
        <v>-0.15</v>
      </c>
      <c r="S85" s="286">
        <v>0</v>
      </c>
      <c r="T85" s="286">
        <v>0</v>
      </c>
      <c r="U85" s="228">
        <f t="shared" si="10"/>
        <v>7.0600000000000005</v>
      </c>
    </row>
    <row r="86" spans="1:21" x14ac:dyDescent="0.2">
      <c r="A86" s="51">
        <f t="shared" si="9"/>
        <v>77</v>
      </c>
      <c r="B86" s="51">
        <v>53</v>
      </c>
      <c r="C86" s="68" t="s">
        <v>233</v>
      </c>
      <c r="D86" s="79" t="s">
        <v>226</v>
      </c>
      <c r="E86" s="286">
        <v>8</v>
      </c>
      <c r="F86" s="286">
        <v>0.22</v>
      </c>
      <c r="G86" s="286">
        <v>0.15</v>
      </c>
      <c r="H86" s="286">
        <v>-0.1</v>
      </c>
      <c r="I86" s="286">
        <v>0.27</v>
      </c>
      <c r="J86" s="286">
        <v>0.21</v>
      </c>
      <c r="K86" s="286">
        <v>0</v>
      </c>
      <c r="L86" s="286">
        <v>0</v>
      </c>
      <c r="M86" s="286">
        <v>0.11</v>
      </c>
      <c r="N86" s="286">
        <v>0</v>
      </c>
      <c r="O86" s="286">
        <v>0</v>
      </c>
      <c r="P86" s="286">
        <v>0.2</v>
      </c>
      <c r="Q86" s="286">
        <v>0</v>
      </c>
      <c r="R86" s="286">
        <v>-0.21</v>
      </c>
      <c r="S86" s="286">
        <v>0</v>
      </c>
      <c r="T86" s="286">
        <v>0</v>
      </c>
      <c r="U86" s="228">
        <f t="shared" si="10"/>
        <v>8.85</v>
      </c>
    </row>
    <row r="87" spans="1:21" x14ac:dyDescent="0.2">
      <c r="A87" s="51">
        <f t="shared" si="9"/>
        <v>78</v>
      </c>
      <c r="B87" s="51">
        <v>53</v>
      </c>
      <c r="C87" s="68" t="s">
        <v>233</v>
      </c>
      <c r="D87" s="79" t="s">
        <v>227</v>
      </c>
      <c r="E87" s="286">
        <v>9.59</v>
      </c>
      <c r="F87" s="286">
        <v>0.28000000000000003</v>
      </c>
      <c r="G87" s="286">
        <v>0.19</v>
      </c>
      <c r="H87" s="286">
        <v>-0.12</v>
      </c>
      <c r="I87" s="286">
        <v>0.34</v>
      </c>
      <c r="J87" s="286">
        <v>0.26</v>
      </c>
      <c r="K87" s="286">
        <v>0</v>
      </c>
      <c r="L87" s="286">
        <v>-0.01</v>
      </c>
      <c r="M87" s="286">
        <v>0.14000000000000001</v>
      </c>
      <c r="N87" s="286">
        <v>0</v>
      </c>
      <c r="O87" s="286">
        <v>0</v>
      </c>
      <c r="P87" s="286">
        <v>0.25</v>
      </c>
      <c r="Q87" s="286">
        <v>0</v>
      </c>
      <c r="R87" s="286">
        <v>-0.26</v>
      </c>
      <c r="S87" s="286">
        <v>0</v>
      </c>
      <c r="T87" s="286">
        <v>0</v>
      </c>
      <c r="U87" s="228">
        <f t="shared" si="10"/>
        <v>10.66</v>
      </c>
    </row>
    <row r="88" spans="1:21" x14ac:dyDescent="0.2">
      <c r="A88" s="51">
        <f t="shared" si="9"/>
        <v>79</v>
      </c>
      <c r="B88" s="51">
        <v>53</v>
      </c>
      <c r="C88" s="68" t="s">
        <v>233</v>
      </c>
      <c r="D88" s="79" t="s">
        <v>228</v>
      </c>
      <c r="E88" s="286">
        <v>11.51</v>
      </c>
      <c r="F88" s="286">
        <v>0.35</v>
      </c>
      <c r="G88" s="286">
        <v>0.23</v>
      </c>
      <c r="H88" s="286">
        <v>-0.15</v>
      </c>
      <c r="I88" s="286">
        <v>0.42</v>
      </c>
      <c r="J88" s="286">
        <v>0.33</v>
      </c>
      <c r="K88" s="286">
        <v>0</v>
      </c>
      <c r="L88" s="286">
        <v>-0.01</v>
      </c>
      <c r="M88" s="286">
        <v>0.16</v>
      </c>
      <c r="N88" s="286">
        <v>0</v>
      </c>
      <c r="O88" s="286">
        <v>0</v>
      </c>
      <c r="P88" s="286">
        <v>0.31</v>
      </c>
      <c r="Q88" s="286">
        <v>0</v>
      </c>
      <c r="R88" s="286">
        <v>-0.32</v>
      </c>
      <c r="S88" s="286">
        <v>0</v>
      </c>
      <c r="T88" s="286">
        <v>0</v>
      </c>
      <c r="U88" s="228">
        <f t="shared" si="10"/>
        <v>12.83</v>
      </c>
    </row>
    <row r="89" spans="1:21" x14ac:dyDescent="0.2">
      <c r="A89" s="51">
        <f t="shared" si="9"/>
        <v>80</v>
      </c>
      <c r="B89" s="51">
        <v>53</v>
      </c>
      <c r="C89" s="68" t="s">
        <v>233</v>
      </c>
      <c r="D89" s="79" t="s">
        <v>216</v>
      </c>
      <c r="E89" s="286">
        <v>14.37</v>
      </c>
      <c r="F89" s="286">
        <v>0.45</v>
      </c>
      <c r="G89" s="286">
        <v>0.3</v>
      </c>
      <c r="H89" s="286">
        <v>-0.19</v>
      </c>
      <c r="I89" s="286">
        <v>0.54</v>
      </c>
      <c r="J89" s="286">
        <v>0.42</v>
      </c>
      <c r="K89" s="286">
        <v>0</v>
      </c>
      <c r="L89" s="286">
        <v>-0.01</v>
      </c>
      <c r="M89" s="286">
        <v>0.22</v>
      </c>
      <c r="N89" s="286">
        <v>0</v>
      </c>
      <c r="O89" s="286">
        <v>0</v>
      </c>
      <c r="P89" s="286">
        <v>0.4</v>
      </c>
      <c r="Q89" s="286">
        <v>0</v>
      </c>
      <c r="R89" s="286">
        <v>-0.41</v>
      </c>
      <c r="S89" s="286">
        <v>0</v>
      </c>
      <c r="T89" s="286">
        <v>0</v>
      </c>
      <c r="U89" s="228">
        <f t="shared" si="10"/>
        <v>16.089999999999996</v>
      </c>
    </row>
    <row r="90" spans="1:21" x14ac:dyDescent="0.2">
      <c r="A90" s="51">
        <f t="shared" si="9"/>
        <v>81</v>
      </c>
      <c r="B90" s="51">
        <v>53</v>
      </c>
      <c r="C90" s="68" t="s">
        <v>233</v>
      </c>
      <c r="D90" s="79" t="s">
        <v>230</v>
      </c>
      <c r="E90" s="286">
        <v>33.479999999999997</v>
      </c>
      <c r="F90" s="286">
        <v>1.1200000000000001</v>
      </c>
      <c r="G90" s="286">
        <v>0.74</v>
      </c>
      <c r="H90" s="286">
        <v>-0.49</v>
      </c>
      <c r="I90" s="286">
        <v>1.35</v>
      </c>
      <c r="J90" s="286">
        <v>1.05</v>
      </c>
      <c r="K90" s="286">
        <v>0</v>
      </c>
      <c r="L90" s="286">
        <v>-0.02</v>
      </c>
      <c r="M90" s="286">
        <v>0.54</v>
      </c>
      <c r="N90" s="286">
        <v>0</v>
      </c>
      <c r="O90" s="286">
        <v>0</v>
      </c>
      <c r="P90" s="286">
        <v>1</v>
      </c>
      <c r="Q90" s="286">
        <v>0</v>
      </c>
      <c r="R90" s="286">
        <v>-1.03</v>
      </c>
      <c r="S90" s="286">
        <v>0</v>
      </c>
      <c r="T90" s="286">
        <v>0</v>
      </c>
      <c r="U90" s="228">
        <f t="shared" si="10"/>
        <v>37.739999999999988</v>
      </c>
    </row>
    <row r="91" spans="1:21" x14ac:dyDescent="0.2">
      <c r="A91" s="51">
        <f t="shared" si="9"/>
        <v>82</v>
      </c>
      <c r="B91" s="51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26"/>
    </row>
    <row r="92" spans="1:21" x14ac:dyDescent="0.2">
      <c r="A92" s="51">
        <f t="shared" si="9"/>
        <v>83</v>
      </c>
      <c r="B92" s="51">
        <v>53</v>
      </c>
      <c r="C92" s="60" t="s">
        <v>234</v>
      </c>
      <c r="D92" s="80" t="s">
        <v>224</v>
      </c>
      <c r="E92" s="286">
        <v>5.49</v>
      </c>
      <c r="F92" s="286">
        <v>0.08</v>
      </c>
      <c r="G92" s="286">
        <v>0.05</v>
      </c>
      <c r="H92" s="286">
        <v>-0.03</v>
      </c>
      <c r="I92" s="286">
        <v>0.09</v>
      </c>
      <c r="J92" s="286">
        <v>7.0000000000000007E-2</v>
      </c>
      <c r="K92" s="286">
        <v>0</v>
      </c>
      <c r="L92" s="286">
        <v>0</v>
      </c>
      <c r="M92" s="286">
        <v>0.04</v>
      </c>
      <c r="N92" s="286">
        <v>0</v>
      </c>
      <c r="O92" s="286">
        <v>0</v>
      </c>
      <c r="P92" s="286">
        <v>7.0000000000000007E-2</v>
      </c>
      <c r="Q92" s="286">
        <v>0</v>
      </c>
      <c r="R92" s="286">
        <v>-7.0000000000000007E-2</v>
      </c>
      <c r="S92" s="286">
        <v>0</v>
      </c>
      <c r="T92" s="286">
        <v>0</v>
      </c>
      <c r="U92" s="228">
        <f t="shared" ref="U92:U97" si="11">SUM(E92:T92)</f>
        <v>5.79</v>
      </c>
    </row>
    <row r="93" spans="1:21" x14ac:dyDescent="0.2">
      <c r="A93" s="51">
        <f t="shared" si="9"/>
        <v>84</v>
      </c>
      <c r="B93" s="51">
        <v>53</v>
      </c>
      <c r="C93" s="60" t="s">
        <v>234</v>
      </c>
      <c r="D93" s="80" t="s">
        <v>214</v>
      </c>
      <c r="E93" s="286">
        <v>6.45</v>
      </c>
      <c r="F93" s="286">
        <v>0.11</v>
      </c>
      <c r="G93" s="286">
        <v>7.0000000000000007E-2</v>
      </c>
      <c r="H93" s="286">
        <v>-0.05</v>
      </c>
      <c r="I93" s="286">
        <v>0.13</v>
      </c>
      <c r="J93" s="286">
        <v>0.1</v>
      </c>
      <c r="K93" s="286">
        <v>0</v>
      </c>
      <c r="L93" s="286">
        <v>0</v>
      </c>
      <c r="M93" s="286">
        <v>0.05</v>
      </c>
      <c r="N93" s="286">
        <v>0</v>
      </c>
      <c r="O93" s="286">
        <v>0</v>
      </c>
      <c r="P93" s="286">
        <v>0.1</v>
      </c>
      <c r="Q93" s="286">
        <v>0</v>
      </c>
      <c r="R93" s="286">
        <v>-0.1</v>
      </c>
      <c r="S93" s="286">
        <v>0</v>
      </c>
      <c r="T93" s="286">
        <v>0</v>
      </c>
      <c r="U93" s="228">
        <f t="shared" si="11"/>
        <v>6.86</v>
      </c>
    </row>
    <row r="94" spans="1:21" x14ac:dyDescent="0.2">
      <c r="A94" s="51">
        <f t="shared" si="9"/>
        <v>85</v>
      </c>
      <c r="B94" s="51">
        <v>53</v>
      </c>
      <c r="C94" s="60" t="s">
        <v>234</v>
      </c>
      <c r="D94" s="80" t="s">
        <v>225</v>
      </c>
      <c r="E94" s="286">
        <v>8.0399999999999991</v>
      </c>
      <c r="F94" s="286">
        <v>0.17</v>
      </c>
      <c r="G94" s="286">
        <v>0.11</v>
      </c>
      <c r="H94" s="286">
        <v>-7.0000000000000007E-2</v>
      </c>
      <c r="I94" s="286">
        <v>0.2</v>
      </c>
      <c r="J94" s="286">
        <v>0.16</v>
      </c>
      <c r="K94" s="286">
        <v>0</v>
      </c>
      <c r="L94" s="286">
        <v>0</v>
      </c>
      <c r="M94" s="286">
        <v>0.08</v>
      </c>
      <c r="N94" s="286">
        <v>0</v>
      </c>
      <c r="O94" s="286">
        <v>0</v>
      </c>
      <c r="P94" s="286">
        <v>0.15</v>
      </c>
      <c r="Q94" s="286">
        <v>0</v>
      </c>
      <c r="R94" s="286">
        <v>-0.15</v>
      </c>
      <c r="S94" s="286">
        <v>0</v>
      </c>
      <c r="T94" s="286">
        <v>0</v>
      </c>
      <c r="U94" s="228">
        <f t="shared" si="11"/>
        <v>8.6899999999999977</v>
      </c>
    </row>
    <row r="95" spans="1:21" x14ac:dyDescent="0.2">
      <c r="A95" s="51">
        <f t="shared" si="9"/>
        <v>86</v>
      </c>
      <c r="B95" s="51">
        <v>53</v>
      </c>
      <c r="C95" s="60" t="s">
        <v>234</v>
      </c>
      <c r="D95" s="79" t="s">
        <v>215</v>
      </c>
      <c r="E95" s="286">
        <v>8.84</v>
      </c>
      <c r="F95" s="286">
        <v>0.2</v>
      </c>
      <c r="G95" s="286">
        <v>0.13</v>
      </c>
      <c r="H95" s="286">
        <v>-0.09</v>
      </c>
      <c r="I95" s="286">
        <v>0.24</v>
      </c>
      <c r="J95" s="286">
        <v>0.18</v>
      </c>
      <c r="K95" s="286">
        <v>0</v>
      </c>
      <c r="L95" s="286">
        <v>0</v>
      </c>
      <c r="M95" s="286">
        <v>0.1</v>
      </c>
      <c r="N95" s="286">
        <v>0</v>
      </c>
      <c r="O95" s="286">
        <v>0</v>
      </c>
      <c r="P95" s="286">
        <v>0.17</v>
      </c>
      <c r="Q95" s="286">
        <v>0</v>
      </c>
      <c r="R95" s="286">
        <v>-0.18</v>
      </c>
      <c r="S95" s="286">
        <v>0</v>
      </c>
      <c r="T95" s="286">
        <v>0</v>
      </c>
      <c r="U95" s="228">
        <f t="shared" si="11"/>
        <v>9.59</v>
      </c>
    </row>
    <row r="96" spans="1:21" x14ac:dyDescent="0.2">
      <c r="A96" s="51">
        <f t="shared" si="9"/>
        <v>87</v>
      </c>
      <c r="B96" s="51">
        <v>53</v>
      </c>
      <c r="C96" s="60" t="s">
        <v>234</v>
      </c>
      <c r="D96" s="79" t="s">
        <v>227</v>
      </c>
      <c r="E96" s="286">
        <v>11.23</v>
      </c>
      <c r="F96" s="286">
        <v>0.28000000000000003</v>
      </c>
      <c r="G96" s="286">
        <v>0.19</v>
      </c>
      <c r="H96" s="286">
        <v>-0.12</v>
      </c>
      <c r="I96" s="286">
        <v>0.34</v>
      </c>
      <c r="J96" s="286">
        <v>0.26</v>
      </c>
      <c r="K96" s="286">
        <v>0</v>
      </c>
      <c r="L96" s="286">
        <v>-0.01</v>
      </c>
      <c r="M96" s="286">
        <v>0.14000000000000001</v>
      </c>
      <c r="N96" s="286">
        <v>0</v>
      </c>
      <c r="O96" s="286">
        <v>0</v>
      </c>
      <c r="P96" s="286">
        <v>0.25</v>
      </c>
      <c r="Q96" s="286">
        <v>0</v>
      </c>
      <c r="R96" s="286">
        <v>-0.26</v>
      </c>
      <c r="S96" s="286">
        <v>0</v>
      </c>
      <c r="T96" s="286">
        <v>0</v>
      </c>
      <c r="U96" s="228">
        <f t="shared" si="11"/>
        <v>12.3</v>
      </c>
    </row>
    <row r="97" spans="1:21" x14ac:dyDescent="0.2">
      <c r="A97" s="51">
        <f t="shared" si="9"/>
        <v>88</v>
      </c>
      <c r="B97" s="51">
        <v>53</v>
      </c>
      <c r="C97" s="60" t="s">
        <v>234</v>
      </c>
      <c r="D97" s="79" t="s">
        <v>216</v>
      </c>
      <c r="E97" s="286">
        <v>16</v>
      </c>
      <c r="F97" s="286">
        <v>0.45</v>
      </c>
      <c r="G97" s="286">
        <v>0.3</v>
      </c>
      <c r="H97" s="286">
        <v>-0.19</v>
      </c>
      <c r="I97" s="286">
        <v>0.54</v>
      </c>
      <c r="J97" s="286">
        <v>0.42</v>
      </c>
      <c r="K97" s="286">
        <v>0</v>
      </c>
      <c r="L97" s="286">
        <v>-0.01</v>
      </c>
      <c r="M97" s="286">
        <v>0.22</v>
      </c>
      <c r="N97" s="286">
        <v>0</v>
      </c>
      <c r="O97" s="286">
        <v>0</v>
      </c>
      <c r="P97" s="286">
        <v>0.4</v>
      </c>
      <c r="Q97" s="286">
        <v>0</v>
      </c>
      <c r="R97" s="286">
        <v>-0.41</v>
      </c>
      <c r="S97" s="286">
        <v>0</v>
      </c>
      <c r="T97" s="286">
        <v>0</v>
      </c>
      <c r="U97" s="228">
        <f t="shared" si="11"/>
        <v>17.719999999999995</v>
      </c>
    </row>
    <row r="98" spans="1:21" x14ac:dyDescent="0.2">
      <c r="A98" s="51">
        <f t="shared" si="9"/>
        <v>89</v>
      </c>
      <c r="B98" s="51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26"/>
    </row>
    <row r="99" spans="1:21" x14ac:dyDescent="0.2">
      <c r="A99" s="51">
        <f t="shared" si="9"/>
        <v>90</v>
      </c>
      <c r="B99" s="51">
        <f>B100</f>
        <v>53</v>
      </c>
      <c r="C99" s="68" t="s">
        <v>516</v>
      </c>
      <c r="D99" s="79" t="s">
        <v>929</v>
      </c>
      <c r="E99" s="286">
        <f t="shared" ref="E99:U99" si="12">E100</f>
        <v>1.76</v>
      </c>
      <c r="F99" s="286">
        <f t="shared" si="12"/>
        <v>0.05</v>
      </c>
      <c r="G99" s="286">
        <f t="shared" si="12"/>
        <v>0.03</v>
      </c>
      <c r="H99" s="286">
        <f t="shared" si="12"/>
        <v>-0.02</v>
      </c>
      <c r="I99" s="286">
        <f t="shared" si="12"/>
        <v>0.06</v>
      </c>
      <c r="J99" s="286">
        <f t="shared" si="12"/>
        <v>0.05</v>
      </c>
      <c r="K99" s="286">
        <f t="shared" si="12"/>
        <v>0</v>
      </c>
      <c r="L99" s="286">
        <f t="shared" si="12"/>
        <v>0</v>
      </c>
      <c r="M99" s="286">
        <f t="shared" si="12"/>
        <v>0.03</v>
      </c>
      <c r="N99" s="286">
        <f t="shared" si="12"/>
        <v>0</v>
      </c>
      <c r="O99" s="286">
        <f t="shared" si="12"/>
        <v>0</v>
      </c>
      <c r="P99" s="286">
        <f t="shared" si="12"/>
        <v>0.04</v>
      </c>
      <c r="Q99" s="286">
        <f t="shared" si="12"/>
        <v>0</v>
      </c>
      <c r="R99" s="286">
        <f t="shared" si="12"/>
        <v>-0.05</v>
      </c>
      <c r="S99" s="286">
        <f t="shared" si="12"/>
        <v>0</v>
      </c>
      <c r="T99" s="286">
        <f t="shared" si="12"/>
        <v>0</v>
      </c>
      <c r="U99" s="228">
        <f t="shared" si="12"/>
        <v>1.95</v>
      </c>
    </row>
    <row r="100" spans="1:21" x14ac:dyDescent="0.2">
      <c r="A100" s="51">
        <f t="shared" si="9"/>
        <v>91</v>
      </c>
      <c r="B100" s="51">
        <v>53</v>
      </c>
      <c r="C100" s="68" t="s">
        <v>516</v>
      </c>
      <c r="D100" s="79" t="s">
        <v>930</v>
      </c>
      <c r="E100" s="286">
        <v>1.76</v>
      </c>
      <c r="F100" s="286">
        <v>0.05</v>
      </c>
      <c r="G100" s="286">
        <v>0.03</v>
      </c>
      <c r="H100" s="286">
        <v>-0.02</v>
      </c>
      <c r="I100" s="286">
        <v>0.06</v>
      </c>
      <c r="J100" s="286">
        <v>0.05</v>
      </c>
      <c r="K100" s="286">
        <v>0</v>
      </c>
      <c r="L100" s="286">
        <v>0</v>
      </c>
      <c r="M100" s="286">
        <v>0.03</v>
      </c>
      <c r="N100" s="286">
        <v>0</v>
      </c>
      <c r="O100" s="286">
        <v>0</v>
      </c>
      <c r="P100" s="286">
        <v>0.04</v>
      </c>
      <c r="Q100" s="286">
        <v>0</v>
      </c>
      <c r="R100" s="286">
        <v>-0.05</v>
      </c>
      <c r="S100" s="286">
        <v>0</v>
      </c>
      <c r="T100" s="286">
        <v>0</v>
      </c>
      <c r="U100" s="228">
        <f t="shared" ref="U100:U108" si="13">SUM(E100:T100)</f>
        <v>1.95</v>
      </c>
    </row>
    <row r="101" spans="1:21" x14ac:dyDescent="0.2">
      <c r="A101" s="51">
        <f t="shared" si="9"/>
        <v>92</v>
      </c>
      <c r="B101" s="51">
        <v>53</v>
      </c>
      <c r="C101" s="68" t="s">
        <v>516</v>
      </c>
      <c r="D101" s="79" t="s">
        <v>527</v>
      </c>
      <c r="E101" s="286">
        <v>2.72</v>
      </c>
      <c r="F101" s="286">
        <v>0.08</v>
      </c>
      <c r="G101" s="286">
        <v>0.06</v>
      </c>
      <c r="H101" s="286">
        <v>-0.04</v>
      </c>
      <c r="I101" s="286">
        <v>0.1</v>
      </c>
      <c r="J101" s="286">
        <v>0.08</v>
      </c>
      <c r="K101" s="286">
        <v>0</v>
      </c>
      <c r="L101" s="286">
        <v>0</v>
      </c>
      <c r="M101" s="286">
        <v>0.04</v>
      </c>
      <c r="N101" s="286">
        <v>0</v>
      </c>
      <c r="O101" s="286">
        <v>0</v>
      </c>
      <c r="P101" s="286">
        <v>7.0000000000000007E-2</v>
      </c>
      <c r="Q101" s="286">
        <v>0</v>
      </c>
      <c r="R101" s="286">
        <v>-0.08</v>
      </c>
      <c r="S101" s="286">
        <v>0</v>
      </c>
      <c r="T101" s="286">
        <v>0</v>
      </c>
      <c r="U101" s="228">
        <f t="shared" si="13"/>
        <v>3.0300000000000002</v>
      </c>
    </row>
    <row r="102" spans="1:21" x14ac:dyDescent="0.2">
      <c r="A102" s="51">
        <f t="shared" si="9"/>
        <v>93</v>
      </c>
      <c r="B102" s="51">
        <v>53</v>
      </c>
      <c r="C102" s="68" t="s">
        <v>516</v>
      </c>
      <c r="D102" s="79" t="s">
        <v>528</v>
      </c>
      <c r="E102" s="286">
        <v>3.67</v>
      </c>
      <c r="F102" s="286">
        <v>0.12</v>
      </c>
      <c r="G102" s="286">
        <v>0.08</v>
      </c>
      <c r="H102" s="286">
        <v>-0.05</v>
      </c>
      <c r="I102" s="286">
        <v>0.14000000000000001</v>
      </c>
      <c r="J102" s="286">
        <v>0.11</v>
      </c>
      <c r="K102" s="286">
        <v>0</v>
      </c>
      <c r="L102" s="286">
        <v>0</v>
      </c>
      <c r="M102" s="286">
        <v>0.06</v>
      </c>
      <c r="N102" s="286">
        <v>0</v>
      </c>
      <c r="O102" s="286">
        <v>0</v>
      </c>
      <c r="P102" s="286">
        <v>0.1</v>
      </c>
      <c r="Q102" s="286">
        <v>0</v>
      </c>
      <c r="R102" s="286">
        <v>-0.11</v>
      </c>
      <c r="S102" s="286">
        <v>0</v>
      </c>
      <c r="T102" s="286">
        <v>0</v>
      </c>
      <c r="U102" s="228">
        <f t="shared" si="13"/>
        <v>4.1199999999999992</v>
      </c>
    </row>
    <row r="103" spans="1:21" x14ac:dyDescent="0.2">
      <c r="A103" s="51">
        <f t="shared" si="9"/>
        <v>94</v>
      </c>
      <c r="B103" s="51">
        <v>53</v>
      </c>
      <c r="C103" s="68" t="s">
        <v>516</v>
      </c>
      <c r="D103" s="79" t="s">
        <v>529</v>
      </c>
      <c r="E103" s="286">
        <v>4.63</v>
      </c>
      <c r="F103" s="286">
        <v>0.15</v>
      </c>
      <c r="G103" s="286">
        <v>0.1</v>
      </c>
      <c r="H103" s="286">
        <v>-7.0000000000000007E-2</v>
      </c>
      <c r="I103" s="286">
        <v>0.18</v>
      </c>
      <c r="J103" s="286">
        <v>0.14000000000000001</v>
      </c>
      <c r="K103" s="286">
        <v>0</v>
      </c>
      <c r="L103" s="286">
        <v>0</v>
      </c>
      <c r="M103" s="286">
        <v>7.0000000000000007E-2</v>
      </c>
      <c r="N103" s="286">
        <v>0</v>
      </c>
      <c r="O103" s="286">
        <v>0</v>
      </c>
      <c r="P103" s="286">
        <v>0.13</v>
      </c>
      <c r="Q103" s="286">
        <v>0</v>
      </c>
      <c r="R103" s="286">
        <v>-0.14000000000000001</v>
      </c>
      <c r="S103" s="286">
        <v>0</v>
      </c>
      <c r="T103" s="286">
        <v>0</v>
      </c>
      <c r="U103" s="228">
        <f t="shared" si="13"/>
        <v>5.1899999999999995</v>
      </c>
    </row>
    <row r="104" spans="1:21" x14ac:dyDescent="0.2">
      <c r="A104" s="51">
        <f t="shared" si="9"/>
        <v>95</v>
      </c>
      <c r="B104" s="51">
        <v>53</v>
      </c>
      <c r="C104" s="68" t="s">
        <v>516</v>
      </c>
      <c r="D104" s="79" t="s">
        <v>519</v>
      </c>
      <c r="E104" s="286">
        <v>5.58</v>
      </c>
      <c r="F104" s="286">
        <v>0.18</v>
      </c>
      <c r="G104" s="286">
        <v>0.12</v>
      </c>
      <c r="H104" s="286">
        <v>-0.08</v>
      </c>
      <c r="I104" s="286">
        <v>0.22</v>
      </c>
      <c r="J104" s="286">
        <v>0.17</v>
      </c>
      <c r="K104" s="286">
        <v>0</v>
      </c>
      <c r="L104" s="286">
        <v>0</v>
      </c>
      <c r="M104" s="286">
        <v>9.0000000000000011E-2</v>
      </c>
      <c r="N104" s="286">
        <v>0</v>
      </c>
      <c r="O104" s="286">
        <v>0</v>
      </c>
      <c r="P104" s="286">
        <v>0.16</v>
      </c>
      <c r="Q104" s="286">
        <v>0</v>
      </c>
      <c r="R104" s="286">
        <v>-0.17</v>
      </c>
      <c r="S104" s="286">
        <v>0</v>
      </c>
      <c r="T104" s="286">
        <v>0</v>
      </c>
      <c r="U104" s="228">
        <f t="shared" si="13"/>
        <v>6.27</v>
      </c>
    </row>
    <row r="105" spans="1:21" x14ac:dyDescent="0.2">
      <c r="A105" s="51">
        <f t="shared" si="9"/>
        <v>96</v>
      </c>
      <c r="B105" s="51">
        <v>53</v>
      </c>
      <c r="C105" s="68" t="s">
        <v>516</v>
      </c>
      <c r="D105" s="79" t="s">
        <v>520</v>
      </c>
      <c r="E105" s="286">
        <v>6.54</v>
      </c>
      <c r="F105" s="286">
        <v>0.22</v>
      </c>
      <c r="G105" s="286">
        <v>0.15</v>
      </c>
      <c r="H105" s="286">
        <v>-0.1</v>
      </c>
      <c r="I105" s="286">
        <v>0.26</v>
      </c>
      <c r="J105" s="286">
        <v>0.21</v>
      </c>
      <c r="K105" s="286">
        <v>0</v>
      </c>
      <c r="L105" s="286">
        <v>0</v>
      </c>
      <c r="M105" s="286">
        <v>0.11</v>
      </c>
      <c r="N105" s="286">
        <v>0</v>
      </c>
      <c r="O105" s="286">
        <v>0</v>
      </c>
      <c r="P105" s="286">
        <v>0.19</v>
      </c>
      <c r="Q105" s="286">
        <v>0</v>
      </c>
      <c r="R105" s="286">
        <v>-0.2</v>
      </c>
      <c r="S105" s="286">
        <v>0</v>
      </c>
      <c r="T105" s="286">
        <v>0</v>
      </c>
      <c r="U105" s="228">
        <f t="shared" si="13"/>
        <v>7.3800000000000008</v>
      </c>
    </row>
    <row r="106" spans="1:21" x14ac:dyDescent="0.2">
      <c r="A106" s="51">
        <f t="shared" si="9"/>
        <v>97</v>
      </c>
      <c r="B106" s="51">
        <v>53</v>
      </c>
      <c r="C106" s="68" t="s">
        <v>516</v>
      </c>
      <c r="D106" s="79" t="s">
        <v>521</v>
      </c>
      <c r="E106" s="286">
        <v>7.49</v>
      </c>
      <c r="F106" s="286">
        <v>0.25</v>
      </c>
      <c r="G106" s="286">
        <v>0.17</v>
      </c>
      <c r="H106" s="286">
        <v>-0.11</v>
      </c>
      <c r="I106" s="286">
        <v>0.3</v>
      </c>
      <c r="J106" s="286">
        <v>0.24</v>
      </c>
      <c r="K106" s="286">
        <v>0</v>
      </c>
      <c r="L106" s="286">
        <v>0</v>
      </c>
      <c r="M106" s="286">
        <v>0.12</v>
      </c>
      <c r="N106" s="286">
        <v>0</v>
      </c>
      <c r="O106" s="286">
        <v>0</v>
      </c>
      <c r="P106" s="286">
        <v>0.22</v>
      </c>
      <c r="Q106" s="286">
        <v>0</v>
      </c>
      <c r="R106" s="286">
        <v>-0.23</v>
      </c>
      <c r="S106" s="286">
        <v>0</v>
      </c>
      <c r="T106" s="286">
        <v>0</v>
      </c>
      <c r="U106" s="228">
        <f t="shared" si="13"/>
        <v>8.4499999999999993</v>
      </c>
    </row>
    <row r="107" spans="1:21" x14ac:dyDescent="0.2">
      <c r="A107" s="51">
        <f t="shared" ref="A107:A138" si="14">A106+1</f>
        <v>98</v>
      </c>
      <c r="B107" s="51">
        <v>53</v>
      </c>
      <c r="C107" s="68" t="s">
        <v>516</v>
      </c>
      <c r="D107" s="79" t="s">
        <v>522</v>
      </c>
      <c r="E107" s="286">
        <v>8.4499999999999993</v>
      </c>
      <c r="F107" s="286">
        <v>0.28999999999999998</v>
      </c>
      <c r="G107" s="286">
        <v>0.19</v>
      </c>
      <c r="H107" s="286">
        <v>-0.12</v>
      </c>
      <c r="I107" s="286">
        <v>0.34</v>
      </c>
      <c r="J107" s="286">
        <v>0.27</v>
      </c>
      <c r="K107" s="286">
        <v>0</v>
      </c>
      <c r="L107" s="286">
        <v>-0.01</v>
      </c>
      <c r="M107" s="286">
        <v>0.14000000000000001</v>
      </c>
      <c r="N107" s="286">
        <v>0</v>
      </c>
      <c r="O107" s="286">
        <v>0</v>
      </c>
      <c r="P107" s="286">
        <v>0.25</v>
      </c>
      <c r="Q107" s="286">
        <v>0</v>
      </c>
      <c r="R107" s="286">
        <v>-0.26</v>
      </c>
      <c r="S107" s="286">
        <v>0</v>
      </c>
      <c r="T107" s="286">
        <v>0</v>
      </c>
      <c r="U107" s="228">
        <f t="shared" si="13"/>
        <v>9.5399999999999991</v>
      </c>
    </row>
    <row r="108" spans="1:21" x14ac:dyDescent="0.2">
      <c r="A108" s="51">
        <f t="shared" si="14"/>
        <v>99</v>
      </c>
      <c r="B108" s="51">
        <v>53</v>
      </c>
      <c r="C108" s="68" t="s">
        <v>516</v>
      </c>
      <c r="D108" s="79" t="s">
        <v>523</v>
      </c>
      <c r="E108" s="286">
        <v>9.4</v>
      </c>
      <c r="F108" s="286">
        <v>0.32</v>
      </c>
      <c r="G108" s="286">
        <v>0.21</v>
      </c>
      <c r="H108" s="286">
        <v>-0.14000000000000001</v>
      </c>
      <c r="I108" s="286">
        <v>0.38</v>
      </c>
      <c r="J108" s="286">
        <v>0.3</v>
      </c>
      <c r="K108" s="286">
        <v>0</v>
      </c>
      <c r="L108" s="286">
        <v>-0.01</v>
      </c>
      <c r="M108" s="286">
        <v>0.15</v>
      </c>
      <c r="N108" s="286">
        <v>0</v>
      </c>
      <c r="O108" s="286">
        <v>0</v>
      </c>
      <c r="P108" s="286">
        <v>0.28000000000000003</v>
      </c>
      <c r="Q108" s="286">
        <v>0</v>
      </c>
      <c r="R108" s="286">
        <v>-0.28999999999999998</v>
      </c>
      <c r="S108" s="286">
        <v>0</v>
      </c>
      <c r="T108" s="286">
        <v>0</v>
      </c>
      <c r="U108" s="228">
        <f t="shared" si="13"/>
        <v>10.600000000000003</v>
      </c>
    </row>
    <row r="109" spans="1:21" x14ac:dyDescent="0.2">
      <c r="A109" s="51">
        <f t="shared" si="14"/>
        <v>100</v>
      </c>
      <c r="B109" s="51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26"/>
    </row>
    <row r="110" spans="1:21" x14ac:dyDescent="0.2">
      <c r="A110" s="51">
        <f t="shared" si="14"/>
        <v>101</v>
      </c>
      <c r="B110" s="51">
        <v>54</v>
      </c>
      <c r="C110" s="60" t="s">
        <v>235</v>
      </c>
      <c r="D110" s="79" t="s">
        <v>223</v>
      </c>
      <c r="E110" s="286">
        <v>1.59</v>
      </c>
      <c r="F110" s="286">
        <v>0.06</v>
      </c>
      <c r="G110" s="286">
        <v>0.04</v>
      </c>
      <c r="H110" s="286">
        <v>-0.02</v>
      </c>
      <c r="I110" s="286">
        <v>7.0000000000000007E-2</v>
      </c>
      <c r="J110" s="286">
        <v>0.05</v>
      </c>
      <c r="K110" s="286">
        <v>0</v>
      </c>
      <c r="L110" s="286">
        <v>0</v>
      </c>
      <c r="M110" s="286">
        <v>0.03</v>
      </c>
      <c r="N110" s="286">
        <v>0</v>
      </c>
      <c r="O110" s="286">
        <v>0</v>
      </c>
      <c r="P110" s="286">
        <v>0.05</v>
      </c>
      <c r="Q110" s="286">
        <v>0</v>
      </c>
      <c r="R110" s="286">
        <v>-0.05</v>
      </c>
      <c r="S110" s="286">
        <v>0</v>
      </c>
      <c r="T110" s="286">
        <v>0</v>
      </c>
      <c r="U110" s="228">
        <f t="shared" ref="U110:U118" si="15">SUM(E110:T110)</f>
        <v>1.8200000000000003</v>
      </c>
    </row>
    <row r="111" spans="1:21" x14ac:dyDescent="0.2">
      <c r="A111" s="51">
        <f t="shared" si="14"/>
        <v>102</v>
      </c>
      <c r="B111" s="51">
        <v>54</v>
      </c>
      <c r="C111" s="60" t="s">
        <v>235</v>
      </c>
      <c r="D111" s="79" t="s">
        <v>224</v>
      </c>
      <c r="E111" s="286">
        <v>2.23</v>
      </c>
      <c r="F111" s="286">
        <v>0.08</v>
      </c>
      <c r="G111" s="286">
        <v>0.05</v>
      </c>
      <c r="H111" s="286">
        <v>-0.03</v>
      </c>
      <c r="I111" s="286">
        <v>0.09</v>
      </c>
      <c r="J111" s="286">
        <v>7.0000000000000007E-2</v>
      </c>
      <c r="K111" s="286">
        <v>0</v>
      </c>
      <c r="L111" s="286">
        <v>0</v>
      </c>
      <c r="M111" s="286">
        <v>0.04</v>
      </c>
      <c r="N111" s="286">
        <v>0</v>
      </c>
      <c r="O111" s="286">
        <v>0</v>
      </c>
      <c r="P111" s="286">
        <v>7.0000000000000007E-2</v>
      </c>
      <c r="Q111" s="286">
        <v>0</v>
      </c>
      <c r="R111" s="286">
        <v>-7.0000000000000007E-2</v>
      </c>
      <c r="S111" s="286">
        <v>0</v>
      </c>
      <c r="T111" s="286">
        <v>0</v>
      </c>
      <c r="U111" s="228">
        <f t="shared" si="15"/>
        <v>2.5299999999999998</v>
      </c>
    </row>
    <row r="112" spans="1:21" x14ac:dyDescent="0.2">
      <c r="A112" s="51">
        <f t="shared" si="14"/>
        <v>103</v>
      </c>
      <c r="B112" s="51">
        <v>54</v>
      </c>
      <c r="C112" s="60" t="s">
        <v>235</v>
      </c>
      <c r="D112" s="79" t="s">
        <v>214</v>
      </c>
      <c r="E112" s="286">
        <v>3.19</v>
      </c>
      <c r="F112" s="286">
        <v>0.11</v>
      </c>
      <c r="G112" s="286">
        <v>7.0000000000000007E-2</v>
      </c>
      <c r="H112" s="286">
        <v>-0.05</v>
      </c>
      <c r="I112" s="286">
        <v>0.13</v>
      </c>
      <c r="J112" s="286">
        <v>0.1</v>
      </c>
      <c r="K112" s="286">
        <v>0</v>
      </c>
      <c r="L112" s="286">
        <v>0</v>
      </c>
      <c r="M112" s="286">
        <v>0.05</v>
      </c>
      <c r="N112" s="286">
        <v>0</v>
      </c>
      <c r="O112" s="286">
        <v>0</v>
      </c>
      <c r="P112" s="286">
        <v>0.1</v>
      </c>
      <c r="Q112" s="286">
        <v>0</v>
      </c>
      <c r="R112" s="286">
        <v>-0.1</v>
      </c>
      <c r="S112" s="286">
        <v>0</v>
      </c>
      <c r="T112" s="286">
        <v>0</v>
      </c>
      <c r="U112" s="228">
        <f t="shared" si="15"/>
        <v>3.5999999999999996</v>
      </c>
    </row>
    <row r="113" spans="1:21" x14ac:dyDescent="0.2">
      <c r="A113" s="51">
        <f t="shared" si="14"/>
        <v>104</v>
      </c>
      <c r="B113" s="51">
        <v>54</v>
      </c>
      <c r="C113" s="60" t="s">
        <v>235</v>
      </c>
      <c r="D113" s="79" t="s">
        <v>225</v>
      </c>
      <c r="E113" s="286">
        <v>4.78</v>
      </c>
      <c r="F113" s="286">
        <v>0.17</v>
      </c>
      <c r="G113" s="286">
        <v>0.11</v>
      </c>
      <c r="H113" s="286">
        <v>-7.0000000000000007E-2</v>
      </c>
      <c r="I113" s="286">
        <v>0.2</v>
      </c>
      <c r="J113" s="286">
        <v>0.16</v>
      </c>
      <c r="K113" s="286">
        <v>0</v>
      </c>
      <c r="L113" s="286">
        <v>0</v>
      </c>
      <c r="M113" s="286">
        <v>0.08</v>
      </c>
      <c r="N113" s="286">
        <v>0</v>
      </c>
      <c r="O113" s="286">
        <v>0</v>
      </c>
      <c r="P113" s="286">
        <v>0.15</v>
      </c>
      <c r="Q113" s="286">
        <v>0</v>
      </c>
      <c r="R113" s="286">
        <v>-0.15</v>
      </c>
      <c r="S113" s="286">
        <v>0</v>
      </c>
      <c r="T113" s="286">
        <v>0</v>
      </c>
      <c r="U113" s="228">
        <f t="shared" si="15"/>
        <v>5.4300000000000006</v>
      </c>
    </row>
    <row r="114" spans="1:21" x14ac:dyDescent="0.2">
      <c r="A114" s="51">
        <f t="shared" si="14"/>
        <v>105</v>
      </c>
      <c r="B114" s="51">
        <v>54</v>
      </c>
      <c r="C114" s="60" t="s">
        <v>235</v>
      </c>
      <c r="D114" s="79" t="s">
        <v>226</v>
      </c>
      <c r="E114" s="286">
        <v>6.37</v>
      </c>
      <c r="F114" s="286">
        <v>0.22</v>
      </c>
      <c r="G114" s="286">
        <v>0.15</v>
      </c>
      <c r="H114" s="286">
        <v>-0.1</v>
      </c>
      <c r="I114" s="286">
        <v>0.27</v>
      </c>
      <c r="J114" s="286">
        <v>0.21</v>
      </c>
      <c r="K114" s="286">
        <v>0</v>
      </c>
      <c r="L114" s="286">
        <v>0</v>
      </c>
      <c r="M114" s="286">
        <v>0.11</v>
      </c>
      <c r="N114" s="286">
        <v>0</v>
      </c>
      <c r="O114" s="286">
        <v>0</v>
      </c>
      <c r="P114" s="286">
        <v>0.2</v>
      </c>
      <c r="Q114" s="286">
        <v>0</v>
      </c>
      <c r="R114" s="286">
        <v>-0.21</v>
      </c>
      <c r="S114" s="286">
        <v>0</v>
      </c>
      <c r="T114" s="286">
        <v>0</v>
      </c>
      <c r="U114" s="228">
        <f t="shared" si="15"/>
        <v>7.2200000000000006</v>
      </c>
    </row>
    <row r="115" spans="1:21" x14ac:dyDescent="0.2">
      <c r="A115" s="51">
        <f t="shared" si="14"/>
        <v>106</v>
      </c>
      <c r="B115" s="51">
        <v>54</v>
      </c>
      <c r="C115" s="60" t="s">
        <v>235</v>
      </c>
      <c r="D115" s="79" t="s">
        <v>227</v>
      </c>
      <c r="E115" s="286">
        <v>7.96</v>
      </c>
      <c r="F115" s="286">
        <v>0.28000000000000003</v>
      </c>
      <c r="G115" s="286">
        <v>0.19</v>
      </c>
      <c r="H115" s="286">
        <v>-0.12</v>
      </c>
      <c r="I115" s="286">
        <v>0.34</v>
      </c>
      <c r="J115" s="286">
        <v>0.26</v>
      </c>
      <c r="K115" s="286">
        <v>0</v>
      </c>
      <c r="L115" s="286">
        <v>-0.01</v>
      </c>
      <c r="M115" s="286">
        <v>0.14000000000000001</v>
      </c>
      <c r="N115" s="286">
        <v>0</v>
      </c>
      <c r="O115" s="286">
        <v>0</v>
      </c>
      <c r="P115" s="286">
        <v>0.25</v>
      </c>
      <c r="Q115" s="286">
        <v>0</v>
      </c>
      <c r="R115" s="286">
        <v>-0.26</v>
      </c>
      <c r="S115" s="286">
        <v>0</v>
      </c>
      <c r="T115" s="286">
        <v>0</v>
      </c>
      <c r="U115" s="228">
        <f t="shared" si="15"/>
        <v>9.0300000000000011</v>
      </c>
    </row>
    <row r="116" spans="1:21" x14ac:dyDescent="0.2">
      <c r="A116" s="51">
        <f t="shared" si="14"/>
        <v>107</v>
      </c>
      <c r="B116" s="51">
        <v>54</v>
      </c>
      <c r="C116" s="60" t="s">
        <v>235</v>
      </c>
      <c r="D116" s="79" t="s">
        <v>228</v>
      </c>
      <c r="E116" s="286">
        <v>9.8699999999999992</v>
      </c>
      <c r="F116" s="286">
        <v>0.35</v>
      </c>
      <c r="G116" s="286">
        <v>0.23</v>
      </c>
      <c r="H116" s="286">
        <v>-0.15</v>
      </c>
      <c r="I116" s="286">
        <v>0.42</v>
      </c>
      <c r="J116" s="286">
        <v>0.33</v>
      </c>
      <c r="K116" s="286">
        <v>0</v>
      </c>
      <c r="L116" s="286">
        <v>-0.01</v>
      </c>
      <c r="M116" s="286">
        <v>0.16</v>
      </c>
      <c r="N116" s="286">
        <v>0</v>
      </c>
      <c r="O116" s="286">
        <v>0</v>
      </c>
      <c r="P116" s="286">
        <v>0.31</v>
      </c>
      <c r="Q116" s="286">
        <v>0</v>
      </c>
      <c r="R116" s="286">
        <v>-0.32</v>
      </c>
      <c r="S116" s="286">
        <v>0</v>
      </c>
      <c r="T116" s="286">
        <v>0</v>
      </c>
      <c r="U116" s="228">
        <f t="shared" si="15"/>
        <v>11.19</v>
      </c>
    </row>
    <row r="117" spans="1:21" x14ac:dyDescent="0.2">
      <c r="A117" s="51">
        <f t="shared" si="14"/>
        <v>108</v>
      </c>
      <c r="B117" s="51">
        <v>54</v>
      </c>
      <c r="C117" s="60" t="s">
        <v>235</v>
      </c>
      <c r="D117" s="79" t="s">
        <v>216</v>
      </c>
      <c r="E117" s="286">
        <v>12.74</v>
      </c>
      <c r="F117" s="286">
        <v>0.45</v>
      </c>
      <c r="G117" s="286">
        <v>0.3</v>
      </c>
      <c r="H117" s="286">
        <v>-0.19</v>
      </c>
      <c r="I117" s="286">
        <v>0.54</v>
      </c>
      <c r="J117" s="286">
        <v>0.42</v>
      </c>
      <c r="K117" s="286">
        <v>0</v>
      </c>
      <c r="L117" s="286">
        <v>-0.01</v>
      </c>
      <c r="M117" s="286">
        <v>0.22</v>
      </c>
      <c r="N117" s="286">
        <v>0</v>
      </c>
      <c r="O117" s="286">
        <v>0</v>
      </c>
      <c r="P117" s="286">
        <v>0.4</v>
      </c>
      <c r="Q117" s="286">
        <v>0</v>
      </c>
      <c r="R117" s="286">
        <v>-0.41</v>
      </c>
      <c r="S117" s="286">
        <v>0</v>
      </c>
      <c r="T117" s="286">
        <v>0</v>
      </c>
      <c r="U117" s="228">
        <f t="shared" si="15"/>
        <v>14.46</v>
      </c>
    </row>
    <row r="118" spans="1:21" x14ac:dyDescent="0.2">
      <c r="A118" s="51">
        <f t="shared" si="14"/>
        <v>109</v>
      </c>
      <c r="B118" s="51">
        <v>54</v>
      </c>
      <c r="C118" s="60" t="s">
        <v>235</v>
      </c>
      <c r="D118" s="79" t="s">
        <v>230</v>
      </c>
      <c r="E118" s="286">
        <v>31.85</v>
      </c>
      <c r="F118" s="286">
        <v>1.1200000000000001</v>
      </c>
      <c r="G118" s="286">
        <v>0.74</v>
      </c>
      <c r="H118" s="286">
        <v>-0.49</v>
      </c>
      <c r="I118" s="286">
        <v>1.35</v>
      </c>
      <c r="J118" s="286">
        <v>1.05</v>
      </c>
      <c r="K118" s="286">
        <v>0</v>
      </c>
      <c r="L118" s="286">
        <v>-0.02</v>
      </c>
      <c r="M118" s="286">
        <v>0.54</v>
      </c>
      <c r="N118" s="286">
        <v>0</v>
      </c>
      <c r="O118" s="286">
        <v>0</v>
      </c>
      <c r="P118" s="286">
        <v>1</v>
      </c>
      <c r="Q118" s="286">
        <v>0</v>
      </c>
      <c r="R118" s="286">
        <v>-1.03</v>
      </c>
      <c r="S118" s="286">
        <v>0</v>
      </c>
      <c r="T118" s="286">
        <v>0</v>
      </c>
      <c r="U118" s="228">
        <f t="shared" si="15"/>
        <v>36.109999999999992</v>
      </c>
    </row>
    <row r="119" spans="1:21" x14ac:dyDescent="0.2">
      <c r="A119" s="51">
        <f t="shared" si="14"/>
        <v>110</v>
      </c>
      <c r="B119" s="51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26"/>
    </row>
    <row r="120" spans="1:21" x14ac:dyDescent="0.2">
      <c r="A120" s="51">
        <f t="shared" si="14"/>
        <v>111</v>
      </c>
      <c r="B120" s="51">
        <f>B121</f>
        <v>54</v>
      </c>
      <c r="C120" s="68" t="s">
        <v>541</v>
      </c>
      <c r="D120" s="79" t="s">
        <v>929</v>
      </c>
      <c r="E120" s="286">
        <f t="shared" ref="E120:U120" si="16">E121</f>
        <v>1.43</v>
      </c>
      <c r="F120" s="286">
        <f t="shared" si="16"/>
        <v>0.05</v>
      </c>
      <c r="G120" s="286">
        <f t="shared" si="16"/>
        <v>0.03</v>
      </c>
      <c r="H120" s="286">
        <f t="shared" si="16"/>
        <v>-0.02</v>
      </c>
      <c r="I120" s="286">
        <f t="shared" si="16"/>
        <v>0.06</v>
      </c>
      <c r="J120" s="286">
        <f t="shared" si="16"/>
        <v>0.05</v>
      </c>
      <c r="K120" s="286">
        <f t="shared" si="16"/>
        <v>0</v>
      </c>
      <c r="L120" s="286">
        <f t="shared" si="16"/>
        <v>0</v>
      </c>
      <c r="M120" s="286">
        <f t="shared" si="16"/>
        <v>0.03</v>
      </c>
      <c r="N120" s="286">
        <f t="shared" si="16"/>
        <v>0</v>
      </c>
      <c r="O120" s="286">
        <f t="shared" si="16"/>
        <v>0</v>
      </c>
      <c r="P120" s="286">
        <f t="shared" si="16"/>
        <v>0.04</v>
      </c>
      <c r="Q120" s="286">
        <f t="shared" si="16"/>
        <v>0</v>
      </c>
      <c r="R120" s="286">
        <f t="shared" si="16"/>
        <v>-0.05</v>
      </c>
      <c r="S120" s="286">
        <f t="shared" si="16"/>
        <v>0</v>
      </c>
      <c r="T120" s="286">
        <f t="shared" si="16"/>
        <v>0</v>
      </c>
      <c r="U120" s="228">
        <f t="shared" si="16"/>
        <v>1.62</v>
      </c>
    </row>
    <row r="121" spans="1:21" x14ac:dyDescent="0.2">
      <c r="A121" s="51">
        <f t="shared" si="14"/>
        <v>112</v>
      </c>
      <c r="B121" s="51">
        <v>54</v>
      </c>
      <c r="C121" s="68" t="s">
        <v>541</v>
      </c>
      <c r="D121" s="79" t="s">
        <v>526</v>
      </c>
      <c r="E121" s="286">
        <v>1.43</v>
      </c>
      <c r="F121" s="286">
        <v>0.05</v>
      </c>
      <c r="G121" s="286">
        <v>0.03</v>
      </c>
      <c r="H121" s="286">
        <v>-0.02</v>
      </c>
      <c r="I121" s="286">
        <v>0.06</v>
      </c>
      <c r="J121" s="286">
        <v>0.05</v>
      </c>
      <c r="K121" s="286">
        <v>0</v>
      </c>
      <c r="L121" s="286">
        <v>0</v>
      </c>
      <c r="M121" s="286">
        <v>0.03</v>
      </c>
      <c r="N121" s="286">
        <v>0</v>
      </c>
      <c r="O121" s="286">
        <v>0</v>
      </c>
      <c r="P121" s="286">
        <v>0.04</v>
      </c>
      <c r="Q121" s="286">
        <v>0</v>
      </c>
      <c r="R121" s="286">
        <v>-0.05</v>
      </c>
      <c r="S121" s="286">
        <v>0</v>
      </c>
      <c r="T121" s="286">
        <v>0</v>
      </c>
      <c r="U121" s="228">
        <f t="shared" ref="U121:U129" si="17">SUM(E121:T121)</f>
        <v>1.62</v>
      </c>
    </row>
    <row r="122" spans="1:21" x14ac:dyDescent="0.2">
      <c r="A122" s="51">
        <f t="shared" si="14"/>
        <v>113</v>
      </c>
      <c r="B122" s="51">
        <v>54</v>
      </c>
      <c r="C122" s="68" t="s">
        <v>541</v>
      </c>
      <c r="D122" s="79" t="s">
        <v>527</v>
      </c>
      <c r="E122" s="286">
        <v>2.39</v>
      </c>
      <c r="F122" s="286">
        <v>0.08</v>
      </c>
      <c r="G122" s="286">
        <v>0.06</v>
      </c>
      <c r="H122" s="286">
        <v>-0.04</v>
      </c>
      <c r="I122" s="286">
        <v>0.1</v>
      </c>
      <c r="J122" s="286">
        <v>0.08</v>
      </c>
      <c r="K122" s="286">
        <v>0</v>
      </c>
      <c r="L122" s="286">
        <v>0</v>
      </c>
      <c r="M122" s="286">
        <v>0.04</v>
      </c>
      <c r="N122" s="286">
        <v>0</v>
      </c>
      <c r="O122" s="286">
        <v>0</v>
      </c>
      <c r="P122" s="286">
        <v>7.0000000000000007E-2</v>
      </c>
      <c r="Q122" s="286">
        <v>0</v>
      </c>
      <c r="R122" s="286">
        <v>-0.08</v>
      </c>
      <c r="S122" s="286">
        <v>0</v>
      </c>
      <c r="T122" s="286">
        <v>0</v>
      </c>
      <c r="U122" s="228">
        <f t="shared" si="17"/>
        <v>2.7</v>
      </c>
    </row>
    <row r="123" spans="1:21" x14ac:dyDescent="0.2">
      <c r="A123" s="51">
        <f t="shared" si="14"/>
        <v>114</v>
      </c>
      <c r="B123" s="51">
        <v>54</v>
      </c>
      <c r="C123" s="68" t="s">
        <v>541</v>
      </c>
      <c r="D123" s="79" t="s">
        <v>528</v>
      </c>
      <c r="E123" s="286">
        <v>3.34</v>
      </c>
      <c r="F123" s="286">
        <v>0.12</v>
      </c>
      <c r="G123" s="286">
        <v>0.08</v>
      </c>
      <c r="H123" s="286">
        <v>-0.05</v>
      </c>
      <c r="I123" s="286">
        <v>0.14000000000000001</v>
      </c>
      <c r="J123" s="286">
        <v>0.11</v>
      </c>
      <c r="K123" s="286">
        <v>0</v>
      </c>
      <c r="L123" s="286">
        <v>0</v>
      </c>
      <c r="M123" s="286">
        <v>0.06</v>
      </c>
      <c r="N123" s="286">
        <v>0</v>
      </c>
      <c r="O123" s="286">
        <v>0</v>
      </c>
      <c r="P123" s="286">
        <v>0.1</v>
      </c>
      <c r="Q123" s="286">
        <v>0</v>
      </c>
      <c r="R123" s="286">
        <v>-0.11</v>
      </c>
      <c r="S123" s="286">
        <v>0</v>
      </c>
      <c r="T123" s="286">
        <v>0</v>
      </c>
      <c r="U123" s="228">
        <f t="shared" si="17"/>
        <v>3.7900000000000005</v>
      </c>
    </row>
    <row r="124" spans="1:21" x14ac:dyDescent="0.2">
      <c r="A124" s="51">
        <f t="shared" si="14"/>
        <v>115</v>
      </c>
      <c r="B124" s="51">
        <v>54</v>
      </c>
      <c r="C124" s="68" t="s">
        <v>541</v>
      </c>
      <c r="D124" s="79" t="s">
        <v>529</v>
      </c>
      <c r="E124" s="286">
        <v>4.3</v>
      </c>
      <c r="F124" s="286">
        <v>0.15</v>
      </c>
      <c r="G124" s="286">
        <v>0.1</v>
      </c>
      <c r="H124" s="286">
        <v>-7.0000000000000007E-2</v>
      </c>
      <c r="I124" s="286">
        <v>0.18</v>
      </c>
      <c r="J124" s="286">
        <v>0.14000000000000001</v>
      </c>
      <c r="K124" s="286">
        <v>0</v>
      </c>
      <c r="L124" s="286">
        <v>0</v>
      </c>
      <c r="M124" s="286">
        <v>7.0000000000000007E-2</v>
      </c>
      <c r="N124" s="286">
        <v>0</v>
      </c>
      <c r="O124" s="286">
        <v>0</v>
      </c>
      <c r="P124" s="286">
        <v>0.13</v>
      </c>
      <c r="Q124" s="286">
        <v>0</v>
      </c>
      <c r="R124" s="286">
        <v>-0.14000000000000001</v>
      </c>
      <c r="S124" s="286">
        <v>0</v>
      </c>
      <c r="T124" s="286">
        <v>0</v>
      </c>
      <c r="U124" s="228">
        <f t="shared" si="17"/>
        <v>4.8599999999999994</v>
      </c>
    </row>
    <row r="125" spans="1:21" x14ac:dyDescent="0.2">
      <c r="A125" s="51">
        <f t="shared" si="14"/>
        <v>116</v>
      </c>
      <c r="B125" s="51">
        <v>54</v>
      </c>
      <c r="C125" s="68" t="s">
        <v>541</v>
      </c>
      <c r="D125" s="79" t="s">
        <v>519</v>
      </c>
      <c r="E125" s="286">
        <v>5.26</v>
      </c>
      <c r="F125" s="286">
        <v>0.18</v>
      </c>
      <c r="G125" s="286">
        <v>0.12</v>
      </c>
      <c r="H125" s="286">
        <v>-0.08</v>
      </c>
      <c r="I125" s="286">
        <v>0.22</v>
      </c>
      <c r="J125" s="286">
        <v>0.17</v>
      </c>
      <c r="K125" s="286">
        <v>0</v>
      </c>
      <c r="L125" s="286">
        <v>0</v>
      </c>
      <c r="M125" s="286">
        <v>9.0000000000000011E-2</v>
      </c>
      <c r="N125" s="286">
        <v>0</v>
      </c>
      <c r="O125" s="286">
        <v>0</v>
      </c>
      <c r="P125" s="286">
        <v>0.16</v>
      </c>
      <c r="Q125" s="286">
        <v>0</v>
      </c>
      <c r="R125" s="286">
        <v>-0.17</v>
      </c>
      <c r="S125" s="286">
        <v>0</v>
      </c>
      <c r="T125" s="286">
        <v>0</v>
      </c>
      <c r="U125" s="228">
        <f t="shared" si="17"/>
        <v>5.9499999999999993</v>
      </c>
    </row>
    <row r="126" spans="1:21" x14ac:dyDescent="0.2">
      <c r="A126" s="51">
        <f t="shared" si="14"/>
        <v>117</v>
      </c>
      <c r="B126" s="51">
        <v>54</v>
      </c>
      <c r="C126" s="68" t="s">
        <v>541</v>
      </c>
      <c r="D126" s="79" t="s">
        <v>520</v>
      </c>
      <c r="E126" s="286">
        <v>6.21</v>
      </c>
      <c r="F126" s="286">
        <v>0.22</v>
      </c>
      <c r="G126" s="286">
        <v>0.15</v>
      </c>
      <c r="H126" s="286">
        <v>-0.1</v>
      </c>
      <c r="I126" s="286">
        <v>0.26</v>
      </c>
      <c r="J126" s="286">
        <v>0.21</v>
      </c>
      <c r="K126" s="286">
        <v>0</v>
      </c>
      <c r="L126" s="286">
        <v>0</v>
      </c>
      <c r="M126" s="286">
        <v>0.11</v>
      </c>
      <c r="N126" s="286">
        <v>0</v>
      </c>
      <c r="O126" s="286">
        <v>0</v>
      </c>
      <c r="P126" s="286">
        <v>0.19</v>
      </c>
      <c r="Q126" s="286">
        <v>0</v>
      </c>
      <c r="R126" s="286">
        <v>-0.2</v>
      </c>
      <c r="S126" s="286">
        <v>0</v>
      </c>
      <c r="T126" s="286">
        <v>0</v>
      </c>
      <c r="U126" s="228">
        <f t="shared" si="17"/>
        <v>7.0500000000000007</v>
      </c>
    </row>
    <row r="127" spans="1:21" x14ac:dyDescent="0.2">
      <c r="A127" s="51">
        <f t="shared" si="14"/>
        <v>118</v>
      </c>
      <c r="B127" s="51">
        <v>54</v>
      </c>
      <c r="C127" s="68" t="s">
        <v>541</v>
      </c>
      <c r="D127" s="79" t="s">
        <v>521</v>
      </c>
      <c r="E127" s="286">
        <v>7.17</v>
      </c>
      <c r="F127" s="286">
        <v>0.25</v>
      </c>
      <c r="G127" s="286">
        <v>0.17</v>
      </c>
      <c r="H127" s="286">
        <v>-0.11</v>
      </c>
      <c r="I127" s="286">
        <v>0.3</v>
      </c>
      <c r="J127" s="286">
        <v>0.24</v>
      </c>
      <c r="K127" s="286">
        <v>0</v>
      </c>
      <c r="L127" s="286">
        <v>0</v>
      </c>
      <c r="M127" s="286">
        <v>0.12</v>
      </c>
      <c r="N127" s="286">
        <v>0</v>
      </c>
      <c r="O127" s="286">
        <v>0</v>
      </c>
      <c r="P127" s="286">
        <v>0.22</v>
      </c>
      <c r="Q127" s="286">
        <v>0</v>
      </c>
      <c r="R127" s="286">
        <v>-0.23</v>
      </c>
      <c r="S127" s="286">
        <v>0</v>
      </c>
      <c r="T127" s="286">
        <v>0</v>
      </c>
      <c r="U127" s="228">
        <f t="shared" si="17"/>
        <v>8.129999999999999</v>
      </c>
    </row>
    <row r="128" spans="1:21" x14ac:dyDescent="0.2">
      <c r="A128" s="51">
        <f t="shared" si="14"/>
        <v>119</v>
      </c>
      <c r="B128" s="51">
        <v>54</v>
      </c>
      <c r="C128" s="68" t="s">
        <v>541</v>
      </c>
      <c r="D128" s="79" t="s">
        <v>522</v>
      </c>
      <c r="E128" s="286">
        <v>8.1199999999999992</v>
      </c>
      <c r="F128" s="286">
        <v>0.28999999999999998</v>
      </c>
      <c r="G128" s="286">
        <v>0.19</v>
      </c>
      <c r="H128" s="286">
        <v>-0.12</v>
      </c>
      <c r="I128" s="286">
        <v>0.34</v>
      </c>
      <c r="J128" s="286">
        <v>0.27</v>
      </c>
      <c r="K128" s="286">
        <v>0</v>
      </c>
      <c r="L128" s="286">
        <v>-0.01</v>
      </c>
      <c r="M128" s="286">
        <v>0.14000000000000001</v>
      </c>
      <c r="N128" s="286">
        <v>0</v>
      </c>
      <c r="O128" s="286">
        <v>0</v>
      </c>
      <c r="P128" s="286">
        <v>0.25</v>
      </c>
      <c r="Q128" s="286">
        <v>0</v>
      </c>
      <c r="R128" s="286">
        <v>-0.26</v>
      </c>
      <c r="S128" s="286">
        <v>0</v>
      </c>
      <c r="T128" s="286">
        <v>0</v>
      </c>
      <c r="U128" s="228">
        <f t="shared" si="17"/>
        <v>9.2099999999999991</v>
      </c>
    </row>
    <row r="129" spans="1:21" x14ac:dyDescent="0.2">
      <c r="A129" s="51">
        <f t="shared" si="14"/>
        <v>120</v>
      </c>
      <c r="B129" s="51">
        <v>54</v>
      </c>
      <c r="C129" s="68" t="s">
        <v>541</v>
      </c>
      <c r="D129" s="79" t="s">
        <v>523</v>
      </c>
      <c r="E129" s="286">
        <v>9.08</v>
      </c>
      <c r="F129" s="286">
        <v>0.32</v>
      </c>
      <c r="G129" s="286">
        <v>0.21</v>
      </c>
      <c r="H129" s="286">
        <v>-0.14000000000000001</v>
      </c>
      <c r="I129" s="286">
        <v>0.38</v>
      </c>
      <c r="J129" s="286">
        <v>0.3</v>
      </c>
      <c r="K129" s="286">
        <v>0</v>
      </c>
      <c r="L129" s="286">
        <v>-0.01</v>
      </c>
      <c r="M129" s="286">
        <v>0.15</v>
      </c>
      <c r="N129" s="286">
        <v>0</v>
      </c>
      <c r="O129" s="286">
        <v>0</v>
      </c>
      <c r="P129" s="286">
        <v>0.28000000000000003</v>
      </c>
      <c r="Q129" s="286">
        <v>0</v>
      </c>
      <c r="R129" s="286">
        <v>-0.28999999999999998</v>
      </c>
      <c r="S129" s="286">
        <v>0</v>
      </c>
      <c r="T129" s="286">
        <v>0</v>
      </c>
      <c r="U129" s="228">
        <f t="shared" si="17"/>
        <v>10.280000000000003</v>
      </c>
    </row>
    <row r="130" spans="1:21" x14ac:dyDescent="0.2">
      <c r="A130" s="51">
        <f t="shared" si="14"/>
        <v>121</v>
      </c>
      <c r="B130" s="51"/>
      <c r="C130" s="68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26"/>
    </row>
    <row r="131" spans="1:21" x14ac:dyDescent="0.2">
      <c r="A131" s="51">
        <f t="shared" si="14"/>
        <v>122</v>
      </c>
      <c r="B131" s="51" t="s">
        <v>164</v>
      </c>
      <c r="C131" s="68" t="s">
        <v>236</v>
      </c>
      <c r="D131" s="79" t="s">
        <v>224</v>
      </c>
      <c r="E131" s="286">
        <v>13.618687765672663</v>
      </c>
      <c r="F131" s="286">
        <v>0.08</v>
      </c>
      <c r="G131" s="286">
        <v>0.05</v>
      </c>
      <c r="H131" s="286">
        <v>-0.03</v>
      </c>
      <c r="I131" s="286">
        <v>0.1</v>
      </c>
      <c r="J131" s="286">
        <v>7.0000000000000007E-2</v>
      </c>
      <c r="K131" s="286">
        <v>0</v>
      </c>
      <c r="L131" s="286">
        <v>0</v>
      </c>
      <c r="M131" s="286">
        <v>0.55999999999999994</v>
      </c>
      <c r="N131" s="286">
        <v>0</v>
      </c>
      <c r="O131" s="286">
        <v>0</v>
      </c>
      <c r="P131" s="286">
        <v>7.0000000000000007E-2</v>
      </c>
      <c r="Q131" s="286">
        <v>0</v>
      </c>
      <c r="R131" s="286">
        <v>-7.0000000000000007E-2</v>
      </c>
      <c r="S131" s="286">
        <v>0</v>
      </c>
      <c r="T131" s="287">
        <v>-6.689136E-3</v>
      </c>
      <c r="U131" s="228">
        <f t="shared" ref="U131:U136" si="18">SUM(E131:T131)</f>
        <v>14.441998629672664</v>
      </c>
    </row>
    <row r="132" spans="1:21" x14ac:dyDescent="0.2">
      <c r="A132" s="51">
        <f t="shared" si="14"/>
        <v>123</v>
      </c>
      <c r="B132" s="51" t="s">
        <v>164</v>
      </c>
      <c r="C132" s="68" t="s">
        <v>236</v>
      </c>
      <c r="D132" s="79" t="s">
        <v>214</v>
      </c>
      <c r="E132" s="286">
        <v>14.02804053242096</v>
      </c>
      <c r="F132" s="286">
        <v>0.11</v>
      </c>
      <c r="G132" s="286">
        <v>7.0000000000000007E-2</v>
      </c>
      <c r="H132" s="286">
        <v>-0.05</v>
      </c>
      <c r="I132" s="286">
        <v>0.14000000000000001</v>
      </c>
      <c r="J132" s="286">
        <v>0.11</v>
      </c>
      <c r="K132" s="286">
        <v>0</v>
      </c>
      <c r="L132" s="286">
        <v>0</v>
      </c>
      <c r="M132" s="286">
        <v>0.55000000000000004</v>
      </c>
      <c r="N132" s="286">
        <v>0</v>
      </c>
      <c r="O132" s="286">
        <v>0</v>
      </c>
      <c r="P132" s="286">
        <v>0.1</v>
      </c>
      <c r="Q132" s="286">
        <v>0</v>
      </c>
      <c r="R132" s="286">
        <v>-0.1</v>
      </c>
      <c r="S132" s="286">
        <v>0</v>
      </c>
      <c r="T132" s="287">
        <v>-6.689136E-3</v>
      </c>
      <c r="U132" s="228">
        <f t="shared" si="18"/>
        <v>14.951351396420959</v>
      </c>
    </row>
    <row r="133" spans="1:21" x14ac:dyDescent="0.2">
      <c r="A133" s="51">
        <f t="shared" si="14"/>
        <v>124</v>
      </c>
      <c r="B133" s="51" t="s">
        <v>164</v>
      </c>
      <c r="C133" s="68" t="s">
        <v>236</v>
      </c>
      <c r="D133" s="79" t="s">
        <v>225</v>
      </c>
      <c r="E133" s="286">
        <v>15.645435774644971</v>
      </c>
      <c r="F133" s="286">
        <v>0.17</v>
      </c>
      <c r="G133" s="286">
        <v>0.11</v>
      </c>
      <c r="H133" s="286">
        <v>-7.0000000000000007E-2</v>
      </c>
      <c r="I133" s="286">
        <v>0.2</v>
      </c>
      <c r="J133" s="286">
        <v>0.16</v>
      </c>
      <c r="K133" s="286">
        <v>0</v>
      </c>
      <c r="L133" s="286">
        <v>0</v>
      </c>
      <c r="M133" s="286">
        <v>0.57999999999999996</v>
      </c>
      <c r="N133" s="286">
        <v>0</v>
      </c>
      <c r="O133" s="286">
        <v>0</v>
      </c>
      <c r="P133" s="286">
        <v>0.15</v>
      </c>
      <c r="Q133" s="286">
        <v>0</v>
      </c>
      <c r="R133" s="286">
        <v>-0.15</v>
      </c>
      <c r="S133" s="286">
        <v>0</v>
      </c>
      <c r="T133" s="287">
        <v>-6.689136E-3</v>
      </c>
      <c r="U133" s="228">
        <f t="shared" si="18"/>
        <v>16.78874663864497</v>
      </c>
    </row>
    <row r="134" spans="1:21" x14ac:dyDescent="0.2">
      <c r="A134" s="51">
        <f t="shared" si="14"/>
        <v>125</v>
      </c>
      <c r="B134" s="51" t="s">
        <v>164</v>
      </c>
      <c r="C134" s="68" t="s">
        <v>236</v>
      </c>
      <c r="D134" s="79" t="s">
        <v>226</v>
      </c>
      <c r="E134" s="286">
        <v>17.769437053484459</v>
      </c>
      <c r="F134" s="286">
        <v>0.23</v>
      </c>
      <c r="G134" s="286">
        <v>0.15</v>
      </c>
      <c r="H134" s="286">
        <v>-0.1</v>
      </c>
      <c r="I134" s="286">
        <v>0.27</v>
      </c>
      <c r="J134" s="286">
        <v>0.21</v>
      </c>
      <c r="K134" s="286">
        <v>0</v>
      </c>
      <c r="L134" s="286">
        <v>0</v>
      </c>
      <c r="M134" s="286">
        <v>0.63</v>
      </c>
      <c r="N134" s="286">
        <v>0</v>
      </c>
      <c r="O134" s="286">
        <v>0</v>
      </c>
      <c r="P134" s="286">
        <v>0.2</v>
      </c>
      <c r="Q134" s="286">
        <v>0</v>
      </c>
      <c r="R134" s="286">
        <v>-0.21</v>
      </c>
      <c r="S134" s="286">
        <v>0</v>
      </c>
      <c r="T134" s="287">
        <v>-6.689136E-3</v>
      </c>
      <c r="U134" s="228">
        <f t="shared" si="18"/>
        <v>19.142747917484456</v>
      </c>
    </row>
    <row r="135" spans="1:21" x14ac:dyDescent="0.2">
      <c r="A135" s="51">
        <f t="shared" si="14"/>
        <v>126</v>
      </c>
      <c r="B135" s="51" t="s">
        <v>164</v>
      </c>
      <c r="C135" s="68" t="s">
        <v>236</v>
      </c>
      <c r="D135" s="79" t="s">
        <v>227</v>
      </c>
      <c r="E135" s="286">
        <v>19.541445099369465</v>
      </c>
      <c r="F135" s="286">
        <v>0.28000000000000003</v>
      </c>
      <c r="G135" s="286">
        <v>0.19</v>
      </c>
      <c r="H135" s="286">
        <v>-0.12</v>
      </c>
      <c r="I135" s="286">
        <v>0.34</v>
      </c>
      <c r="J135" s="286">
        <v>0.27</v>
      </c>
      <c r="K135" s="286">
        <v>0</v>
      </c>
      <c r="L135" s="286">
        <v>-0.01</v>
      </c>
      <c r="M135" s="286">
        <v>0.67</v>
      </c>
      <c r="N135" s="286">
        <v>0</v>
      </c>
      <c r="O135" s="286">
        <v>0</v>
      </c>
      <c r="P135" s="286">
        <v>0.25</v>
      </c>
      <c r="Q135" s="286">
        <v>0</v>
      </c>
      <c r="R135" s="286">
        <v>-0.26</v>
      </c>
      <c r="S135" s="286">
        <v>0</v>
      </c>
      <c r="T135" s="287">
        <v>-6.689136E-3</v>
      </c>
      <c r="U135" s="228">
        <f t="shared" si="18"/>
        <v>21.144755963369466</v>
      </c>
    </row>
    <row r="136" spans="1:21" x14ac:dyDescent="0.2">
      <c r="A136" s="51">
        <f t="shared" si="14"/>
        <v>127</v>
      </c>
      <c r="B136" s="51" t="s">
        <v>164</v>
      </c>
      <c r="C136" s="68" t="s">
        <v>236</v>
      </c>
      <c r="D136" s="79" t="s">
        <v>216</v>
      </c>
      <c r="E136" s="286">
        <v>25.472897609019007</v>
      </c>
      <c r="F136" s="286">
        <v>0.45</v>
      </c>
      <c r="G136" s="286">
        <v>0.3</v>
      </c>
      <c r="H136" s="286">
        <v>-0.2</v>
      </c>
      <c r="I136" s="286">
        <v>0.54</v>
      </c>
      <c r="J136" s="286">
        <v>0.42</v>
      </c>
      <c r="K136" s="286">
        <v>0</v>
      </c>
      <c r="L136" s="286">
        <v>-0.01</v>
      </c>
      <c r="M136" s="286">
        <v>0.80999999999999994</v>
      </c>
      <c r="N136" s="286">
        <v>0</v>
      </c>
      <c r="O136" s="286">
        <v>0</v>
      </c>
      <c r="P136" s="286">
        <v>0.4</v>
      </c>
      <c r="Q136" s="286">
        <v>0</v>
      </c>
      <c r="R136" s="286">
        <v>-0.41</v>
      </c>
      <c r="S136" s="286">
        <v>0</v>
      </c>
      <c r="T136" s="287">
        <v>-6.689136E-3</v>
      </c>
      <c r="U136" s="228">
        <f t="shared" si="18"/>
        <v>27.766208473019006</v>
      </c>
    </row>
    <row r="137" spans="1:21" x14ac:dyDescent="0.2">
      <c r="A137" s="51">
        <f t="shared" si="14"/>
        <v>128</v>
      </c>
      <c r="B137" s="51"/>
      <c r="C137" s="68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28"/>
    </row>
    <row r="138" spans="1:21" x14ac:dyDescent="0.2">
      <c r="A138" s="51">
        <f t="shared" si="14"/>
        <v>129</v>
      </c>
      <c r="B138" s="51" t="s">
        <v>164</v>
      </c>
      <c r="C138" s="68" t="s">
        <v>237</v>
      </c>
      <c r="D138" s="80" t="s">
        <v>227</v>
      </c>
      <c r="E138" s="286">
        <v>21.078079212012458</v>
      </c>
      <c r="F138" s="286">
        <v>0.28000000000000003</v>
      </c>
      <c r="G138" s="286">
        <v>0.19</v>
      </c>
      <c r="H138" s="286">
        <v>-0.12</v>
      </c>
      <c r="I138" s="286">
        <v>0.34</v>
      </c>
      <c r="J138" s="286">
        <v>0.27</v>
      </c>
      <c r="K138" s="286">
        <v>0</v>
      </c>
      <c r="L138" s="286">
        <v>-0.01</v>
      </c>
      <c r="M138" s="286">
        <v>0.67</v>
      </c>
      <c r="N138" s="286">
        <v>0</v>
      </c>
      <c r="O138" s="286">
        <v>0</v>
      </c>
      <c r="P138" s="286">
        <v>0.25</v>
      </c>
      <c r="Q138" s="286">
        <v>0</v>
      </c>
      <c r="R138" s="286">
        <v>-0.26</v>
      </c>
      <c r="S138" s="286">
        <v>0</v>
      </c>
      <c r="T138" s="287">
        <v>-6.689136E-3</v>
      </c>
      <c r="U138" s="228">
        <f>SUM(E138:T138)</f>
        <v>22.681390076012459</v>
      </c>
    </row>
    <row r="139" spans="1:21" x14ac:dyDescent="0.2">
      <c r="A139" s="51">
        <f t="shared" ref="A139:A170" si="19">A138+1</f>
        <v>130</v>
      </c>
      <c r="B139" s="51"/>
      <c r="C139" s="68"/>
      <c r="D139" s="80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28"/>
    </row>
    <row r="140" spans="1:21" x14ac:dyDescent="0.2">
      <c r="A140" s="51">
        <f t="shared" si="19"/>
        <v>131</v>
      </c>
      <c r="B140" s="51" t="str">
        <f>B141</f>
        <v>55 &amp; 56</v>
      </c>
      <c r="C140" s="68" t="s">
        <v>518</v>
      </c>
      <c r="D140" s="79" t="s">
        <v>929</v>
      </c>
      <c r="E140" s="286">
        <f t="shared" ref="E140:U140" si="20">E141</f>
        <v>10.35</v>
      </c>
      <c r="F140" s="286">
        <f t="shared" si="20"/>
        <v>0.05</v>
      </c>
      <c r="G140" s="286">
        <f t="shared" si="20"/>
        <v>0.03</v>
      </c>
      <c r="H140" s="286">
        <f t="shared" si="20"/>
        <v>-0.02</v>
      </c>
      <c r="I140" s="286">
        <f t="shared" si="20"/>
        <v>0.06</v>
      </c>
      <c r="J140" s="286">
        <f t="shared" si="20"/>
        <v>0.05</v>
      </c>
      <c r="K140" s="286">
        <f t="shared" si="20"/>
        <v>0</v>
      </c>
      <c r="L140" s="286">
        <f t="shared" si="20"/>
        <v>0</v>
      </c>
      <c r="M140" s="286">
        <f t="shared" si="20"/>
        <v>0.49</v>
      </c>
      <c r="N140" s="286">
        <f t="shared" si="20"/>
        <v>0</v>
      </c>
      <c r="O140" s="286">
        <f t="shared" si="20"/>
        <v>0</v>
      </c>
      <c r="P140" s="286">
        <f t="shared" si="20"/>
        <v>0.04</v>
      </c>
      <c r="Q140" s="286">
        <f t="shared" si="20"/>
        <v>0</v>
      </c>
      <c r="R140" s="286">
        <f t="shared" si="20"/>
        <v>-0.05</v>
      </c>
      <c r="S140" s="286">
        <f t="shared" si="20"/>
        <v>0</v>
      </c>
      <c r="T140" s="286">
        <f t="shared" si="20"/>
        <v>-6.689136E-3</v>
      </c>
      <c r="U140" s="228">
        <f t="shared" si="20"/>
        <v>10.993310864</v>
      </c>
    </row>
    <row r="141" spans="1:21" x14ac:dyDescent="0.2">
      <c r="A141" s="51">
        <f t="shared" si="19"/>
        <v>132</v>
      </c>
      <c r="B141" s="51" t="s">
        <v>164</v>
      </c>
      <c r="C141" s="68" t="s">
        <v>518</v>
      </c>
      <c r="D141" s="79" t="s">
        <v>930</v>
      </c>
      <c r="E141" s="286">
        <v>10.35</v>
      </c>
      <c r="F141" s="286">
        <v>0.05</v>
      </c>
      <c r="G141" s="286">
        <v>0.03</v>
      </c>
      <c r="H141" s="286">
        <v>-0.02</v>
      </c>
      <c r="I141" s="286">
        <v>0.06</v>
      </c>
      <c r="J141" s="286">
        <v>0.05</v>
      </c>
      <c r="K141" s="286">
        <v>0</v>
      </c>
      <c r="L141" s="286">
        <v>0</v>
      </c>
      <c r="M141" s="286">
        <v>0.49</v>
      </c>
      <c r="N141" s="286">
        <v>0</v>
      </c>
      <c r="O141" s="286">
        <v>0</v>
      </c>
      <c r="P141" s="286">
        <v>0.04</v>
      </c>
      <c r="Q141" s="286">
        <v>0</v>
      </c>
      <c r="R141" s="286">
        <v>-0.05</v>
      </c>
      <c r="S141" s="286">
        <v>0</v>
      </c>
      <c r="T141" s="287">
        <v>-6.689136E-3</v>
      </c>
      <c r="U141" s="228">
        <f t="shared" ref="U141:U149" si="21">SUM(E141:T141)</f>
        <v>10.993310864</v>
      </c>
    </row>
    <row r="142" spans="1:21" x14ac:dyDescent="0.2">
      <c r="A142" s="51">
        <f t="shared" si="19"/>
        <v>133</v>
      </c>
      <c r="B142" s="51" t="s">
        <v>164</v>
      </c>
      <c r="C142" s="68" t="s">
        <v>518</v>
      </c>
      <c r="D142" s="79" t="s">
        <v>527</v>
      </c>
      <c r="E142" s="286">
        <v>12.72</v>
      </c>
      <c r="F142" s="286">
        <v>0.08</v>
      </c>
      <c r="G142" s="286">
        <v>0.06</v>
      </c>
      <c r="H142" s="286">
        <v>-0.04</v>
      </c>
      <c r="I142" s="286">
        <v>0.1</v>
      </c>
      <c r="J142" s="286">
        <v>0.08</v>
      </c>
      <c r="K142" s="286">
        <v>0</v>
      </c>
      <c r="L142" s="286">
        <v>0</v>
      </c>
      <c r="M142" s="286">
        <v>0.57999999999999996</v>
      </c>
      <c r="N142" s="286">
        <v>0</v>
      </c>
      <c r="O142" s="286">
        <v>0</v>
      </c>
      <c r="P142" s="286">
        <v>7.0000000000000007E-2</v>
      </c>
      <c r="Q142" s="286">
        <v>0</v>
      </c>
      <c r="R142" s="286">
        <v>-0.08</v>
      </c>
      <c r="S142" s="286">
        <v>0</v>
      </c>
      <c r="T142" s="287">
        <v>-6.689136E-3</v>
      </c>
      <c r="U142" s="228">
        <f t="shared" si="21"/>
        <v>13.563310864000002</v>
      </c>
    </row>
    <row r="143" spans="1:21" x14ac:dyDescent="0.2">
      <c r="A143" s="51">
        <f t="shared" si="19"/>
        <v>134</v>
      </c>
      <c r="B143" s="51" t="s">
        <v>164</v>
      </c>
      <c r="C143" s="68" t="s">
        <v>518</v>
      </c>
      <c r="D143" s="79" t="s">
        <v>528</v>
      </c>
      <c r="E143" s="286">
        <v>15.09</v>
      </c>
      <c r="F143" s="286">
        <v>0.12</v>
      </c>
      <c r="G143" s="286">
        <v>0.08</v>
      </c>
      <c r="H143" s="286">
        <v>-0.05</v>
      </c>
      <c r="I143" s="286">
        <v>0.14000000000000001</v>
      </c>
      <c r="J143" s="286">
        <v>0.11</v>
      </c>
      <c r="K143" s="286">
        <v>0</v>
      </c>
      <c r="L143" s="286">
        <v>0</v>
      </c>
      <c r="M143" s="286">
        <v>0.67</v>
      </c>
      <c r="N143" s="286">
        <v>0</v>
      </c>
      <c r="O143" s="286">
        <v>0</v>
      </c>
      <c r="P143" s="286">
        <v>0.1</v>
      </c>
      <c r="Q143" s="286">
        <v>0</v>
      </c>
      <c r="R143" s="286">
        <v>-0.11</v>
      </c>
      <c r="S143" s="286">
        <v>0</v>
      </c>
      <c r="T143" s="287">
        <v>-6.689136E-3</v>
      </c>
      <c r="U143" s="228">
        <f t="shared" si="21"/>
        <v>16.143310864000004</v>
      </c>
    </row>
    <row r="144" spans="1:21" x14ac:dyDescent="0.2">
      <c r="A144" s="51">
        <f t="shared" si="19"/>
        <v>135</v>
      </c>
      <c r="B144" s="51" t="s">
        <v>164</v>
      </c>
      <c r="C144" s="68" t="s">
        <v>518</v>
      </c>
      <c r="D144" s="79" t="s">
        <v>529</v>
      </c>
      <c r="E144" s="286">
        <v>16.38</v>
      </c>
      <c r="F144" s="286">
        <v>0.15</v>
      </c>
      <c r="G144" s="286">
        <v>0.1</v>
      </c>
      <c r="H144" s="286">
        <v>-7.0000000000000007E-2</v>
      </c>
      <c r="I144" s="286">
        <v>0.18</v>
      </c>
      <c r="J144" s="286">
        <v>0.14000000000000001</v>
      </c>
      <c r="K144" s="286">
        <v>0</v>
      </c>
      <c r="L144" s="286">
        <v>0</v>
      </c>
      <c r="M144" s="286">
        <v>0.7</v>
      </c>
      <c r="N144" s="286">
        <v>0</v>
      </c>
      <c r="O144" s="286">
        <v>0</v>
      </c>
      <c r="P144" s="286">
        <v>0.13</v>
      </c>
      <c r="Q144" s="286">
        <v>0</v>
      </c>
      <c r="R144" s="286">
        <v>-0.14000000000000001</v>
      </c>
      <c r="S144" s="286">
        <v>0</v>
      </c>
      <c r="T144" s="287">
        <v>-6.689136E-3</v>
      </c>
      <c r="U144" s="228">
        <f t="shared" si="21"/>
        <v>17.563310863999998</v>
      </c>
    </row>
    <row r="145" spans="1:21" x14ac:dyDescent="0.2">
      <c r="A145" s="51">
        <f t="shared" si="19"/>
        <v>136</v>
      </c>
      <c r="B145" s="51" t="s">
        <v>164</v>
      </c>
      <c r="C145" s="68" t="s">
        <v>518</v>
      </c>
      <c r="D145" s="79" t="s">
        <v>519</v>
      </c>
      <c r="E145" s="286">
        <v>18.75</v>
      </c>
      <c r="F145" s="286">
        <v>0.19</v>
      </c>
      <c r="G145" s="286">
        <v>0.12</v>
      </c>
      <c r="H145" s="286">
        <v>-0.08</v>
      </c>
      <c r="I145" s="286">
        <v>0.22</v>
      </c>
      <c r="J145" s="286">
        <v>0.17</v>
      </c>
      <c r="K145" s="286">
        <v>0</v>
      </c>
      <c r="L145" s="286">
        <v>0</v>
      </c>
      <c r="M145" s="286">
        <v>0.79999999999999993</v>
      </c>
      <c r="N145" s="286">
        <v>0</v>
      </c>
      <c r="O145" s="286">
        <v>0</v>
      </c>
      <c r="P145" s="286">
        <v>0.16</v>
      </c>
      <c r="Q145" s="286">
        <v>0</v>
      </c>
      <c r="R145" s="286">
        <v>-0.17</v>
      </c>
      <c r="S145" s="286">
        <v>0</v>
      </c>
      <c r="T145" s="287">
        <v>-6.689136E-3</v>
      </c>
      <c r="U145" s="228">
        <f t="shared" si="21"/>
        <v>20.153310864000005</v>
      </c>
    </row>
    <row r="146" spans="1:21" x14ac:dyDescent="0.2">
      <c r="A146" s="51">
        <f t="shared" si="19"/>
        <v>137</v>
      </c>
      <c r="B146" s="51" t="s">
        <v>164</v>
      </c>
      <c r="C146" s="68" t="s">
        <v>518</v>
      </c>
      <c r="D146" s="79" t="s">
        <v>520</v>
      </c>
      <c r="E146" s="286">
        <v>20.8</v>
      </c>
      <c r="F146" s="286">
        <v>0.22</v>
      </c>
      <c r="G146" s="286">
        <v>0.15</v>
      </c>
      <c r="H146" s="286">
        <v>-0.1</v>
      </c>
      <c r="I146" s="286">
        <v>0.27</v>
      </c>
      <c r="J146" s="286">
        <v>0.21</v>
      </c>
      <c r="K146" s="286">
        <v>0</v>
      </c>
      <c r="L146" s="286">
        <v>0</v>
      </c>
      <c r="M146" s="286">
        <v>0.88</v>
      </c>
      <c r="N146" s="286">
        <v>0</v>
      </c>
      <c r="O146" s="286">
        <v>0</v>
      </c>
      <c r="P146" s="286">
        <v>0.19</v>
      </c>
      <c r="Q146" s="286">
        <v>0</v>
      </c>
      <c r="R146" s="286">
        <v>-0.2</v>
      </c>
      <c r="S146" s="286">
        <v>0</v>
      </c>
      <c r="T146" s="287">
        <v>-6.689136E-3</v>
      </c>
      <c r="U146" s="228">
        <f t="shared" si="21"/>
        <v>22.413310864</v>
      </c>
    </row>
    <row r="147" spans="1:21" x14ac:dyDescent="0.2">
      <c r="A147" s="51">
        <f t="shared" si="19"/>
        <v>138</v>
      </c>
      <c r="B147" s="51" t="s">
        <v>164</v>
      </c>
      <c r="C147" s="68" t="s">
        <v>518</v>
      </c>
      <c r="D147" s="79" t="s">
        <v>521</v>
      </c>
      <c r="E147" s="286">
        <v>22.84</v>
      </c>
      <c r="F147" s="286">
        <v>0.25</v>
      </c>
      <c r="G147" s="286">
        <v>0.17</v>
      </c>
      <c r="H147" s="286">
        <v>-0.11</v>
      </c>
      <c r="I147" s="286">
        <v>0.31</v>
      </c>
      <c r="J147" s="286">
        <v>0.24</v>
      </c>
      <c r="K147" s="286">
        <v>0</v>
      </c>
      <c r="L147" s="286">
        <v>0</v>
      </c>
      <c r="M147" s="286">
        <v>0.94</v>
      </c>
      <c r="N147" s="286">
        <v>0</v>
      </c>
      <c r="O147" s="286">
        <v>0</v>
      </c>
      <c r="P147" s="286">
        <v>0.22</v>
      </c>
      <c r="Q147" s="286">
        <v>0</v>
      </c>
      <c r="R147" s="286">
        <v>-0.23</v>
      </c>
      <c r="S147" s="286">
        <v>0</v>
      </c>
      <c r="T147" s="287">
        <v>-6.689136E-3</v>
      </c>
      <c r="U147" s="228">
        <f t="shared" si="21"/>
        <v>24.623310864</v>
      </c>
    </row>
    <row r="148" spans="1:21" x14ac:dyDescent="0.2">
      <c r="A148" s="51">
        <f t="shared" si="19"/>
        <v>139</v>
      </c>
      <c r="B148" s="51" t="s">
        <v>164</v>
      </c>
      <c r="C148" s="68" t="s">
        <v>518</v>
      </c>
      <c r="D148" s="79" t="s">
        <v>522</v>
      </c>
      <c r="E148" s="286">
        <v>24.89</v>
      </c>
      <c r="F148" s="286">
        <v>0.28999999999999998</v>
      </c>
      <c r="G148" s="286">
        <v>0.19</v>
      </c>
      <c r="H148" s="286">
        <v>-0.13</v>
      </c>
      <c r="I148" s="286">
        <v>0.35</v>
      </c>
      <c r="J148" s="286">
        <v>0.27</v>
      </c>
      <c r="K148" s="286">
        <v>0</v>
      </c>
      <c r="L148" s="286">
        <v>-0.01</v>
      </c>
      <c r="M148" s="286">
        <v>1.02</v>
      </c>
      <c r="N148" s="286">
        <v>0</v>
      </c>
      <c r="O148" s="286">
        <v>0</v>
      </c>
      <c r="P148" s="286">
        <v>0.25</v>
      </c>
      <c r="Q148" s="286">
        <v>0</v>
      </c>
      <c r="R148" s="286">
        <v>-0.26</v>
      </c>
      <c r="S148" s="286">
        <v>0</v>
      </c>
      <c r="T148" s="287">
        <v>-6.689136E-3</v>
      </c>
      <c r="U148" s="228">
        <f t="shared" si="21"/>
        <v>26.853310864000001</v>
      </c>
    </row>
    <row r="149" spans="1:21" x14ac:dyDescent="0.2">
      <c r="A149" s="51">
        <f t="shared" si="19"/>
        <v>140</v>
      </c>
      <c r="B149" s="51" t="s">
        <v>164</v>
      </c>
      <c r="C149" s="68" t="s">
        <v>518</v>
      </c>
      <c r="D149" s="79" t="s">
        <v>523</v>
      </c>
      <c r="E149" s="286">
        <v>26.94</v>
      </c>
      <c r="F149" s="286">
        <v>0.32</v>
      </c>
      <c r="G149" s="286">
        <v>0.21</v>
      </c>
      <c r="H149" s="286">
        <v>-0.14000000000000001</v>
      </c>
      <c r="I149" s="286">
        <v>0.39</v>
      </c>
      <c r="J149" s="286">
        <v>0.3</v>
      </c>
      <c r="K149" s="286">
        <v>0</v>
      </c>
      <c r="L149" s="286">
        <v>-0.01</v>
      </c>
      <c r="M149" s="286">
        <v>1.0900000000000001</v>
      </c>
      <c r="N149" s="286">
        <v>0</v>
      </c>
      <c r="O149" s="286">
        <v>0</v>
      </c>
      <c r="P149" s="286">
        <v>0.28000000000000003</v>
      </c>
      <c r="Q149" s="286">
        <v>0</v>
      </c>
      <c r="R149" s="286">
        <v>-0.28999999999999998</v>
      </c>
      <c r="S149" s="286">
        <v>0</v>
      </c>
      <c r="T149" s="287">
        <v>-6.689136E-3</v>
      </c>
      <c r="U149" s="228">
        <f t="shared" si="21"/>
        <v>29.083310864000005</v>
      </c>
    </row>
    <row r="150" spans="1:21" x14ac:dyDescent="0.2">
      <c r="A150" s="51">
        <f t="shared" si="19"/>
        <v>141</v>
      </c>
      <c r="B150" s="51"/>
      <c r="C150" s="68"/>
      <c r="D150" s="80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28"/>
    </row>
    <row r="151" spans="1:21" x14ac:dyDescent="0.2">
      <c r="A151" s="51">
        <f t="shared" si="19"/>
        <v>142</v>
      </c>
      <c r="B151" s="51">
        <v>55</v>
      </c>
      <c r="C151" s="67" t="s">
        <v>245</v>
      </c>
      <c r="D151" s="79" t="s">
        <v>524</v>
      </c>
      <c r="E151" s="286">
        <v>6.34</v>
      </c>
      <c r="F151" s="286">
        <v>0</v>
      </c>
      <c r="G151" s="286">
        <v>0</v>
      </c>
      <c r="H151" s="286">
        <v>0</v>
      </c>
      <c r="I151" s="286">
        <v>0</v>
      </c>
      <c r="J151" s="286">
        <v>0</v>
      </c>
      <c r="K151" s="286">
        <v>0</v>
      </c>
      <c r="L151" s="286">
        <v>0</v>
      </c>
      <c r="M151" s="286">
        <v>0.6</v>
      </c>
      <c r="N151" s="286">
        <v>0</v>
      </c>
      <c r="O151" s="286">
        <v>0</v>
      </c>
      <c r="P151" s="286">
        <v>0</v>
      </c>
      <c r="Q151" s="286">
        <v>0</v>
      </c>
      <c r="R151" s="286">
        <v>0</v>
      </c>
      <c r="S151" s="286">
        <v>0</v>
      </c>
      <c r="T151" s="287">
        <v>-6.689136E-3</v>
      </c>
      <c r="U151" s="228">
        <f>SUM(E151:T151)</f>
        <v>6.9333108639999992</v>
      </c>
    </row>
    <row r="152" spans="1:21" x14ac:dyDescent="0.2">
      <c r="A152" s="51">
        <f t="shared" si="19"/>
        <v>143</v>
      </c>
      <c r="B152" s="51">
        <v>55</v>
      </c>
      <c r="C152" s="67" t="s">
        <v>245</v>
      </c>
      <c r="D152" s="79" t="s">
        <v>525</v>
      </c>
      <c r="E152" s="286">
        <v>11.05</v>
      </c>
      <c r="F152" s="286">
        <v>0</v>
      </c>
      <c r="G152" s="286">
        <v>0</v>
      </c>
      <c r="H152" s="286">
        <v>0</v>
      </c>
      <c r="I152" s="286">
        <v>0</v>
      </c>
      <c r="J152" s="286">
        <v>0</v>
      </c>
      <c r="K152" s="286">
        <v>0</v>
      </c>
      <c r="L152" s="286">
        <v>0</v>
      </c>
      <c r="M152" s="286">
        <v>1.2</v>
      </c>
      <c r="N152" s="286">
        <v>0</v>
      </c>
      <c r="O152" s="286">
        <v>0</v>
      </c>
      <c r="P152" s="286">
        <v>0</v>
      </c>
      <c r="Q152" s="286">
        <v>0</v>
      </c>
      <c r="R152" s="286">
        <v>0</v>
      </c>
      <c r="S152" s="286">
        <v>0</v>
      </c>
      <c r="T152" s="287">
        <v>-6.689136E-3</v>
      </c>
      <c r="U152" s="228">
        <f>SUM(E152:T152)</f>
        <v>12.243310864</v>
      </c>
    </row>
    <row r="153" spans="1:21" x14ac:dyDescent="0.2">
      <c r="A153" s="51">
        <f t="shared" si="19"/>
        <v>144</v>
      </c>
      <c r="B153" s="51"/>
      <c r="U153" s="226"/>
    </row>
    <row r="154" spans="1:21" x14ac:dyDescent="0.2">
      <c r="A154" s="51">
        <f t="shared" si="19"/>
        <v>145</v>
      </c>
      <c r="B154" s="51">
        <v>57</v>
      </c>
      <c r="C154" s="60" t="s">
        <v>238</v>
      </c>
      <c r="D154" s="80" t="s">
        <v>239</v>
      </c>
      <c r="E154" s="577">
        <v>4.1930000000000002E-2</v>
      </c>
      <c r="F154" s="577">
        <v>1.91E-3</v>
      </c>
      <c r="G154" s="577">
        <v>1.2600000000000001E-3</v>
      </c>
      <c r="H154" s="577">
        <v>-8.3000000000000001E-4</v>
      </c>
      <c r="I154" s="577">
        <v>2.3E-3</v>
      </c>
      <c r="J154" s="577">
        <v>1.7899999999999999E-3</v>
      </c>
      <c r="K154" s="577">
        <v>0</v>
      </c>
      <c r="L154" s="577">
        <v>-3.0000000000000001E-5</v>
      </c>
      <c r="M154" s="577">
        <v>9.7999999999999997E-4</v>
      </c>
      <c r="N154" s="577">
        <v>0</v>
      </c>
      <c r="O154" s="577">
        <v>0</v>
      </c>
      <c r="P154" s="577">
        <v>8.5028620223940264E-4</v>
      </c>
      <c r="Q154" s="577">
        <v>0</v>
      </c>
      <c r="R154" s="577">
        <v>-1.7815476190476245E-4</v>
      </c>
      <c r="S154" s="577">
        <v>0</v>
      </c>
      <c r="T154" s="577">
        <v>0</v>
      </c>
      <c r="U154" s="228">
        <f>SUM(E154:T154)</f>
        <v>4.9982131440334643E-2</v>
      </c>
    </row>
    <row r="155" spans="1:21" x14ac:dyDescent="0.2">
      <c r="A155" s="51">
        <f t="shared" si="19"/>
        <v>146</v>
      </c>
      <c r="B155" s="51">
        <v>57</v>
      </c>
      <c r="C155" s="60" t="s">
        <v>238</v>
      </c>
      <c r="D155" s="79" t="s">
        <v>240</v>
      </c>
      <c r="E155" s="286" t="s">
        <v>531</v>
      </c>
      <c r="F155" s="286" t="s">
        <v>531</v>
      </c>
      <c r="G155" s="286" t="s">
        <v>531</v>
      </c>
      <c r="H155" s="286" t="s">
        <v>531</v>
      </c>
      <c r="I155" s="286" t="s">
        <v>531</v>
      </c>
      <c r="J155" s="286" t="s">
        <v>531</v>
      </c>
      <c r="K155" s="286" t="s">
        <v>531</v>
      </c>
      <c r="L155" s="286" t="s">
        <v>531</v>
      </c>
      <c r="M155" s="286" t="s">
        <v>531</v>
      </c>
      <c r="N155" s="286" t="s">
        <v>531</v>
      </c>
      <c r="O155" s="286" t="s">
        <v>531</v>
      </c>
      <c r="P155" s="286" t="s">
        <v>531</v>
      </c>
      <c r="Q155" s="286" t="s">
        <v>531</v>
      </c>
      <c r="R155" s="286"/>
      <c r="S155" s="286" t="s">
        <v>531</v>
      </c>
      <c r="T155" s="286" t="s">
        <v>531</v>
      </c>
      <c r="U155" s="578" t="s">
        <v>531</v>
      </c>
    </row>
    <row r="156" spans="1:21" x14ac:dyDescent="0.2">
      <c r="A156" s="51">
        <f t="shared" si="19"/>
        <v>147</v>
      </c>
      <c r="B156" s="51"/>
      <c r="U156" s="226"/>
    </row>
    <row r="157" spans="1:21" x14ac:dyDescent="0.2">
      <c r="A157" s="51">
        <f t="shared" si="19"/>
        <v>148</v>
      </c>
      <c r="B157" s="51" t="s">
        <v>163</v>
      </c>
      <c r="C157" s="60" t="s">
        <v>241</v>
      </c>
      <c r="D157" s="79" t="s">
        <v>224</v>
      </c>
      <c r="E157" s="286">
        <v>13.62</v>
      </c>
      <c r="F157" s="286">
        <v>0.08</v>
      </c>
      <c r="G157" s="286">
        <v>0.05</v>
      </c>
      <c r="H157" s="286">
        <v>-0.03</v>
      </c>
      <c r="I157" s="286">
        <v>0.1</v>
      </c>
      <c r="J157" s="286">
        <v>7.0000000000000007E-2</v>
      </c>
      <c r="K157" s="286">
        <v>0</v>
      </c>
      <c r="L157" s="286">
        <v>0</v>
      </c>
      <c r="M157" s="286">
        <v>0.55999999999999994</v>
      </c>
      <c r="N157" s="286">
        <v>0</v>
      </c>
      <c r="O157" s="286">
        <v>0</v>
      </c>
      <c r="P157" s="286">
        <v>7.0000000000000007E-2</v>
      </c>
      <c r="Q157" s="286">
        <v>0</v>
      </c>
      <c r="R157" s="286">
        <v>-7.0000000000000007E-2</v>
      </c>
      <c r="S157" s="286">
        <v>0</v>
      </c>
      <c r="T157" s="287">
        <v>-6.689136E-3</v>
      </c>
      <c r="U157" s="228">
        <f t="shared" ref="U157:U162" si="22">SUM(E157:T157)</f>
        <v>14.443310864000001</v>
      </c>
    </row>
    <row r="158" spans="1:21" x14ac:dyDescent="0.2">
      <c r="A158" s="51">
        <f t="shared" si="19"/>
        <v>149</v>
      </c>
      <c r="B158" s="51" t="s">
        <v>163</v>
      </c>
      <c r="C158" s="60" t="s">
        <v>241</v>
      </c>
      <c r="D158" s="79" t="s">
        <v>214</v>
      </c>
      <c r="E158" s="286">
        <v>14.03</v>
      </c>
      <c r="F158" s="286">
        <v>0.11</v>
      </c>
      <c r="G158" s="286">
        <v>7.0000000000000007E-2</v>
      </c>
      <c r="H158" s="286">
        <v>-0.05</v>
      </c>
      <c r="I158" s="286">
        <v>0.14000000000000001</v>
      </c>
      <c r="J158" s="286">
        <v>0.11</v>
      </c>
      <c r="K158" s="286">
        <v>0</v>
      </c>
      <c r="L158" s="286">
        <v>0</v>
      </c>
      <c r="M158" s="286">
        <v>0.55000000000000004</v>
      </c>
      <c r="N158" s="286">
        <v>0</v>
      </c>
      <c r="O158" s="286">
        <v>0</v>
      </c>
      <c r="P158" s="286">
        <v>0.1</v>
      </c>
      <c r="Q158" s="286">
        <v>0</v>
      </c>
      <c r="R158" s="286">
        <v>-0.1</v>
      </c>
      <c r="S158" s="286">
        <v>0</v>
      </c>
      <c r="T158" s="287">
        <v>-6.689136E-3</v>
      </c>
      <c r="U158" s="228">
        <f t="shared" si="22"/>
        <v>14.953310863999999</v>
      </c>
    </row>
    <row r="159" spans="1:21" x14ac:dyDescent="0.2">
      <c r="A159" s="51">
        <f t="shared" si="19"/>
        <v>150</v>
      </c>
      <c r="B159" s="51" t="s">
        <v>163</v>
      </c>
      <c r="C159" s="60" t="s">
        <v>241</v>
      </c>
      <c r="D159" s="79" t="s">
        <v>225</v>
      </c>
      <c r="E159" s="286">
        <v>15.65</v>
      </c>
      <c r="F159" s="286">
        <v>0.17</v>
      </c>
      <c r="G159" s="286">
        <v>0.11</v>
      </c>
      <c r="H159" s="286">
        <v>-7.0000000000000007E-2</v>
      </c>
      <c r="I159" s="286">
        <v>0.2</v>
      </c>
      <c r="J159" s="286">
        <v>0.16</v>
      </c>
      <c r="K159" s="286">
        <v>0</v>
      </c>
      <c r="L159" s="286">
        <v>0</v>
      </c>
      <c r="M159" s="286">
        <v>0.57999999999999996</v>
      </c>
      <c r="N159" s="286">
        <v>0</v>
      </c>
      <c r="O159" s="286">
        <v>0</v>
      </c>
      <c r="P159" s="286">
        <v>0.15</v>
      </c>
      <c r="Q159" s="286">
        <v>0</v>
      </c>
      <c r="R159" s="286">
        <v>-0.15</v>
      </c>
      <c r="S159" s="286">
        <v>0</v>
      </c>
      <c r="T159" s="287">
        <v>-6.689136E-3</v>
      </c>
      <c r="U159" s="228">
        <f t="shared" si="22"/>
        <v>16.793310863999999</v>
      </c>
    </row>
    <row r="160" spans="1:21" x14ac:dyDescent="0.2">
      <c r="A160" s="51">
        <f t="shared" si="19"/>
        <v>151</v>
      </c>
      <c r="B160" s="51" t="s">
        <v>163</v>
      </c>
      <c r="C160" s="60" t="s">
        <v>241</v>
      </c>
      <c r="D160" s="79" t="s">
        <v>226</v>
      </c>
      <c r="E160" s="286">
        <v>17.77</v>
      </c>
      <c r="F160" s="286">
        <v>0.23</v>
      </c>
      <c r="G160" s="286">
        <v>0.15</v>
      </c>
      <c r="H160" s="286">
        <v>-0.1</v>
      </c>
      <c r="I160" s="286">
        <v>0.27</v>
      </c>
      <c r="J160" s="286">
        <v>0.21</v>
      </c>
      <c r="K160" s="286">
        <v>0</v>
      </c>
      <c r="L160" s="286">
        <v>0</v>
      </c>
      <c r="M160" s="286">
        <v>0.63</v>
      </c>
      <c r="N160" s="286">
        <v>0</v>
      </c>
      <c r="O160" s="286">
        <v>0</v>
      </c>
      <c r="P160" s="286">
        <v>0.2</v>
      </c>
      <c r="Q160" s="286">
        <v>0</v>
      </c>
      <c r="R160" s="286">
        <v>-0.21</v>
      </c>
      <c r="S160" s="286">
        <v>0</v>
      </c>
      <c r="T160" s="287">
        <v>-6.689136E-3</v>
      </c>
      <c r="U160" s="228">
        <f t="shared" si="22"/>
        <v>19.143310863999996</v>
      </c>
    </row>
    <row r="161" spans="1:21" x14ac:dyDescent="0.2">
      <c r="A161" s="51">
        <f t="shared" si="19"/>
        <v>152</v>
      </c>
      <c r="B161" s="51" t="s">
        <v>163</v>
      </c>
      <c r="C161" s="60" t="s">
        <v>241</v>
      </c>
      <c r="D161" s="79" t="s">
        <v>227</v>
      </c>
      <c r="E161" s="286">
        <v>19.54</v>
      </c>
      <c r="F161" s="286">
        <v>0.28000000000000003</v>
      </c>
      <c r="G161" s="286">
        <v>0.19</v>
      </c>
      <c r="H161" s="286">
        <v>-0.12</v>
      </c>
      <c r="I161" s="286">
        <v>0.34</v>
      </c>
      <c r="J161" s="286">
        <v>0.27</v>
      </c>
      <c r="K161" s="286">
        <v>0</v>
      </c>
      <c r="L161" s="286">
        <v>-0.01</v>
      </c>
      <c r="M161" s="286">
        <v>0.67</v>
      </c>
      <c r="N161" s="286">
        <v>0</v>
      </c>
      <c r="O161" s="286">
        <v>0</v>
      </c>
      <c r="P161" s="286">
        <v>0.25</v>
      </c>
      <c r="Q161" s="286">
        <v>0</v>
      </c>
      <c r="R161" s="286">
        <v>-0.26</v>
      </c>
      <c r="S161" s="286">
        <v>0</v>
      </c>
      <c r="T161" s="287">
        <v>-6.689136E-3</v>
      </c>
      <c r="U161" s="228">
        <f t="shared" si="22"/>
        <v>21.143310864</v>
      </c>
    </row>
    <row r="162" spans="1:21" x14ac:dyDescent="0.2">
      <c r="A162" s="51">
        <f t="shared" si="19"/>
        <v>153</v>
      </c>
      <c r="B162" s="51" t="s">
        <v>163</v>
      </c>
      <c r="C162" s="60" t="s">
        <v>241</v>
      </c>
      <c r="D162" s="79" t="s">
        <v>216</v>
      </c>
      <c r="E162" s="286">
        <v>25.47</v>
      </c>
      <c r="F162" s="286">
        <v>0.45</v>
      </c>
      <c r="G162" s="286">
        <v>0.3</v>
      </c>
      <c r="H162" s="286">
        <v>-0.2</v>
      </c>
      <c r="I162" s="286">
        <v>0.54</v>
      </c>
      <c r="J162" s="286">
        <v>0.42</v>
      </c>
      <c r="K162" s="286">
        <v>0</v>
      </c>
      <c r="L162" s="286">
        <v>-0.01</v>
      </c>
      <c r="M162" s="286">
        <v>0.80999999999999994</v>
      </c>
      <c r="N162" s="286">
        <v>0</v>
      </c>
      <c r="O162" s="286">
        <v>0</v>
      </c>
      <c r="P162" s="286">
        <v>0.4</v>
      </c>
      <c r="Q162" s="286">
        <v>0</v>
      </c>
      <c r="R162" s="286">
        <v>-0.41</v>
      </c>
      <c r="S162" s="286">
        <v>0</v>
      </c>
      <c r="T162" s="287">
        <v>-6.689136E-3</v>
      </c>
      <c r="U162" s="228">
        <f t="shared" si="22"/>
        <v>27.763310863999997</v>
      </c>
    </row>
    <row r="163" spans="1:21" x14ac:dyDescent="0.2">
      <c r="A163" s="51">
        <f t="shared" si="19"/>
        <v>154</v>
      </c>
      <c r="B163" s="51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28"/>
    </row>
    <row r="164" spans="1:21" x14ac:dyDescent="0.2">
      <c r="A164" s="51">
        <f t="shared" si="19"/>
        <v>155</v>
      </c>
      <c r="B164" s="51" t="s">
        <v>163</v>
      </c>
      <c r="C164" s="60" t="s">
        <v>242</v>
      </c>
      <c r="D164" s="79" t="s">
        <v>215</v>
      </c>
      <c r="E164" s="286">
        <v>18</v>
      </c>
      <c r="F164" s="286">
        <v>0.2</v>
      </c>
      <c r="G164" s="286">
        <v>0.13</v>
      </c>
      <c r="H164" s="286">
        <v>-0.09</v>
      </c>
      <c r="I164" s="286">
        <v>0.24</v>
      </c>
      <c r="J164" s="286">
        <v>0.19</v>
      </c>
      <c r="K164" s="286">
        <v>0</v>
      </c>
      <c r="L164" s="286">
        <v>0</v>
      </c>
      <c r="M164" s="286">
        <v>0.59</v>
      </c>
      <c r="N164" s="286">
        <v>0</v>
      </c>
      <c r="O164" s="286">
        <v>0</v>
      </c>
      <c r="P164" s="286">
        <v>0.17</v>
      </c>
      <c r="Q164" s="286">
        <v>0</v>
      </c>
      <c r="R164" s="286">
        <v>-0.18</v>
      </c>
      <c r="S164" s="286">
        <v>0</v>
      </c>
      <c r="T164" s="287">
        <v>-6.689136E-3</v>
      </c>
      <c r="U164" s="228">
        <f>SUM(E164:T164)</f>
        <v>19.243310864000001</v>
      </c>
    </row>
    <row r="165" spans="1:21" x14ac:dyDescent="0.2">
      <c r="A165" s="51">
        <f t="shared" si="19"/>
        <v>156</v>
      </c>
      <c r="B165" s="51" t="s">
        <v>163</v>
      </c>
      <c r="C165" s="60" t="s">
        <v>242</v>
      </c>
      <c r="D165" s="79" t="s">
        <v>227</v>
      </c>
      <c r="E165" s="286">
        <v>21.08</v>
      </c>
      <c r="F165" s="286">
        <v>0.28000000000000003</v>
      </c>
      <c r="G165" s="286">
        <v>0.19</v>
      </c>
      <c r="H165" s="286">
        <v>-0.12</v>
      </c>
      <c r="I165" s="286">
        <v>0.34</v>
      </c>
      <c r="J165" s="286">
        <v>0.27</v>
      </c>
      <c r="K165" s="286">
        <v>0</v>
      </c>
      <c r="L165" s="286">
        <v>-0.01</v>
      </c>
      <c r="M165" s="286">
        <v>0.67</v>
      </c>
      <c r="N165" s="286">
        <v>0</v>
      </c>
      <c r="O165" s="286">
        <v>0</v>
      </c>
      <c r="P165" s="286">
        <v>0.25</v>
      </c>
      <c r="Q165" s="286">
        <v>0</v>
      </c>
      <c r="R165" s="286">
        <v>-0.26</v>
      </c>
      <c r="S165" s="286">
        <v>0</v>
      </c>
      <c r="T165" s="287">
        <v>-6.689136E-3</v>
      </c>
      <c r="U165" s="228">
        <f>SUM(E165:T165)</f>
        <v>22.683310863999999</v>
      </c>
    </row>
    <row r="166" spans="1:21" x14ac:dyDescent="0.2">
      <c r="A166" s="51">
        <f t="shared" si="19"/>
        <v>157</v>
      </c>
      <c r="B166" s="51" t="s">
        <v>163</v>
      </c>
      <c r="C166" s="60" t="s">
        <v>242</v>
      </c>
      <c r="D166" s="79" t="s">
        <v>216</v>
      </c>
      <c r="E166" s="286">
        <v>25.92</v>
      </c>
      <c r="F166" s="286">
        <v>0.45</v>
      </c>
      <c r="G166" s="286">
        <v>0.3</v>
      </c>
      <c r="H166" s="286">
        <v>-0.2</v>
      </c>
      <c r="I166" s="286">
        <v>0.54</v>
      </c>
      <c r="J166" s="286">
        <v>0.42</v>
      </c>
      <c r="K166" s="286">
        <v>0</v>
      </c>
      <c r="L166" s="286">
        <v>-0.01</v>
      </c>
      <c r="M166" s="286">
        <v>0.75</v>
      </c>
      <c r="N166" s="286">
        <v>0</v>
      </c>
      <c r="O166" s="286">
        <v>0</v>
      </c>
      <c r="P166" s="286">
        <v>0.4</v>
      </c>
      <c r="Q166" s="286">
        <v>0</v>
      </c>
      <c r="R166" s="286">
        <v>-0.41</v>
      </c>
      <c r="S166" s="286">
        <v>0</v>
      </c>
      <c r="T166" s="287">
        <v>-6.689136E-3</v>
      </c>
      <c r="U166" s="228">
        <f>SUM(E166:T166)</f>
        <v>28.153310864000002</v>
      </c>
    </row>
    <row r="167" spans="1:21" x14ac:dyDescent="0.2">
      <c r="A167" s="51">
        <f t="shared" si="19"/>
        <v>158</v>
      </c>
      <c r="B167" s="51" t="s">
        <v>163</v>
      </c>
      <c r="C167" s="60" t="s">
        <v>242</v>
      </c>
      <c r="D167" s="79" t="s">
        <v>230</v>
      </c>
      <c r="E167" s="286">
        <v>48.57</v>
      </c>
      <c r="F167" s="286">
        <v>1.1299999999999999</v>
      </c>
      <c r="G167" s="286">
        <v>0.75</v>
      </c>
      <c r="H167" s="286">
        <v>-0.49</v>
      </c>
      <c r="I167" s="286">
        <v>1.36</v>
      </c>
      <c r="J167" s="286">
        <v>1.06</v>
      </c>
      <c r="K167" s="286">
        <v>0</v>
      </c>
      <c r="L167" s="286">
        <v>-0.02</v>
      </c>
      <c r="M167" s="286">
        <v>1.26</v>
      </c>
      <c r="N167" s="286">
        <v>0</v>
      </c>
      <c r="O167" s="286">
        <v>0</v>
      </c>
      <c r="P167" s="286">
        <v>1</v>
      </c>
      <c r="Q167" s="286">
        <v>0</v>
      </c>
      <c r="R167" s="286">
        <v>-1.03</v>
      </c>
      <c r="S167" s="286">
        <v>0</v>
      </c>
      <c r="T167" s="287">
        <v>-6.689136E-3</v>
      </c>
      <c r="U167" s="228">
        <f>SUM(E167:T167)</f>
        <v>53.583310863999998</v>
      </c>
    </row>
    <row r="168" spans="1:21" x14ac:dyDescent="0.2">
      <c r="A168" s="51">
        <f t="shared" si="19"/>
        <v>159</v>
      </c>
      <c r="B168" s="51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28"/>
    </row>
    <row r="169" spans="1:21" x14ac:dyDescent="0.2">
      <c r="A169" s="51">
        <f t="shared" si="19"/>
        <v>160</v>
      </c>
      <c r="B169" s="51" t="s">
        <v>163</v>
      </c>
      <c r="C169" s="60" t="s">
        <v>243</v>
      </c>
      <c r="D169" s="79" t="s">
        <v>214</v>
      </c>
      <c r="E169" s="286">
        <v>14.03</v>
      </c>
      <c r="F169" s="286">
        <v>0.11</v>
      </c>
      <c r="G169" s="286">
        <v>7.0000000000000007E-2</v>
      </c>
      <c r="H169" s="286">
        <v>-0.05</v>
      </c>
      <c r="I169" s="286">
        <v>0.14000000000000001</v>
      </c>
      <c r="J169" s="286">
        <v>0.11</v>
      </c>
      <c r="K169" s="286">
        <v>0</v>
      </c>
      <c r="L169" s="286">
        <v>0</v>
      </c>
      <c r="M169" s="286">
        <v>0.55000000000000004</v>
      </c>
      <c r="N169" s="286">
        <v>0</v>
      </c>
      <c r="O169" s="286">
        <v>0</v>
      </c>
      <c r="P169" s="286">
        <v>0.1</v>
      </c>
      <c r="Q169" s="286">
        <v>0</v>
      </c>
      <c r="R169" s="286">
        <v>-0.1</v>
      </c>
      <c r="S169" s="286">
        <v>0</v>
      </c>
      <c r="T169" s="287">
        <v>-6.689136E-3</v>
      </c>
      <c r="U169" s="228">
        <f>SUM(E169:T169)</f>
        <v>14.953310863999999</v>
      </c>
    </row>
    <row r="170" spans="1:21" x14ac:dyDescent="0.2">
      <c r="A170" s="51">
        <f t="shared" si="19"/>
        <v>161</v>
      </c>
      <c r="B170" s="51" t="s">
        <v>163</v>
      </c>
      <c r="C170" s="60" t="s">
        <v>243</v>
      </c>
      <c r="D170" s="79" t="s">
        <v>225</v>
      </c>
      <c r="E170" s="286">
        <v>15.65</v>
      </c>
      <c r="F170" s="286">
        <v>0.17</v>
      </c>
      <c r="G170" s="286">
        <v>0.11</v>
      </c>
      <c r="H170" s="286">
        <v>-7.0000000000000007E-2</v>
      </c>
      <c r="I170" s="286">
        <v>0.2</v>
      </c>
      <c r="J170" s="286">
        <v>0.16</v>
      </c>
      <c r="K170" s="286">
        <v>0</v>
      </c>
      <c r="L170" s="286">
        <v>0</v>
      </c>
      <c r="M170" s="286">
        <v>0.57999999999999996</v>
      </c>
      <c r="N170" s="286">
        <v>0</v>
      </c>
      <c r="O170" s="286">
        <v>0</v>
      </c>
      <c r="P170" s="286">
        <v>0.15</v>
      </c>
      <c r="Q170" s="286">
        <v>0</v>
      </c>
      <c r="R170" s="286">
        <v>-0.15</v>
      </c>
      <c r="S170" s="286">
        <v>0</v>
      </c>
      <c r="T170" s="287">
        <v>-6.689136E-3</v>
      </c>
      <c r="U170" s="228">
        <f>SUM(E170:T170)</f>
        <v>16.793310863999999</v>
      </c>
    </row>
    <row r="171" spans="1:21" x14ac:dyDescent="0.2">
      <c r="A171" s="51">
        <f t="shared" ref="A171:A178" si="23">A170+1</f>
        <v>162</v>
      </c>
      <c r="B171" s="51" t="s">
        <v>163</v>
      </c>
      <c r="C171" s="60" t="s">
        <v>243</v>
      </c>
      <c r="D171" s="79" t="s">
        <v>226</v>
      </c>
      <c r="E171" s="286">
        <v>17.77</v>
      </c>
      <c r="F171" s="286">
        <v>0.23</v>
      </c>
      <c r="G171" s="286">
        <v>0.15</v>
      </c>
      <c r="H171" s="286">
        <v>-0.1</v>
      </c>
      <c r="I171" s="286">
        <v>0.27</v>
      </c>
      <c r="J171" s="286">
        <v>0.21</v>
      </c>
      <c r="K171" s="286">
        <v>0</v>
      </c>
      <c r="L171" s="286">
        <v>0</v>
      </c>
      <c r="M171" s="286">
        <v>0.63</v>
      </c>
      <c r="N171" s="286">
        <v>0</v>
      </c>
      <c r="O171" s="286">
        <v>0</v>
      </c>
      <c r="P171" s="286">
        <v>0.2</v>
      </c>
      <c r="Q171" s="286">
        <v>0</v>
      </c>
      <c r="R171" s="286">
        <v>-0.21</v>
      </c>
      <c r="S171" s="286">
        <v>0</v>
      </c>
      <c r="T171" s="287">
        <v>-6.689136E-3</v>
      </c>
      <c r="U171" s="228">
        <f>SUM(E171:T171)</f>
        <v>19.143310863999996</v>
      </c>
    </row>
    <row r="172" spans="1:21" x14ac:dyDescent="0.2">
      <c r="A172" s="51">
        <f t="shared" si="23"/>
        <v>163</v>
      </c>
      <c r="B172" s="51" t="s">
        <v>163</v>
      </c>
      <c r="C172" s="60" t="s">
        <v>243</v>
      </c>
      <c r="D172" s="79" t="s">
        <v>227</v>
      </c>
      <c r="E172" s="286">
        <v>19.54</v>
      </c>
      <c r="F172" s="286">
        <v>0.28000000000000003</v>
      </c>
      <c r="G172" s="286">
        <v>0.19</v>
      </c>
      <c r="H172" s="286">
        <v>-0.12</v>
      </c>
      <c r="I172" s="286">
        <v>0.34</v>
      </c>
      <c r="J172" s="286">
        <v>0.27</v>
      </c>
      <c r="K172" s="286">
        <v>0</v>
      </c>
      <c r="L172" s="286">
        <v>-0.01</v>
      </c>
      <c r="M172" s="286">
        <v>0.67</v>
      </c>
      <c r="N172" s="286">
        <v>0</v>
      </c>
      <c r="O172" s="286">
        <v>0</v>
      </c>
      <c r="P172" s="286">
        <v>0.25</v>
      </c>
      <c r="Q172" s="286">
        <v>0</v>
      </c>
      <c r="R172" s="286">
        <v>-0.26</v>
      </c>
      <c r="S172" s="286">
        <v>0</v>
      </c>
      <c r="T172" s="287">
        <v>-6.689136E-3</v>
      </c>
      <c r="U172" s="228">
        <f>SUM(E172:T172)</f>
        <v>21.143310864</v>
      </c>
    </row>
    <row r="173" spans="1:21" x14ac:dyDescent="0.2">
      <c r="A173" s="51">
        <f t="shared" si="23"/>
        <v>164</v>
      </c>
      <c r="B173" s="51" t="s">
        <v>163</v>
      </c>
      <c r="C173" s="60" t="s">
        <v>243</v>
      </c>
      <c r="D173" s="79" t="s">
        <v>216</v>
      </c>
      <c r="E173" s="286">
        <v>25.47</v>
      </c>
      <c r="F173" s="286">
        <v>0.45</v>
      </c>
      <c r="G173" s="286">
        <v>0.3</v>
      </c>
      <c r="H173" s="286">
        <v>-0.2</v>
      </c>
      <c r="I173" s="286">
        <v>0.54</v>
      </c>
      <c r="J173" s="286">
        <v>0.42</v>
      </c>
      <c r="K173" s="286">
        <v>0</v>
      </c>
      <c r="L173" s="286">
        <v>-0.01</v>
      </c>
      <c r="M173" s="286">
        <v>0.80999999999999994</v>
      </c>
      <c r="N173" s="286">
        <v>0</v>
      </c>
      <c r="O173" s="286">
        <v>0</v>
      </c>
      <c r="P173" s="286">
        <v>0.4</v>
      </c>
      <c r="Q173" s="286">
        <v>0</v>
      </c>
      <c r="R173" s="286">
        <v>-0.41</v>
      </c>
      <c r="S173" s="286">
        <v>0</v>
      </c>
      <c r="T173" s="287">
        <v>-6.689136E-3</v>
      </c>
      <c r="U173" s="228">
        <f>SUM(E173:T173)</f>
        <v>27.763310863999997</v>
      </c>
    </row>
    <row r="174" spans="1:21" x14ac:dyDescent="0.2">
      <c r="A174" s="51">
        <f t="shared" si="23"/>
        <v>165</v>
      </c>
      <c r="B174" s="51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28"/>
    </row>
    <row r="175" spans="1:21" x14ac:dyDescent="0.2">
      <c r="A175" s="51">
        <f t="shared" si="23"/>
        <v>166</v>
      </c>
      <c r="B175" s="51" t="s">
        <v>163</v>
      </c>
      <c r="C175" s="60" t="s">
        <v>244</v>
      </c>
      <c r="D175" s="79" t="s">
        <v>227</v>
      </c>
      <c r="E175" s="286">
        <v>21.08</v>
      </c>
      <c r="F175" s="286">
        <v>0.28000000000000003</v>
      </c>
      <c r="G175" s="286">
        <v>0.19</v>
      </c>
      <c r="H175" s="286">
        <v>-0.12</v>
      </c>
      <c r="I175" s="286">
        <v>0.34</v>
      </c>
      <c r="J175" s="286">
        <v>0.27</v>
      </c>
      <c r="K175" s="286">
        <v>0</v>
      </c>
      <c r="L175" s="286">
        <v>-0.01</v>
      </c>
      <c r="M175" s="286">
        <v>0.67</v>
      </c>
      <c r="N175" s="286">
        <v>0</v>
      </c>
      <c r="O175" s="286">
        <v>0</v>
      </c>
      <c r="P175" s="286">
        <v>0.25</v>
      </c>
      <c r="Q175" s="286">
        <v>0</v>
      </c>
      <c r="R175" s="286">
        <v>-0.26</v>
      </c>
      <c r="S175" s="286">
        <v>0</v>
      </c>
      <c r="T175" s="287">
        <v>-6.689136E-3</v>
      </c>
      <c r="U175" s="228">
        <f>SUM(E175:T175)</f>
        <v>22.683310863999999</v>
      </c>
    </row>
    <row r="176" spans="1:21" x14ac:dyDescent="0.2">
      <c r="A176" s="51">
        <f t="shared" si="23"/>
        <v>167</v>
      </c>
      <c r="B176" s="51" t="s">
        <v>163</v>
      </c>
      <c r="C176" s="60" t="s">
        <v>244</v>
      </c>
      <c r="D176" s="79" t="s">
        <v>216</v>
      </c>
      <c r="E176" s="286">
        <v>25.92</v>
      </c>
      <c r="F176" s="286">
        <v>0.45</v>
      </c>
      <c r="G176" s="286">
        <v>0.3</v>
      </c>
      <c r="H176" s="286">
        <v>-0.2</v>
      </c>
      <c r="I176" s="286">
        <v>0.54</v>
      </c>
      <c r="J176" s="286">
        <v>0.42</v>
      </c>
      <c r="K176" s="286">
        <v>0</v>
      </c>
      <c r="L176" s="286">
        <v>-0.01</v>
      </c>
      <c r="M176" s="286">
        <v>0.75</v>
      </c>
      <c r="N176" s="286">
        <v>0</v>
      </c>
      <c r="O176" s="286">
        <v>0</v>
      </c>
      <c r="P176" s="286">
        <v>0.4</v>
      </c>
      <c r="Q176" s="286">
        <v>0</v>
      </c>
      <c r="R176" s="286">
        <v>-0.41</v>
      </c>
      <c r="S176" s="286">
        <v>0</v>
      </c>
      <c r="T176" s="287">
        <v>-6.689136E-3</v>
      </c>
      <c r="U176" s="228">
        <f>SUM(E176:T176)</f>
        <v>28.153310864000002</v>
      </c>
    </row>
    <row r="177" spans="1:21" x14ac:dyDescent="0.2">
      <c r="A177" s="51">
        <f t="shared" si="23"/>
        <v>168</v>
      </c>
      <c r="B177" s="51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28"/>
    </row>
    <row r="178" spans="1:21" x14ac:dyDescent="0.2">
      <c r="A178" s="51">
        <f t="shared" si="23"/>
        <v>169</v>
      </c>
      <c r="B178" s="51" t="str">
        <f>B179</f>
        <v>58 &amp; 59</v>
      </c>
      <c r="C178" s="68" t="s">
        <v>532</v>
      </c>
      <c r="D178" s="79" t="s">
        <v>929</v>
      </c>
      <c r="E178" s="286">
        <f t="shared" ref="E178:U178" si="24">E179</f>
        <v>12.16</v>
      </c>
      <c r="F178" s="286">
        <f t="shared" si="24"/>
        <v>0.05</v>
      </c>
      <c r="G178" s="286">
        <f t="shared" si="24"/>
        <v>0.03</v>
      </c>
      <c r="H178" s="286">
        <f t="shared" si="24"/>
        <v>-0.02</v>
      </c>
      <c r="I178" s="286">
        <f t="shared" si="24"/>
        <v>0.06</v>
      </c>
      <c r="J178" s="286">
        <f t="shared" si="24"/>
        <v>0.05</v>
      </c>
      <c r="K178" s="286">
        <f t="shared" si="24"/>
        <v>0</v>
      </c>
      <c r="L178" s="286">
        <f t="shared" si="24"/>
        <v>0</v>
      </c>
      <c r="M178" s="286">
        <f t="shared" si="24"/>
        <v>0.59</v>
      </c>
      <c r="N178" s="286">
        <f t="shared" si="24"/>
        <v>0</v>
      </c>
      <c r="O178" s="286">
        <f t="shared" si="24"/>
        <v>0</v>
      </c>
      <c r="P178" s="286">
        <f t="shared" si="24"/>
        <v>0.04</v>
      </c>
      <c r="Q178" s="286">
        <f t="shared" si="24"/>
        <v>0</v>
      </c>
      <c r="R178" s="286">
        <f t="shared" si="24"/>
        <v>-0.05</v>
      </c>
      <c r="S178" s="286">
        <f t="shared" si="24"/>
        <v>0</v>
      </c>
      <c r="T178" s="286">
        <f t="shared" si="24"/>
        <v>-6.689136E-3</v>
      </c>
      <c r="U178" s="228">
        <f t="shared" si="24"/>
        <v>12.903310864</v>
      </c>
    </row>
    <row r="179" spans="1:21" x14ac:dyDescent="0.2">
      <c r="A179" s="51">
        <f>A177+1</f>
        <v>169</v>
      </c>
      <c r="B179" s="51" t="s">
        <v>163</v>
      </c>
      <c r="C179" s="68" t="s">
        <v>532</v>
      </c>
      <c r="D179" s="79" t="s">
        <v>930</v>
      </c>
      <c r="E179" s="286">
        <v>12.16</v>
      </c>
      <c r="F179" s="286">
        <v>0.05</v>
      </c>
      <c r="G179" s="286">
        <v>0.03</v>
      </c>
      <c r="H179" s="286">
        <v>-0.02</v>
      </c>
      <c r="I179" s="286">
        <v>0.06</v>
      </c>
      <c r="J179" s="286">
        <v>0.05</v>
      </c>
      <c r="K179" s="286">
        <v>0</v>
      </c>
      <c r="L179" s="286">
        <v>0</v>
      </c>
      <c r="M179" s="286">
        <v>0.59</v>
      </c>
      <c r="N179" s="286">
        <v>0</v>
      </c>
      <c r="O179" s="286">
        <v>0</v>
      </c>
      <c r="P179" s="286">
        <v>0.04</v>
      </c>
      <c r="Q179" s="286">
        <v>0</v>
      </c>
      <c r="R179" s="286">
        <v>-0.05</v>
      </c>
      <c r="S179" s="286">
        <v>0</v>
      </c>
      <c r="T179" s="287">
        <v>-6.689136E-3</v>
      </c>
      <c r="U179" s="228">
        <f t="shared" ref="U179:U193" si="25">SUM(E179:T179)</f>
        <v>12.903310864</v>
      </c>
    </row>
    <row r="180" spans="1:21" x14ac:dyDescent="0.2">
      <c r="A180" s="51">
        <f t="shared" ref="A180:A196" si="26">A179+1</f>
        <v>170</v>
      </c>
      <c r="B180" s="51" t="s">
        <v>163</v>
      </c>
      <c r="C180" s="68" t="s">
        <v>532</v>
      </c>
      <c r="D180" s="79" t="s">
        <v>527</v>
      </c>
      <c r="E180" s="286">
        <v>14.03</v>
      </c>
      <c r="F180" s="286">
        <v>0.08</v>
      </c>
      <c r="G180" s="286">
        <v>0.06</v>
      </c>
      <c r="H180" s="286">
        <v>-0.04</v>
      </c>
      <c r="I180" s="286">
        <v>0.1</v>
      </c>
      <c r="J180" s="286">
        <v>0.08</v>
      </c>
      <c r="K180" s="286">
        <v>0</v>
      </c>
      <c r="L180" s="286">
        <v>0</v>
      </c>
      <c r="M180" s="286">
        <v>0.65</v>
      </c>
      <c r="N180" s="286">
        <v>0</v>
      </c>
      <c r="O180" s="286">
        <v>0</v>
      </c>
      <c r="P180" s="286">
        <v>7.0000000000000007E-2</v>
      </c>
      <c r="Q180" s="286">
        <v>0</v>
      </c>
      <c r="R180" s="286">
        <v>-0.08</v>
      </c>
      <c r="S180" s="286">
        <v>0</v>
      </c>
      <c r="T180" s="287">
        <v>-6.689136E-3</v>
      </c>
      <c r="U180" s="228">
        <f t="shared" si="25"/>
        <v>14.943310864000001</v>
      </c>
    </row>
    <row r="181" spans="1:21" x14ac:dyDescent="0.2">
      <c r="A181" s="51">
        <f t="shared" si="26"/>
        <v>171</v>
      </c>
      <c r="B181" s="51" t="s">
        <v>163</v>
      </c>
      <c r="C181" s="68" t="s">
        <v>532</v>
      </c>
      <c r="D181" s="79" t="s">
        <v>528</v>
      </c>
      <c r="E181" s="286">
        <v>15.89</v>
      </c>
      <c r="F181" s="286">
        <v>0.12</v>
      </c>
      <c r="G181" s="286">
        <v>0.08</v>
      </c>
      <c r="H181" s="286">
        <v>-0.05</v>
      </c>
      <c r="I181" s="286">
        <v>0.14000000000000001</v>
      </c>
      <c r="J181" s="286">
        <v>0.11</v>
      </c>
      <c r="K181" s="286">
        <v>0</v>
      </c>
      <c r="L181" s="286">
        <v>0</v>
      </c>
      <c r="M181" s="286">
        <v>0.72</v>
      </c>
      <c r="N181" s="286">
        <v>0</v>
      </c>
      <c r="O181" s="286">
        <v>0</v>
      </c>
      <c r="P181" s="286">
        <v>0.1</v>
      </c>
      <c r="Q181" s="286">
        <v>0</v>
      </c>
      <c r="R181" s="286">
        <v>-0.11</v>
      </c>
      <c r="S181" s="286">
        <v>0</v>
      </c>
      <c r="T181" s="287">
        <v>-6.689136E-3</v>
      </c>
      <c r="U181" s="228">
        <f t="shared" si="25"/>
        <v>16.993310864000001</v>
      </c>
    </row>
    <row r="182" spans="1:21" x14ac:dyDescent="0.2">
      <c r="A182" s="51">
        <f t="shared" si="26"/>
        <v>172</v>
      </c>
      <c r="B182" s="51" t="s">
        <v>163</v>
      </c>
      <c r="C182" s="68" t="s">
        <v>532</v>
      </c>
      <c r="D182" s="79" t="s">
        <v>529</v>
      </c>
      <c r="E182" s="286">
        <v>17.760000000000002</v>
      </c>
      <c r="F182" s="286">
        <v>0.15</v>
      </c>
      <c r="G182" s="286">
        <v>0.1</v>
      </c>
      <c r="H182" s="286">
        <v>-7.0000000000000007E-2</v>
      </c>
      <c r="I182" s="286">
        <v>0.18</v>
      </c>
      <c r="J182" s="286">
        <v>0.14000000000000001</v>
      </c>
      <c r="K182" s="286">
        <v>0</v>
      </c>
      <c r="L182" s="286">
        <v>0</v>
      </c>
      <c r="M182" s="286">
        <v>0.78</v>
      </c>
      <c r="N182" s="286">
        <v>0</v>
      </c>
      <c r="O182" s="286">
        <v>0</v>
      </c>
      <c r="P182" s="286">
        <v>0.13</v>
      </c>
      <c r="Q182" s="286">
        <v>0</v>
      </c>
      <c r="R182" s="286">
        <v>-0.14000000000000001</v>
      </c>
      <c r="S182" s="286">
        <v>0</v>
      </c>
      <c r="T182" s="287">
        <v>-6.689136E-3</v>
      </c>
      <c r="U182" s="228">
        <f t="shared" si="25"/>
        <v>19.023310864000003</v>
      </c>
    </row>
    <row r="183" spans="1:21" x14ac:dyDescent="0.2">
      <c r="A183" s="51">
        <f t="shared" si="26"/>
        <v>173</v>
      </c>
      <c r="B183" s="51" t="s">
        <v>163</v>
      </c>
      <c r="C183" s="68" t="s">
        <v>532</v>
      </c>
      <c r="D183" s="79" t="s">
        <v>519</v>
      </c>
      <c r="E183" s="286">
        <v>19.62</v>
      </c>
      <c r="F183" s="286">
        <v>0.19</v>
      </c>
      <c r="G183" s="286">
        <v>0.12</v>
      </c>
      <c r="H183" s="286">
        <v>-0.08</v>
      </c>
      <c r="I183" s="286">
        <v>0.22</v>
      </c>
      <c r="J183" s="286">
        <v>0.17</v>
      </c>
      <c r="K183" s="286">
        <v>0</v>
      </c>
      <c r="L183" s="286">
        <v>0</v>
      </c>
      <c r="M183" s="286">
        <v>0.84</v>
      </c>
      <c r="N183" s="286">
        <v>0</v>
      </c>
      <c r="O183" s="286">
        <v>0</v>
      </c>
      <c r="P183" s="286">
        <v>0.16</v>
      </c>
      <c r="Q183" s="286">
        <v>0</v>
      </c>
      <c r="R183" s="286">
        <v>-0.17</v>
      </c>
      <c r="S183" s="286">
        <v>0</v>
      </c>
      <c r="T183" s="287">
        <v>-6.689136E-3</v>
      </c>
      <c r="U183" s="228">
        <f t="shared" si="25"/>
        <v>21.063310864000005</v>
      </c>
    </row>
    <row r="184" spans="1:21" x14ac:dyDescent="0.2">
      <c r="A184" s="51">
        <f t="shared" si="26"/>
        <v>174</v>
      </c>
      <c r="B184" s="51" t="s">
        <v>163</v>
      </c>
      <c r="C184" s="68" t="s">
        <v>532</v>
      </c>
      <c r="D184" s="79" t="s">
        <v>520</v>
      </c>
      <c r="E184" s="286">
        <v>21.49</v>
      </c>
      <c r="F184" s="286">
        <v>0.22</v>
      </c>
      <c r="G184" s="286">
        <v>0.15</v>
      </c>
      <c r="H184" s="286">
        <v>-0.1</v>
      </c>
      <c r="I184" s="286">
        <v>0.27</v>
      </c>
      <c r="J184" s="286">
        <v>0.21</v>
      </c>
      <c r="K184" s="286">
        <v>0</v>
      </c>
      <c r="L184" s="286">
        <v>0</v>
      </c>
      <c r="M184" s="286">
        <v>0.91</v>
      </c>
      <c r="N184" s="286">
        <v>0</v>
      </c>
      <c r="O184" s="286">
        <v>0</v>
      </c>
      <c r="P184" s="286">
        <v>0.19</v>
      </c>
      <c r="Q184" s="286">
        <v>0</v>
      </c>
      <c r="R184" s="286">
        <v>-0.2</v>
      </c>
      <c r="S184" s="286">
        <v>0</v>
      </c>
      <c r="T184" s="287">
        <v>-6.689136E-3</v>
      </c>
      <c r="U184" s="228">
        <f t="shared" si="25"/>
        <v>23.133310863999998</v>
      </c>
    </row>
    <row r="185" spans="1:21" x14ac:dyDescent="0.2">
      <c r="A185" s="51">
        <f t="shared" si="26"/>
        <v>175</v>
      </c>
      <c r="B185" s="51" t="s">
        <v>163</v>
      </c>
      <c r="C185" s="68" t="s">
        <v>532</v>
      </c>
      <c r="D185" s="79" t="s">
        <v>521</v>
      </c>
      <c r="E185" s="286">
        <v>23.35</v>
      </c>
      <c r="F185" s="286">
        <v>0.25</v>
      </c>
      <c r="G185" s="286">
        <v>0.17</v>
      </c>
      <c r="H185" s="286">
        <v>-0.11</v>
      </c>
      <c r="I185" s="286">
        <v>0.31</v>
      </c>
      <c r="J185" s="286">
        <v>0.24</v>
      </c>
      <c r="K185" s="286">
        <v>0</v>
      </c>
      <c r="L185" s="286">
        <v>0</v>
      </c>
      <c r="M185" s="286">
        <v>0.97</v>
      </c>
      <c r="N185" s="286">
        <v>0</v>
      </c>
      <c r="O185" s="286">
        <v>0</v>
      </c>
      <c r="P185" s="286">
        <v>0.22</v>
      </c>
      <c r="Q185" s="286">
        <v>0</v>
      </c>
      <c r="R185" s="286">
        <v>-0.23</v>
      </c>
      <c r="S185" s="286">
        <v>0</v>
      </c>
      <c r="T185" s="287">
        <v>-6.689136E-3</v>
      </c>
      <c r="U185" s="228">
        <f t="shared" si="25"/>
        <v>25.163310864</v>
      </c>
    </row>
    <row r="186" spans="1:21" x14ac:dyDescent="0.2">
      <c r="A186" s="51">
        <f t="shared" si="26"/>
        <v>176</v>
      </c>
      <c r="B186" s="51" t="s">
        <v>163</v>
      </c>
      <c r="C186" s="68" t="s">
        <v>532</v>
      </c>
      <c r="D186" s="79" t="s">
        <v>522</v>
      </c>
      <c r="E186" s="286">
        <v>25.22</v>
      </c>
      <c r="F186" s="286">
        <v>0.28999999999999998</v>
      </c>
      <c r="G186" s="286">
        <v>0.19</v>
      </c>
      <c r="H186" s="286">
        <v>-0.13</v>
      </c>
      <c r="I186" s="286">
        <v>0.35</v>
      </c>
      <c r="J186" s="286">
        <v>0.27</v>
      </c>
      <c r="K186" s="286">
        <v>0</v>
      </c>
      <c r="L186" s="286">
        <v>-0.01</v>
      </c>
      <c r="M186" s="286">
        <v>1.04</v>
      </c>
      <c r="N186" s="286">
        <v>0</v>
      </c>
      <c r="O186" s="286">
        <v>0</v>
      </c>
      <c r="P186" s="286">
        <v>0.25</v>
      </c>
      <c r="Q186" s="286">
        <v>0</v>
      </c>
      <c r="R186" s="286">
        <v>-0.26</v>
      </c>
      <c r="S186" s="286">
        <v>0</v>
      </c>
      <c r="T186" s="287">
        <v>-6.689136E-3</v>
      </c>
      <c r="U186" s="228">
        <f t="shared" si="25"/>
        <v>27.203310863999999</v>
      </c>
    </row>
    <row r="187" spans="1:21" x14ac:dyDescent="0.2">
      <c r="A187" s="51">
        <f t="shared" si="26"/>
        <v>177</v>
      </c>
      <c r="B187" s="51" t="s">
        <v>163</v>
      </c>
      <c r="C187" s="68" t="s">
        <v>532</v>
      </c>
      <c r="D187" s="79" t="s">
        <v>523</v>
      </c>
      <c r="E187" s="286">
        <v>27.08</v>
      </c>
      <c r="F187" s="286">
        <v>0.32</v>
      </c>
      <c r="G187" s="286">
        <v>0.21</v>
      </c>
      <c r="H187" s="286">
        <v>-0.14000000000000001</v>
      </c>
      <c r="I187" s="286">
        <v>0.39</v>
      </c>
      <c r="J187" s="286">
        <v>0.3</v>
      </c>
      <c r="K187" s="286">
        <v>0</v>
      </c>
      <c r="L187" s="286">
        <v>-0.01</v>
      </c>
      <c r="M187" s="286">
        <v>1.1000000000000001</v>
      </c>
      <c r="N187" s="286">
        <v>0</v>
      </c>
      <c r="O187" s="286">
        <v>0</v>
      </c>
      <c r="P187" s="286">
        <v>0.28000000000000003</v>
      </c>
      <c r="Q187" s="286">
        <v>0</v>
      </c>
      <c r="R187" s="286">
        <v>-0.28999999999999998</v>
      </c>
      <c r="S187" s="286">
        <v>0</v>
      </c>
      <c r="T187" s="287">
        <v>-6.689136E-3</v>
      </c>
      <c r="U187" s="228">
        <f t="shared" si="25"/>
        <v>29.233310864000003</v>
      </c>
    </row>
    <row r="188" spans="1:21" x14ac:dyDescent="0.2">
      <c r="A188" s="51">
        <f t="shared" si="26"/>
        <v>178</v>
      </c>
      <c r="B188" s="51" t="s">
        <v>163</v>
      </c>
      <c r="C188" s="68" t="s">
        <v>532</v>
      </c>
      <c r="D188" s="79" t="s">
        <v>536</v>
      </c>
      <c r="E188" s="286">
        <v>31.12</v>
      </c>
      <c r="F188" s="286">
        <v>0.39</v>
      </c>
      <c r="G188" s="286">
        <v>0.26</v>
      </c>
      <c r="H188" s="286">
        <v>-0.17</v>
      </c>
      <c r="I188" s="286">
        <v>0.48</v>
      </c>
      <c r="J188" s="286">
        <v>0.37</v>
      </c>
      <c r="K188" s="286">
        <v>0</v>
      </c>
      <c r="L188" s="286">
        <v>-0.01</v>
      </c>
      <c r="M188" s="286">
        <v>1.24</v>
      </c>
      <c r="N188" s="286">
        <v>0</v>
      </c>
      <c r="O188" s="286">
        <v>0</v>
      </c>
      <c r="P188" s="286">
        <v>0.35</v>
      </c>
      <c r="Q188" s="286">
        <v>0</v>
      </c>
      <c r="R188" s="286">
        <v>-0.36</v>
      </c>
      <c r="S188" s="286">
        <v>0</v>
      </c>
      <c r="T188" s="287">
        <v>-6.689136E-3</v>
      </c>
      <c r="U188" s="228">
        <f t="shared" si="25"/>
        <v>33.663310864000003</v>
      </c>
    </row>
    <row r="189" spans="1:21" x14ac:dyDescent="0.2">
      <c r="A189" s="51">
        <f t="shared" si="26"/>
        <v>179</v>
      </c>
      <c r="B189" s="51" t="s">
        <v>163</v>
      </c>
      <c r="C189" s="68" t="s">
        <v>532</v>
      </c>
      <c r="D189" s="79" t="s">
        <v>533</v>
      </c>
      <c r="E189" s="286">
        <v>37.340000000000003</v>
      </c>
      <c r="F189" s="286">
        <v>0.51</v>
      </c>
      <c r="G189" s="286">
        <v>0.34</v>
      </c>
      <c r="H189" s="286">
        <v>-0.22</v>
      </c>
      <c r="I189" s="286">
        <v>0.61</v>
      </c>
      <c r="J189" s="286">
        <v>0.48</v>
      </c>
      <c r="K189" s="286">
        <v>0</v>
      </c>
      <c r="L189" s="286">
        <v>-0.01</v>
      </c>
      <c r="M189" s="286">
        <v>1.4700000000000002</v>
      </c>
      <c r="N189" s="286">
        <v>0</v>
      </c>
      <c r="O189" s="286">
        <v>0</v>
      </c>
      <c r="P189" s="286">
        <v>0.45</v>
      </c>
      <c r="Q189" s="286">
        <v>0</v>
      </c>
      <c r="R189" s="286">
        <v>-0.46</v>
      </c>
      <c r="S189" s="286">
        <v>0</v>
      </c>
      <c r="T189" s="287">
        <v>-6.689136E-3</v>
      </c>
      <c r="U189" s="228">
        <f t="shared" si="25"/>
        <v>40.503310864000007</v>
      </c>
    </row>
    <row r="190" spans="1:21" x14ac:dyDescent="0.2">
      <c r="A190" s="51">
        <f t="shared" si="26"/>
        <v>180</v>
      </c>
      <c r="B190" s="51" t="s">
        <v>163</v>
      </c>
      <c r="C190" s="68" t="s">
        <v>532</v>
      </c>
      <c r="D190" s="79" t="s">
        <v>537</v>
      </c>
      <c r="E190" s="286">
        <v>43.55</v>
      </c>
      <c r="F190" s="286">
        <v>0.62</v>
      </c>
      <c r="G190" s="286">
        <v>0.41</v>
      </c>
      <c r="H190" s="286">
        <v>-0.27</v>
      </c>
      <c r="I190" s="286">
        <v>0.75</v>
      </c>
      <c r="J190" s="286">
        <v>0.57999999999999996</v>
      </c>
      <c r="K190" s="286">
        <v>0</v>
      </c>
      <c r="L190" s="286">
        <v>-0.01</v>
      </c>
      <c r="M190" s="286">
        <v>1.68</v>
      </c>
      <c r="N190" s="286">
        <v>0</v>
      </c>
      <c r="O190" s="286">
        <v>0</v>
      </c>
      <c r="P190" s="286">
        <v>0.55000000000000004</v>
      </c>
      <c r="Q190" s="286">
        <v>0</v>
      </c>
      <c r="R190" s="286">
        <v>-0.56000000000000005</v>
      </c>
      <c r="S190" s="286">
        <v>0</v>
      </c>
      <c r="T190" s="287">
        <v>-6.689136E-3</v>
      </c>
      <c r="U190" s="228">
        <f t="shared" si="25"/>
        <v>47.293310863999984</v>
      </c>
    </row>
    <row r="191" spans="1:21" x14ac:dyDescent="0.2">
      <c r="A191" s="51">
        <f t="shared" si="26"/>
        <v>181</v>
      </c>
      <c r="B191" s="51" t="s">
        <v>163</v>
      </c>
      <c r="C191" s="68" t="s">
        <v>532</v>
      </c>
      <c r="D191" s="79" t="s">
        <v>534</v>
      </c>
      <c r="E191" s="286">
        <v>49.77</v>
      </c>
      <c r="F191" s="286">
        <v>0.73</v>
      </c>
      <c r="G191" s="286">
        <v>0.49</v>
      </c>
      <c r="H191" s="286">
        <v>-0.32</v>
      </c>
      <c r="I191" s="286">
        <v>0.89</v>
      </c>
      <c r="J191" s="286">
        <v>0.69</v>
      </c>
      <c r="K191" s="286">
        <v>0</v>
      </c>
      <c r="L191" s="286">
        <v>-0.01</v>
      </c>
      <c r="M191" s="286">
        <v>1.9</v>
      </c>
      <c r="N191" s="286">
        <v>0</v>
      </c>
      <c r="O191" s="286">
        <v>0</v>
      </c>
      <c r="P191" s="286">
        <v>0.65</v>
      </c>
      <c r="Q191" s="286">
        <v>0</v>
      </c>
      <c r="R191" s="286">
        <v>-0.67</v>
      </c>
      <c r="S191" s="286">
        <v>0</v>
      </c>
      <c r="T191" s="287">
        <v>-6.689136E-3</v>
      </c>
      <c r="U191" s="228">
        <f t="shared" si="25"/>
        <v>54.113310863999999</v>
      </c>
    </row>
    <row r="192" spans="1:21" x14ac:dyDescent="0.2">
      <c r="A192" s="51">
        <f t="shared" si="26"/>
        <v>182</v>
      </c>
      <c r="B192" s="51" t="s">
        <v>163</v>
      </c>
      <c r="C192" s="68" t="s">
        <v>532</v>
      </c>
      <c r="D192" s="79" t="s">
        <v>535</v>
      </c>
      <c r="E192" s="286">
        <v>55.99</v>
      </c>
      <c r="F192" s="286">
        <v>0.85</v>
      </c>
      <c r="G192" s="286">
        <v>0.56000000000000005</v>
      </c>
      <c r="H192" s="286">
        <v>-0.37</v>
      </c>
      <c r="I192" s="286">
        <v>1.02</v>
      </c>
      <c r="J192" s="286">
        <v>0.8</v>
      </c>
      <c r="K192" s="286">
        <v>0</v>
      </c>
      <c r="L192" s="286">
        <v>-0.02</v>
      </c>
      <c r="M192" s="286">
        <v>2.1100000000000003</v>
      </c>
      <c r="N192" s="286">
        <v>0</v>
      </c>
      <c r="O192" s="286">
        <v>0</v>
      </c>
      <c r="P192" s="286">
        <v>0.75</v>
      </c>
      <c r="Q192" s="286">
        <v>0</v>
      </c>
      <c r="R192" s="286">
        <v>-0.77</v>
      </c>
      <c r="S192" s="286">
        <v>0</v>
      </c>
      <c r="T192" s="287">
        <v>-6.689136E-3</v>
      </c>
      <c r="U192" s="228">
        <f t="shared" si="25"/>
        <v>60.913310864000003</v>
      </c>
    </row>
    <row r="193" spans="1:21" x14ac:dyDescent="0.2">
      <c r="A193" s="51">
        <f t="shared" si="26"/>
        <v>183</v>
      </c>
      <c r="B193" s="51" t="s">
        <v>163</v>
      </c>
      <c r="C193" s="68" t="s">
        <v>532</v>
      </c>
      <c r="D193" s="79" t="s">
        <v>538</v>
      </c>
      <c r="E193" s="286">
        <v>62.2</v>
      </c>
      <c r="F193" s="286">
        <v>0.96</v>
      </c>
      <c r="G193" s="286">
        <v>0.64</v>
      </c>
      <c r="H193" s="286">
        <v>-0.42</v>
      </c>
      <c r="I193" s="286">
        <v>1.1599999999999999</v>
      </c>
      <c r="J193" s="286">
        <v>0.9</v>
      </c>
      <c r="K193" s="286">
        <v>0</v>
      </c>
      <c r="L193" s="286">
        <v>-0.02</v>
      </c>
      <c r="M193" s="286">
        <v>2.34</v>
      </c>
      <c r="N193" s="286">
        <v>0</v>
      </c>
      <c r="O193" s="286">
        <v>0</v>
      </c>
      <c r="P193" s="286">
        <v>0.85</v>
      </c>
      <c r="Q193" s="286">
        <v>0</v>
      </c>
      <c r="R193" s="286">
        <v>-0.87</v>
      </c>
      <c r="S193" s="286">
        <v>0</v>
      </c>
      <c r="T193" s="287">
        <v>-6.689136E-3</v>
      </c>
      <c r="U193" s="228">
        <f t="shared" si="25"/>
        <v>67.733310864000003</v>
      </c>
    </row>
    <row r="194" spans="1:21" x14ac:dyDescent="0.2">
      <c r="A194" s="51">
        <f t="shared" si="26"/>
        <v>184</v>
      </c>
      <c r="B194" s="51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28"/>
    </row>
    <row r="195" spans="1:21" x14ac:dyDescent="0.2">
      <c r="A195" s="51">
        <f t="shared" si="26"/>
        <v>185</v>
      </c>
      <c r="B195" s="51" t="s">
        <v>163</v>
      </c>
      <c r="C195" s="60" t="s">
        <v>245</v>
      </c>
      <c r="D195" s="79" t="s">
        <v>650</v>
      </c>
      <c r="E195" s="286">
        <v>0</v>
      </c>
      <c r="F195" s="286">
        <v>0</v>
      </c>
      <c r="G195" s="286">
        <v>0</v>
      </c>
      <c r="H195" s="286">
        <v>0</v>
      </c>
      <c r="I195" s="286">
        <v>0</v>
      </c>
      <c r="J195" s="286">
        <v>0</v>
      </c>
      <c r="K195" s="286">
        <v>0</v>
      </c>
      <c r="L195" s="286">
        <v>0</v>
      </c>
      <c r="M195" s="286">
        <v>0.6</v>
      </c>
      <c r="N195" s="286">
        <v>0</v>
      </c>
      <c r="O195" s="286">
        <v>0</v>
      </c>
      <c r="P195" s="286">
        <v>0</v>
      </c>
      <c r="Q195" s="286">
        <v>0</v>
      </c>
      <c r="R195" s="286">
        <v>0</v>
      </c>
      <c r="S195" s="286">
        <v>0</v>
      </c>
      <c r="T195" s="286">
        <v>0</v>
      </c>
      <c r="U195" s="228">
        <f>SUM(E195:T195)</f>
        <v>0.6</v>
      </c>
    </row>
    <row r="196" spans="1:21" x14ac:dyDescent="0.2">
      <c r="A196" s="51">
        <f t="shared" si="26"/>
        <v>186</v>
      </c>
      <c r="B196" s="51" t="s">
        <v>163</v>
      </c>
      <c r="C196" s="60" t="s">
        <v>245</v>
      </c>
      <c r="D196" s="79" t="s">
        <v>525</v>
      </c>
      <c r="E196" s="286">
        <v>11.05</v>
      </c>
      <c r="F196" s="286">
        <v>0</v>
      </c>
      <c r="G196" s="286">
        <v>0</v>
      </c>
      <c r="H196" s="286">
        <v>0</v>
      </c>
      <c r="I196" s="286">
        <v>0</v>
      </c>
      <c r="J196" s="286">
        <v>0</v>
      </c>
      <c r="K196" s="286">
        <v>0</v>
      </c>
      <c r="L196" s="286">
        <v>0</v>
      </c>
      <c r="M196" s="286">
        <v>1.2</v>
      </c>
      <c r="N196" s="286">
        <v>0</v>
      </c>
      <c r="O196" s="286">
        <v>0</v>
      </c>
      <c r="P196" s="286">
        <v>0</v>
      </c>
      <c r="Q196" s="286">
        <v>0</v>
      </c>
      <c r="R196" s="286">
        <v>0</v>
      </c>
      <c r="S196" s="286">
        <v>0</v>
      </c>
      <c r="T196" s="286">
        <v>0</v>
      </c>
      <c r="U196" s="228">
        <f>SUM(E196:T196)</f>
        <v>12.25</v>
      </c>
    </row>
    <row r="197" spans="1:21" ht="10.8" thickBot="1" x14ac:dyDescent="0.25">
      <c r="U197" s="229"/>
    </row>
    <row r="208" spans="1:21" x14ac:dyDescent="0.2">
      <c r="N208" s="51" t="s">
        <v>91</v>
      </c>
    </row>
  </sheetData>
  <mergeCells count="4">
    <mergeCell ref="A1:U1"/>
    <mergeCell ref="A2:U2"/>
    <mergeCell ref="A3:U3"/>
    <mergeCell ref="A4:U4"/>
  </mergeCells>
  <printOptions horizontalCentered="1"/>
  <pageMargins left="0.25" right="0.25" top="0.75" bottom="0.87" header="0.3" footer="0.3"/>
  <pageSetup scale="50" fitToHeight="10" orientation="landscape" r:id="rId1"/>
  <headerFooter alignWithMargins="0">
    <oddFooter>&amp;R&amp;F
&amp;A
&amp;P of &amp;N</oddFooter>
  </headerFooter>
  <customProperties>
    <customPr name="_pios_id" r:id="rId2"/>
  </customProperties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L213"/>
  <sheetViews>
    <sheetView zoomScaleNormal="100" workbookViewId="0">
      <pane ySplit="7" topLeftCell="A8" activePane="bottomLeft" state="frozen"/>
      <selection activeCell="D32" sqref="D32"/>
      <selection pane="bottomLeft" activeCell="D32" sqref="D32"/>
    </sheetView>
  </sheetViews>
  <sheetFormatPr defaultColWidth="9.109375" defaultRowHeight="10.199999999999999" x14ac:dyDescent="0.2"/>
  <cols>
    <col min="1" max="1" width="13.44140625" style="14" bestFit="1" customWidth="1"/>
    <col min="2" max="2" width="8.5546875" style="14" bestFit="1" customWidth="1"/>
    <col min="3" max="3" width="16.109375" style="19" bestFit="1" customWidth="1"/>
    <col min="4" max="4" width="18.109375" style="19" bestFit="1" customWidth="1"/>
    <col min="5" max="5" width="20.44140625" style="14" customWidth="1"/>
    <col min="6" max="6" width="10.33203125" style="14" bestFit="1" customWidth="1"/>
    <col min="7" max="7" width="11.33203125" style="14" customWidth="1"/>
    <col min="8" max="8" width="10.33203125" style="19" bestFit="1" customWidth="1"/>
    <col min="9" max="9" width="12.5546875" style="399" bestFit="1" customWidth="1"/>
    <col min="10" max="10" width="10" style="593" bestFit="1" customWidth="1"/>
    <col min="11" max="11" width="11" style="28" customWidth="1"/>
    <col min="12" max="12" width="12.88671875" style="28" customWidth="1"/>
    <col min="13" max="16384" width="9.109375" style="28"/>
  </cols>
  <sheetData>
    <row r="1" spans="1:12" x14ac:dyDescent="0.2">
      <c r="A1" s="736" t="str">
        <f>'BDJ-6 Base Revenue (Summary)'!A1:I1</f>
        <v>Puget Sound Energy</v>
      </c>
      <c r="B1" s="736"/>
      <c r="C1" s="736"/>
      <c r="D1" s="736"/>
      <c r="E1" s="736"/>
      <c r="F1" s="736"/>
      <c r="G1" s="736"/>
      <c r="H1" s="736"/>
      <c r="I1" s="736"/>
      <c r="J1" s="28"/>
    </row>
    <row r="2" spans="1:12" x14ac:dyDescent="0.2">
      <c r="A2" s="736" t="s">
        <v>502</v>
      </c>
      <c r="B2" s="736"/>
      <c r="C2" s="736"/>
      <c r="D2" s="736"/>
      <c r="E2" s="736"/>
      <c r="F2" s="736"/>
      <c r="G2" s="736"/>
      <c r="H2" s="736"/>
      <c r="I2" s="736"/>
      <c r="J2" s="28"/>
    </row>
    <row r="3" spans="1:12" x14ac:dyDescent="0.2">
      <c r="A3" s="736" t="s">
        <v>500</v>
      </c>
      <c r="B3" s="736"/>
      <c r="C3" s="736"/>
      <c r="D3" s="736"/>
      <c r="E3" s="736"/>
      <c r="F3" s="736"/>
      <c r="G3" s="736"/>
      <c r="H3" s="736"/>
      <c r="I3" s="736"/>
      <c r="J3" s="28"/>
    </row>
    <row r="4" spans="1:12" x14ac:dyDescent="0.2">
      <c r="A4" s="736" t="str">
        <f>'BDJ-6 Base Revenue (Summary)'!A4:I4</f>
        <v>2022 General Rate Case (GRC)</v>
      </c>
      <c r="B4" s="736"/>
      <c r="C4" s="736"/>
      <c r="D4" s="736"/>
      <c r="E4" s="736"/>
      <c r="F4" s="736"/>
      <c r="G4" s="736"/>
      <c r="H4" s="736"/>
      <c r="I4" s="736"/>
      <c r="J4" s="28"/>
    </row>
    <row r="5" spans="1:12" x14ac:dyDescent="0.2">
      <c r="A5" s="736" t="str">
        <f>'BDJ-6 Base Revenue (Summary)'!A5:I5</f>
        <v>Test Year Ending June 30, 2021</v>
      </c>
      <c r="B5" s="736"/>
      <c r="C5" s="736"/>
      <c r="D5" s="736"/>
      <c r="E5" s="736"/>
      <c r="F5" s="736"/>
      <c r="G5" s="736"/>
      <c r="H5" s="736"/>
      <c r="I5" s="736"/>
      <c r="J5" s="28"/>
    </row>
    <row r="6" spans="1:12" x14ac:dyDescent="0.2">
      <c r="A6" s="257"/>
      <c r="B6" s="257"/>
      <c r="C6" s="257"/>
      <c r="D6" s="257"/>
      <c r="E6" s="257"/>
      <c r="F6" s="257"/>
      <c r="G6" s="257"/>
      <c r="H6" s="257"/>
      <c r="I6" s="257"/>
      <c r="J6" s="28"/>
    </row>
    <row r="7" spans="1:12" ht="30.6" x14ac:dyDescent="0.2">
      <c r="A7" s="579" t="s">
        <v>53</v>
      </c>
      <c r="B7" s="580" t="s">
        <v>927</v>
      </c>
      <c r="C7" s="580" t="s">
        <v>2</v>
      </c>
      <c r="D7" s="580" t="s">
        <v>67</v>
      </c>
      <c r="E7" s="580" t="s">
        <v>207</v>
      </c>
      <c r="F7" s="580" t="s">
        <v>160</v>
      </c>
      <c r="G7" s="580" t="s">
        <v>603</v>
      </c>
      <c r="H7" s="580" t="s">
        <v>250</v>
      </c>
      <c r="I7" s="581" t="s">
        <v>644</v>
      </c>
      <c r="J7" s="581" t="s">
        <v>648</v>
      </c>
      <c r="K7" s="580" t="s">
        <v>601</v>
      </c>
      <c r="L7" s="582" t="s">
        <v>503</v>
      </c>
    </row>
    <row r="8" spans="1:12" x14ac:dyDescent="0.2">
      <c r="A8" s="438" t="s">
        <v>134</v>
      </c>
      <c r="B8" s="583"/>
      <c r="C8" s="389"/>
      <c r="D8" s="390"/>
      <c r="E8" s="15"/>
      <c r="F8" s="15"/>
      <c r="G8" s="15"/>
      <c r="H8" s="390"/>
      <c r="I8" s="584"/>
      <c r="J8" s="584"/>
      <c r="K8" s="15"/>
      <c r="L8" s="585"/>
    </row>
    <row r="9" spans="1:12" x14ac:dyDescent="0.2">
      <c r="A9" s="162">
        <v>3</v>
      </c>
      <c r="B9" s="231"/>
      <c r="C9" s="20"/>
      <c r="D9" s="21" t="s">
        <v>928</v>
      </c>
      <c r="E9" s="16" t="s">
        <v>1203</v>
      </c>
      <c r="F9" s="16">
        <v>22</v>
      </c>
      <c r="G9" s="16" t="s">
        <v>540</v>
      </c>
      <c r="H9" s="16" t="s">
        <v>18</v>
      </c>
      <c r="I9" s="594">
        <v>708</v>
      </c>
      <c r="J9" s="111">
        <f>ROUND(I9/12,0)</f>
        <v>59</v>
      </c>
      <c r="K9" s="14">
        <v>4200</v>
      </c>
      <c r="L9" s="148">
        <f>J9*K9*(F9/1000)</f>
        <v>5451.5999999999995</v>
      </c>
    </row>
    <row r="10" spans="1:12" x14ac:dyDescent="0.2">
      <c r="A10" s="48"/>
      <c r="B10" s="2"/>
      <c r="C10" s="2"/>
      <c r="D10" s="21"/>
      <c r="E10" s="16"/>
      <c r="F10" s="16"/>
      <c r="G10" s="16"/>
      <c r="H10" s="16"/>
      <c r="I10" s="111"/>
      <c r="J10" s="111"/>
      <c r="K10" s="14"/>
      <c r="L10" s="148"/>
    </row>
    <row r="11" spans="1:12" x14ac:dyDescent="0.2">
      <c r="A11" s="78" t="s">
        <v>55</v>
      </c>
      <c r="C11" s="22"/>
      <c r="D11" s="23" t="s">
        <v>74</v>
      </c>
      <c r="E11" s="16" t="s">
        <v>554</v>
      </c>
      <c r="F11" s="16">
        <v>100</v>
      </c>
      <c r="G11" s="16" t="s">
        <v>540</v>
      </c>
      <c r="H11" s="16" t="s">
        <v>18</v>
      </c>
      <c r="I11" s="594">
        <v>27</v>
      </c>
      <c r="J11" s="111">
        <f>ROUND(I11/12,0)</f>
        <v>2</v>
      </c>
      <c r="K11" s="14">
        <v>4200</v>
      </c>
      <c r="L11" s="148">
        <f>J11*K11*(F11/1000)</f>
        <v>840</v>
      </c>
    </row>
    <row r="12" spans="1:12" x14ac:dyDescent="0.2">
      <c r="A12" s="78" t="str">
        <f>+A11</f>
        <v>50E-A</v>
      </c>
      <c r="C12" s="22"/>
      <c r="D12" s="23" t="str">
        <f>+D11</f>
        <v>Mercury Vapor</v>
      </c>
      <c r="E12" s="16" t="s">
        <v>1204</v>
      </c>
      <c r="F12" s="16">
        <v>175</v>
      </c>
      <c r="G12" s="16" t="s">
        <v>540</v>
      </c>
      <c r="H12" s="16" t="s">
        <v>18</v>
      </c>
      <c r="I12" s="594">
        <v>228</v>
      </c>
      <c r="J12" s="111">
        <f>ROUND(I12/12,0)</f>
        <v>19</v>
      </c>
      <c r="K12" s="14">
        <v>4200</v>
      </c>
      <c r="L12" s="148">
        <f>J12*K12*(F12/1000)</f>
        <v>13965</v>
      </c>
    </row>
    <row r="13" spans="1:12" x14ac:dyDescent="0.2">
      <c r="A13" s="78" t="str">
        <f>+A12</f>
        <v>50E-A</v>
      </c>
      <c r="C13" s="22"/>
      <c r="D13" s="23" t="str">
        <f>+D12</f>
        <v>Mercury Vapor</v>
      </c>
      <c r="E13" s="16" t="s">
        <v>555</v>
      </c>
      <c r="F13" s="16">
        <v>400</v>
      </c>
      <c r="G13" s="16" t="s">
        <v>540</v>
      </c>
      <c r="H13" s="16" t="s">
        <v>18</v>
      </c>
      <c r="I13" s="594">
        <v>238</v>
      </c>
      <c r="J13" s="111">
        <f>ROUND(I13/12,0)</f>
        <v>20</v>
      </c>
      <c r="K13" s="14">
        <v>4200</v>
      </c>
      <c r="L13" s="148">
        <f>J13*K13*(F13/1000)</f>
        <v>33600</v>
      </c>
    </row>
    <row r="14" spans="1:12" x14ac:dyDescent="0.2">
      <c r="A14" s="78"/>
      <c r="C14" s="22"/>
      <c r="D14" s="23"/>
      <c r="E14" s="47"/>
      <c r="F14" s="47"/>
      <c r="G14" s="47"/>
      <c r="H14" s="16"/>
      <c r="I14" s="111"/>
      <c r="J14" s="111"/>
      <c r="K14" s="14"/>
      <c r="L14" s="148"/>
    </row>
    <row r="15" spans="1:12" x14ac:dyDescent="0.2">
      <c r="A15" s="78" t="s">
        <v>56</v>
      </c>
      <c r="C15" s="22" t="s">
        <v>514</v>
      </c>
      <c r="D15" s="23" t="str">
        <f>+D13</f>
        <v>Mercury Vapor</v>
      </c>
      <c r="E15" s="47" t="s">
        <v>554</v>
      </c>
      <c r="F15" s="47">
        <v>100</v>
      </c>
      <c r="G15" s="16" t="s">
        <v>540</v>
      </c>
      <c r="H15" s="16" t="s">
        <v>18</v>
      </c>
      <c r="I15" s="111"/>
      <c r="J15" s="111">
        <f>ROUND(I15/12,0)</f>
        <v>0</v>
      </c>
      <c r="K15" s="14">
        <v>4200</v>
      </c>
      <c r="L15" s="148">
        <f>J15*K15*(F15/1000)</f>
        <v>0</v>
      </c>
    </row>
    <row r="16" spans="1:12" x14ac:dyDescent="0.2">
      <c r="A16" s="78" t="str">
        <f>+A15</f>
        <v>50E-B</v>
      </c>
      <c r="C16" s="22" t="s">
        <v>514</v>
      </c>
      <c r="D16" s="23" t="str">
        <f>+D15</f>
        <v>Mercury Vapor</v>
      </c>
      <c r="E16" s="16" t="s">
        <v>1204</v>
      </c>
      <c r="F16" s="47">
        <v>175</v>
      </c>
      <c r="G16" s="16" t="s">
        <v>540</v>
      </c>
      <c r="H16" s="16" t="s">
        <v>18</v>
      </c>
      <c r="I16" s="594">
        <v>12</v>
      </c>
      <c r="J16" s="111">
        <f>ROUND(I16/12,0)</f>
        <v>1</v>
      </c>
      <c r="K16" s="14">
        <v>4200</v>
      </c>
      <c r="L16" s="148">
        <f>J16*K16*(F16/1000)</f>
        <v>735</v>
      </c>
    </row>
    <row r="17" spans="1:12" x14ac:dyDescent="0.2">
      <c r="A17" s="78" t="str">
        <f>+A16</f>
        <v>50E-B</v>
      </c>
      <c r="C17" s="22" t="s">
        <v>514</v>
      </c>
      <c r="D17" s="23" t="str">
        <f>+D16</f>
        <v>Mercury Vapor</v>
      </c>
      <c r="E17" s="47" t="s">
        <v>555</v>
      </c>
      <c r="F17" s="47">
        <v>400</v>
      </c>
      <c r="G17" s="16" t="s">
        <v>540</v>
      </c>
      <c r="H17" s="16" t="s">
        <v>18</v>
      </c>
      <c r="I17" s="111"/>
      <c r="J17" s="111">
        <f>ROUND(I17/12,0)</f>
        <v>0</v>
      </c>
      <c r="K17" s="14">
        <v>4200</v>
      </c>
      <c r="L17" s="148">
        <f>J17*K17*(F17/1000)</f>
        <v>0</v>
      </c>
    </row>
    <row r="18" spans="1:12" x14ac:dyDescent="0.2">
      <c r="A18" s="78" t="str">
        <f>+A17</f>
        <v>50E-B</v>
      </c>
      <c r="C18" s="22" t="s">
        <v>514</v>
      </c>
      <c r="D18" s="23" t="str">
        <f>+D17</f>
        <v>Mercury Vapor</v>
      </c>
      <c r="E18" s="47" t="s">
        <v>556</v>
      </c>
      <c r="F18" s="47">
        <v>700</v>
      </c>
      <c r="G18" s="16" t="s">
        <v>540</v>
      </c>
      <c r="H18" s="16" t="s">
        <v>18</v>
      </c>
      <c r="I18" s="111"/>
      <c r="J18" s="111">
        <f>ROUND(I18/12,0)</f>
        <v>0</v>
      </c>
      <c r="K18" s="14">
        <v>4200</v>
      </c>
      <c r="L18" s="148">
        <f>J18*K18*(F18/1000)</f>
        <v>0</v>
      </c>
    </row>
    <row r="19" spans="1:12" x14ac:dyDescent="0.2">
      <c r="A19" s="438" t="s">
        <v>135</v>
      </c>
      <c r="B19" s="583"/>
      <c r="C19" s="389"/>
      <c r="D19" s="390"/>
      <c r="E19" s="15"/>
      <c r="F19" s="15"/>
      <c r="G19" s="15"/>
      <c r="H19" s="390"/>
      <c r="I19" s="584"/>
      <c r="J19" s="584"/>
      <c r="K19" s="15"/>
      <c r="L19" s="585"/>
    </row>
    <row r="20" spans="1:12" x14ac:dyDescent="0.2">
      <c r="A20" s="78" t="s">
        <v>78</v>
      </c>
      <c r="B20" s="19" t="s">
        <v>926</v>
      </c>
      <c r="D20" s="19" t="s">
        <v>117</v>
      </c>
      <c r="E20" s="14" t="s">
        <v>931</v>
      </c>
      <c r="F20" s="290">
        <v>15</v>
      </c>
      <c r="G20" s="14" t="s">
        <v>123</v>
      </c>
      <c r="H20" s="19" t="s">
        <v>18</v>
      </c>
      <c r="I20" s="111">
        <v>0</v>
      </c>
      <c r="J20" s="111">
        <f t="shared" ref="J20:J29" si="0">ROUND(I20/12,0)</f>
        <v>0</v>
      </c>
      <c r="K20" s="595">
        <v>4200</v>
      </c>
      <c r="L20" s="148">
        <f t="shared" ref="L20:L29" si="1">J20*K20*(F20/1000)</f>
        <v>0</v>
      </c>
    </row>
    <row r="21" spans="1:12" s="19" customFormat="1" x14ac:dyDescent="0.2">
      <c r="A21" s="78" t="s">
        <v>78</v>
      </c>
      <c r="B21" s="14"/>
      <c r="C21" s="22"/>
      <c r="D21" s="25" t="s">
        <v>117</v>
      </c>
      <c r="E21" s="16" t="s">
        <v>539</v>
      </c>
      <c r="F21" s="83">
        <v>45</v>
      </c>
      <c r="G21" s="2" t="s">
        <v>123</v>
      </c>
      <c r="H21" s="16" t="s">
        <v>18</v>
      </c>
      <c r="I21" s="594">
        <v>52217</v>
      </c>
      <c r="J21" s="111">
        <f t="shared" si="0"/>
        <v>4351</v>
      </c>
      <c r="K21" s="595">
        <v>4200</v>
      </c>
      <c r="L21" s="148">
        <f t="shared" si="1"/>
        <v>822339</v>
      </c>
    </row>
    <row r="22" spans="1:12" s="19" customFormat="1" x14ac:dyDescent="0.2">
      <c r="A22" s="78" t="s">
        <v>78</v>
      </c>
      <c r="B22" s="14"/>
      <c r="C22" s="22"/>
      <c r="D22" s="25" t="s">
        <v>117</v>
      </c>
      <c r="E22" s="16" t="s">
        <v>543</v>
      </c>
      <c r="F22" s="83">
        <v>75</v>
      </c>
      <c r="G22" s="2" t="s">
        <v>123</v>
      </c>
      <c r="H22" s="16" t="s">
        <v>18</v>
      </c>
      <c r="I22" s="594">
        <v>28562</v>
      </c>
      <c r="J22" s="111">
        <f t="shared" si="0"/>
        <v>2380</v>
      </c>
      <c r="K22" s="595">
        <v>4200</v>
      </c>
      <c r="L22" s="148">
        <f t="shared" si="1"/>
        <v>749700</v>
      </c>
    </row>
    <row r="23" spans="1:12" s="19" customFormat="1" x14ac:dyDescent="0.2">
      <c r="A23" s="78" t="s">
        <v>78</v>
      </c>
      <c r="B23" s="14"/>
      <c r="C23" s="22"/>
      <c r="D23" s="25" t="s">
        <v>117</v>
      </c>
      <c r="E23" s="16" t="s">
        <v>544</v>
      </c>
      <c r="F23" s="83">
        <v>105</v>
      </c>
      <c r="G23" s="2" t="s">
        <v>123</v>
      </c>
      <c r="H23" s="16" t="s">
        <v>18</v>
      </c>
      <c r="I23" s="594">
        <v>12365</v>
      </c>
      <c r="J23" s="111">
        <f t="shared" si="0"/>
        <v>1030</v>
      </c>
      <c r="K23" s="595">
        <v>4200</v>
      </c>
      <c r="L23" s="148">
        <f t="shared" si="1"/>
        <v>454230</v>
      </c>
    </row>
    <row r="24" spans="1:12" s="19" customFormat="1" x14ac:dyDescent="0.2">
      <c r="A24" s="78" t="s">
        <v>78</v>
      </c>
      <c r="B24" s="14"/>
      <c r="C24" s="22"/>
      <c r="D24" s="25" t="s">
        <v>117</v>
      </c>
      <c r="E24" s="16" t="s">
        <v>545</v>
      </c>
      <c r="F24" s="83">
        <v>135</v>
      </c>
      <c r="G24" s="2" t="s">
        <v>123</v>
      </c>
      <c r="H24" s="16" t="s">
        <v>18</v>
      </c>
      <c r="I24" s="594">
        <v>5819</v>
      </c>
      <c r="J24" s="111">
        <f t="shared" si="0"/>
        <v>485</v>
      </c>
      <c r="K24" s="595">
        <v>4200</v>
      </c>
      <c r="L24" s="148">
        <f t="shared" si="1"/>
        <v>274995</v>
      </c>
    </row>
    <row r="25" spans="1:12" s="19" customFormat="1" x14ac:dyDescent="0.2">
      <c r="A25" s="78" t="s">
        <v>78</v>
      </c>
      <c r="B25" s="14"/>
      <c r="C25" s="22"/>
      <c r="D25" s="25" t="s">
        <v>117</v>
      </c>
      <c r="E25" s="16" t="s">
        <v>546</v>
      </c>
      <c r="F25" s="83">
        <v>165</v>
      </c>
      <c r="G25" s="2" t="s">
        <v>123</v>
      </c>
      <c r="H25" s="16" t="s">
        <v>18</v>
      </c>
      <c r="I25" s="594">
        <v>824</v>
      </c>
      <c r="J25" s="111">
        <f t="shared" si="0"/>
        <v>69</v>
      </c>
      <c r="K25" s="595">
        <v>4200</v>
      </c>
      <c r="L25" s="148">
        <f t="shared" si="1"/>
        <v>47817</v>
      </c>
    </row>
    <row r="26" spans="1:12" s="19" customFormat="1" x14ac:dyDescent="0.2">
      <c r="A26" s="78" t="s">
        <v>78</v>
      </c>
      <c r="B26" s="14"/>
      <c r="C26" s="22"/>
      <c r="D26" s="25" t="s">
        <v>117</v>
      </c>
      <c r="E26" s="16" t="s">
        <v>547</v>
      </c>
      <c r="F26" s="83">
        <v>195</v>
      </c>
      <c r="G26" s="2" t="s">
        <v>123</v>
      </c>
      <c r="H26" s="16" t="s">
        <v>18</v>
      </c>
      <c r="I26" s="594">
        <v>2412</v>
      </c>
      <c r="J26" s="111">
        <f t="shared" si="0"/>
        <v>201</v>
      </c>
      <c r="K26" s="595">
        <v>4200</v>
      </c>
      <c r="L26" s="148">
        <f t="shared" si="1"/>
        <v>164619</v>
      </c>
    </row>
    <row r="27" spans="1:12" s="19" customFormat="1" x14ac:dyDescent="0.2">
      <c r="A27" s="78" t="s">
        <v>78</v>
      </c>
      <c r="B27" s="14"/>
      <c r="C27" s="22"/>
      <c r="D27" s="25" t="s">
        <v>117</v>
      </c>
      <c r="E27" s="16" t="s">
        <v>576</v>
      </c>
      <c r="F27" s="83">
        <v>225</v>
      </c>
      <c r="G27" s="2" t="s">
        <v>123</v>
      </c>
      <c r="H27" s="16" t="s">
        <v>18</v>
      </c>
      <c r="I27" s="594">
        <v>705</v>
      </c>
      <c r="J27" s="111">
        <f t="shared" si="0"/>
        <v>59</v>
      </c>
      <c r="K27" s="595">
        <v>4200</v>
      </c>
      <c r="L27" s="148">
        <f t="shared" si="1"/>
        <v>55755</v>
      </c>
    </row>
    <row r="28" spans="1:12" s="19" customFormat="1" x14ac:dyDescent="0.2">
      <c r="A28" s="78" t="s">
        <v>78</v>
      </c>
      <c r="B28" s="14"/>
      <c r="C28" s="22"/>
      <c r="D28" s="25" t="s">
        <v>117</v>
      </c>
      <c r="E28" s="16" t="s">
        <v>548</v>
      </c>
      <c r="F28" s="83">
        <v>255</v>
      </c>
      <c r="G28" s="2" t="s">
        <v>123</v>
      </c>
      <c r="H28" s="16" t="s">
        <v>18</v>
      </c>
      <c r="I28" s="594">
        <v>96</v>
      </c>
      <c r="J28" s="111">
        <f t="shared" si="0"/>
        <v>8</v>
      </c>
      <c r="K28" s="595">
        <v>4200</v>
      </c>
      <c r="L28" s="148">
        <f t="shared" si="1"/>
        <v>8568</v>
      </c>
    </row>
    <row r="29" spans="1:12" s="19" customFormat="1" x14ac:dyDescent="0.2">
      <c r="A29" s="78" t="s">
        <v>78</v>
      </c>
      <c r="B29" s="14"/>
      <c r="C29" s="22"/>
      <c r="D29" s="25" t="s">
        <v>117</v>
      </c>
      <c r="E29" s="16" t="s">
        <v>549</v>
      </c>
      <c r="F29" s="83">
        <v>285</v>
      </c>
      <c r="G29" s="2" t="s">
        <v>123</v>
      </c>
      <c r="H29" s="16" t="s">
        <v>18</v>
      </c>
      <c r="I29" s="594">
        <v>952</v>
      </c>
      <c r="J29" s="111">
        <f t="shared" si="0"/>
        <v>79</v>
      </c>
      <c r="K29" s="595">
        <v>4200</v>
      </c>
      <c r="L29" s="148">
        <f t="shared" si="1"/>
        <v>94562.999999999985</v>
      </c>
    </row>
    <row r="30" spans="1:12" s="19" customFormat="1" x14ac:dyDescent="0.2">
      <c r="A30" s="78"/>
      <c r="B30" s="14"/>
      <c r="C30" s="22"/>
      <c r="D30" s="25"/>
      <c r="E30" s="16"/>
      <c r="F30" s="83"/>
      <c r="G30" s="2"/>
      <c r="H30" s="16"/>
      <c r="I30" s="594"/>
      <c r="J30" s="111"/>
      <c r="K30" s="595"/>
      <c r="L30" s="148"/>
    </row>
    <row r="31" spans="1:12" x14ac:dyDescent="0.2">
      <c r="A31" s="78" t="s">
        <v>78</v>
      </c>
      <c r="B31" s="19"/>
      <c r="C31" s="19" t="s">
        <v>948</v>
      </c>
      <c r="D31" s="14" t="s">
        <v>117</v>
      </c>
      <c r="E31" s="14" t="str">
        <f t="shared" ref="E31:H40" si="2">E20</f>
        <v>LED 0-030</v>
      </c>
      <c r="F31" s="290">
        <f t="shared" si="2"/>
        <v>15</v>
      </c>
      <c r="G31" s="14" t="str">
        <f t="shared" si="2"/>
        <v>Company</v>
      </c>
      <c r="H31" s="14" t="str">
        <f t="shared" si="2"/>
        <v>Customer</v>
      </c>
      <c r="I31" s="111">
        <v>0</v>
      </c>
      <c r="J31" s="111">
        <f t="shared" ref="J31:J40" si="3">ROUND(I31/12,0)</f>
        <v>0</v>
      </c>
      <c r="K31" s="595">
        <v>4200</v>
      </c>
      <c r="L31" s="148">
        <f t="shared" ref="L31:L40" si="4">J31*K31*(F31/1000)</f>
        <v>0</v>
      </c>
    </row>
    <row r="32" spans="1:12" s="19" customFormat="1" x14ac:dyDescent="0.2">
      <c r="A32" s="78" t="s">
        <v>78</v>
      </c>
      <c r="C32" s="19" t="s">
        <v>948</v>
      </c>
      <c r="D32" s="83" t="s">
        <v>117</v>
      </c>
      <c r="E32" s="14" t="str">
        <f t="shared" si="2"/>
        <v>LED 030.01-060</v>
      </c>
      <c r="F32" s="290">
        <f t="shared" si="2"/>
        <v>45</v>
      </c>
      <c r="G32" s="14" t="str">
        <f t="shared" si="2"/>
        <v>Company</v>
      </c>
      <c r="H32" s="14" t="str">
        <f t="shared" si="2"/>
        <v>Customer</v>
      </c>
      <c r="I32" s="111">
        <v>0</v>
      </c>
      <c r="J32" s="111">
        <f t="shared" si="3"/>
        <v>0</v>
      </c>
      <c r="K32" s="595">
        <v>4200</v>
      </c>
      <c r="L32" s="148">
        <f t="shared" si="4"/>
        <v>0</v>
      </c>
    </row>
    <row r="33" spans="1:12" s="19" customFormat="1" x14ac:dyDescent="0.2">
      <c r="A33" s="78" t="s">
        <v>78</v>
      </c>
      <c r="C33" s="19" t="s">
        <v>948</v>
      </c>
      <c r="D33" s="83" t="s">
        <v>117</v>
      </c>
      <c r="E33" s="14" t="str">
        <f t="shared" si="2"/>
        <v>LED 060.01-090</v>
      </c>
      <c r="F33" s="290">
        <f t="shared" si="2"/>
        <v>75</v>
      </c>
      <c r="G33" s="14" t="str">
        <f t="shared" si="2"/>
        <v>Company</v>
      </c>
      <c r="H33" s="14" t="str">
        <f t="shared" si="2"/>
        <v>Customer</v>
      </c>
      <c r="I33" s="111">
        <v>0</v>
      </c>
      <c r="J33" s="111">
        <f t="shared" si="3"/>
        <v>0</v>
      </c>
      <c r="K33" s="595">
        <v>4200</v>
      </c>
      <c r="L33" s="148">
        <f t="shared" si="4"/>
        <v>0</v>
      </c>
    </row>
    <row r="34" spans="1:12" s="19" customFormat="1" x14ac:dyDescent="0.2">
      <c r="A34" s="78" t="s">
        <v>78</v>
      </c>
      <c r="C34" s="19" t="s">
        <v>948</v>
      </c>
      <c r="D34" s="83" t="s">
        <v>117</v>
      </c>
      <c r="E34" s="14" t="str">
        <f t="shared" si="2"/>
        <v>LED 090.01-120</v>
      </c>
      <c r="F34" s="290">
        <f t="shared" si="2"/>
        <v>105</v>
      </c>
      <c r="G34" s="14" t="str">
        <f t="shared" si="2"/>
        <v>Company</v>
      </c>
      <c r="H34" s="14" t="str">
        <f t="shared" si="2"/>
        <v>Customer</v>
      </c>
      <c r="I34" s="111">
        <v>0</v>
      </c>
      <c r="J34" s="111">
        <f t="shared" si="3"/>
        <v>0</v>
      </c>
      <c r="K34" s="595">
        <v>4200</v>
      </c>
      <c r="L34" s="148">
        <f t="shared" si="4"/>
        <v>0</v>
      </c>
    </row>
    <row r="35" spans="1:12" s="19" customFormat="1" x14ac:dyDescent="0.2">
      <c r="A35" s="78" t="s">
        <v>78</v>
      </c>
      <c r="C35" s="19" t="s">
        <v>948</v>
      </c>
      <c r="D35" s="83" t="s">
        <v>117</v>
      </c>
      <c r="E35" s="14" t="str">
        <f t="shared" si="2"/>
        <v>LED 120.01-150</v>
      </c>
      <c r="F35" s="290">
        <f t="shared" si="2"/>
        <v>135</v>
      </c>
      <c r="G35" s="14" t="str">
        <f t="shared" si="2"/>
        <v>Company</v>
      </c>
      <c r="H35" s="14" t="str">
        <f t="shared" si="2"/>
        <v>Customer</v>
      </c>
      <c r="I35" s="111">
        <v>0</v>
      </c>
      <c r="J35" s="111">
        <f t="shared" si="3"/>
        <v>0</v>
      </c>
      <c r="K35" s="595">
        <v>4200</v>
      </c>
      <c r="L35" s="148">
        <f t="shared" si="4"/>
        <v>0</v>
      </c>
    </row>
    <row r="36" spans="1:12" s="19" customFormat="1" x14ac:dyDescent="0.2">
      <c r="A36" s="78" t="s">
        <v>78</v>
      </c>
      <c r="C36" s="19" t="s">
        <v>948</v>
      </c>
      <c r="D36" s="83" t="s">
        <v>117</v>
      </c>
      <c r="E36" s="14" t="str">
        <f t="shared" si="2"/>
        <v>LED 150.01-180</v>
      </c>
      <c r="F36" s="290">
        <f t="shared" si="2"/>
        <v>165</v>
      </c>
      <c r="G36" s="14" t="str">
        <f t="shared" si="2"/>
        <v>Company</v>
      </c>
      <c r="H36" s="14" t="str">
        <f t="shared" si="2"/>
        <v>Customer</v>
      </c>
      <c r="I36" s="111">
        <v>0</v>
      </c>
      <c r="J36" s="111">
        <f t="shared" si="3"/>
        <v>0</v>
      </c>
      <c r="K36" s="595">
        <v>4200</v>
      </c>
      <c r="L36" s="148">
        <f t="shared" si="4"/>
        <v>0</v>
      </c>
    </row>
    <row r="37" spans="1:12" s="19" customFormat="1" x14ac:dyDescent="0.2">
      <c r="A37" s="78" t="s">
        <v>78</v>
      </c>
      <c r="C37" s="19" t="s">
        <v>948</v>
      </c>
      <c r="D37" s="83" t="s">
        <v>117</v>
      </c>
      <c r="E37" s="14" t="str">
        <f t="shared" si="2"/>
        <v>LED 180.01-210</v>
      </c>
      <c r="F37" s="290">
        <f t="shared" si="2"/>
        <v>195</v>
      </c>
      <c r="G37" s="14" t="str">
        <f t="shared" si="2"/>
        <v>Company</v>
      </c>
      <c r="H37" s="14" t="str">
        <f t="shared" si="2"/>
        <v>Customer</v>
      </c>
      <c r="I37" s="111">
        <v>0</v>
      </c>
      <c r="J37" s="111">
        <f t="shared" si="3"/>
        <v>0</v>
      </c>
      <c r="K37" s="595">
        <v>4200</v>
      </c>
      <c r="L37" s="148">
        <f t="shared" si="4"/>
        <v>0</v>
      </c>
    </row>
    <row r="38" spans="1:12" s="19" customFormat="1" x14ac:dyDescent="0.2">
      <c r="A38" s="78" t="s">
        <v>78</v>
      </c>
      <c r="C38" s="19" t="s">
        <v>948</v>
      </c>
      <c r="D38" s="83" t="s">
        <v>117</v>
      </c>
      <c r="E38" s="14" t="str">
        <f t="shared" si="2"/>
        <v>LED 210.01-240</v>
      </c>
      <c r="F38" s="290">
        <f t="shared" si="2"/>
        <v>225</v>
      </c>
      <c r="G38" s="14" t="str">
        <f t="shared" si="2"/>
        <v>Company</v>
      </c>
      <c r="H38" s="14" t="str">
        <f t="shared" si="2"/>
        <v>Customer</v>
      </c>
      <c r="I38" s="111">
        <v>0</v>
      </c>
      <c r="J38" s="111">
        <f t="shared" si="3"/>
        <v>0</v>
      </c>
      <c r="K38" s="595">
        <v>4200</v>
      </c>
      <c r="L38" s="148">
        <f t="shared" si="4"/>
        <v>0</v>
      </c>
    </row>
    <row r="39" spans="1:12" s="19" customFormat="1" x14ac:dyDescent="0.2">
      <c r="A39" s="78" t="s">
        <v>78</v>
      </c>
      <c r="C39" s="19" t="s">
        <v>948</v>
      </c>
      <c r="D39" s="83" t="s">
        <v>117</v>
      </c>
      <c r="E39" s="14" t="str">
        <f t="shared" si="2"/>
        <v>LED 240.01-270</v>
      </c>
      <c r="F39" s="290">
        <f t="shared" si="2"/>
        <v>255</v>
      </c>
      <c r="G39" s="14" t="str">
        <f t="shared" si="2"/>
        <v>Company</v>
      </c>
      <c r="H39" s="14" t="str">
        <f t="shared" si="2"/>
        <v>Customer</v>
      </c>
      <c r="I39" s="111">
        <v>0</v>
      </c>
      <c r="J39" s="111">
        <f t="shared" si="3"/>
        <v>0</v>
      </c>
      <c r="K39" s="595">
        <v>4200</v>
      </c>
      <c r="L39" s="148">
        <f t="shared" si="4"/>
        <v>0</v>
      </c>
    </row>
    <row r="40" spans="1:12" s="19" customFormat="1" x14ac:dyDescent="0.2">
      <c r="A40" s="78" t="s">
        <v>78</v>
      </c>
      <c r="C40" s="19" t="s">
        <v>948</v>
      </c>
      <c r="D40" s="83" t="s">
        <v>117</v>
      </c>
      <c r="E40" s="14" t="str">
        <f t="shared" si="2"/>
        <v>LED 270.01-300</v>
      </c>
      <c r="F40" s="290">
        <f t="shared" si="2"/>
        <v>285</v>
      </c>
      <c r="G40" s="14" t="str">
        <f t="shared" si="2"/>
        <v>Company</v>
      </c>
      <c r="H40" s="14" t="str">
        <f t="shared" si="2"/>
        <v>Customer</v>
      </c>
      <c r="I40" s="111">
        <v>0</v>
      </c>
      <c r="J40" s="111">
        <f t="shared" si="3"/>
        <v>0</v>
      </c>
      <c r="K40" s="595">
        <v>4200</v>
      </c>
      <c r="L40" s="148">
        <f t="shared" si="4"/>
        <v>0</v>
      </c>
    </row>
    <row r="41" spans="1:12" x14ac:dyDescent="0.2">
      <c r="A41" s="586" t="s">
        <v>136</v>
      </c>
      <c r="B41" s="587"/>
      <c r="C41" s="588"/>
      <c r="D41" s="390"/>
      <c r="E41" s="15"/>
      <c r="F41" s="15"/>
      <c r="G41" s="15"/>
      <c r="H41" s="390"/>
      <c r="I41" s="584"/>
      <c r="J41" s="584"/>
      <c r="K41" s="15"/>
      <c r="L41" s="585"/>
    </row>
    <row r="42" spans="1:12" x14ac:dyDescent="0.2">
      <c r="A42" s="77" t="s">
        <v>79</v>
      </c>
      <c r="B42" s="21"/>
      <c r="C42" s="20"/>
      <c r="D42" s="18" t="s">
        <v>69</v>
      </c>
      <c r="E42" s="16" t="s">
        <v>575</v>
      </c>
      <c r="F42" s="47">
        <v>50</v>
      </c>
      <c r="G42" s="2" t="s">
        <v>123</v>
      </c>
      <c r="H42" s="16" t="s">
        <v>18</v>
      </c>
      <c r="I42" s="594">
        <v>0</v>
      </c>
      <c r="J42" s="111">
        <f t="shared" ref="J42:J49" si="5">ROUND(I42/12,0)</f>
        <v>0</v>
      </c>
      <c r="K42" s="595">
        <v>4200</v>
      </c>
      <c r="L42" s="148">
        <f t="shared" ref="L42:L49" si="6">J42*K42*(F42/1000)</f>
        <v>0</v>
      </c>
    </row>
    <row r="43" spans="1:12" x14ac:dyDescent="0.2">
      <c r="A43" s="77" t="s">
        <v>79</v>
      </c>
      <c r="B43" s="21"/>
      <c r="C43" s="20"/>
      <c r="D43" s="18" t="s">
        <v>69</v>
      </c>
      <c r="E43" s="16" t="s">
        <v>1205</v>
      </c>
      <c r="F43" s="47">
        <v>70</v>
      </c>
      <c r="G43" s="2" t="s">
        <v>123</v>
      </c>
      <c r="H43" s="16" t="s">
        <v>18</v>
      </c>
      <c r="I43" s="594">
        <v>8040</v>
      </c>
      <c r="J43" s="111">
        <f t="shared" si="5"/>
        <v>670</v>
      </c>
      <c r="K43" s="595">
        <v>4200</v>
      </c>
      <c r="L43" s="148">
        <f t="shared" si="6"/>
        <v>196980.00000000003</v>
      </c>
    </row>
    <row r="44" spans="1:12" x14ac:dyDescent="0.2">
      <c r="A44" s="78" t="str">
        <f t="shared" ref="A44:A49" si="7">+A43</f>
        <v xml:space="preserve">52E </v>
      </c>
      <c r="C44" s="22"/>
      <c r="D44" s="18" t="s">
        <v>69</v>
      </c>
      <c r="E44" s="16" t="s">
        <v>1206</v>
      </c>
      <c r="F44" s="47">
        <v>100</v>
      </c>
      <c r="G44" s="2" t="s">
        <v>123</v>
      </c>
      <c r="H44" s="16" t="s">
        <v>18</v>
      </c>
      <c r="I44" s="594">
        <v>115242</v>
      </c>
      <c r="J44" s="111">
        <f t="shared" si="5"/>
        <v>9604</v>
      </c>
      <c r="K44" s="595">
        <v>4200</v>
      </c>
      <c r="L44" s="148">
        <f t="shared" si="6"/>
        <v>4033680</v>
      </c>
    </row>
    <row r="45" spans="1:12" x14ac:dyDescent="0.2">
      <c r="A45" s="78" t="str">
        <f t="shared" si="7"/>
        <v xml:space="preserve">52E </v>
      </c>
      <c r="C45" s="22"/>
      <c r="D45" s="18" t="s">
        <v>69</v>
      </c>
      <c r="E45" s="16" t="s">
        <v>1207</v>
      </c>
      <c r="F45" s="47">
        <v>150</v>
      </c>
      <c r="G45" s="2" t="s">
        <v>123</v>
      </c>
      <c r="H45" s="16" t="s">
        <v>18</v>
      </c>
      <c r="I45" s="594">
        <v>53643</v>
      </c>
      <c r="J45" s="111">
        <f t="shared" si="5"/>
        <v>4470</v>
      </c>
      <c r="K45" s="595">
        <v>4200</v>
      </c>
      <c r="L45" s="148">
        <f t="shared" si="6"/>
        <v>2816100</v>
      </c>
    </row>
    <row r="46" spans="1:12" x14ac:dyDescent="0.2">
      <c r="A46" s="78" t="str">
        <f t="shared" si="7"/>
        <v xml:space="preserve">52E </v>
      </c>
      <c r="C46" s="22"/>
      <c r="D46" s="18" t="s">
        <v>69</v>
      </c>
      <c r="E46" s="16" t="s">
        <v>1208</v>
      </c>
      <c r="F46" s="47">
        <v>200</v>
      </c>
      <c r="G46" s="2" t="s">
        <v>123</v>
      </c>
      <c r="H46" s="16" t="s">
        <v>18</v>
      </c>
      <c r="I46" s="594">
        <v>11381</v>
      </c>
      <c r="J46" s="111">
        <f t="shared" si="5"/>
        <v>948</v>
      </c>
      <c r="K46" s="595">
        <v>4200</v>
      </c>
      <c r="L46" s="148">
        <f t="shared" si="6"/>
        <v>796320</v>
      </c>
    </row>
    <row r="47" spans="1:12" x14ac:dyDescent="0.2">
      <c r="A47" s="78" t="str">
        <f t="shared" si="7"/>
        <v xml:space="preserve">52E </v>
      </c>
      <c r="C47" s="22"/>
      <c r="D47" s="18" t="s">
        <v>69</v>
      </c>
      <c r="E47" s="16" t="s">
        <v>1209</v>
      </c>
      <c r="F47" s="47">
        <v>250</v>
      </c>
      <c r="G47" s="2" t="s">
        <v>123</v>
      </c>
      <c r="H47" s="16" t="s">
        <v>18</v>
      </c>
      <c r="I47" s="594">
        <v>16790</v>
      </c>
      <c r="J47" s="111">
        <f t="shared" si="5"/>
        <v>1399</v>
      </c>
      <c r="K47" s="595">
        <v>4200</v>
      </c>
      <c r="L47" s="148">
        <f t="shared" si="6"/>
        <v>1468950</v>
      </c>
    </row>
    <row r="48" spans="1:12" x14ac:dyDescent="0.2">
      <c r="A48" s="78" t="str">
        <f t="shared" si="7"/>
        <v xml:space="preserve">52E </v>
      </c>
      <c r="C48" s="22"/>
      <c r="D48" s="18" t="s">
        <v>69</v>
      </c>
      <c r="E48" s="16" t="s">
        <v>1210</v>
      </c>
      <c r="F48" s="47">
        <v>310</v>
      </c>
      <c r="G48" s="2" t="s">
        <v>123</v>
      </c>
      <c r="H48" s="16" t="s">
        <v>18</v>
      </c>
      <c r="I48" s="594">
        <v>1692</v>
      </c>
      <c r="J48" s="111">
        <f t="shared" si="5"/>
        <v>141</v>
      </c>
      <c r="K48" s="595">
        <v>4200</v>
      </c>
      <c r="L48" s="148">
        <f t="shared" si="6"/>
        <v>183582</v>
      </c>
    </row>
    <row r="49" spans="1:12" x14ac:dyDescent="0.2">
      <c r="A49" s="78" t="str">
        <f t="shared" si="7"/>
        <v xml:space="preserve">52E </v>
      </c>
      <c r="C49" s="22"/>
      <c r="D49" s="18" t="s">
        <v>69</v>
      </c>
      <c r="E49" s="16" t="s">
        <v>1211</v>
      </c>
      <c r="F49" s="47">
        <v>400</v>
      </c>
      <c r="G49" s="2" t="s">
        <v>123</v>
      </c>
      <c r="H49" s="16" t="s">
        <v>18</v>
      </c>
      <c r="I49" s="594">
        <v>7064</v>
      </c>
      <c r="J49" s="111">
        <f t="shared" si="5"/>
        <v>589</v>
      </c>
      <c r="K49" s="595">
        <v>4200</v>
      </c>
      <c r="L49" s="148">
        <f t="shared" si="6"/>
        <v>989520</v>
      </c>
    </row>
    <row r="50" spans="1:12" x14ac:dyDescent="0.2">
      <c r="A50" s="78"/>
      <c r="C50" s="22"/>
      <c r="D50" s="18"/>
      <c r="E50" s="47"/>
      <c r="F50" s="47"/>
      <c r="G50" s="47"/>
      <c r="I50" s="111"/>
      <c r="J50" s="111"/>
      <c r="K50" s="14"/>
      <c r="L50" s="148"/>
    </row>
    <row r="51" spans="1:12" x14ac:dyDescent="0.2">
      <c r="A51" s="77" t="str">
        <f>A49</f>
        <v xml:space="preserve">52E </v>
      </c>
      <c r="B51" s="21"/>
      <c r="C51" s="20"/>
      <c r="D51" s="18" t="s">
        <v>80</v>
      </c>
      <c r="E51" s="16" t="s">
        <v>562</v>
      </c>
      <c r="F51" s="47">
        <v>70</v>
      </c>
      <c r="G51" s="2" t="s">
        <v>123</v>
      </c>
      <c r="H51" s="16" t="s">
        <v>18</v>
      </c>
      <c r="I51" s="594">
        <v>840</v>
      </c>
      <c r="J51" s="111">
        <f t="shared" ref="J51:J57" si="8">ROUND(I51/12,0)</f>
        <v>70</v>
      </c>
      <c r="K51" s="595">
        <v>4200</v>
      </c>
      <c r="L51" s="148">
        <f t="shared" ref="L51:L57" si="9">J51*K51*(F51/1000)</f>
        <v>20580.000000000004</v>
      </c>
    </row>
    <row r="52" spans="1:12" x14ac:dyDescent="0.2">
      <c r="A52" s="77" t="str">
        <f t="shared" ref="A52:A57" si="10">A51</f>
        <v xml:space="preserve">52E </v>
      </c>
      <c r="B52" s="21"/>
      <c r="C52" s="20"/>
      <c r="D52" s="18" t="s">
        <v>80</v>
      </c>
      <c r="E52" s="16" t="s">
        <v>558</v>
      </c>
      <c r="F52" s="47">
        <v>100</v>
      </c>
      <c r="G52" s="2" t="s">
        <v>123</v>
      </c>
      <c r="H52" s="16" t="s">
        <v>18</v>
      </c>
      <c r="I52" s="594">
        <v>52</v>
      </c>
      <c r="J52" s="111">
        <f t="shared" si="8"/>
        <v>4</v>
      </c>
      <c r="K52" s="596">
        <v>4200</v>
      </c>
      <c r="L52" s="148">
        <f t="shared" si="9"/>
        <v>1680</v>
      </c>
    </row>
    <row r="53" spans="1:12" x14ac:dyDescent="0.2">
      <c r="A53" s="77" t="str">
        <f t="shared" si="10"/>
        <v xml:space="preserve">52E </v>
      </c>
      <c r="B53" s="21"/>
      <c r="C53" s="20"/>
      <c r="D53" s="18" t="s">
        <v>80</v>
      </c>
      <c r="E53" s="16" t="s">
        <v>559</v>
      </c>
      <c r="F53" s="47">
        <v>150</v>
      </c>
      <c r="G53" s="2" t="s">
        <v>123</v>
      </c>
      <c r="H53" s="16" t="s">
        <v>18</v>
      </c>
      <c r="I53" s="594">
        <v>2416</v>
      </c>
      <c r="J53" s="111">
        <f t="shared" si="8"/>
        <v>201</v>
      </c>
      <c r="K53" s="595">
        <v>4200</v>
      </c>
      <c r="L53" s="148">
        <f t="shared" si="9"/>
        <v>126630</v>
      </c>
    </row>
    <row r="54" spans="1:12" x14ac:dyDescent="0.2">
      <c r="A54" s="77" t="str">
        <f t="shared" si="10"/>
        <v xml:space="preserve">52E </v>
      </c>
      <c r="B54" s="21"/>
      <c r="C54" s="20"/>
      <c r="D54" s="18" t="s">
        <v>80</v>
      </c>
      <c r="E54" s="16" t="s">
        <v>1212</v>
      </c>
      <c r="F54" s="47">
        <v>175</v>
      </c>
      <c r="G54" s="2" t="s">
        <v>123</v>
      </c>
      <c r="H54" s="16" t="s">
        <v>18</v>
      </c>
      <c r="I54" s="594">
        <v>2543</v>
      </c>
      <c r="J54" s="111">
        <f t="shared" si="8"/>
        <v>212</v>
      </c>
      <c r="K54" s="595">
        <v>4200</v>
      </c>
      <c r="L54" s="148">
        <f t="shared" si="9"/>
        <v>155820</v>
      </c>
    </row>
    <row r="55" spans="1:12" x14ac:dyDescent="0.2">
      <c r="A55" s="77" t="str">
        <f t="shared" si="10"/>
        <v xml:space="preserve">52E </v>
      </c>
      <c r="B55" s="21"/>
      <c r="C55" s="22"/>
      <c r="D55" s="18" t="str">
        <f>+D54</f>
        <v>Metal Halide</v>
      </c>
      <c r="E55" s="16" t="s">
        <v>560</v>
      </c>
      <c r="F55" s="47">
        <v>250</v>
      </c>
      <c r="G55" s="2" t="s">
        <v>123</v>
      </c>
      <c r="H55" s="16" t="s">
        <v>18</v>
      </c>
      <c r="I55" s="594">
        <v>432</v>
      </c>
      <c r="J55" s="111">
        <f t="shared" si="8"/>
        <v>36</v>
      </c>
      <c r="K55" s="595">
        <v>4200</v>
      </c>
      <c r="L55" s="148">
        <f t="shared" si="9"/>
        <v>37800</v>
      </c>
    </row>
    <row r="56" spans="1:12" x14ac:dyDescent="0.2">
      <c r="A56" s="77" t="str">
        <f t="shared" si="10"/>
        <v xml:space="preserve">52E </v>
      </c>
      <c r="B56" s="21"/>
      <c r="C56" s="22"/>
      <c r="D56" s="18" t="str">
        <f>+D55</f>
        <v>Metal Halide</v>
      </c>
      <c r="E56" s="16" t="s">
        <v>561</v>
      </c>
      <c r="F56" s="47">
        <v>400</v>
      </c>
      <c r="G56" s="2" t="s">
        <v>123</v>
      </c>
      <c r="H56" s="16" t="s">
        <v>18</v>
      </c>
      <c r="I56" s="594">
        <v>684</v>
      </c>
      <c r="J56" s="111">
        <f t="shared" si="8"/>
        <v>57</v>
      </c>
      <c r="K56" s="595">
        <v>4200</v>
      </c>
      <c r="L56" s="148">
        <f t="shared" si="9"/>
        <v>95760</v>
      </c>
    </row>
    <row r="57" spans="1:12" x14ac:dyDescent="0.2">
      <c r="A57" s="77" t="str">
        <f t="shared" si="10"/>
        <v xml:space="preserve">52E </v>
      </c>
      <c r="B57" s="21"/>
      <c r="C57" s="54"/>
      <c r="D57" s="56" t="str">
        <f>+D56</f>
        <v>Metal Halide</v>
      </c>
      <c r="E57" s="16" t="s">
        <v>1213</v>
      </c>
      <c r="F57" s="55">
        <v>1000</v>
      </c>
      <c r="G57" s="1" t="s">
        <v>123</v>
      </c>
      <c r="H57" s="16" t="s">
        <v>18</v>
      </c>
      <c r="I57" s="594">
        <v>216</v>
      </c>
      <c r="J57" s="149">
        <f t="shared" si="8"/>
        <v>18</v>
      </c>
      <c r="K57" s="597">
        <v>4200</v>
      </c>
      <c r="L57" s="150">
        <f t="shared" si="9"/>
        <v>75600</v>
      </c>
    </row>
    <row r="58" spans="1:12" x14ac:dyDescent="0.2">
      <c r="A58" s="586" t="s">
        <v>137</v>
      </c>
      <c r="B58" s="587"/>
      <c r="C58" s="588"/>
      <c r="D58" s="390"/>
      <c r="E58" s="15"/>
      <c r="F58" s="15"/>
      <c r="G58" s="15"/>
      <c r="H58" s="390"/>
      <c r="I58" s="584"/>
      <c r="J58" s="584"/>
      <c r="K58" s="15"/>
      <c r="L58" s="585"/>
    </row>
    <row r="59" spans="1:12" x14ac:dyDescent="0.2">
      <c r="A59" s="77" t="s">
        <v>59</v>
      </c>
      <c r="B59" s="21"/>
      <c r="C59" s="18" t="s">
        <v>577</v>
      </c>
      <c r="D59" s="18" t="s">
        <v>69</v>
      </c>
      <c r="E59" s="16" t="s">
        <v>1214</v>
      </c>
      <c r="F59" s="47">
        <v>50</v>
      </c>
      <c r="G59" s="2" t="s">
        <v>123</v>
      </c>
      <c r="H59" s="2" t="s">
        <v>123</v>
      </c>
      <c r="I59" s="594">
        <v>0</v>
      </c>
      <c r="J59" s="111">
        <f t="shared" ref="J59:J67" si="11">ROUND(I59/12,0)</f>
        <v>0</v>
      </c>
      <c r="K59" s="14">
        <v>4200</v>
      </c>
      <c r="L59" s="148">
        <f t="shared" ref="L59:L67" si="12">J59*K59*(F59/1000)</f>
        <v>0</v>
      </c>
    </row>
    <row r="60" spans="1:12" x14ac:dyDescent="0.2">
      <c r="A60" s="78" t="str">
        <f t="shared" ref="A60:A67" si="13">A59</f>
        <v>53E</v>
      </c>
      <c r="C60" s="18" t="str">
        <f t="shared" ref="C60:C67" si="14">+C59</f>
        <v xml:space="preserve">Company Owned </v>
      </c>
      <c r="D60" s="18" t="s">
        <v>69</v>
      </c>
      <c r="E60" s="16" t="s">
        <v>1205</v>
      </c>
      <c r="F60" s="47">
        <v>70</v>
      </c>
      <c r="G60" s="2" t="s">
        <v>123</v>
      </c>
      <c r="H60" s="2" t="s">
        <v>123</v>
      </c>
      <c r="I60" s="594">
        <v>46032</v>
      </c>
      <c r="J60" s="111">
        <f t="shared" si="11"/>
        <v>3836</v>
      </c>
      <c r="K60" s="14">
        <v>4200</v>
      </c>
      <c r="L60" s="148">
        <f t="shared" si="12"/>
        <v>1127784</v>
      </c>
    </row>
    <row r="61" spans="1:12" x14ac:dyDescent="0.2">
      <c r="A61" s="78" t="str">
        <f t="shared" si="13"/>
        <v>53E</v>
      </c>
      <c r="C61" s="18" t="str">
        <f t="shared" si="14"/>
        <v xml:space="preserve">Company Owned </v>
      </c>
      <c r="D61" s="18" t="s">
        <v>69</v>
      </c>
      <c r="E61" s="16" t="s">
        <v>1206</v>
      </c>
      <c r="F61" s="47">
        <v>100</v>
      </c>
      <c r="G61" s="2" t="s">
        <v>123</v>
      </c>
      <c r="H61" s="2" t="s">
        <v>123</v>
      </c>
      <c r="I61" s="594">
        <v>340948</v>
      </c>
      <c r="J61" s="111">
        <f t="shared" si="11"/>
        <v>28412</v>
      </c>
      <c r="K61" s="14">
        <v>4200</v>
      </c>
      <c r="L61" s="148">
        <f t="shared" si="12"/>
        <v>11933040</v>
      </c>
    </row>
    <row r="62" spans="1:12" x14ac:dyDescent="0.2">
      <c r="A62" s="78" t="str">
        <f t="shared" si="13"/>
        <v>53E</v>
      </c>
      <c r="C62" s="18" t="str">
        <f t="shared" si="14"/>
        <v xml:space="preserve">Company Owned </v>
      </c>
      <c r="D62" s="18" t="s">
        <v>69</v>
      </c>
      <c r="E62" s="16" t="s">
        <v>1207</v>
      </c>
      <c r="F62" s="47">
        <v>150</v>
      </c>
      <c r="G62" s="2" t="s">
        <v>123</v>
      </c>
      <c r="H62" s="2" t="s">
        <v>123</v>
      </c>
      <c r="I62" s="594">
        <v>41816</v>
      </c>
      <c r="J62" s="111">
        <f t="shared" si="11"/>
        <v>3485</v>
      </c>
      <c r="K62" s="14">
        <v>4200</v>
      </c>
      <c r="L62" s="148">
        <f t="shared" si="12"/>
        <v>2195550</v>
      </c>
    </row>
    <row r="63" spans="1:12" x14ac:dyDescent="0.2">
      <c r="A63" s="78" t="str">
        <f t="shared" si="13"/>
        <v>53E</v>
      </c>
      <c r="C63" s="18" t="str">
        <f t="shared" si="14"/>
        <v xml:space="preserve">Company Owned </v>
      </c>
      <c r="D63" s="18" t="s">
        <v>69</v>
      </c>
      <c r="E63" s="16" t="s">
        <v>1208</v>
      </c>
      <c r="F63" s="47">
        <v>200</v>
      </c>
      <c r="G63" s="2" t="s">
        <v>123</v>
      </c>
      <c r="H63" s="2" t="s">
        <v>123</v>
      </c>
      <c r="I63" s="594">
        <v>52890</v>
      </c>
      <c r="J63" s="111">
        <f t="shared" si="11"/>
        <v>4408</v>
      </c>
      <c r="K63" s="14">
        <v>4200</v>
      </c>
      <c r="L63" s="148">
        <f t="shared" si="12"/>
        <v>3702720</v>
      </c>
    </row>
    <row r="64" spans="1:12" x14ac:dyDescent="0.2">
      <c r="A64" s="78" t="str">
        <f t="shared" si="13"/>
        <v>53E</v>
      </c>
      <c r="C64" s="18" t="str">
        <f t="shared" si="14"/>
        <v xml:space="preserve">Company Owned </v>
      </c>
      <c r="D64" s="18" t="s">
        <v>69</v>
      </c>
      <c r="E64" s="16" t="s">
        <v>1209</v>
      </c>
      <c r="F64" s="47">
        <v>250</v>
      </c>
      <c r="G64" s="2" t="s">
        <v>123</v>
      </c>
      <c r="H64" s="2" t="s">
        <v>123</v>
      </c>
      <c r="I64" s="594">
        <v>19383</v>
      </c>
      <c r="J64" s="111">
        <f t="shared" si="11"/>
        <v>1615</v>
      </c>
      <c r="K64" s="14">
        <v>4200</v>
      </c>
      <c r="L64" s="148">
        <f t="shared" si="12"/>
        <v>1695750</v>
      </c>
    </row>
    <row r="65" spans="1:12" x14ac:dyDescent="0.2">
      <c r="A65" s="78" t="str">
        <f t="shared" si="13"/>
        <v>53E</v>
      </c>
      <c r="C65" s="18" t="str">
        <f t="shared" si="14"/>
        <v xml:space="preserve">Company Owned </v>
      </c>
      <c r="D65" s="18" t="s">
        <v>69</v>
      </c>
      <c r="E65" s="16" t="s">
        <v>1210</v>
      </c>
      <c r="F65" s="47">
        <v>310</v>
      </c>
      <c r="G65" s="2" t="s">
        <v>123</v>
      </c>
      <c r="H65" s="2" t="s">
        <v>123</v>
      </c>
      <c r="I65" s="594">
        <v>181</v>
      </c>
      <c r="J65" s="111">
        <f t="shared" si="11"/>
        <v>15</v>
      </c>
      <c r="K65" s="14">
        <v>4200</v>
      </c>
      <c r="L65" s="148">
        <f t="shared" si="12"/>
        <v>19530</v>
      </c>
    </row>
    <row r="66" spans="1:12" x14ac:dyDescent="0.2">
      <c r="A66" s="78" t="str">
        <f t="shared" si="13"/>
        <v>53E</v>
      </c>
      <c r="C66" s="18" t="str">
        <f t="shared" si="14"/>
        <v xml:space="preserve">Company Owned </v>
      </c>
      <c r="D66" s="18" t="s">
        <v>69</v>
      </c>
      <c r="E66" s="16" t="s">
        <v>1211</v>
      </c>
      <c r="F66" s="47">
        <v>400</v>
      </c>
      <c r="G66" s="2" t="s">
        <v>123</v>
      </c>
      <c r="H66" s="2" t="s">
        <v>123</v>
      </c>
      <c r="I66" s="594">
        <v>10607</v>
      </c>
      <c r="J66" s="111">
        <f t="shared" si="11"/>
        <v>884</v>
      </c>
      <c r="K66" s="14">
        <v>4200</v>
      </c>
      <c r="L66" s="148">
        <f t="shared" si="12"/>
        <v>1485120</v>
      </c>
    </row>
    <row r="67" spans="1:12" x14ac:dyDescent="0.2">
      <c r="A67" s="78" t="str">
        <f t="shared" si="13"/>
        <v>53E</v>
      </c>
      <c r="C67" s="18" t="str">
        <f t="shared" si="14"/>
        <v xml:space="preserve">Company Owned </v>
      </c>
      <c r="D67" s="18" t="s">
        <v>69</v>
      </c>
      <c r="E67" s="83" t="s">
        <v>563</v>
      </c>
      <c r="F67" s="47">
        <v>1000</v>
      </c>
      <c r="G67" s="2" t="s">
        <v>123</v>
      </c>
      <c r="H67" s="2" t="s">
        <v>123</v>
      </c>
      <c r="I67" s="111">
        <v>0</v>
      </c>
      <c r="J67" s="111">
        <f t="shared" si="11"/>
        <v>0</v>
      </c>
      <c r="K67" s="14">
        <v>4200</v>
      </c>
      <c r="L67" s="148">
        <f t="shared" si="12"/>
        <v>0</v>
      </c>
    </row>
    <row r="68" spans="1:12" x14ac:dyDescent="0.2">
      <c r="A68" s="78"/>
      <c r="C68" s="18"/>
      <c r="D68" s="18"/>
      <c r="E68" s="47"/>
      <c r="F68" s="47"/>
      <c r="G68" s="47"/>
      <c r="I68" s="111"/>
      <c r="J68" s="111"/>
      <c r="K68" s="14"/>
      <c r="L68" s="148"/>
    </row>
    <row r="69" spans="1:12" x14ac:dyDescent="0.2">
      <c r="A69" s="78" t="str">
        <f>A67</f>
        <v>53E</v>
      </c>
      <c r="C69" s="18" t="str">
        <f>+C67</f>
        <v xml:space="preserve">Company Owned </v>
      </c>
      <c r="D69" s="18" t="s">
        <v>80</v>
      </c>
      <c r="E69" s="83" t="s">
        <v>562</v>
      </c>
      <c r="F69" s="47">
        <v>70</v>
      </c>
      <c r="G69" s="2" t="s">
        <v>123</v>
      </c>
      <c r="H69" s="2" t="s">
        <v>123</v>
      </c>
      <c r="I69" s="111">
        <v>0</v>
      </c>
      <c r="J69" s="111">
        <f>ROUND(I69/12,0)</f>
        <v>0</v>
      </c>
      <c r="K69" s="14">
        <v>4200</v>
      </c>
      <c r="L69" s="148">
        <f>J69*K69*(F69/1000)</f>
        <v>0</v>
      </c>
    </row>
    <row r="70" spans="1:12" x14ac:dyDescent="0.2">
      <c r="A70" s="78" t="str">
        <f>A69</f>
        <v>53E</v>
      </c>
      <c r="C70" s="18" t="str">
        <f>+C69</f>
        <v xml:space="preserve">Company Owned </v>
      </c>
      <c r="D70" s="18" t="s">
        <v>80</v>
      </c>
      <c r="E70" s="83" t="s">
        <v>558</v>
      </c>
      <c r="F70" s="47">
        <v>100</v>
      </c>
      <c r="G70" s="2" t="s">
        <v>123</v>
      </c>
      <c r="H70" s="2" t="s">
        <v>123</v>
      </c>
      <c r="I70" s="111">
        <v>0</v>
      </c>
      <c r="J70" s="111">
        <f>ROUND(I70/12,0)</f>
        <v>0</v>
      </c>
      <c r="K70" s="14">
        <v>4200</v>
      </c>
      <c r="L70" s="148">
        <f>J70*K70*(F70/1000)</f>
        <v>0</v>
      </c>
    </row>
    <row r="71" spans="1:12" x14ac:dyDescent="0.2">
      <c r="A71" s="78" t="str">
        <f>A70</f>
        <v>53E</v>
      </c>
      <c r="C71" s="18" t="str">
        <f>+C70</f>
        <v xml:space="preserve">Company Owned </v>
      </c>
      <c r="D71" s="18" t="s">
        <v>80</v>
      </c>
      <c r="E71" s="83" t="s">
        <v>559</v>
      </c>
      <c r="F71" s="47">
        <v>150</v>
      </c>
      <c r="G71" s="2" t="s">
        <v>123</v>
      </c>
      <c r="H71" s="2" t="s">
        <v>123</v>
      </c>
      <c r="I71" s="111">
        <v>0</v>
      </c>
      <c r="J71" s="111">
        <f>ROUND(I71/12,0)</f>
        <v>0</v>
      </c>
      <c r="K71" s="14">
        <v>4200</v>
      </c>
      <c r="L71" s="148">
        <f>J71*K71*(F71/1000)</f>
        <v>0</v>
      </c>
    </row>
    <row r="72" spans="1:12" x14ac:dyDescent="0.2">
      <c r="A72" s="78" t="str">
        <f>A71</f>
        <v>53E</v>
      </c>
      <c r="C72" s="18" t="str">
        <f>+C71</f>
        <v xml:space="preserve">Company Owned </v>
      </c>
      <c r="D72" s="18" t="s">
        <v>80</v>
      </c>
      <c r="E72" s="83" t="s">
        <v>560</v>
      </c>
      <c r="F72" s="47">
        <v>250</v>
      </c>
      <c r="G72" s="2" t="s">
        <v>123</v>
      </c>
      <c r="H72" s="2" t="s">
        <v>123</v>
      </c>
      <c r="I72" s="111">
        <v>0</v>
      </c>
      <c r="J72" s="111">
        <f>ROUND(I72/12,0)</f>
        <v>0</v>
      </c>
      <c r="K72" s="14">
        <v>4200</v>
      </c>
      <c r="L72" s="148">
        <f>J72*K72*(F72/1000)</f>
        <v>0</v>
      </c>
    </row>
    <row r="73" spans="1:12" x14ac:dyDescent="0.2">
      <c r="A73" s="78" t="str">
        <f>A72</f>
        <v>53E</v>
      </c>
      <c r="C73" s="18" t="str">
        <f>+C72</f>
        <v xml:space="preserve">Company Owned </v>
      </c>
      <c r="D73" s="18" t="s">
        <v>80</v>
      </c>
      <c r="E73" s="83" t="s">
        <v>561</v>
      </c>
      <c r="F73" s="47">
        <v>400</v>
      </c>
      <c r="G73" s="2" t="s">
        <v>123</v>
      </c>
      <c r="H73" s="2" t="s">
        <v>123</v>
      </c>
      <c r="I73" s="111">
        <v>0</v>
      </c>
      <c r="J73" s="111">
        <f>ROUND(I73/12,0)</f>
        <v>0</v>
      </c>
      <c r="K73" s="14">
        <v>4200</v>
      </c>
      <c r="L73" s="148">
        <f>J73*K73*(F73/1000)</f>
        <v>0</v>
      </c>
    </row>
    <row r="74" spans="1:12" x14ac:dyDescent="0.2">
      <c r="A74" s="78"/>
      <c r="C74" s="18"/>
      <c r="D74" s="18"/>
      <c r="E74" s="83"/>
      <c r="F74" s="47"/>
      <c r="G74" s="47"/>
      <c r="I74" s="111"/>
      <c r="J74" s="111"/>
      <c r="K74" s="14"/>
      <c r="L74" s="148"/>
    </row>
    <row r="75" spans="1:12" x14ac:dyDescent="0.2">
      <c r="A75" s="78" t="s">
        <v>59</v>
      </c>
      <c r="B75" s="19" t="s">
        <v>926</v>
      </c>
      <c r="C75" s="18" t="s">
        <v>577</v>
      </c>
      <c r="D75" s="18" t="s">
        <v>117</v>
      </c>
      <c r="E75" s="14" t="s">
        <v>931</v>
      </c>
      <c r="F75" s="47">
        <v>15</v>
      </c>
      <c r="G75" s="47" t="s">
        <v>123</v>
      </c>
      <c r="H75" s="14" t="s">
        <v>123</v>
      </c>
      <c r="I75" s="111">
        <v>0</v>
      </c>
      <c r="J75" s="111">
        <f t="shared" ref="J75:J84" si="15">ROUND(I75/12,0)</f>
        <v>0</v>
      </c>
      <c r="K75" s="14">
        <v>4200</v>
      </c>
      <c r="L75" s="148">
        <f t="shared" ref="L75:L84" si="16">J75*K75*(F75/1000)</f>
        <v>0</v>
      </c>
    </row>
    <row r="76" spans="1:12" x14ac:dyDescent="0.2">
      <c r="A76" s="78" t="str">
        <f>A73</f>
        <v>53E</v>
      </c>
      <c r="C76" s="18" t="str">
        <f>C73</f>
        <v xml:space="preserve">Company Owned </v>
      </c>
      <c r="D76" s="26" t="s">
        <v>117</v>
      </c>
      <c r="E76" s="16" t="s">
        <v>539</v>
      </c>
      <c r="F76" s="83">
        <v>45</v>
      </c>
      <c r="G76" s="2" t="s">
        <v>123</v>
      </c>
      <c r="H76" s="2" t="s">
        <v>123</v>
      </c>
      <c r="I76" s="594">
        <v>262761</v>
      </c>
      <c r="J76" s="111">
        <f t="shared" si="15"/>
        <v>21897</v>
      </c>
      <c r="K76" s="14">
        <v>4200</v>
      </c>
      <c r="L76" s="148">
        <f t="shared" si="16"/>
        <v>4138533</v>
      </c>
    </row>
    <row r="77" spans="1:12" x14ac:dyDescent="0.2">
      <c r="A77" s="78" t="str">
        <f t="shared" ref="A77:A84" si="17">A76</f>
        <v>53E</v>
      </c>
      <c r="C77" s="76" t="str">
        <f t="shared" ref="C77:C84" si="18">C76</f>
        <v xml:space="preserve">Company Owned </v>
      </c>
      <c r="D77" s="26" t="s">
        <v>117</v>
      </c>
      <c r="E77" s="16" t="s">
        <v>543</v>
      </c>
      <c r="F77" s="83">
        <v>75</v>
      </c>
      <c r="G77" s="2" t="s">
        <v>123</v>
      </c>
      <c r="H77" s="2" t="s">
        <v>123</v>
      </c>
      <c r="I77" s="594">
        <v>5160</v>
      </c>
      <c r="J77" s="111">
        <f t="shared" si="15"/>
        <v>430</v>
      </c>
      <c r="K77" s="14">
        <v>4200</v>
      </c>
      <c r="L77" s="148">
        <f t="shared" si="16"/>
        <v>135450</v>
      </c>
    </row>
    <row r="78" spans="1:12" x14ac:dyDescent="0.2">
      <c r="A78" s="78" t="str">
        <f t="shared" si="17"/>
        <v>53E</v>
      </c>
      <c r="C78" s="76" t="str">
        <f t="shared" si="18"/>
        <v xml:space="preserve">Company Owned </v>
      </c>
      <c r="D78" s="26" t="s">
        <v>117</v>
      </c>
      <c r="E78" s="16" t="s">
        <v>544</v>
      </c>
      <c r="F78" s="83">
        <v>105</v>
      </c>
      <c r="G78" s="2" t="s">
        <v>123</v>
      </c>
      <c r="H78" s="2" t="s">
        <v>123</v>
      </c>
      <c r="I78" s="594">
        <v>29738</v>
      </c>
      <c r="J78" s="111">
        <f t="shared" si="15"/>
        <v>2478</v>
      </c>
      <c r="K78" s="14">
        <v>4200</v>
      </c>
      <c r="L78" s="148">
        <f t="shared" si="16"/>
        <v>1092798</v>
      </c>
    </row>
    <row r="79" spans="1:12" x14ac:dyDescent="0.2">
      <c r="A79" s="78" t="str">
        <f t="shared" si="17"/>
        <v>53E</v>
      </c>
      <c r="C79" s="76" t="str">
        <f t="shared" si="18"/>
        <v xml:space="preserve">Company Owned </v>
      </c>
      <c r="D79" s="26" t="s">
        <v>117</v>
      </c>
      <c r="E79" s="16" t="s">
        <v>545</v>
      </c>
      <c r="F79" s="83">
        <v>135</v>
      </c>
      <c r="G79" s="2" t="s">
        <v>123</v>
      </c>
      <c r="H79" s="2" t="s">
        <v>123</v>
      </c>
      <c r="I79" s="594">
        <v>22000</v>
      </c>
      <c r="J79" s="111">
        <f t="shared" si="15"/>
        <v>1833</v>
      </c>
      <c r="K79" s="14">
        <v>4200</v>
      </c>
      <c r="L79" s="148">
        <f t="shared" si="16"/>
        <v>1039311.0000000001</v>
      </c>
    </row>
    <row r="80" spans="1:12" x14ac:dyDescent="0.2">
      <c r="A80" s="78" t="str">
        <f t="shared" si="17"/>
        <v>53E</v>
      </c>
      <c r="C80" s="76" t="str">
        <f t="shared" si="18"/>
        <v xml:space="preserve">Company Owned </v>
      </c>
      <c r="D80" s="26" t="s">
        <v>117</v>
      </c>
      <c r="E80" s="16" t="s">
        <v>546</v>
      </c>
      <c r="F80" s="83">
        <v>165</v>
      </c>
      <c r="G80" s="2" t="s">
        <v>123</v>
      </c>
      <c r="H80" s="2" t="s">
        <v>123</v>
      </c>
      <c r="I80" s="594">
        <v>1263</v>
      </c>
      <c r="J80" s="111">
        <f t="shared" si="15"/>
        <v>105</v>
      </c>
      <c r="K80" s="14">
        <v>4200</v>
      </c>
      <c r="L80" s="148">
        <f t="shared" si="16"/>
        <v>72765</v>
      </c>
    </row>
    <row r="81" spans="1:12" x14ac:dyDescent="0.2">
      <c r="A81" s="78" t="str">
        <f t="shared" si="17"/>
        <v>53E</v>
      </c>
      <c r="C81" s="76" t="str">
        <f t="shared" si="18"/>
        <v xml:space="preserve">Company Owned </v>
      </c>
      <c r="D81" s="26" t="s">
        <v>117</v>
      </c>
      <c r="E81" s="16" t="s">
        <v>547</v>
      </c>
      <c r="F81" s="83">
        <v>195</v>
      </c>
      <c r="G81" s="2" t="s">
        <v>123</v>
      </c>
      <c r="H81" s="2" t="s">
        <v>123</v>
      </c>
      <c r="I81" s="594">
        <v>5123</v>
      </c>
      <c r="J81" s="111">
        <f t="shared" si="15"/>
        <v>427</v>
      </c>
      <c r="K81" s="14">
        <v>4200</v>
      </c>
      <c r="L81" s="148">
        <f t="shared" si="16"/>
        <v>349713</v>
      </c>
    </row>
    <row r="82" spans="1:12" x14ac:dyDescent="0.2">
      <c r="A82" s="78" t="str">
        <f t="shared" si="17"/>
        <v>53E</v>
      </c>
      <c r="C82" s="76" t="str">
        <f t="shared" si="18"/>
        <v xml:space="preserve">Company Owned </v>
      </c>
      <c r="D82" s="26" t="s">
        <v>117</v>
      </c>
      <c r="E82" s="16" t="s">
        <v>576</v>
      </c>
      <c r="F82" s="83">
        <v>225</v>
      </c>
      <c r="G82" s="2" t="s">
        <v>123</v>
      </c>
      <c r="H82" s="2" t="s">
        <v>123</v>
      </c>
      <c r="I82" s="594">
        <v>426</v>
      </c>
      <c r="J82" s="111">
        <f t="shared" si="15"/>
        <v>36</v>
      </c>
      <c r="K82" s="14">
        <v>4200</v>
      </c>
      <c r="L82" s="148">
        <f t="shared" si="16"/>
        <v>34020</v>
      </c>
    </row>
    <row r="83" spans="1:12" x14ac:dyDescent="0.2">
      <c r="A83" s="78" t="str">
        <f t="shared" si="17"/>
        <v>53E</v>
      </c>
      <c r="C83" s="76" t="str">
        <f t="shared" si="18"/>
        <v xml:space="preserve">Company Owned </v>
      </c>
      <c r="D83" s="26" t="s">
        <v>117</v>
      </c>
      <c r="E83" s="16" t="s">
        <v>548</v>
      </c>
      <c r="F83" s="83">
        <v>255</v>
      </c>
      <c r="G83" s="2" t="s">
        <v>123</v>
      </c>
      <c r="H83" s="2" t="s">
        <v>123</v>
      </c>
      <c r="I83" s="594">
        <v>285</v>
      </c>
      <c r="J83" s="111">
        <f t="shared" si="15"/>
        <v>24</v>
      </c>
      <c r="K83" s="14">
        <v>4200</v>
      </c>
      <c r="L83" s="148">
        <f t="shared" si="16"/>
        <v>25704</v>
      </c>
    </row>
    <row r="84" spans="1:12" x14ac:dyDescent="0.2">
      <c r="A84" s="78" t="str">
        <f t="shared" si="17"/>
        <v>53E</v>
      </c>
      <c r="C84" s="76" t="str">
        <f t="shared" si="18"/>
        <v xml:space="preserve">Company Owned </v>
      </c>
      <c r="D84" s="26" t="s">
        <v>117</v>
      </c>
      <c r="E84" s="16" t="s">
        <v>549</v>
      </c>
      <c r="F84" s="83">
        <v>285</v>
      </c>
      <c r="G84" s="2" t="s">
        <v>123</v>
      </c>
      <c r="H84" s="2" t="s">
        <v>123</v>
      </c>
      <c r="I84" s="594">
        <v>1881</v>
      </c>
      <c r="J84" s="111">
        <f t="shared" si="15"/>
        <v>157</v>
      </c>
      <c r="K84" s="14">
        <v>4200</v>
      </c>
      <c r="L84" s="148">
        <f t="shared" si="16"/>
        <v>187928.99999999997</v>
      </c>
    </row>
    <row r="85" spans="1:12" x14ac:dyDescent="0.2">
      <c r="A85" s="78"/>
      <c r="C85" s="18"/>
      <c r="D85" s="18"/>
      <c r="E85" s="47"/>
      <c r="F85" s="47"/>
      <c r="G85" s="47"/>
      <c r="I85" s="111"/>
      <c r="J85" s="111"/>
      <c r="K85" s="14"/>
      <c r="L85" s="148"/>
    </row>
    <row r="86" spans="1:12" x14ac:dyDescent="0.2">
      <c r="A86" s="78" t="s">
        <v>59</v>
      </c>
      <c r="B86" s="18"/>
      <c r="C86" s="19" t="s">
        <v>948</v>
      </c>
      <c r="D86" s="18" t="s">
        <v>117</v>
      </c>
      <c r="E86" s="14" t="str">
        <f t="shared" ref="E86:H95" si="19">E75</f>
        <v>LED 0-030</v>
      </c>
      <c r="F86" s="265">
        <f t="shared" si="19"/>
        <v>15</v>
      </c>
      <c r="G86" s="14" t="str">
        <f t="shared" si="19"/>
        <v>Company</v>
      </c>
      <c r="H86" s="14" t="str">
        <f t="shared" si="19"/>
        <v>Company</v>
      </c>
      <c r="I86" s="111">
        <v>0</v>
      </c>
      <c r="J86" s="111">
        <f t="shared" ref="J86:J95" si="20">ROUND(I86/12,0)</f>
        <v>0</v>
      </c>
      <c r="K86" s="14">
        <v>4200</v>
      </c>
      <c r="L86" s="148">
        <f t="shared" ref="L86:L95" si="21">J86*K86*(F86/1000)</f>
        <v>0</v>
      </c>
    </row>
    <row r="87" spans="1:12" x14ac:dyDescent="0.2">
      <c r="A87" s="78" t="str">
        <f>A84</f>
        <v>53E</v>
      </c>
      <c r="B87" s="18"/>
      <c r="C87" s="19" t="s">
        <v>948</v>
      </c>
      <c r="D87" s="26" t="s">
        <v>117</v>
      </c>
      <c r="E87" s="14" t="str">
        <f t="shared" si="19"/>
        <v>LED 030.01-060</v>
      </c>
      <c r="F87" s="265">
        <f t="shared" si="19"/>
        <v>45</v>
      </c>
      <c r="G87" s="14" t="str">
        <f t="shared" si="19"/>
        <v>Company</v>
      </c>
      <c r="H87" s="14" t="str">
        <f t="shared" si="19"/>
        <v>Company</v>
      </c>
      <c r="I87" s="111">
        <v>0</v>
      </c>
      <c r="J87" s="111">
        <f t="shared" si="20"/>
        <v>0</v>
      </c>
      <c r="K87" s="14">
        <v>4200</v>
      </c>
      <c r="L87" s="148">
        <f t="shared" si="21"/>
        <v>0</v>
      </c>
    </row>
    <row r="88" spans="1:12" x14ac:dyDescent="0.2">
      <c r="A88" s="78" t="str">
        <f t="shared" ref="A88:A95" si="22">A87</f>
        <v>53E</v>
      </c>
      <c r="B88" s="76"/>
      <c r="C88" s="19" t="s">
        <v>948</v>
      </c>
      <c r="D88" s="26" t="s">
        <v>117</v>
      </c>
      <c r="E88" s="14" t="str">
        <f t="shared" si="19"/>
        <v>LED 060.01-090</v>
      </c>
      <c r="F88" s="265">
        <f t="shared" si="19"/>
        <v>75</v>
      </c>
      <c r="G88" s="14" t="str">
        <f t="shared" si="19"/>
        <v>Company</v>
      </c>
      <c r="H88" s="14" t="str">
        <f t="shared" si="19"/>
        <v>Company</v>
      </c>
      <c r="I88" s="111">
        <v>0</v>
      </c>
      <c r="J88" s="111">
        <f t="shared" si="20"/>
        <v>0</v>
      </c>
      <c r="K88" s="14">
        <v>4200</v>
      </c>
      <c r="L88" s="148">
        <f t="shared" si="21"/>
        <v>0</v>
      </c>
    </row>
    <row r="89" spans="1:12" x14ac:dyDescent="0.2">
      <c r="A89" s="78" t="str">
        <f t="shared" si="22"/>
        <v>53E</v>
      </c>
      <c r="B89" s="76"/>
      <c r="C89" s="19" t="s">
        <v>948</v>
      </c>
      <c r="D89" s="26" t="s">
        <v>117</v>
      </c>
      <c r="E89" s="14" t="str">
        <f t="shared" si="19"/>
        <v>LED 090.01-120</v>
      </c>
      <c r="F89" s="265">
        <f t="shared" si="19"/>
        <v>105</v>
      </c>
      <c r="G89" s="14" t="str">
        <f t="shared" si="19"/>
        <v>Company</v>
      </c>
      <c r="H89" s="14" t="str">
        <f t="shared" si="19"/>
        <v>Company</v>
      </c>
      <c r="I89" s="111">
        <v>0</v>
      </c>
      <c r="J89" s="111">
        <f t="shared" si="20"/>
        <v>0</v>
      </c>
      <c r="K89" s="14">
        <v>4200</v>
      </c>
      <c r="L89" s="148">
        <f t="shared" si="21"/>
        <v>0</v>
      </c>
    </row>
    <row r="90" spans="1:12" x14ac:dyDescent="0.2">
      <c r="A90" s="78" t="str">
        <f t="shared" si="22"/>
        <v>53E</v>
      </c>
      <c r="B90" s="76"/>
      <c r="C90" s="19" t="s">
        <v>948</v>
      </c>
      <c r="D90" s="26" t="s">
        <v>117</v>
      </c>
      <c r="E90" s="14" t="str">
        <f t="shared" si="19"/>
        <v>LED 120.01-150</v>
      </c>
      <c r="F90" s="265">
        <f t="shared" si="19"/>
        <v>135</v>
      </c>
      <c r="G90" s="14" t="str">
        <f t="shared" si="19"/>
        <v>Company</v>
      </c>
      <c r="H90" s="14" t="str">
        <f t="shared" si="19"/>
        <v>Company</v>
      </c>
      <c r="I90" s="111">
        <v>0</v>
      </c>
      <c r="J90" s="111">
        <f t="shared" si="20"/>
        <v>0</v>
      </c>
      <c r="K90" s="14">
        <v>4200</v>
      </c>
      <c r="L90" s="148">
        <f t="shared" si="21"/>
        <v>0</v>
      </c>
    </row>
    <row r="91" spans="1:12" x14ac:dyDescent="0.2">
      <c r="A91" s="78" t="str">
        <f t="shared" si="22"/>
        <v>53E</v>
      </c>
      <c r="B91" s="76"/>
      <c r="C91" s="19" t="s">
        <v>948</v>
      </c>
      <c r="D91" s="26" t="s">
        <v>117</v>
      </c>
      <c r="E91" s="14" t="str">
        <f t="shared" si="19"/>
        <v>LED 150.01-180</v>
      </c>
      <c r="F91" s="265">
        <f t="shared" si="19"/>
        <v>165</v>
      </c>
      <c r="G91" s="14" t="str">
        <f t="shared" si="19"/>
        <v>Company</v>
      </c>
      <c r="H91" s="14" t="str">
        <f t="shared" si="19"/>
        <v>Company</v>
      </c>
      <c r="I91" s="111">
        <v>0</v>
      </c>
      <c r="J91" s="111">
        <f t="shared" si="20"/>
        <v>0</v>
      </c>
      <c r="K91" s="14">
        <v>4200</v>
      </c>
      <c r="L91" s="148">
        <f t="shared" si="21"/>
        <v>0</v>
      </c>
    </row>
    <row r="92" spans="1:12" x14ac:dyDescent="0.2">
      <c r="A92" s="78" t="str">
        <f t="shared" si="22"/>
        <v>53E</v>
      </c>
      <c r="B92" s="76"/>
      <c r="C92" s="19" t="s">
        <v>948</v>
      </c>
      <c r="D92" s="26" t="s">
        <v>117</v>
      </c>
      <c r="E92" s="14" t="str">
        <f t="shared" si="19"/>
        <v>LED 180.01-210</v>
      </c>
      <c r="F92" s="265">
        <f t="shared" si="19"/>
        <v>195</v>
      </c>
      <c r="G92" s="14" t="str">
        <f t="shared" si="19"/>
        <v>Company</v>
      </c>
      <c r="H92" s="14" t="str">
        <f t="shared" si="19"/>
        <v>Company</v>
      </c>
      <c r="I92" s="111">
        <v>0</v>
      </c>
      <c r="J92" s="111">
        <f t="shared" si="20"/>
        <v>0</v>
      </c>
      <c r="K92" s="14">
        <v>4200</v>
      </c>
      <c r="L92" s="148">
        <f t="shared" si="21"/>
        <v>0</v>
      </c>
    </row>
    <row r="93" spans="1:12" x14ac:dyDescent="0.2">
      <c r="A93" s="78" t="str">
        <f t="shared" si="22"/>
        <v>53E</v>
      </c>
      <c r="B93" s="76"/>
      <c r="C93" s="19" t="s">
        <v>948</v>
      </c>
      <c r="D93" s="26" t="s">
        <v>117</v>
      </c>
      <c r="E93" s="14" t="str">
        <f t="shared" si="19"/>
        <v>LED 210.01-240</v>
      </c>
      <c r="F93" s="265">
        <f t="shared" si="19"/>
        <v>225</v>
      </c>
      <c r="G93" s="14" t="str">
        <f t="shared" si="19"/>
        <v>Company</v>
      </c>
      <c r="H93" s="14" t="str">
        <f t="shared" si="19"/>
        <v>Company</v>
      </c>
      <c r="I93" s="111">
        <v>0</v>
      </c>
      <c r="J93" s="111">
        <f t="shared" si="20"/>
        <v>0</v>
      </c>
      <c r="K93" s="14">
        <v>4200</v>
      </c>
      <c r="L93" s="148">
        <f t="shared" si="21"/>
        <v>0</v>
      </c>
    </row>
    <row r="94" spans="1:12" x14ac:dyDescent="0.2">
      <c r="A94" s="78" t="str">
        <f t="shared" si="22"/>
        <v>53E</v>
      </c>
      <c r="B94" s="76"/>
      <c r="C94" s="19" t="s">
        <v>948</v>
      </c>
      <c r="D94" s="26" t="s">
        <v>117</v>
      </c>
      <c r="E94" s="14" t="str">
        <f t="shared" si="19"/>
        <v>LED 240.01-270</v>
      </c>
      <c r="F94" s="265">
        <f t="shared" si="19"/>
        <v>255</v>
      </c>
      <c r="G94" s="14" t="str">
        <f t="shared" si="19"/>
        <v>Company</v>
      </c>
      <c r="H94" s="14" t="str">
        <f t="shared" si="19"/>
        <v>Company</v>
      </c>
      <c r="I94" s="111">
        <v>0</v>
      </c>
      <c r="J94" s="111">
        <f t="shared" si="20"/>
        <v>0</v>
      </c>
      <c r="K94" s="14">
        <v>4200</v>
      </c>
      <c r="L94" s="148">
        <f t="shared" si="21"/>
        <v>0</v>
      </c>
    </row>
    <row r="95" spans="1:12" x14ac:dyDescent="0.2">
      <c r="A95" s="78" t="str">
        <f t="shared" si="22"/>
        <v>53E</v>
      </c>
      <c r="B95" s="76"/>
      <c r="C95" s="19" t="s">
        <v>948</v>
      </c>
      <c r="D95" s="26" t="s">
        <v>117</v>
      </c>
      <c r="E95" s="14" t="str">
        <f t="shared" si="19"/>
        <v>LED 270.01-300</v>
      </c>
      <c r="F95" s="265">
        <f t="shared" si="19"/>
        <v>285</v>
      </c>
      <c r="G95" s="14" t="str">
        <f t="shared" si="19"/>
        <v>Company</v>
      </c>
      <c r="H95" s="14" t="str">
        <f t="shared" si="19"/>
        <v>Company</v>
      </c>
      <c r="I95" s="111">
        <v>0</v>
      </c>
      <c r="J95" s="111">
        <f t="shared" si="20"/>
        <v>0</v>
      </c>
      <c r="K95" s="14">
        <v>4200</v>
      </c>
      <c r="L95" s="148">
        <f t="shared" si="21"/>
        <v>0</v>
      </c>
    </row>
    <row r="96" spans="1:12" x14ac:dyDescent="0.2">
      <c r="A96" s="78"/>
      <c r="C96" s="76"/>
      <c r="D96" s="26"/>
      <c r="E96" s="16"/>
      <c r="F96" s="83"/>
      <c r="G96" s="2"/>
      <c r="H96" s="2"/>
      <c r="I96" s="594"/>
      <c r="J96" s="111"/>
      <c r="K96" s="14"/>
      <c r="L96" s="148"/>
    </row>
    <row r="97" spans="1:12" x14ac:dyDescent="0.2">
      <c r="A97" s="78" t="str">
        <f>A84</f>
        <v>53E</v>
      </c>
      <c r="C97" s="20" t="s">
        <v>578</v>
      </c>
      <c r="D97" s="18" t="s">
        <v>69</v>
      </c>
      <c r="E97" s="16" t="s">
        <v>1214</v>
      </c>
      <c r="F97" s="47">
        <v>50</v>
      </c>
      <c r="G97" s="16" t="s">
        <v>540</v>
      </c>
      <c r="H97" s="16" t="s">
        <v>18</v>
      </c>
      <c r="I97" s="594">
        <v>0</v>
      </c>
      <c r="J97" s="111">
        <f t="shared" ref="J97:J105" si="23">ROUND(I97/12,0)</f>
        <v>0</v>
      </c>
      <c r="K97" s="14">
        <v>4200</v>
      </c>
      <c r="L97" s="148">
        <f t="shared" ref="L97:L105" si="24">J97*K97*(F97/1000)</f>
        <v>0</v>
      </c>
    </row>
    <row r="98" spans="1:12" x14ac:dyDescent="0.2">
      <c r="A98" s="78" t="str">
        <f t="shared" ref="A98:A105" si="25">A97</f>
        <v>53E</v>
      </c>
      <c r="C98" s="22" t="str">
        <f t="shared" ref="C98:C105" si="26">C97</f>
        <v>Customer Owned</v>
      </c>
      <c r="D98" s="18" t="s">
        <v>69</v>
      </c>
      <c r="E98" s="16" t="s">
        <v>1205</v>
      </c>
      <c r="F98" s="47">
        <v>70</v>
      </c>
      <c r="G98" s="16" t="s">
        <v>540</v>
      </c>
      <c r="H98" s="16" t="s">
        <v>18</v>
      </c>
      <c r="I98" s="594">
        <v>624</v>
      </c>
      <c r="J98" s="111">
        <f t="shared" si="23"/>
        <v>52</v>
      </c>
      <c r="K98" s="14">
        <v>4200</v>
      </c>
      <c r="L98" s="148">
        <f t="shared" si="24"/>
        <v>15288.000000000002</v>
      </c>
    </row>
    <row r="99" spans="1:12" x14ac:dyDescent="0.2">
      <c r="A99" s="78" t="str">
        <f t="shared" si="25"/>
        <v>53E</v>
      </c>
      <c r="C99" s="22" t="str">
        <f t="shared" si="26"/>
        <v>Customer Owned</v>
      </c>
      <c r="D99" s="18" t="s">
        <v>69</v>
      </c>
      <c r="E99" s="16" t="s">
        <v>1206</v>
      </c>
      <c r="F99" s="47">
        <v>100</v>
      </c>
      <c r="G99" s="16" t="s">
        <v>540</v>
      </c>
      <c r="H99" s="16" t="s">
        <v>18</v>
      </c>
      <c r="I99" s="594">
        <v>2445</v>
      </c>
      <c r="J99" s="111">
        <f t="shared" si="23"/>
        <v>204</v>
      </c>
      <c r="K99" s="14">
        <v>4200</v>
      </c>
      <c r="L99" s="148">
        <f t="shared" si="24"/>
        <v>85680</v>
      </c>
    </row>
    <row r="100" spans="1:12" x14ac:dyDescent="0.2">
      <c r="A100" s="78" t="str">
        <f t="shared" si="25"/>
        <v>53E</v>
      </c>
      <c r="C100" s="22" t="str">
        <f t="shared" si="26"/>
        <v>Customer Owned</v>
      </c>
      <c r="D100" s="18" t="s">
        <v>69</v>
      </c>
      <c r="E100" s="16" t="s">
        <v>1207</v>
      </c>
      <c r="F100" s="47">
        <v>150</v>
      </c>
      <c r="G100" s="16" t="s">
        <v>540</v>
      </c>
      <c r="H100" s="16" t="s">
        <v>18</v>
      </c>
      <c r="I100" s="594">
        <v>1146</v>
      </c>
      <c r="J100" s="111">
        <f t="shared" si="23"/>
        <v>96</v>
      </c>
      <c r="K100" s="14">
        <v>4200</v>
      </c>
      <c r="L100" s="148">
        <f t="shared" si="24"/>
        <v>60480</v>
      </c>
    </row>
    <row r="101" spans="1:12" x14ac:dyDescent="0.2">
      <c r="A101" s="78" t="str">
        <f t="shared" si="25"/>
        <v>53E</v>
      </c>
      <c r="C101" s="22" t="str">
        <f t="shared" si="26"/>
        <v>Customer Owned</v>
      </c>
      <c r="D101" s="18" t="s">
        <v>69</v>
      </c>
      <c r="E101" s="16" t="s">
        <v>1208</v>
      </c>
      <c r="F101" s="47">
        <v>200</v>
      </c>
      <c r="G101" s="16" t="s">
        <v>540</v>
      </c>
      <c r="H101" s="16" t="s">
        <v>18</v>
      </c>
      <c r="I101" s="594">
        <v>4468</v>
      </c>
      <c r="J101" s="111">
        <f t="shared" si="23"/>
        <v>372</v>
      </c>
      <c r="K101" s="14">
        <v>4200</v>
      </c>
      <c r="L101" s="148">
        <f t="shared" si="24"/>
        <v>312480</v>
      </c>
    </row>
    <row r="102" spans="1:12" x14ac:dyDescent="0.2">
      <c r="A102" s="78" t="str">
        <f t="shared" si="25"/>
        <v>53E</v>
      </c>
      <c r="C102" s="22" t="str">
        <f t="shared" si="26"/>
        <v>Customer Owned</v>
      </c>
      <c r="D102" s="18" t="s">
        <v>69</v>
      </c>
      <c r="E102" s="16" t="s">
        <v>1209</v>
      </c>
      <c r="F102" s="47">
        <v>250</v>
      </c>
      <c r="G102" s="16" t="s">
        <v>540</v>
      </c>
      <c r="H102" s="16" t="s">
        <v>18</v>
      </c>
      <c r="I102" s="594">
        <v>2948</v>
      </c>
      <c r="J102" s="111">
        <f t="shared" si="23"/>
        <v>246</v>
      </c>
      <c r="K102" s="14">
        <v>4200</v>
      </c>
      <c r="L102" s="148">
        <f t="shared" si="24"/>
        <v>258300</v>
      </c>
    </row>
    <row r="103" spans="1:12" x14ac:dyDescent="0.2">
      <c r="A103" s="78" t="str">
        <f t="shared" si="25"/>
        <v>53E</v>
      </c>
      <c r="C103" s="22" t="str">
        <f t="shared" si="26"/>
        <v>Customer Owned</v>
      </c>
      <c r="D103" s="18" t="s">
        <v>69</v>
      </c>
      <c r="E103" s="16" t="s">
        <v>1210</v>
      </c>
      <c r="F103" s="47">
        <v>310</v>
      </c>
      <c r="G103" s="16" t="s">
        <v>540</v>
      </c>
      <c r="H103" s="16" t="s">
        <v>18</v>
      </c>
      <c r="I103" s="594">
        <v>81</v>
      </c>
      <c r="J103" s="111">
        <f t="shared" si="23"/>
        <v>7</v>
      </c>
      <c r="K103" s="14">
        <v>4200</v>
      </c>
      <c r="L103" s="148">
        <f t="shared" si="24"/>
        <v>9114</v>
      </c>
    </row>
    <row r="104" spans="1:12" x14ac:dyDescent="0.2">
      <c r="A104" s="78" t="str">
        <f t="shared" si="25"/>
        <v>53E</v>
      </c>
      <c r="C104" s="22" t="str">
        <f t="shared" si="26"/>
        <v>Customer Owned</v>
      </c>
      <c r="D104" s="18" t="s">
        <v>69</v>
      </c>
      <c r="E104" s="16" t="s">
        <v>1211</v>
      </c>
      <c r="F104" s="47">
        <v>400</v>
      </c>
      <c r="G104" s="16" t="s">
        <v>540</v>
      </c>
      <c r="H104" s="16" t="s">
        <v>18</v>
      </c>
      <c r="I104" s="594">
        <v>4775</v>
      </c>
      <c r="J104" s="111">
        <f t="shared" si="23"/>
        <v>398</v>
      </c>
      <c r="K104" s="14">
        <v>4200</v>
      </c>
      <c r="L104" s="148">
        <f t="shared" si="24"/>
        <v>668640</v>
      </c>
    </row>
    <row r="105" spans="1:12" x14ac:dyDescent="0.2">
      <c r="A105" s="78" t="str">
        <f t="shared" si="25"/>
        <v>53E</v>
      </c>
      <c r="C105" s="22" t="str">
        <f t="shared" si="26"/>
        <v>Customer Owned</v>
      </c>
      <c r="D105" s="18" t="s">
        <v>69</v>
      </c>
      <c r="E105" s="16" t="s">
        <v>563</v>
      </c>
      <c r="F105" s="47">
        <v>1000</v>
      </c>
      <c r="G105" s="16" t="s">
        <v>540</v>
      </c>
      <c r="H105" s="16" t="s">
        <v>18</v>
      </c>
      <c r="I105" s="111">
        <v>0</v>
      </c>
      <c r="J105" s="111">
        <f t="shared" si="23"/>
        <v>0</v>
      </c>
      <c r="K105" s="14">
        <v>4200</v>
      </c>
      <c r="L105" s="148">
        <f t="shared" si="24"/>
        <v>0</v>
      </c>
    </row>
    <row r="106" spans="1:12" x14ac:dyDescent="0.2">
      <c r="A106" s="78"/>
      <c r="C106" s="18"/>
      <c r="D106" s="18"/>
      <c r="E106" s="47"/>
      <c r="F106" s="47"/>
      <c r="G106" s="47"/>
      <c r="I106" s="111"/>
      <c r="J106" s="111"/>
      <c r="K106" s="14"/>
      <c r="L106" s="148"/>
    </row>
    <row r="107" spans="1:12" x14ac:dyDescent="0.2">
      <c r="A107" s="78" t="str">
        <f>A105</f>
        <v>53E</v>
      </c>
      <c r="C107" s="22" t="str">
        <f>C105</f>
        <v>Customer Owned</v>
      </c>
      <c r="D107" s="18" t="s">
        <v>80</v>
      </c>
      <c r="E107" s="16" t="s">
        <v>557</v>
      </c>
      <c r="F107" s="47">
        <v>70</v>
      </c>
      <c r="G107" s="16" t="s">
        <v>540</v>
      </c>
      <c r="H107" s="16" t="s">
        <v>18</v>
      </c>
      <c r="I107" s="111">
        <v>0</v>
      </c>
      <c r="J107" s="111">
        <f t="shared" ref="J107:J112" si="27">ROUND(I107/12,0)</f>
        <v>0</v>
      </c>
      <c r="K107" s="14">
        <v>4200</v>
      </c>
      <c r="L107" s="148">
        <f t="shared" ref="L107:L112" si="28">J107*K107*(F107/1000)</f>
        <v>0</v>
      </c>
    </row>
    <row r="108" spans="1:12" x14ac:dyDescent="0.2">
      <c r="A108" s="78" t="str">
        <f>A107</f>
        <v>53E</v>
      </c>
      <c r="C108" s="22" t="str">
        <f>C107</f>
        <v>Customer Owned</v>
      </c>
      <c r="D108" s="18" t="s">
        <v>80</v>
      </c>
      <c r="E108" s="16" t="s">
        <v>558</v>
      </c>
      <c r="F108" s="47">
        <v>100</v>
      </c>
      <c r="G108" s="16" t="s">
        <v>540</v>
      </c>
      <c r="H108" s="16" t="s">
        <v>18</v>
      </c>
      <c r="I108" s="111">
        <v>0</v>
      </c>
      <c r="J108" s="111">
        <f t="shared" si="27"/>
        <v>0</v>
      </c>
      <c r="K108" s="14">
        <v>4200</v>
      </c>
      <c r="L108" s="148">
        <f t="shared" si="28"/>
        <v>0</v>
      </c>
    </row>
    <row r="109" spans="1:12" x14ac:dyDescent="0.2">
      <c r="A109" s="78" t="str">
        <f>A108</f>
        <v>53E</v>
      </c>
      <c r="C109" s="22" t="str">
        <f>C108</f>
        <v>Customer Owned</v>
      </c>
      <c r="D109" s="18" t="s">
        <v>80</v>
      </c>
      <c r="E109" s="16" t="s">
        <v>559</v>
      </c>
      <c r="F109" s="47">
        <v>150</v>
      </c>
      <c r="G109" s="16" t="s">
        <v>540</v>
      </c>
      <c r="H109" s="16" t="s">
        <v>18</v>
      </c>
      <c r="I109" s="111">
        <v>0</v>
      </c>
      <c r="J109" s="111">
        <f t="shared" si="27"/>
        <v>0</v>
      </c>
      <c r="K109" s="14">
        <v>4200</v>
      </c>
      <c r="L109" s="148">
        <f t="shared" si="28"/>
        <v>0</v>
      </c>
    </row>
    <row r="110" spans="1:12" x14ac:dyDescent="0.2">
      <c r="A110" s="78" t="str">
        <f>A109</f>
        <v>53E</v>
      </c>
      <c r="C110" s="22" t="str">
        <f>C109</f>
        <v>Customer Owned</v>
      </c>
      <c r="D110" s="18" t="s">
        <v>80</v>
      </c>
      <c r="E110" s="16" t="s">
        <v>1212</v>
      </c>
      <c r="F110" s="47">
        <v>175</v>
      </c>
      <c r="G110" s="16" t="s">
        <v>540</v>
      </c>
      <c r="H110" s="16" t="s">
        <v>18</v>
      </c>
      <c r="I110" s="594">
        <v>48</v>
      </c>
      <c r="J110" s="111">
        <f t="shared" si="27"/>
        <v>4</v>
      </c>
      <c r="K110" s="14">
        <v>4200</v>
      </c>
      <c r="L110" s="148">
        <f t="shared" si="28"/>
        <v>2940</v>
      </c>
    </row>
    <row r="111" spans="1:12" x14ac:dyDescent="0.2">
      <c r="A111" s="78" t="str">
        <f>A110</f>
        <v>53E</v>
      </c>
      <c r="C111" s="22" t="str">
        <f>C110</f>
        <v>Customer Owned</v>
      </c>
      <c r="D111" s="18" t="s">
        <v>80</v>
      </c>
      <c r="E111" s="16" t="s">
        <v>560</v>
      </c>
      <c r="F111" s="47">
        <v>250</v>
      </c>
      <c r="G111" s="16" t="s">
        <v>540</v>
      </c>
      <c r="H111" s="16" t="s">
        <v>18</v>
      </c>
      <c r="I111" s="111">
        <v>0</v>
      </c>
      <c r="J111" s="111">
        <f t="shared" si="27"/>
        <v>0</v>
      </c>
      <c r="K111" s="14">
        <v>4200</v>
      </c>
      <c r="L111" s="148">
        <f t="shared" si="28"/>
        <v>0</v>
      </c>
    </row>
    <row r="112" spans="1:12" x14ac:dyDescent="0.2">
      <c r="A112" s="78" t="str">
        <f>A111</f>
        <v>53E</v>
      </c>
      <c r="C112" s="22" t="str">
        <f>C111</f>
        <v>Customer Owned</v>
      </c>
      <c r="D112" s="18" t="s">
        <v>80</v>
      </c>
      <c r="E112" s="16" t="s">
        <v>561</v>
      </c>
      <c r="F112" s="47">
        <v>400</v>
      </c>
      <c r="G112" s="16" t="s">
        <v>540</v>
      </c>
      <c r="H112" s="16" t="s">
        <v>18</v>
      </c>
      <c r="I112" s="111">
        <v>0</v>
      </c>
      <c r="J112" s="111">
        <f t="shared" si="27"/>
        <v>0</v>
      </c>
      <c r="K112" s="14">
        <v>4200</v>
      </c>
      <c r="L112" s="148">
        <f t="shared" si="28"/>
        <v>0</v>
      </c>
    </row>
    <row r="113" spans="1:12" x14ac:dyDescent="0.2">
      <c r="A113" s="78"/>
      <c r="C113" s="18"/>
      <c r="D113" s="18"/>
      <c r="E113" s="47"/>
      <c r="F113" s="47"/>
      <c r="G113" s="47"/>
      <c r="I113" s="111"/>
      <c r="J113" s="111"/>
      <c r="K113" s="14"/>
      <c r="L113" s="148"/>
    </row>
    <row r="114" spans="1:12" x14ac:dyDescent="0.2">
      <c r="A114" s="78" t="str">
        <f>A111</f>
        <v>53E</v>
      </c>
      <c r="B114" s="19" t="s">
        <v>926</v>
      </c>
      <c r="C114" s="22" t="str">
        <f>C111</f>
        <v>Customer Owned</v>
      </c>
      <c r="D114" s="26" t="s">
        <v>117</v>
      </c>
      <c r="E114" s="14" t="s">
        <v>931</v>
      </c>
      <c r="F114" s="47">
        <v>15</v>
      </c>
      <c r="G114" s="16" t="s">
        <v>540</v>
      </c>
      <c r="H114" s="16" t="s">
        <v>18</v>
      </c>
      <c r="I114" s="111"/>
      <c r="J114" s="111">
        <f t="shared" ref="J114:J123" si="29">ROUND(I114/12,0)</f>
        <v>0</v>
      </c>
      <c r="K114" s="14">
        <v>4200</v>
      </c>
      <c r="L114" s="148">
        <f t="shared" ref="L114:L123" si="30">J114*K114*(F114/1000)</f>
        <v>0</v>
      </c>
    </row>
    <row r="115" spans="1:12" x14ac:dyDescent="0.2">
      <c r="A115" s="78" t="str">
        <f>A112</f>
        <v>53E</v>
      </c>
      <c r="C115" s="22" t="str">
        <f>C112</f>
        <v>Customer Owned</v>
      </c>
      <c r="D115" s="26" t="s">
        <v>117</v>
      </c>
      <c r="E115" s="16" t="s">
        <v>539</v>
      </c>
      <c r="F115" s="83">
        <v>45</v>
      </c>
      <c r="G115" s="16" t="s">
        <v>540</v>
      </c>
      <c r="H115" s="16" t="s">
        <v>18</v>
      </c>
      <c r="I115" s="594">
        <v>7875</v>
      </c>
      <c r="J115" s="111">
        <f t="shared" si="29"/>
        <v>656</v>
      </c>
      <c r="K115" s="14">
        <v>4200</v>
      </c>
      <c r="L115" s="148">
        <f t="shared" si="30"/>
        <v>123984</v>
      </c>
    </row>
    <row r="116" spans="1:12" x14ac:dyDescent="0.2">
      <c r="A116" s="78" t="str">
        <f t="shared" ref="A116:A123" si="31">A115</f>
        <v>53E</v>
      </c>
      <c r="C116" s="22" t="str">
        <f t="shared" ref="C116:C123" si="32">C115</f>
        <v>Customer Owned</v>
      </c>
      <c r="D116" s="26" t="s">
        <v>117</v>
      </c>
      <c r="E116" s="16" t="s">
        <v>543</v>
      </c>
      <c r="F116" s="83">
        <v>75</v>
      </c>
      <c r="G116" s="16" t="s">
        <v>540</v>
      </c>
      <c r="H116" s="16" t="s">
        <v>18</v>
      </c>
      <c r="I116" s="594">
        <v>7608</v>
      </c>
      <c r="J116" s="111">
        <f t="shared" si="29"/>
        <v>634</v>
      </c>
      <c r="K116" s="14">
        <v>4200</v>
      </c>
      <c r="L116" s="148">
        <f t="shared" si="30"/>
        <v>199710</v>
      </c>
    </row>
    <row r="117" spans="1:12" x14ac:dyDescent="0.2">
      <c r="A117" s="78" t="str">
        <f t="shared" si="31"/>
        <v>53E</v>
      </c>
      <c r="C117" s="22" t="str">
        <f t="shared" si="32"/>
        <v>Customer Owned</v>
      </c>
      <c r="D117" s="26" t="s">
        <v>117</v>
      </c>
      <c r="E117" s="16" t="s">
        <v>544</v>
      </c>
      <c r="F117" s="83">
        <v>105</v>
      </c>
      <c r="G117" s="16" t="s">
        <v>540</v>
      </c>
      <c r="H117" s="16" t="s">
        <v>18</v>
      </c>
      <c r="I117" s="594">
        <v>10423</v>
      </c>
      <c r="J117" s="111">
        <f t="shared" si="29"/>
        <v>869</v>
      </c>
      <c r="K117" s="14">
        <v>4200</v>
      </c>
      <c r="L117" s="148">
        <f t="shared" si="30"/>
        <v>383229</v>
      </c>
    </row>
    <row r="118" spans="1:12" x14ac:dyDescent="0.2">
      <c r="A118" s="78" t="str">
        <f t="shared" si="31"/>
        <v>53E</v>
      </c>
      <c r="C118" s="22" t="str">
        <f t="shared" si="32"/>
        <v>Customer Owned</v>
      </c>
      <c r="D118" s="26" t="s">
        <v>117</v>
      </c>
      <c r="E118" s="16" t="s">
        <v>545</v>
      </c>
      <c r="F118" s="83">
        <v>135</v>
      </c>
      <c r="G118" s="16" t="s">
        <v>540</v>
      </c>
      <c r="H118" s="16" t="s">
        <v>18</v>
      </c>
      <c r="I118" s="594">
        <v>1210</v>
      </c>
      <c r="J118" s="111">
        <f t="shared" si="29"/>
        <v>101</v>
      </c>
      <c r="K118" s="14">
        <v>4200</v>
      </c>
      <c r="L118" s="148">
        <f t="shared" si="30"/>
        <v>57267.000000000007</v>
      </c>
    </row>
    <row r="119" spans="1:12" x14ac:dyDescent="0.2">
      <c r="A119" s="78" t="str">
        <f t="shared" si="31"/>
        <v>53E</v>
      </c>
      <c r="C119" s="22" t="str">
        <f t="shared" si="32"/>
        <v>Customer Owned</v>
      </c>
      <c r="D119" s="26" t="s">
        <v>117</v>
      </c>
      <c r="E119" s="16" t="s">
        <v>546</v>
      </c>
      <c r="F119" s="83">
        <v>165</v>
      </c>
      <c r="G119" s="16" t="s">
        <v>540</v>
      </c>
      <c r="H119" s="16" t="s">
        <v>18</v>
      </c>
      <c r="I119" s="594">
        <v>15954</v>
      </c>
      <c r="J119" s="111">
        <f t="shared" si="29"/>
        <v>1330</v>
      </c>
      <c r="K119" s="14">
        <v>4200</v>
      </c>
      <c r="L119" s="148">
        <f t="shared" si="30"/>
        <v>921690</v>
      </c>
    </row>
    <row r="120" spans="1:12" x14ac:dyDescent="0.2">
      <c r="A120" s="78" t="str">
        <f t="shared" si="31"/>
        <v>53E</v>
      </c>
      <c r="C120" s="22" t="str">
        <f t="shared" si="32"/>
        <v>Customer Owned</v>
      </c>
      <c r="D120" s="26" t="s">
        <v>117</v>
      </c>
      <c r="E120" s="16" t="s">
        <v>547</v>
      </c>
      <c r="F120" s="83">
        <v>195</v>
      </c>
      <c r="G120" s="16" t="s">
        <v>540</v>
      </c>
      <c r="H120" s="16" t="s">
        <v>18</v>
      </c>
      <c r="I120" s="594">
        <v>1272</v>
      </c>
      <c r="J120" s="111">
        <f t="shared" si="29"/>
        <v>106</v>
      </c>
      <c r="K120" s="14">
        <v>4200</v>
      </c>
      <c r="L120" s="148">
        <f t="shared" si="30"/>
        <v>86814</v>
      </c>
    </row>
    <row r="121" spans="1:12" x14ac:dyDescent="0.2">
      <c r="A121" s="78" t="str">
        <f t="shared" si="31"/>
        <v>53E</v>
      </c>
      <c r="C121" s="22" t="str">
        <f t="shared" si="32"/>
        <v>Customer Owned</v>
      </c>
      <c r="D121" s="26" t="s">
        <v>117</v>
      </c>
      <c r="E121" s="16" t="s">
        <v>576</v>
      </c>
      <c r="F121" s="83">
        <v>225</v>
      </c>
      <c r="G121" s="16" t="s">
        <v>540</v>
      </c>
      <c r="H121" s="16" t="s">
        <v>18</v>
      </c>
      <c r="I121" s="111">
        <v>0</v>
      </c>
      <c r="J121" s="111">
        <f t="shared" si="29"/>
        <v>0</v>
      </c>
      <c r="K121" s="14">
        <v>4200</v>
      </c>
      <c r="L121" s="148">
        <f t="shared" si="30"/>
        <v>0</v>
      </c>
    </row>
    <row r="122" spans="1:12" x14ac:dyDescent="0.2">
      <c r="A122" s="78" t="str">
        <f t="shared" si="31"/>
        <v>53E</v>
      </c>
      <c r="C122" s="22" t="str">
        <f t="shared" si="32"/>
        <v>Customer Owned</v>
      </c>
      <c r="D122" s="26" t="s">
        <v>117</v>
      </c>
      <c r="E122" s="16" t="s">
        <v>548</v>
      </c>
      <c r="F122" s="83">
        <v>255</v>
      </c>
      <c r="G122" s="16" t="s">
        <v>540</v>
      </c>
      <c r="H122" s="16" t="s">
        <v>18</v>
      </c>
      <c r="I122" s="594">
        <v>24</v>
      </c>
      <c r="J122" s="111">
        <f t="shared" si="29"/>
        <v>2</v>
      </c>
      <c r="K122" s="14">
        <v>4200</v>
      </c>
      <c r="L122" s="148">
        <f t="shared" si="30"/>
        <v>2142</v>
      </c>
    </row>
    <row r="123" spans="1:12" x14ac:dyDescent="0.2">
      <c r="A123" s="78" t="str">
        <f t="shared" si="31"/>
        <v>53E</v>
      </c>
      <c r="C123" s="22" t="str">
        <f t="shared" si="32"/>
        <v>Customer Owned</v>
      </c>
      <c r="D123" s="26" t="s">
        <v>117</v>
      </c>
      <c r="E123" s="16" t="s">
        <v>549</v>
      </c>
      <c r="F123" s="83">
        <v>285</v>
      </c>
      <c r="G123" s="16" t="s">
        <v>540</v>
      </c>
      <c r="H123" s="16" t="s">
        <v>18</v>
      </c>
      <c r="I123" s="111">
        <v>0</v>
      </c>
      <c r="J123" s="111">
        <f t="shared" si="29"/>
        <v>0</v>
      </c>
      <c r="K123" s="14">
        <v>4200</v>
      </c>
      <c r="L123" s="148">
        <f t="shared" si="30"/>
        <v>0</v>
      </c>
    </row>
    <row r="124" spans="1:12" x14ac:dyDescent="0.2">
      <c r="A124" s="438" t="s">
        <v>138</v>
      </c>
      <c r="B124" s="583"/>
      <c r="C124" s="389"/>
      <c r="D124" s="390"/>
      <c r="E124" s="15"/>
      <c r="F124" s="15"/>
      <c r="G124" s="15"/>
      <c r="H124" s="390"/>
      <c r="I124" s="584"/>
      <c r="J124" s="584"/>
      <c r="K124" s="15"/>
      <c r="L124" s="585"/>
    </row>
    <row r="125" spans="1:12" x14ac:dyDescent="0.2">
      <c r="A125" s="77" t="s">
        <v>60</v>
      </c>
      <c r="B125" s="21"/>
      <c r="C125" s="20"/>
      <c r="D125" s="18" t="s">
        <v>69</v>
      </c>
      <c r="E125" s="16" t="s">
        <v>1214</v>
      </c>
      <c r="F125" s="47">
        <v>50</v>
      </c>
      <c r="G125" s="16" t="s">
        <v>540</v>
      </c>
      <c r="H125" s="16" t="s">
        <v>18</v>
      </c>
      <c r="I125" s="594">
        <v>456</v>
      </c>
      <c r="J125" s="111">
        <f t="shared" ref="J125:J133" si="33">ROUND(I125/12,0)</f>
        <v>38</v>
      </c>
      <c r="K125" s="14">
        <v>4200</v>
      </c>
      <c r="L125" s="148">
        <f t="shared" ref="L125:L133" si="34">J125*K125*(F125/1000)</f>
        <v>7980</v>
      </c>
    </row>
    <row r="126" spans="1:12" x14ac:dyDescent="0.2">
      <c r="A126" s="78" t="str">
        <f t="shared" ref="A126:A133" si="35">+A125</f>
        <v>54E</v>
      </c>
      <c r="C126" s="22"/>
      <c r="D126" s="18" t="s">
        <v>69</v>
      </c>
      <c r="E126" s="16" t="s">
        <v>1205</v>
      </c>
      <c r="F126" s="47">
        <v>70</v>
      </c>
      <c r="G126" s="16" t="s">
        <v>540</v>
      </c>
      <c r="H126" s="16" t="s">
        <v>18</v>
      </c>
      <c r="I126" s="594">
        <v>8114</v>
      </c>
      <c r="J126" s="111">
        <f t="shared" si="33"/>
        <v>676</v>
      </c>
      <c r="K126" s="14">
        <v>4200</v>
      </c>
      <c r="L126" s="148">
        <f t="shared" si="34"/>
        <v>198744.00000000003</v>
      </c>
    </row>
    <row r="127" spans="1:12" x14ac:dyDescent="0.2">
      <c r="A127" s="78" t="str">
        <f t="shared" si="35"/>
        <v>54E</v>
      </c>
      <c r="C127" s="22"/>
      <c r="D127" s="18" t="s">
        <v>69</v>
      </c>
      <c r="E127" s="16" t="s">
        <v>1206</v>
      </c>
      <c r="F127" s="47">
        <v>100</v>
      </c>
      <c r="G127" s="16" t="s">
        <v>540</v>
      </c>
      <c r="H127" s="16" t="s">
        <v>18</v>
      </c>
      <c r="I127" s="594">
        <v>18283</v>
      </c>
      <c r="J127" s="111">
        <f t="shared" si="33"/>
        <v>1524</v>
      </c>
      <c r="K127" s="14">
        <v>4200</v>
      </c>
      <c r="L127" s="148">
        <f t="shared" si="34"/>
        <v>640080</v>
      </c>
    </row>
    <row r="128" spans="1:12" x14ac:dyDescent="0.2">
      <c r="A128" s="78" t="str">
        <f t="shared" si="35"/>
        <v>54E</v>
      </c>
      <c r="C128" s="22"/>
      <c r="D128" s="18" t="s">
        <v>69</v>
      </c>
      <c r="E128" s="16" t="s">
        <v>1207</v>
      </c>
      <c r="F128" s="47">
        <v>150</v>
      </c>
      <c r="G128" s="16" t="s">
        <v>540</v>
      </c>
      <c r="H128" s="16" t="s">
        <v>18</v>
      </c>
      <c r="I128" s="594">
        <v>5471</v>
      </c>
      <c r="J128" s="111">
        <f t="shared" si="33"/>
        <v>456</v>
      </c>
      <c r="K128" s="14">
        <v>4200</v>
      </c>
      <c r="L128" s="148">
        <f t="shared" si="34"/>
        <v>287280</v>
      </c>
    </row>
    <row r="129" spans="1:12" x14ac:dyDescent="0.2">
      <c r="A129" s="78" t="str">
        <f t="shared" si="35"/>
        <v>54E</v>
      </c>
      <c r="C129" s="22"/>
      <c r="D129" s="18" t="s">
        <v>69</v>
      </c>
      <c r="E129" s="16" t="s">
        <v>1208</v>
      </c>
      <c r="F129" s="47">
        <v>200</v>
      </c>
      <c r="G129" s="16" t="s">
        <v>540</v>
      </c>
      <c r="H129" s="16" t="s">
        <v>18</v>
      </c>
      <c r="I129" s="594">
        <v>6574</v>
      </c>
      <c r="J129" s="111">
        <f t="shared" si="33"/>
        <v>548</v>
      </c>
      <c r="K129" s="14">
        <v>4200</v>
      </c>
      <c r="L129" s="148">
        <f t="shared" si="34"/>
        <v>460320</v>
      </c>
    </row>
    <row r="130" spans="1:12" x14ac:dyDescent="0.2">
      <c r="A130" s="78" t="str">
        <f t="shared" si="35"/>
        <v>54E</v>
      </c>
      <c r="C130" s="22"/>
      <c r="D130" s="18" t="s">
        <v>69</v>
      </c>
      <c r="E130" s="16" t="s">
        <v>1209</v>
      </c>
      <c r="F130" s="47">
        <v>250</v>
      </c>
      <c r="G130" s="16" t="s">
        <v>540</v>
      </c>
      <c r="H130" s="16" t="s">
        <v>18</v>
      </c>
      <c r="I130" s="594">
        <v>16345</v>
      </c>
      <c r="J130" s="111">
        <f t="shared" si="33"/>
        <v>1362</v>
      </c>
      <c r="K130" s="14">
        <v>4200</v>
      </c>
      <c r="L130" s="148">
        <f t="shared" si="34"/>
        <v>1430100</v>
      </c>
    </row>
    <row r="131" spans="1:12" x14ac:dyDescent="0.2">
      <c r="A131" s="78" t="str">
        <f t="shared" si="35"/>
        <v>54E</v>
      </c>
      <c r="C131" s="22"/>
      <c r="D131" s="18" t="s">
        <v>69</v>
      </c>
      <c r="E131" s="16" t="s">
        <v>1210</v>
      </c>
      <c r="F131" s="47">
        <v>310</v>
      </c>
      <c r="G131" s="16" t="s">
        <v>540</v>
      </c>
      <c r="H131" s="16" t="s">
        <v>18</v>
      </c>
      <c r="I131" s="594">
        <v>672</v>
      </c>
      <c r="J131" s="111">
        <f t="shared" si="33"/>
        <v>56</v>
      </c>
      <c r="K131" s="14">
        <v>4200</v>
      </c>
      <c r="L131" s="148">
        <f t="shared" si="34"/>
        <v>72912</v>
      </c>
    </row>
    <row r="132" spans="1:12" x14ac:dyDescent="0.2">
      <c r="A132" s="78" t="str">
        <f t="shared" si="35"/>
        <v>54E</v>
      </c>
      <c r="C132" s="22"/>
      <c r="D132" s="18" t="s">
        <v>69</v>
      </c>
      <c r="E132" s="16" t="s">
        <v>1211</v>
      </c>
      <c r="F132" s="47">
        <v>400</v>
      </c>
      <c r="G132" s="16" t="s">
        <v>540</v>
      </c>
      <c r="H132" s="16" t="s">
        <v>18</v>
      </c>
      <c r="I132" s="594">
        <v>7389</v>
      </c>
      <c r="J132" s="111">
        <f t="shared" si="33"/>
        <v>616</v>
      </c>
      <c r="K132" s="14">
        <v>4200</v>
      </c>
      <c r="L132" s="148">
        <f t="shared" si="34"/>
        <v>1034880</v>
      </c>
    </row>
    <row r="133" spans="1:12" x14ac:dyDescent="0.2">
      <c r="A133" s="78" t="str">
        <f t="shared" si="35"/>
        <v>54E</v>
      </c>
      <c r="C133" s="22"/>
      <c r="D133" s="18" t="s">
        <v>69</v>
      </c>
      <c r="E133" s="16" t="s">
        <v>563</v>
      </c>
      <c r="F133" s="47">
        <v>1000</v>
      </c>
      <c r="G133" s="16" t="s">
        <v>540</v>
      </c>
      <c r="H133" s="16" t="s">
        <v>18</v>
      </c>
      <c r="I133" s="594">
        <v>121</v>
      </c>
      <c r="J133" s="111">
        <f t="shared" si="33"/>
        <v>10</v>
      </c>
      <c r="K133" s="14">
        <v>4200</v>
      </c>
      <c r="L133" s="148">
        <f t="shared" si="34"/>
        <v>42000</v>
      </c>
    </row>
    <row r="134" spans="1:12" x14ac:dyDescent="0.2">
      <c r="A134" s="78"/>
      <c r="C134" s="18"/>
      <c r="D134" s="18"/>
      <c r="E134" s="47"/>
      <c r="F134" s="47"/>
      <c r="G134" s="47"/>
      <c r="I134" s="111"/>
      <c r="J134" s="111"/>
      <c r="K134" s="14"/>
      <c r="L134" s="148"/>
    </row>
    <row r="135" spans="1:12" x14ac:dyDescent="0.2">
      <c r="A135" s="78" t="str">
        <f>+A132</f>
        <v>54E</v>
      </c>
      <c r="B135" s="19" t="s">
        <v>926</v>
      </c>
      <c r="C135" s="22"/>
      <c r="D135" s="26" t="s">
        <v>117</v>
      </c>
      <c r="E135" s="14" t="s">
        <v>931</v>
      </c>
      <c r="F135" s="47">
        <v>15</v>
      </c>
      <c r="G135" s="16" t="s">
        <v>540</v>
      </c>
      <c r="H135" s="16" t="s">
        <v>18</v>
      </c>
      <c r="I135" s="594">
        <v>0</v>
      </c>
      <c r="J135" s="111">
        <f t="shared" ref="J135:J144" si="36">ROUND(I135/12,0)</f>
        <v>0</v>
      </c>
      <c r="K135" s="14">
        <v>4200</v>
      </c>
      <c r="L135" s="148">
        <f t="shared" ref="L135:L144" si="37">J135*K135*(F135/1000)</f>
        <v>0</v>
      </c>
    </row>
    <row r="136" spans="1:12" x14ac:dyDescent="0.2">
      <c r="A136" s="78" t="str">
        <f>+A133</f>
        <v>54E</v>
      </c>
      <c r="C136" s="22"/>
      <c r="D136" s="26" t="s">
        <v>117</v>
      </c>
      <c r="E136" s="16" t="s">
        <v>539</v>
      </c>
      <c r="F136" s="83">
        <v>45</v>
      </c>
      <c r="G136" s="16" t="s">
        <v>540</v>
      </c>
      <c r="H136" s="16" t="s">
        <v>18</v>
      </c>
      <c r="I136" s="594">
        <v>15199</v>
      </c>
      <c r="J136" s="111">
        <f t="shared" si="36"/>
        <v>1267</v>
      </c>
      <c r="K136" s="14">
        <v>4200</v>
      </c>
      <c r="L136" s="148">
        <f t="shared" si="37"/>
        <v>239463</v>
      </c>
    </row>
    <row r="137" spans="1:12" x14ac:dyDescent="0.2">
      <c r="A137" s="78" t="str">
        <f t="shared" ref="A137:A142" si="38">+A136</f>
        <v>54E</v>
      </c>
      <c r="C137" s="22"/>
      <c r="D137" s="26" t="s">
        <v>117</v>
      </c>
      <c r="E137" s="16" t="s">
        <v>543</v>
      </c>
      <c r="F137" s="83">
        <v>75</v>
      </c>
      <c r="G137" s="16" t="s">
        <v>540</v>
      </c>
      <c r="H137" s="16" t="s">
        <v>18</v>
      </c>
      <c r="I137" s="594">
        <v>768</v>
      </c>
      <c r="J137" s="111">
        <f t="shared" si="36"/>
        <v>64</v>
      </c>
      <c r="K137" s="14">
        <v>4200</v>
      </c>
      <c r="L137" s="148">
        <f t="shared" si="37"/>
        <v>20160</v>
      </c>
    </row>
    <row r="138" spans="1:12" x14ac:dyDescent="0.2">
      <c r="A138" s="78" t="str">
        <f t="shared" si="38"/>
        <v>54E</v>
      </c>
      <c r="C138" s="22"/>
      <c r="D138" s="26" t="s">
        <v>117</v>
      </c>
      <c r="E138" s="16" t="s">
        <v>544</v>
      </c>
      <c r="F138" s="83">
        <v>105</v>
      </c>
      <c r="G138" s="16" t="s">
        <v>540</v>
      </c>
      <c r="H138" s="16" t="s">
        <v>18</v>
      </c>
      <c r="I138" s="594">
        <v>15965</v>
      </c>
      <c r="J138" s="111">
        <f t="shared" si="36"/>
        <v>1330</v>
      </c>
      <c r="K138" s="14">
        <v>4200</v>
      </c>
      <c r="L138" s="148">
        <f t="shared" si="37"/>
        <v>586530</v>
      </c>
    </row>
    <row r="139" spans="1:12" x14ac:dyDescent="0.2">
      <c r="A139" s="78" t="str">
        <f t="shared" si="38"/>
        <v>54E</v>
      </c>
      <c r="C139" s="22"/>
      <c r="D139" s="26" t="s">
        <v>117</v>
      </c>
      <c r="E139" s="16" t="s">
        <v>545</v>
      </c>
      <c r="F139" s="83">
        <v>135</v>
      </c>
      <c r="G139" s="16" t="s">
        <v>540</v>
      </c>
      <c r="H139" s="16" t="s">
        <v>18</v>
      </c>
      <c r="I139" s="594">
        <v>7993</v>
      </c>
      <c r="J139" s="111">
        <f t="shared" si="36"/>
        <v>666</v>
      </c>
      <c r="K139" s="14">
        <v>4200</v>
      </c>
      <c r="L139" s="148">
        <f t="shared" si="37"/>
        <v>377622</v>
      </c>
    </row>
    <row r="140" spans="1:12" x14ac:dyDescent="0.2">
      <c r="A140" s="78" t="str">
        <f t="shared" si="38"/>
        <v>54E</v>
      </c>
      <c r="C140" s="22"/>
      <c r="D140" s="26" t="s">
        <v>117</v>
      </c>
      <c r="E140" s="16" t="s">
        <v>546</v>
      </c>
      <c r="F140" s="83">
        <v>165</v>
      </c>
      <c r="G140" s="16" t="s">
        <v>540</v>
      </c>
      <c r="H140" s="16" t="s">
        <v>18</v>
      </c>
      <c r="I140" s="594">
        <v>4396</v>
      </c>
      <c r="J140" s="111">
        <f t="shared" si="36"/>
        <v>366</v>
      </c>
      <c r="K140" s="14">
        <v>4200</v>
      </c>
      <c r="L140" s="148">
        <f t="shared" si="37"/>
        <v>253638</v>
      </c>
    </row>
    <row r="141" spans="1:12" x14ac:dyDescent="0.2">
      <c r="A141" s="78" t="str">
        <f t="shared" si="38"/>
        <v>54E</v>
      </c>
      <c r="C141" s="22"/>
      <c r="D141" s="26" t="s">
        <v>117</v>
      </c>
      <c r="E141" s="16" t="s">
        <v>547</v>
      </c>
      <c r="F141" s="83">
        <v>195</v>
      </c>
      <c r="G141" s="16" t="s">
        <v>540</v>
      </c>
      <c r="H141" s="16" t="s">
        <v>18</v>
      </c>
      <c r="I141" s="594">
        <v>164</v>
      </c>
      <c r="J141" s="111">
        <f t="shared" si="36"/>
        <v>14</v>
      </c>
      <c r="K141" s="14">
        <v>4200</v>
      </c>
      <c r="L141" s="148">
        <f t="shared" si="37"/>
        <v>11466</v>
      </c>
    </row>
    <row r="142" spans="1:12" x14ac:dyDescent="0.2">
      <c r="A142" s="78" t="str">
        <f t="shared" si="38"/>
        <v>54E</v>
      </c>
      <c r="C142" s="22"/>
      <c r="D142" s="26" t="s">
        <v>117</v>
      </c>
      <c r="E142" s="16" t="s">
        <v>576</v>
      </c>
      <c r="F142" s="83">
        <v>225</v>
      </c>
      <c r="G142" s="16" t="s">
        <v>540</v>
      </c>
      <c r="H142" s="16" t="s">
        <v>18</v>
      </c>
      <c r="I142" s="594">
        <v>452</v>
      </c>
      <c r="J142" s="111">
        <f t="shared" si="36"/>
        <v>38</v>
      </c>
      <c r="K142" s="14">
        <v>4200</v>
      </c>
      <c r="L142" s="148">
        <f t="shared" si="37"/>
        <v>35910</v>
      </c>
    </row>
    <row r="143" spans="1:12" x14ac:dyDescent="0.2">
      <c r="A143" s="78" t="str">
        <f>+A141</f>
        <v>54E</v>
      </c>
      <c r="C143" s="22"/>
      <c r="D143" s="26" t="s">
        <v>117</v>
      </c>
      <c r="E143" s="16" t="s">
        <v>548</v>
      </c>
      <c r="F143" s="83">
        <v>255</v>
      </c>
      <c r="G143" s="16" t="s">
        <v>540</v>
      </c>
      <c r="H143" s="16" t="s">
        <v>18</v>
      </c>
      <c r="I143" s="594">
        <v>36</v>
      </c>
      <c r="J143" s="111">
        <f t="shared" si="36"/>
        <v>3</v>
      </c>
      <c r="K143" s="14">
        <v>4200</v>
      </c>
      <c r="L143" s="148">
        <f t="shared" si="37"/>
        <v>3213</v>
      </c>
    </row>
    <row r="144" spans="1:12" x14ac:dyDescent="0.2">
      <c r="A144" s="78" t="str">
        <f>+A142</f>
        <v>54E</v>
      </c>
      <c r="C144" s="22"/>
      <c r="D144" s="26" t="s">
        <v>117</v>
      </c>
      <c r="E144" s="16" t="s">
        <v>549</v>
      </c>
      <c r="F144" s="83">
        <v>285</v>
      </c>
      <c r="G144" s="16" t="s">
        <v>540</v>
      </c>
      <c r="H144" s="16" t="s">
        <v>18</v>
      </c>
      <c r="I144" s="111">
        <v>0</v>
      </c>
      <c r="J144" s="111">
        <f t="shared" si="36"/>
        <v>0</v>
      </c>
      <c r="K144" s="14">
        <v>4200</v>
      </c>
      <c r="L144" s="148">
        <f t="shared" si="37"/>
        <v>0</v>
      </c>
    </row>
    <row r="145" spans="1:12" x14ac:dyDescent="0.2">
      <c r="A145" s="438" t="s">
        <v>139</v>
      </c>
      <c r="B145" s="583"/>
      <c r="C145" s="589"/>
      <c r="D145" s="590"/>
      <c r="E145" s="591"/>
      <c r="F145" s="591"/>
      <c r="G145" s="591"/>
      <c r="H145" s="590"/>
      <c r="I145" s="584"/>
      <c r="J145" s="584"/>
      <c r="K145" s="591"/>
      <c r="L145" s="585"/>
    </row>
    <row r="146" spans="1:12" x14ac:dyDescent="0.2">
      <c r="A146" s="77" t="s">
        <v>81</v>
      </c>
      <c r="B146" s="21"/>
      <c r="C146" s="27"/>
      <c r="D146" s="18" t="s">
        <v>69</v>
      </c>
      <c r="E146" s="16" t="s">
        <v>1205</v>
      </c>
      <c r="F146" s="47">
        <v>70</v>
      </c>
      <c r="G146" s="2" t="s">
        <v>123</v>
      </c>
      <c r="H146" s="2" t="s">
        <v>123</v>
      </c>
      <c r="I146" s="594">
        <v>192</v>
      </c>
      <c r="J146" s="111">
        <f t="shared" ref="J146:J151" si="39">ROUND(I146/12,0)</f>
        <v>16</v>
      </c>
      <c r="K146" s="14">
        <v>4200</v>
      </c>
      <c r="L146" s="148">
        <f t="shared" ref="L146:L151" si="40">J146*K146*(F146/1000)</f>
        <v>4704</v>
      </c>
    </row>
    <row r="147" spans="1:12" x14ac:dyDescent="0.2">
      <c r="A147" s="78" t="str">
        <f>+A146</f>
        <v>55E &amp; 56E</v>
      </c>
      <c r="C147" s="17"/>
      <c r="D147" s="18" t="s">
        <v>69</v>
      </c>
      <c r="E147" s="16" t="s">
        <v>1206</v>
      </c>
      <c r="F147" s="47">
        <v>100</v>
      </c>
      <c r="G147" s="2" t="s">
        <v>123</v>
      </c>
      <c r="H147" s="2" t="s">
        <v>123</v>
      </c>
      <c r="I147" s="594">
        <v>43754</v>
      </c>
      <c r="J147" s="111">
        <f t="shared" si="39"/>
        <v>3646</v>
      </c>
      <c r="K147" s="14">
        <v>4200</v>
      </c>
      <c r="L147" s="148">
        <f t="shared" si="40"/>
        <v>1531320</v>
      </c>
    </row>
    <row r="148" spans="1:12" x14ac:dyDescent="0.2">
      <c r="A148" s="78" t="str">
        <f>+A147</f>
        <v>55E &amp; 56E</v>
      </c>
      <c r="C148" s="17"/>
      <c r="D148" s="18" t="s">
        <v>69</v>
      </c>
      <c r="E148" s="16" t="s">
        <v>1207</v>
      </c>
      <c r="F148" s="47">
        <v>150</v>
      </c>
      <c r="G148" s="2" t="s">
        <v>123</v>
      </c>
      <c r="H148" s="2" t="s">
        <v>123</v>
      </c>
      <c r="I148" s="594">
        <v>5852</v>
      </c>
      <c r="J148" s="111">
        <f t="shared" si="39"/>
        <v>488</v>
      </c>
      <c r="K148" s="14">
        <v>4200</v>
      </c>
      <c r="L148" s="148">
        <f t="shared" si="40"/>
        <v>307440</v>
      </c>
    </row>
    <row r="149" spans="1:12" x14ac:dyDescent="0.2">
      <c r="A149" s="78" t="str">
        <f>+A148</f>
        <v>55E &amp; 56E</v>
      </c>
      <c r="C149" s="17"/>
      <c r="D149" s="18" t="s">
        <v>69</v>
      </c>
      <c r="E149" s="16" t="s">
        <v>1208</v>
      </c>
      <c r="F149" s="47">
        <v>200</v>
      </c>
      <c r="G149" s="2" t="s">
        <v>123</v>
      </c>
      <c r="H149" s="2" t="s">
        <v>123</v>
      </c>
      <c r="I149" s="594">
        <v>12513</v>
      </c>
      <c r="J149" s="111">
        <f t="shared" si="39"/>
        <v>1043</v>
      </c>
      <c r="K149" s="14">
        <v>4200</v>
      </c>
      <c r="L149" s="148">
        <f t="shared" si="40"/>
        <v>876120</v>
      </c>
    </row>
    <row r="150" spans="1:12" x14ac:dyDescent="0.2">
      <c r="A150" s="78" t="str">
        <f>+A149</f>
        <v>55E &amp; 56E</v>
      </c>
      <c r="C150" s="17"/>
      <c r="D150" s="18" t="s">
        <v>69</v>
      </c>
      <c r="E150" s="16" t="s">
        <v>1209</v>
      </c>
      <c r="F150" s="47">
        <v>250</v>
      </c>
      <c r="G150" s="2" t="s">
        <v>123</v>
      </c>
      <c r="H150" s="2" t="s">
        <v>123</v>
      </c>
      <c r="I150" s="594">
        <v>1336</v>
      </c>
      <c r="J150" s="111">
        <f t="shared" si="39"/>
        <v>111</v>
      </c>
      <c r="K150" s="14">
        <v>4200</v>
      </c>
      <c r="L150" s="148">
        <f t="shared" si="40"/>
        <v>116550</v>
      </c>
    </row>
    <row r="151" spans="1:12" x14ac:dyDescent="0.2">
      <c r="A151" s="78" t="str">
        <f>+A150</f>
        <v>55E &amp; 56E</v>
      </c>
      <c r="C151" s="17"/>
      <c r="D151" s="18" t="s">
        <v>69</v>
      </c>
      <c r="E151" s="16" t="s">
        <v>1211</v>
      </c>
      <c r="F151" s="47">
        <v>400</v>
      </c>
      <c r="G151" s="2" t="s">
        <v>123</v>
      </c>
      <c r="H151" s="2" t="s">
        <v>123</v>
      </c>
      <c r="I151" s="594">
        <v>541</v>
      </c>
      <c r="J151" s="111">
        <f t="shared" si="39"/>
        <v>45</v>
      </c>
      <c r="K151" s="14">
        <v>4200</v>
      </c>
      <c r="L151" s="148">
        <f t="shared" si="40"/>
        <v>75600</v>
      </c>
    </row>
    <row r="152" spans="1:12" x14ac:dyDescent="0.2">
      <c r="A152" s="78"/>
      <c r="C152" s="18"/>
      <c r="D152" s="18"/>
      <c r="E152" s="47"/>
      <c r="F152" s="47"/>
      <c r="G152" s="47"/>
      <c r="I152" s="111"/>
      <c r="J152" s="111"/>
      <c r="K152" s="14"/>
      <c r="L152" s="148"/>
    </row>
    <row r="153" spans="1:12" x14ac:dyDescent="0.2">
      <c r="A153" s="78" t="str">
        <f>+A151</f>
        <v>55E &amp; 56E</v>
      </c>
      <c r="C153" s="17"/>
      <c r="D153" s="18" t="s">
        <v>80</v>
      </c>
      <c r="E153" s="16" t="s">
        <v>560</v>
      </c>
      <c r="F153" s="47">
        <v>250</v>
      </c>
      <c r="G153" s="2" t="s">
        <v>123</v>
      </c>
      <c r="H153" s="2" t="s">
        <v>123</v>
      </c>
      <c r="I153" s="594">
        <v>72</v>
      </c>
      <c r="J153" s="111">
        <f>ROUND(I153/12,0)</f>
        <v>6</v>
      </c>
      <c r="K153" s="14">
        <v>4200</v>
      </c>
      <c r="L153" s="148">
        <f>J153*K153*(F153/1000)</f>
        <v>6300</v>
      </c>
    </row>
    <row r="154" spans="1:12" x14ac:dyDescent="0.2">
      <c r="A154" s="78"/>
      <c r="C154" s="18"/>
      <c r="D154" s="18"/>
      <c r="E154" s="47"/>
      <c r="F154" s="47"/>
      <c r="G154" s="47"/>
      <c r="I154" s="111"/>
      <c r="J154" s="111"/>
      <c r="K154" s="14"/>
      <c r="L154" s="148"/>
    </row>
    <row r="155" spans="1:12" x14ac:dyDescent="0.2">
      <c r="A155" s="78" t="s">
        <v>81</v>
      </c>
      <c r="B155" s="19" t="s">
        <v>926</v>
      </c>
      <c r="C155" s="22"/>
      <c r="D155" s="26" t="s">
        <v>117</v>
      </c>
      <c r="E155" s="14" t="s">
        <v>931</v>
      </c>
      <c r="F155" s="47">
        <v>15</v>
      </c>
      <c r="G155" s="16" t="s">
        <v>123</v>
      </c>
      <c r="H155" s="16" t="s">
        <v>123</v>
      </c>
      <c r="I155" s="594">
        <v>0</v>
      </c>
      <c r="J155" s="111">
        <f t="shared" ref="J155:J164" si="41">ROUND(I155/12,0)</f>
        <v>0</v>
      </c>
      <c r="K155" s="14">
        <v>4200</v>
      </c>
      <c r="L155" s="148">
        <f t="shared" ref="L155:L164" si="42">J155*K155*(F155/1000)</f>
        <v>0</v>
      </c>
    </row>
    <row r="156" spans="1:12" x14ac:dyDescent="0.2">
      <c r="A156" s="78" t="s">
        <v>81</v>
      </c>
      <c r="C156" s="17"/>
      <c r="D156" s="18" t="s">
        <v>117</v>
      </c>
      <c r="E156" s="16" t="s">
        <v>539</v>
      </c>
      <c r="F156" s="83">
        <v>45</v>
      </c>
      <c r="G156" s="2" t="s">
        <v>123</v>
      </c>
      <c r="H156" s="2" t="s">
        <v>123</v>
      </c>
      <c r="I156" s="594">
        <v>7188</v>
      </c>
      <c r="J156" s="111">
        <f t="shared" si="41"/>
        <v>599</v>
      </c>
      <c r="K156" s="14">
        <v>4200</v>
      </c>
      <c r="L156" s="148">
        <f t="shared" si="42"/>
        <v>113211</v>
      </c>
    </row>
    <row r="157" spans="1:12" x14ac:dyDescent="0.2">
      <c r="A157" s="78" t="s">
        <v>81</v>
      </c>
      <c r="C157" s="17"/>
      <c r="D157" s="18" t="s">
        <v>117</v>
      </c>
      <c r="E157" s="16" t="s">
        <v>543</v>
      </c>
      <c r="F157" s="83">
        <v>75</v>
      </c>
      <c r="G157" s="2" t="s">
        <v>123</v>
      </c>
      <c r="H157" s="2" t="s">
        <v>123</v>
      </c>
      <c r="I157" s="594">
        <v>77</v>
      </c>
      <c r="J157" s="111">
        <f t="shared" si="41"/>
        <v>6</v>
      </c>
      <c r="K157" s="14">
        <v>4200</v>
      </c>
      <c r="L157" s="148">
        <f t="shared" si="42"/>
        <v>1890</v>
      </c>
    </row>
    <row r="158" spans="1:12" x14ac:dyDescent="0.2">
      <c r="A158" s="78" t="s">
        <v>81</v>
      </c>
      <c r="C158" s="17"/>
      <c r="D158" s="18" t="s">
        <v>117</v>
      </c>
      <c r="E158" s="16" t="s">
        <v>544</v>
      </c>
      <c r="F158" s="83">
        <v>105</v>
      </c>
      <c r="G158" s="2" t="s">
        <v>123</v>
      </c>
      <c r="H158" s="2" t="s">
        <v>123</v>
      </c>
      <c r="I158" s="594">
        <v>1795</v>
      </c>
      <c r="J158" s="111">
        <f t="shared" si="41"/>
        <v>150</v>
      </c>
      <c r="K158" s="14">
        <v>4200</v>
      </c>
      <c r="L158" s="148">
        <f t="shared" si="42"/>
        <v>66150</v>
      </c>
    </row>
    <row r="159" spans="1:12" x14ac:dyDescent="0.2">
      <c r="A159" s="78" t="s">
        <v>81</v>
      </c>
      <c r="C159" s="17"/>
      <c r="D159" s="18" t="s">
        <v>117</v>
      </c>
      <c r="E159" s="16" t="s">
        <v>545</v>
      </c>
      <c r="F159" s="83">
        <v>135</v>
      </c>
      <c r="G159" s="2" t="s">
        <v>123</v>
      </c>
      <c r="H159" s="2" t="s">
        <v>123</v>
      </c>
      <c r="I159" s="111">
        <v>0</v>
      </c>
      <c r="J159" s="111">
        <f t="shared" si="41"/>
        <v>0</v>
      </c>
      <c r="K159" s="14">
        <v>4200</v>
      </c>
      <c r="L159" s="148">
        <f t="shared" si="42"/>
        <v>0</v>
      </c>
    </row>
    <row r="160" spans="1:12" x14ac:dyDescent="0.2">
      <c r="A160" s="78" t="s">
        <v>81</v>
      </c>
      <c r="C160" s="17"/>
      <c r="D160" s="18" t="s">
        <v>117</v>
      </c>
      <c r="E160" s="47" t="s">
        <v>546</v>
      </c>
      <c r="F160" s="83">
        <v>165</v>
      </c>
      <c r="G160" s="2" t="s">
        <v>123</v>
      </c>
      <c r="H160" s="2" t="s">
        <v>123</v>
      </c>
      <c r="I160" s="111">
        <v>0</v>
      </c>
      <c r="J160" s="111">
        <f t="shared" si="41"/>
        <v>0</v>
      </c>
      <c r="K160" s="14">
        <v>4200</v>
      </c>
      <c r="L160" s="148">
        <f t="shared" si="42"/>
        <v>0</v>
      </c>
    </row>
    <row r="161" spans="1:12" x14ac:dyDescent="0.2">
      <c r="A161" s="78" t="s">
        <v>81</v>
      </c>
      <c r="C161" s="17"/>
      <c r="D161" s="18" t="s">
        <v>117</v>
      </c>
      <c r="E161" s="47" t="s">
        <v>547</v>
      </c>
      <c r="F161" s="83">
        <v>195</v>
      </c>
      <c r="G161" s="2" t="s">
        <v>123</v>
      </c>
      <c r="H161" s="2" t="s">
        <v>123</v>
      </c>
      <c r="I161" s="111">
        <v>0</v>
      </c>
      <c r="J161" s="111">
        <f t="shared" si="41"/>
        <v>0</v>
      </c>
      <c r="K161" s="14">
        <v>4200</v>
      </c>
      <c r="L161" s="148">
        <f t="shared" si="42"/>
        <v>0</v>
      </c>
    </row>
    <row r="162" spans="1:12" x14ac:dyDescent="0.2">
      <c r="A162" s="78" t="s">
        <v>81</v>
      </c>
      <c r="C162" s="17"/>
      <c r="D162" s="18" t="s">
        <v>117</v>
      </c>
      <c r="E162" s="47" t="s">
        <v>576</v>
      </c>
      <c r="F162" s="83">
        <v>225</v>
      </c>
      <c r="G162" s="2" t="s">
        <v>123</v>
      </c>
      <c r="H162" s="2" t="s">
        <v>123</v>
      </c>
      <c r="I162" s="111">
        <v>0</v>
      </c>
      <c r="J162" s="111">
        <f t="shared" si="41"/>
        <v>0</v>
      </c>
      <c r="K162" s="14">
        <v>4200</v>
      </c>
      <c r="L162" s="148">
        <f t="shared" si="42"/>
        <v>0</v>
      </c>
    </row>
    <row r="163" spans="1:12" x14ac:dyDescent="0.2">
      <c r="A163" s="78" t="s">
        <v>81</v>
      </c>
      <c r="C163" s="17"/>
      <c r="D163" s="18" t="s">
        <v>117</v>
      </c>
      <c r="E163" s="47" t="s">
        <v>548</v>
      </c>
      <c r="F163" s="83">
        <v>255</v>
      </c>
      <c r="G163" s="2" t="s">
        <v>123</v>
      </c>
      <c r="H163" s="2" t="s">
        <v>123</v>
      </c>
      <c r="I163" s="111">
        <v>0</v>
      </c>
      <c r="J163" s="111">
        <f t="shared" si="41"/>
        <v>0</v>
      </c>
      <c r="K163" s="14">
        <v>4200</v>
      </c>
      <c r="L163" s="148">
        <f t="shared" si="42"/>
        <v>0</v>
      </c>
    </row>
    <row r="164" spans="1:12" x14ac:dyDescent="0.2">
      <c r="A164" s="78" t="s">
        <v>81</v>
      </c>
      <c r="C164" s="17"/>
      <c r="D164" s="18" t="s">
        <v>117</v>
      </c>
      <c r="E164" s="47" t="s">
        <v>549</v>
      </c>
      <c r="F164" s="83">
        <v>285</v>
      </c>
      <c r="G164" s="2" t="s">
        <v>123</v>
      </c>
      <c r="H164" s="2" t="s">
        <v>123</v>
      </c>
      <c r="I164" s="111">
        <v>0</v>
      </c>
      <c r="J164" s="111">
        <f t="shared" si="41"/>
        <v>0</v>
      </c>
      <c r="K164" s="14">
        <v>4200</v>
      </c>
      <c r="L164" s="148">
        <f t="shared" si="42"/>
        <v>0</v>
      </c>
    </row>
    <row r="165" spans="1:12" x14ac:dyDescent="0.2">
      <c r="A165" s="438" t="s">
        <v>140</v>
      </c>
      <c r="B165" s="583"/>
      <c r="C165" s="589"/>
      <c r="D165" s="590"/>
      <c r="E165" s="591"/>
      <c r="F165" s="591"/>
      <c r="G165" s="591"/>
      <c r="H165" s="590"/>
      <c r="I165" s="584"/>
      <c r="J165" s="584"/>
      <c r="K165" s="591"/>
      <c r="L165" s="585"/>
    </row>
    <row r="166" spans="1:12" x14ac:dyDescent="0.2">
      <c r="A166" s="77" t="s">
        <v>82</v>
      </c>
      <c r="B166" s="21"/>
      <c r="C166" s="18" t="s">
        <v>83</v>
      </c>
      <c r="D166" s="18" t="s">
        <v>69</v>
      </c>
      <c r="E166" s="16" t="s">
        <v>1215</v>
      </c>
      <c r="F166" s="47">
        <v>70</v>
      </c>
      <c r="G166" s="16" t="s">
        <v>540</v>
      </c>
      <c r="H166" s="2" t="s">
        <v>123</v>
      </c>
      <c r="I166" s="594">
        <v>636</v>
      </c>
      <c r="J166" s="151">
        <f t="shared" ref="J166:J171" si="43">ROUND(I166/12,0)</f>
        <v>53</v>
      </c>
      <c r="K166" s="2">
        <v>4200</v>
      </c>
      <c r="L166" s="152">
        <f t="shared" ref="L166:L171" si="44">J166*K166*(F166/1000)</f>
        <v>15582.000000000002</v>
      </c>
    </row>
    <row r="167" spans="1:12" x14ac:dyDescent="0.2">
      <c r="A167" s="78" t="str">
        <f>+A166</f>
        <v>58E &amp; 59E</v>
      </c>
      <c r="C167" s="18" t="s">
        <v>83</v>
      </c>
      <c r="D167" s="18" t="s">
        <v>69</v>
      </c>
      <c r="E167" s="16" t="s">
        <v>1216</v>
      </c>
      <c r="F167" s="47">
        <v>100</v>
      </c>
      <c r="G167" s="16" t="s">
        <v>540</v>
      </c>
      <c r="H167" s="2" t="s">
        <v>123</v>
      </c>
      <c r="I167" s="594">
        <v>125</v>
      </c>
      <c r="J167" s="151">
        <f t="shared" si="43"/>
        <v>10</v>
      </c>
      <c r="K167" s="2">
        <v>4200</v>
      </c>
      <c r="L167" s="152">
        <f t="shared" si="44"/>
        <v>4200</v>
      </c>
    </row>
    <row r="168" spans="1:12" x14ac:dyDescent="0.2">
      <c r="A168" s="78" t="str">
        <f>+A167</f>
        <v>58E &amp; 59E</v>
      </c>
      <c r="C168" s="18" t="s">
        <v>83</v>
      </c>
      <c r="D168" s="18" t="s">
        <v>69</v>
      </c>
      <c r="E168" s="16" t="s">
        <v>1217</v>
      </c>
      <c r="F168" s="47">
        <v>150</v>
      </c>
      <c r="G168" s="16" t="s">
        <v>540</v>
      </c>
      <c r="H168" s="2" t="s">
        <v>123</v>
      </c>
      <c r="I168" s="594">
        <v>1738</v>
      </c>
      <c r="J168" s="151">
        <f t="shared" si="43"/>
        <v>145</v>
      </c>
      <c r="K168" s="2">
        <v>4200</v>
      </c>
      <c r="L168" s="152">
        <f t="shared" si="44"/>
        <v>91350</v>
      </c>
    </row>
    <row r="169" spans="1:12" x14ac:dyDescent="0.2">
      <c r="A169" s="78" t="str">
        <f>+A168</f>
        <v>58E &amp; 59E</v>
      </c>
      <c r="C169" s="18" t="s">
        <v>83</v>
      </c>
      <c r="D169" s="18" t="s">
        <v>69</v>
      </c>
      <c r="E169" s="16" t="s">
        <v>1218</v>
      </c>
      <c r="F169" s="47">
        <v>200</v>
      </c>
      <c r="G169" s="16" t="s">
        <v>540</v>
      </c>
      <c r="H169" s="2" t="s">
        <v>123</v>
      </c>
      <c r="I169" s="594">
        <v>3196</v>
      </c>
      <c r="J169" s="151">
        <f t="shared" si="43"/>
        <v>266</v>
      </c>
      <c r="K169" s="2">
        <v>4200</v>
      </c>
      <c r="L169" s="152">
        <f t="shared" si="44"/>
        <v>223440</v>
      </c>
    </row>
    <row r="170" spans="1:12" x14ac:dyDescent="0.2">
      <c r="A170" s="78" t="str">
        <f>+A169</f>
        <v>58E &amp; 59E</v>
      </c>
      <c r="C170" s="18" t="s">
        <v>83</v>
      </c>
      <c r="D170" s="18" t="s">
        <v>69</v>
      </c>
      <c r="E170" s="16" t="s">
        <v>1219</v>
      </c>
      <c r="F170" s="47">
        <v>250</v>
      </c>
      <c r="G170" s="16" t="s">
        <v>540</v>
      </c>
      <c r="H170" s="2" t="s">
        <v>123</v>
      </c>
      <c r="I170" s="594">
        <v>467</v>
      </c>
      <c r="J170" s="151">
        <f t="shared" si="43"/>
        <v>39</v>
      </c>
      <c r="K170" s="2">
        <v>4200</v>
      </c>
      <c r="L170" s="152">
        <f t="shared" si="44"/>
        <v>40950</v>
      </c>
    </row>
    <row r="171" spans="1:12" x14ac:dyDescent="0.2">
      <c r="A171" s="78" t="str">
        <f>+A170</f>
        <v>58E &amp; 59E</v>
      </c>
      <c r="C171" s="18" t="s">
        <v>83</v>
      </c>
      <c r="D171" s="18" t="s">
        <v>69</v>
      </c>
      <c r="E171" s="16" t="s">
        <v>1220</v>
      </c>
      <c r="F171" s="47">
        <v>400</v>
      </c>
      <c r="G171" s="16" t="s">
        <v>540</v>
      </c>
      <c r="H171" s="2" t="s">
        <v>123</v>
      </c>
      <c r="I171" s="594">
        <v>4245</v>
      </c>
      <c r="J171" s="151">
        <f t="shared" si="43"/>
        <v>354</v>
      </c>
      <c r="K171" s="2">
        <v>4200</v>
      </c>
      <c r="L171" s="152">
        <f t="shared" si="44"/>
        <v>594720</v>
      </c>
    </row>
    <row r="172" spans="1:12" x14ac:dyDescent="0.2">
      <c r="A172" s="78"/>
      <c r="C172" s="18"/>
      <c r="D172" s="18"/>
      <c r="E172" s="47"/>
      <c r="F172" s="47"/>
      <c r="G172" s="47"/>
      <c r="I172" s="111"/>
      <c r="J172" s="111"/>
      <c r="K172" s="14"/>
      <c r="L172" s="148"/>
    </row>
    <row r="173" spans="1:12" x14ac:dyDescent="0.2">
      <c r="A173" s="78" t="str">
        <f>+A167</f>
        <v>58E &amp; 59E</v>
      </c>
      <c r="C173" s="18" t="s">
        <v>84</v>
      </c>
      <c r="D173" s="18" t="s">
        <v>69</v>
      </c>
      <c r="E173" s="16" t="s">
        <v>1221</v>
      </c>
      <c r="F173" s="47">
        <v>100</v>
      </c>
      <c r="G173" s="16" t="s">
        <v>540</v>
      </c>
      <c r="H173" s="2" t="s">
        <v>123</v>
      </c>
      <c r="I173" s="594">
        <v>9</v>
      </c>
      <c r="J173" s="111">
        <f>ROUND(I173/12,0)</f>
        <v>1</v>
      </c>
      <c r="K173" s="14">
        <v>4200</v>
      </c>
      <c r="L173" s="148">
        <f>J173*K173*(F173/1000)</f>
        <v>420</v>
      </c>
    </row>
    <row r="174" spans="1:12" x14ac:dyDescent="0.2">
      <c r="A174" s="78" t="str">
        <f>+A168</f>
        <v>58E &amp; 59E</v>
      </c>
      <c r="C174" s="18" t="s">
        <v>84</v>
      </c>
      <c r="D174" s="18" t="s">
        <v>69</v>
      </c>
      <c r="E174" s="16" t="s">
        <v>1222</v>
      </c>
      <c r="F174" s="47">
        <v>150</v>
      </c>
      <c r="G174" s="16" t="s">
        <v>540</v>
      </c>
      <c r="H174" s="2" t="s">
        <v>123</v>
      </c>
      <c r="I174" s="594">
        <v>188</v>
      </c>
      <c r="J174" s="151">
        <f>ROUND(I174/12,0)</f>
        <v>16</v>
      </c>
      <c r="K174" s="2">
        <v>4200</v>
      </c>
      <c r="L174" s="152">
        <f>J174*K174*(F174/1000)</f>
        <v>10080</v>
      </c>
    </row>
    <row r="175" spans="1:12" x14ac:dyDescent="0.2">
      <c r="A175" s="78" t="str">
        <f>+A169</f>
        <v>58E &amp; 59E</v>
      </c>
      <c r="C175" s="18" t="s">
        <v>84</v>
      </c>
      <c r="D175" s="18" t="s">
        <v>69</v>
      </c>
      <c r="E175" s="16" t="s">
        <v>1223</v>
      </c>
      <c r="F175" s="47">
        <v>200</v>
      </c>
      <c r="G175" s="16" t="s">
        <v>540</v>
      </c>
      <c r="H175" s="2" t="s">
        <v>123</v>
      </c>
      <c r="I175" s="594">
        <v>108</v>
      </c>
      <c r="J175" s="151">
        <f>ROUND(I175/12,0)</f>
        <v>9</v>
      </c>
      <c r="K175" s="2">
        <v>4200</v>
      </c>
      <c r="L175" s="152">
        <f>J175*K175*(F175/1000)</f>
        <v>7560</v>
      </c>
    </row>
    <row r="176" spans="1:12" x14ac:dyDescent="0.2">
      <c r="A176" s="78" t="str">
        <f>+A170</f>
        <v>58E &amp; 59E</v>
      </c>
      <c r="C176" s="18" t="s">
        <v>84</v>
      </c>
      <c r="D176" s="18" t="s">
        <v>69</v>
      </c>
      <c r="E176" s="16" t="s">
        <v>1224</v>
      </c>
      <c r="F176" s="47">
        <v>250</v>
      </c>
      <c r="G176" s="16" t="s">
        <v>540</v>
      </c>
      <c r="H176" s="2" t="s">
        <v>123</v>
      </c>
      <c r="I176" s="594">
        <v>404</v>
      </c>
      <c r="J176" s="151">
        <f>ROUND(I176/12,0)</f>
        <v>34</v>
      </c>
      <c r="K176" s="2">
        <v>4200</v>
      </c>
      <c r="L176" s="152">
        <f>J176*K176*(F176/1000)</f>
        <v>35700</v>
      </c>
    </row>
    <row r="177" spans="1:12" x14ac:dyDescent="0.2">
      <c r="A177" s="78" t="str">
        <f>+A169</f>
        <v>58E &amp; 59E</v>
      </c>
      <c r="C177" s="18" t="s">
        <v>84</v>
      </c>
      <c r="D177" s="18" t="s">
        <v>69</v>
      </c>
      <c r="E177" s="16" t="s">
        <v>1225</v>
      </c>
      <c r="F177" s="47">
        <v>400</v>
      </c>
      <c r="G177" s="16" t="s">
        <v>540</v>
      </c>
      <c r="H177" s="2" t="s">
        <v>123</v>
      </c>
      <c r="I177" s="594">
        <v>579</v>
      </c>
      <c r="J177" s="151">
        <f>ROUND(I177/12,0)</f>
        <v>48</v>
      </c>
      <c r="K177" s="2">
        <v>4200</v>
      </c>
      <c r="L177" s="152">
        <f>J177*K177*(F177/1000)</f>
        <v>80640</v>
      </c>
    </row>
    <row r="178" spans="1:12" x14ac:dyDescent="0.2">
      <c r="A178" s="78"/>
      <c r="C178" s="18"/>
      <c r="D178" s="18"/>
      <c r="E178" s="47"/>
      <c r="F178" s="47"/>
      <c r="G178" s="47"/>
      <c r="H178" s="2"/>
      <c r="I178" s="111"/>
      <c r="J178" s="111"/>
      <c r="K178" s="14"/>
      <c r="L178" s="148"/>
    </row>
    <row r="179" spans="1:12" x14ac:dyDescent="0.2">
      <c r="A179" s="78" t="str">
        <f>+A170</f>
        <v>58E &amp; 59E</v>
      </c>
      <c r="C179" s="18" t="s">
        <v>83</v>
      </c>
      <c r="D179" s="18" t="s">
        <v>80</v>
      </c>
      <c r="E179" s="16" t="s">
        <v>1226</v>
      </c>
      <c r="F179" s="47">
        <v>175</v>
      </c>
      <c r="G179" s="16" t="s">
        <v>540</v>
      </c>
      <c r="H179" s="2" t="s">
        <v>123</v>
      </c>
      <c r="I179" s="594">
        <v>36</v>
      </c>
      <c r="J179" s="151">
        <f>ROUND(I179/12,0)</f>
        <v>3</v>
      </c>
      <c r="K179" s="2">
        <v>4200</v>
      </c>
      <c r="L179" s="152">
        <f>J179*K179*(F179/1000)</f>
        <v>2205</v>
      </c>
    </row>
    <row r="180" spans="1:12" x14ac:dyDescent="0.2">
      <c r="A180" s="78" t="str">
        <f>+A171</f>
        <v>58E &amp; 59E</v>
      </c>
      <c r="C180" s="18" t="s">
        <v>83</v>
      </c>
      <c r="D180" s="18" t="s">
        <v>80</v>
      </c>
      <c r="E180" s="16" t="s">
        <v>1227</v>
      </c>
      <c r="F180" s="47">
        <v>250</v>
      </c>
      <c r="G180" s="16" t="s">
        <v>540</v>
      </c>
      <c r="H180" s="2" t="s">
        <v>123</v>
      </c>
      <c r="I180" s="594">
        <v>204</v>
      </c>
      <c r="J180" s="111">
        <f>ROUND(I180/12,0)</f>
        <v>17</v>
      </c>
      <c r="K180" s="14">
        <v>4200</v>
      </c>
      <c r="L180" s="148">
        <f>J180*K180*(F180/1000)</f>
        <v>17850</v>
      </c>
    </row>
    <row r="181" spans="1:12" x14ac:dyDescent="0.2">
      <c r="A181" s="78" t="str">
        <f>+A171</f>
        <v>58E &amp; 59E</v>
      </c>
      <c r="C181" s="18" t="s">
        <v>83</v>
      </c>
      <c r="D181" s="18" t="s">
        <v>80</v>
      </c>
      <c r="E181" s="16" t="s">
        <v>1228</v>
      </c>
      <c r="F181" s="47">
        <v>400</v>
      </c>
      <c r="G181" s="16" t="s">
        <v>540</v>
      </c>
      <c r="H181" s="2" t="s">
        <v>123</v>
      </c>
      <c r="I181" s="594">
        <v>1056</v>
      </c>
      <c r="J181" s="151">
        <f>ROUND(I181/12,0)</f>
        <v>88</v>
      </c>
      <c r="K181" s="2">
        <v>4200</v>
      </c>
      <c r="L181" s="152">
        <f>J181*K181*(F181/1000)</f>
        <v>147840</v>
      </c>
    </row>
    <row r="182" spans="1:12" x14ac:dyDescent="0.2">
      <c r="A182" s="78" t="str">
        <f>+A185</f>
        <v>58E &amp; 59E</v>
      </c>
      <c r="C182" s="18" t="s">
        <v>83</v>
      </c>
      <c r="D182" s="18" t="s">
        <v>80</v>
      </c>
      <c r="E182" s="16" t="s">
        <v>1229</v>
      </c>
      <c r="F182" s="47">
        <v>1000</v>
      </c>
      <c r="G182" s="16" t="s">
        <v>540</v>
      </c>
      <c r="H182" s="2" t="s">
        <v>123</v>
      </c>
      <c r="I182" s="594">
        <v>1534</v>
      </c>
      <c r="J182" s="151">
        <f>ROUND(I182/12,0)</f>
        <v>128</v>
      </c>
      <c r="K182" s="2">
        <v>4200</v>
      </c>
      <c r="L182" s="152">
        <f>J182*K182*(F182/1000)</f>
        <v>537600</v>
      </c>
    </row>
    <row r="183" spans="1:12" x14ac:dyDescent="0.2">
      <c r="A183" s="78"/>
      <c r="C183" s="18"/>
      <c r="D183" s="18"/>
      <c r="E183" s="47"/>
      <c r="F183" s="47"/>
      <c r="G183" s="47"/>
      <c r="I183" s="111"/>
      <c r="J183" s="111"/>
      <c r="K183" s="14"/>
      <c r="L183" s="148"/>
    </row>
    <row r="184" spans="1:12" x14ac:dyDescent="0.2">
      <c r="A184" s="78" t="str">
        <f>+A180</f>
        <v>58E &amp; 59E</v>
      </c>
      <c r="C184" s="18" t="s">
        <v>84</v>
      </c>
      <c r="D184" s="18" t="s">
        <v>80</v>
      </c>
      <c r="E184" s="16" t="s">
        <v>1230</v>
      </c>
      <c r="F184" s="47">
        <v>250</v>
      </c>
      <c r="G184" s="16" t="s">
        <v>540</v>
      </c>
      <c r="H184" s="2" t="s">
        <v>123</v>
      </c>
      <c r="I184" s="594">
        <v>120</v>
      </c>
      <c r="J184" s="151">
        <f>ROUND(I184/12,0)</f>
        <v>10</v>
      </c>
      <c r="K184" s="2">
        <v>4200</v>
      </c>
      <c r="L184" s="152">
        <f>J184*K184*(F184/1000)</f>
        <v>10500</v>
      </c>
    </row>
    <row r="185" spans="1:12" x14ac:dyDescent="0.2">
      <c r="A185" s="78" t="str">
        <f>+A181</f>
        <v>58E &amp; 59E</v>
      </c>
      <c r="C185" s="18" t="s">
        <v>84</v>
      </c>
      <c r="D185" s="18" t="s">
        <v>80</v>
      </c>
      <c r="E185" s="16" t="s">
        <v>1231</v>
      </c>
      <c r="F185" s="47">
        <v>400</v>
      </c>
      <c r="G185" s="16" t="s">
        <v>540</v>
      </c>
      <c r="H185" s="2" t="s">
        <v>123</v>
      </c>
      <c r="I185" s="594">
        <v>480</v>
      </c>
      <c r="J185" s="151">
        <f>ROUND(I185/12,0)</f>
        <v>40</v>
      </c>
      <c r="K185" s="2">
        <v>4200</v>
      </c>
      <c r="L185" s="152">
        <f>J185*K185*(F185/1000)</f>
        <v>67200</v>
      </c>
    </row>
    <row r="186" spans="1:12" x14ac:dyDescent="0.2">
      <c r="A186" s="78"/>
      <c r="C186" s="18"/>
      <c r="D186" s="18"/>
      <c r="E186" s="47"/>
      <c r="F186" s="47"/>
      <c r="G186" s="47"/>
      <c r="H186" s="2"/>
      <c r="I186" s="151"/>
      <c r="J186" s="151"/>
      <c r="K186" s="2"/>
      <c r="L186" s="152"/>
    </row>
    <row r="187" spans="1:12" x14ac:dyDescent="0.2">
      <c r="A187" s="78" t="s">
        <v>82</v>
      </c>
      <c r="B187" s="19" t="s">
        <v>926</v>
      </c>
      <c r="C187" s="22"/>
      <c r="D187" s="26" t="s">
        <v>117</v>
      </c>
      <c r="E187" s="14" t="s">
        <v>931</v>
      </c>
      <c r="F187" s="47">
        <v>15</v>
      </c>
      <c r="G187" s="16" t="s">
        <v>540</v>
      </c>
      <c r="H187" s="16" t="s">
        <v>123</v>
      </c>
      <c r="I187" s="594">
        <v>0</v>
      </c>
      <c r="J187" s="111">
        <f t="shared" ref="J187:J202" si="45">ROUND(I187/12,0)</f>
        <v>0</v>
      </c>
      <c r="K187" s="14">
        <v>4200</v>
      </c>
      <c r="L187" s="148">
        <f t="shared" ref="L187:L202" si="46">J187*K187*(F187/1000)</f>
        <v>0</v>
      </c>
    </row>
    <row r="188" spans="1:12" x14ac:dyDescent="0.2">
      <c r="A188" s="78" t="s">
        <v>82</v>
      </c>
      <c r="C188" s="18"/>
      <c r="D188" s="18" t="s">
        <v>117</v>
      </c>
      <c r="E188" s="16" t="s">
        <v>539</v>
      </c>
      <c r="F188" s="47">
        <v>45</v>
      </c>
      <c r="G188" s="16" t="s">
        <v>540</v>
      </c>
      <c r="H188" s="2" t="s">
        <v>123</v>
      </c>
      <c r="I188" s="594">
        <v>34</v>
      </c>
      <c r="J188" s="151">
        <f t="shared" si="45"/>
        <v>3</v>
      </c>
      <c r="K188" s="2">
        <v>4200</v>
      </c>
      <c r="L188" s="152">
        <f t="shared" si="46"/>
        <v>567</v>
      </c>
    </row>
    <row r="189" spans="1:12" x14ac:dyDescent="0.2">
      <c r="A189" s="78" t="str">
        <f t="shared" ref="A189:A202" si="47">A188</f>
        <v>58E &amp; 59E</v>
      </c>
      <c r="C189" s="18"/>
      <c r="D189" s="18" t="s">
        <v>117</v>
      </c>
      <c r="E189" s="16" t="s">
        <v>543</v>
      </c>
      <c r="F189" s="47">
        <v>75</v>
      </c>
      <c r="G189" s="16" t="s">
        <v>540</v>
      </c>
      <c r="H189" s="2" t="s">
        <v>123</v>
      </c>
      <c r="I189" s="594">
        <v>601</v>
      </c>
      <c r="J189" s="151">
        <f t="shared" si="45"/>
        <v>50</v>
      </c>
      <c r="K189" s="2">
        <v>4200</v>
      </c>
      <c r="L189" s="152">
        <f t="shared" si="46"/>
        <v>15750</v>
      </c>
    </row>
    <row r="190" spans="1:12" x14ac:dyDescent="0.2">
      <c r="A190" s="78" t="str">
        <f t="shared" si="47"/>
        <v>58E &amp; 59E</v>
      </c>
      <c r="C190" s="18"/>
      <c r="D190" s="18" t="s">
        <v>117</v>
      </c>
      <c r="E190" s="16" t="s">
        <v>544</v>
      </c>
      <c r="F190" s="47">
        <v>105</v>
      </c>
      <c r="G190" s="16" t="s">
        <v>540</v>
      </c>
      <c r="H190" s="2" t="s">
        <v>123</v>
      </c>
      <c r="I190" s="594">
        <v>184</v>
      </c>
      <c r="J190" s="151">
        <f t="shared" si="45"/>
        <v>15</v>
      </c>
      <c r="K190" s="2">
        <v>4200</v>
      </c>
      <c r="L190" s="152">
        <f t="shared" si="46"/>
        <v>6615</v>
      </c>
    </row>
    <row r="191" spans="1:12" x14ac:dyDescent="0.2">
      <c r="A191" s="78" t="str">
        <f t="shared" si="47"/>
        <v>58E &amp; 59E</v>
      </c>
      <c r="C191" s="18"/>
      <c r="D191" s="18" t="s">
        <v>117</v>
      </c>
      <c r="E191" s="16" t="s">
        <v>545</v>
      </c>
      <c r="F191" s="47">
        <v>135</v>
      </c>
      <c r="G191" s="16" t="s">
        <v>540</v>
      </c>
      <c r="H191" s="2" t="s">
        <v>123</v>
      </c>
      <c r="I191" s="594">
        <v>1131</v>
      </c>
      <c r="J191" s="151">
        <f t="shared" si="45"/>
        <v>94</v>
      </c>
      <c r="K191" s="2">
        <v>4200</v>
      </c>
      <c r="L191" s="152">
        <f t="shared" si="46"/>
        <v>53298</v>
      </c>
    </row>
    <row r="192" spans="1:12" x14ac:dyDescent="0.2">
      <c r="A192" s="78" t="str">
        <f t="shared" si="47"/>
        <v>58E &amp; 59E</v>
      </c>
      <c r="C192" s="18"/>
      <c r="D192" s="18" t="s">
        <v>117</v>
      </c>
      <c r="E192" s="16" t="s">
        <v>546</v>
      </c>
      <c r="F192" s="47">
        <v>165</v>
      </c>
      <c r="G192" s="16" t="s">
        <v>540</v>
      </c>
      <c r="H192" s="2" t="s">
        <v>123</v>
      </c>
      <c r="I192" s="594">
        <v>131</v>
      </c>
      <c r="J192" s="151">
        <f t="shared" si="45"/>
        <v>11</v>
      </c>
      <c r="K192" s="2">
        <v>4200</v>
      </c>
      <c r="L192" s="152">
        <f t="shared" si="46"/>
        <v>7623</v>
      </c>
    </row>
    <row r="193" spans="1:12" x14ac:dyDescent="0.2">
      <c r="A193" s="78" t="str">
        <f t="shared" si="47"/>
        <v>58E &amp; 59E</v>
      </c>
      <c r="C193" s="18"/>
      <c r="D193" s="18" t="s">
        <v>117</v>
      </c>
      <c r="E193" s="16" t="s">
        <v>547</v>
      </c>
      <c r="F193" s="47">
        <v>195</v>
      </c>
      <c r="G193" s="16" t="s">
        <v>540</v>
      </c>
      <c r="H193" s="2" t="s">
        <v>123</v>
      </c>
      <c r="I193" s="111">
        <v>0</v>
      </c>
      <c r="J193" s="151">
        <f t="shared" si="45"/>
        <v>0</v>
      </c>
      <c r="K193" s="2">
        <v>4200</v>
      </c>
      <c r="L193" s="152">
        <f t="shared" si="46"/>
        <v>0</v>
      </c>
    </row>
    <row r="194" spans="1:12" x14ac:dyDescent="0.2">
      <c r="A194" s="78" t="str">
        <f t="shared" si="47"/>
        <v>58E &amp; 59E</v>
      </c>
      <c r="C194" s="18"/>
      <c r="D194" s="18" t="s">
        <v>117</v>
      </c>
      <c r="E194" s="16" t="s">
        <v>576</v>
      </c>
      <c r="F194" s="47">
        <v>225</v>
      </c>
      <c r="G194" s="16" t="s">
        <v>540</v>
      </c>
      <c r="H194" s="2" t="s">
        <v>123</v>
      </c>
      <c r="I194" s="594">
        <v>121</v>
      </c>
      <c r="J194" s="151">
        <f t="shared" si="45"/>
        <v>10</v>
      </c>
      <c r="K194" s="2">
        <v>4200</v>
      </c>
      <c r="L194" s="152">
        <f t="shared" si="46"/>
        <v>9450</v>
      </c>
    </row>
    <row r="195" spans="1:12" x14ac:dyDescent="0.2">
      <c r="A195" s="78" t="str">
        <f t="shared" si="47"/>
        <v>58E &amp; 59E</v>
      </c>
      <c r="C195" s="18"/>
      <c r="D195" s="18" t="s">
        <v>117</v>
      </c>
      <c r="E195" s="16" t="s">
        <v>548</v>
      </c>
      <c r="F195" s="47">
        <v>255</v>
      </c>
      <c r="G195" s="16" t="s">
        <v>540</v>
      </c>
      <c r="H195" s="2" t="s">
        <v>123</v>
      </c>
      <c r="I195" s="594">
        <v>269</v>
      </c>
      <c r="J195" s="151">
        <f t="shared" si="45"/>
        <v>22</v>
      </c>
      <c r="K195" s="2">
        <v>4200</v>
      </c>
      <c r="L195" s="152">
        <f t="shared" si="46"/>
        <v>23562</v>
      </c>
    </row>
    <row r="196" spans="1:12" x14ac:dyDescent="0.2">
      <c r="A196" s="78" t="str">
        <f t="shared" si="47"/>
        <v>58E &amp; 59E</v>
      </c>
      <c r="C196" s="18"/>
      <c r="D196" s="18" t="s">
        <v>117</v>
      </c>
      <c r="E196" s="16" t="s">
        <v>549</v>
      </c>
      <c r="F196" s="47">
        <v>285</v>
      </c>
      <c r="G196" s="16" t="s">
        <v>540</v>
      </c>
      <c r="H196" s="2" t="s">
        <v>123</v>
      </c>
      <c r="I196" s="111">
        <v>0</v>
      </c>
      <c r="J196" s="151">
        <f t="shared" si="45"/>
        <v>0</v>
      </c>
      <c r="K196" s="2">
        <v>4200</v>
      </c>
      <c r="L196" s="152">
        <f t="shared" si="46"/>
        <v>0</v>
      </c>
    </row>
    <row r="197" spans="1:12" x14ac:dyDescent="0.2">
      <c r="A197" s="78" t="str">
        <f t="shared" si="47"/>
        <v>58E &amp; 59E</v>
      </c>
      <c r="C197" s="18"/>
      <c r="D197" s="18" t="s">
        <v>117</v>
      </c>
      <c r="E197" s="16" t="s">
        <v>579</v>
      </c>
      <c r="F197" s="47">
        <v>350</v>
      </c>
      <c r="G197" s="16" t="s">
        <v>540</v>
      </c>
      <c r="H197" s="2" t="s">
        <v>123</v>
      </c>
      <c r="I197" s="111">
        <v>0</v>
      </c>
      <c r="J197" s="151">
        <f t="shared" si="45"/>
        <v>0</v>
      </c>
      <c r="K197" s="2">
        <v>4200</v>
      </c>
      <c r="L197" s="152">
        <f t="shared" si="46"/>
        <v>0</v>
      </c>
    </row>
    <row r="198" spans="1:12" x14ac:dyDescent="0.2">
      <c r="A198" s="78" t="str">
        <f t="shared" si="47"/>
        <v>58E &amp; 59E</v>
      </c>
      <c r="C198" s="18"/>
      <c r="D198" s="18" t="s">
        <v>117</v>
      </c>
      <c r="E198" s="16" t="s">
        <v>580</v>
      </c>
      <c r="F198" s="47">
        <v>450</v>
      </c>
      <c r="G198" s="16" t="s">
        <v>540</v>
      </c>
      <c r="H198" s="2" t="s">
        <v>123</v>
      </c>
      <c r="I198" s="111">
        <v>0</v>
      </c>
      <c r="J198" s="151">
        <f t="shared" si="45"/>
        <v>0</v>
      </c>
      <c r="K198" s="2">
        <v>4200</v>
      </c>
      <c r="L198" s="152">
        <f t="shared" si="46"/>
        <v>0</v>
      </c>
    </row>
    <row r="199" spans="1:12" x14ac:dyDescent="0.2">
      <c r="A199" s="78" t="str">
        <f t="shared" si="47"/>
        <v>58E &amp; 59E</v>
      </c>
      <c r="C199" s="18"/>
      <c r="D199" s="18" t="s">
        <v>117</v>
      </c>
      <c r="E199" s="16" t="s">
        <v>581</v>
      </c>
      <c r="F199" s="47">
        <v>550</v>
      </c>
      <c r="G199" s="16" t="s">
        <v>540</v>
      </c>
      <c r="H199" s="2" t="s">
        <v>123</v>
      </c>
      <c r="I199" s="111">
        <v>0</v>
      </c>
      <c r="J199" s="151">
        <f t="shared" si="45"/>
        <v>0</v>
      </c>
      <c r="K199" s="2">
        <v>4200</v>
      </c>
      <c r="L199" s="152">
        <f t="shared" si="46"/>
        <v>0</v>
      </c>
    </row>
    <row r="200" spans="1:12" x14ac:dyDescent="0.2">
      <c r="A200" s="78" t="str">
        <f t="shared" si="47"/>
        <v>58E &amp; 59E</v>
      </c>
      <c r="C200" s="18"/>
      <c r="D200" s="18" t="s">
        <v>117</v>
      </c>
      <c r="E200" s="16" t="s">
        <v>582</v>
      </c>
      <c r="F200" s="47">
        <v>650</v>
      </c>
      <c r="G200" s="16" t="s">
        <v>540</v>
      </c>
      <c r="H200" s="2" t="s">
        <v>123</v>
      </c>
      <c r="I200" s="111">
        <v>0</v>
      </c>
      <c r="J200" s="151">
        <f t="shared" si="45"/>
        <v>0</v>
      </c>
      <c r="K200" s="2">
        <v>4200</v>
      </c>
      <c r="L200" s="152">
        <f t="shared" si="46"/>
        <v>0</v>
      </c>
    </row>
    <row r="201" spans="1:12" x14ac:dyDescent="0.2">
      <c r="A201" s="78" t="str">
        <f t="shared" si="47"/>
        <v>58E &amp; 59E</v>
      </c>
      <c r="C201" s="18"/>
      <c r="D201" s="18" t="s">
        <v>117</v>
      </c>
      <c r="E201" s="16" t="s">
        <v>583</v>
      </c>
      <c r="F201" s="47">
        <v>750</v>
      </c>
      <c r="G201" s="16" t="s">
        <v>540</v>
      </c>
      <c r="H201" s="2" t="s">
        <v>123</v>
      </c>
      <c r="I201" s="111">
        <v>0</v>
      </c>
      <c r="J201" s="151">
        <f t="shared" si="45"/>
        <v>0</v>
      </c>
      <c r="K201" s="2">
        <v>4200</v>
      </c>
      <c r="L201" s="152">
        <f t="shared" si="46"/>
        <v>0</v>
      </c>
    </row>
    <row r="202" spans="1:12" x14ac:dyDescent="0.2">
      <c r="A202" s="78" t="str">
        <f t="shared" si="47"/>
        <v>58E &amp; 59E</v>
      </c>
      <c r="C202" s="18"/>
      <c r="D202" s="18" t="s">
        <v>117</v>
      </c>
      <c r="E202" s="16" t="s">
        <v>584</v>
      </c>
      <c r="F202" s="47">
        <v>850</v>
      </c>
      <c r="G202" s="16" t="s">
        <v>540</v>
      </c>
      <c r="H202" s="2" t="s">
        <v>123</v>
      </c>
      <c r="I202" s="111">
        <v>0</v>
      </c>
      <c r="J202" s="151">
        <f t="shared" si="45"/>
        <v>0</v>
      </c>
      <c r="K202" s="2">
        <v>4200</v>
      </c>
      <c r="L202" s="152">
        <f t="shared" si="46"/>
        <v>0</v>
      </c>
    </row>
    <row r="203" spans="1:12" x14ac:dyDescent="0.2">
      <c r="A203" s="438" t="s">
        <v>247</v>
      </c>
      <c r="B203" s="583"/>
      <c r="C203" s="589"/>
      <c r="D203" s="590"/>
      <c r="E203" s="591"/>
      <c r="F203" s="591"/>
      <c r="G203" s="591"/>
      <c r="H203" s="590"/>
      <c r="I203" s="584"/>
      <c r="J203" s="584"/>
      <c r="K203" s="591"/>
      <c r="L203" s="585"/>
    </row>
    <row r="204" spans="1:12" x14ac:dyDescent="0.2">
      <c r="A204" s="14" t="s">
        <v>62</v>
      </c>
      <c r="C204" s="19" t="s">
        <v>248</v>
      </c>
      <c r="D204" s="18" t="s">
        <v>249</v>
      </c>
      <c r="E204" s="16" t="s">
        <v>645</v>
      </c>
      <c r="F204" s="598">
        <v>935514.08333333337</v>
      </c>
      <c r="G204" s="16" t="s">
        <v>540</v>
      </c>
      <c r="H204" s="2" t="s">
        <v>18</v>
      </c>
      <c r="I204" s="151">
        <v>1</v>
      </c>
      <c r="J204" s="151">
        <f>I204</f>
        <v>1</v>
      </c>
      <c r="K204" s="2">
        <v>8760</v>
      </c>
      <c r="L204" s="160">
        <f>J204*K204*(F204/1000)</f>
        <v>8195103.3700000001</v>
      </c>
    </row>
    <row r="205" spans="1:12" x14ac:dyDescent="0.2">
      <c r="A205" s="438" t="s">
        <v>165</v>
      </c>
      <c r="B205" s="583"/>
      <c r="C205" s="589"/>
      <c r="D205" s="590"/>
      <c r="E205" s="591"/>
      <c r="F205" s="591"/>
      <c r="G205" s="591"/>
      <c r="H205" s="590"/>
      <c r="I205" s="584"/>
      <c r="J205" s="584"/>
      <c r="K205" s="591"/>
      <c r="L205" s="585"/>
    </row>
    <row r="206" spans="1:12" x14ac:dyDescent="0.2">
      <c r="A206" s="77" t="s">
        <v>164</v>
      </c>
      <c r="B206" s="21"/>
      <c r="C206" s="18" t="s">
        <v>167</v>
      </c>
      <c r="D206" s="18" t="s">
        <v>168</v>
      </c>
      <c r="E206" s="16" t="s">
        <v>167</v>
      </c>
      <c r="F206" s="47">
        <v>0</v>
      </c>
      <c r="G206" s="2" t="s">
        <v>123</v>
      </c>
      <c r="H206" s="2" t="s">
        <v>123</v>
      </c>
      <c r="I206" s="594">
        <v>7340</v>
      </c>
      <c r="J206" s="151">
        <f>ROUND(I206/12,0)</f>
        <v>612</v>
      </c>
      <c r="K206" s="2">
        <v>4200</v>
      </c>
      <c r="L206" s="152">
        <f>J206*K206*(F206/1000)</f>
        <v>0</v>
      </c>
    </row>
    <row r="207" spans="1:12" x14ac:dyDescent="0.2">
      <c r="A207" s="77" t="s">
        <v>164</v>
      </c>
      <c r="C207" s="18" t="s">
        <v>166</v>
      </c>
      <c r="D207" s="18" t="s">
        <v>168</v>
      </c>
      <c r="E207" s="16" t="s">
        <v>166</v>
      </c>
      <c r="F207" s="47">
        <v>0</v>
      </c>
      <c r="G207" s="2" t="s">
        <v>123</v>
      </c>
      <c r="H207" s="2" t="s">
        <v>123</v>
      </c>
      <c r="I207" s="594">
        <v>4085</v>
      </c>
      <c r="J207" s="151">
        <f>ROUND(I207/12,0)</f>
        <v>340</v>
      </c>
      <c r="K207" s="2">
        <v>4200</v>
      </c>
      <c r="L207" s="152">
        <f>J207*K207*(F207/1000)</f>
        <v>0</v>
      </c>
    </row>
    <row r="208" spans="1:12" x14ac:dyDescent="0.2">
      <c r="A208" s="77"/>
      <c r="B208" s="21"/>
      <c r="E208" s="16"/>
      <c r="G208" s="2"/>
      <c r="I208" s="151"/>
      <c r="J208" s="151"/>
      <c r="K208" s="2"/>
      <c r="L208" s="152">
        <f>J208*K208*(F208/1000)</f>
        <v>0</v>
      </c>
    </row>
    <row r="209" spans="1:12" x14ac:dyDescent="0.2">
      <c r="A209" s="77" t="s">
        <v>163</v>
      </c>
      <c r="B209" s="21"/>
      <c r="C209" s="18" t="s">
        <v>167</v>
      </c>
      <c r="D209" s="18" t="s">
        <v>168</v>
      </c>
      <c r="E209" s="16" t="s">
        <v>167</v>
      </c>
      <c r="F209" s="47">
        <v>0</v>
      </c>
      <c r="G209" s="2" t="s">
        <v>540</v>
      </c>
      <c r="H209" s="2" t="s">
        <v>123</v>
      </c>
      <c r="I209" s="594">
        <v>107</v>
      </c>
      <c r="J209" s="151">
        <f>ROUND(I209/12,0)</f>
        <v>9</v>
      </c>
      <c r="K209" s="2">
        <v>4200</v>
      </c>
      <c r="L209" s="152">
        <f>J209*K209*(F209/1000)</f>
        <v>0</v>
      </c>
    </row>
    <row r="210" spans="1:12" x14ac:dyDescent="0.2">
      <c r="A210" s="592" t="s">
        <v>163</v>
      </c>
      <c r="B210" s="298"/>
      <c r="C210" s="56" t="s">
        <v>166</v>
      </c>
      <c r="D210" s="56" t="s">
        <v>168</v>
      </c>
      <c r="E210" s="599" t="s">
        <v>166</v>
      </c>
      <c r="F210" s="55">
        <v>0</v>
      </c>
      <c r="G210" s="1" t="s">
        <v>540</v>
      </c>
      <c r="H210" s="1" t="s">
        <v>123</v>
      </c>
      <c r="I210" s="153">
        <v>1869</v>
      </c>
      <c r="J210" s="153">
        <f>ROUND(I210/12,0)</f>
        <v>156</v>
      </c>
      <c r="K210" s="1">
        <v>4200</v>
      </c>
      <c r="L210" s="154">
        <f>J210*K210*(F210/1000)</f>
        <v>0</v>
      </c>
    </row>
    <row r="211" spans="1:12" ht="10.8" thickBot="1" x14ac:dyDescent="0.25">
      <c r="C211" s="18"/>
      <c r="D211" s="18"/>
      <c r="E211" s="16"/>
      <c r="F211" s="47"/>
      <c r="G211" s="2"/>
      <c r="H211" s="2"/>
      <c r="I211" s="161">
        <f>SUM(I8:I210)</f>
        <v>1440311</v>
      </c>
      <c r="J211" s="161">
        <f>SUM(J8:J210)</f>
        <v>120029</v>
      </c>
      <c r="K211" s="59"/>
      <c r="L211" s="59"/>
    </row>
    <row r="212" spans="1:12" ht="10.8" thickTop="1" x14ac:dyDescent="0.2">
      <c r="H212" s="14" t="s">
        <v>552</v>
      </c>
      <c r="I212" s="399">
        <v>0</v>
      </c>
    </row>
    <row r="213" spans="1:12" ht="15.75" customHeight="1" x14ac:dyDescent="0.3">
      <c r="A213" s="804" t="s">
        <v>692</v>
      </c>
      <c r="B213" s="804"/>
      <c r="C213" s="805"/>
      <c r="D213" s="805"/>
      <c r="E213" s="805"/>
      <c r="F213" s="805"/>
      <c r="G213" s="805"/>
      <c r="H213" s="805"/>
      <c r="I213" s="805"/>
      <c r="J213" s="746"/>
      <c r="K213" s="746"/>
      <c r="L213" s="746"/>
    </row>
  </sheetData>
  <mergeCells count="6">
    <mergeCell ref="A213:L213"/>
    <mergeCell ref="A1:I1"/>
    <mergeCell ref="A5:I5"/>
    <mergeCell ref="A4:I4"/>
    <mergeCell ref="A3:I3"/>
    <mergeCell ref="A2:I2"/>
  </mergeCells>
  <pageMargins left="0.7" right="0.7" top="0.75" bottom="0.75" header="0.3" footer="0.3"/>
  <pageSetup scale="79" fitToHeight="10" orientation="landscape" r:id="rId1"/>
  <headerFooter>
    <oddFooter>&amp;R&amp;F
&amp;A
&amp;P of &amp;N</oddFoot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Y279"/>
  <sheetViews>
    <sheetView topLeftCell="K1" zoomScaleNormal="100" workbookViewId="0">
      <pane ySplit="8" topLeftCell="A9" activePane="bottomLeft" state="frozen"/>
      <selection activeCell="G42" sqref="G42"/>
      <selection pane="bottomLeft" activeCell="AJ21" sqref="AJ21"/>
    </sheetView>
  </sheetViews>
  <sheetFormatPr defaultColWidth="10" defaultRowHeight="10.199999999999999" x14ac:dyDescent="0.2"/>
  <cols>
    <col min="1" max="1" width="51.6640625" style="177" bestFit="1" customWidth="1"/>
    <col min="2" max="2" width="10.44140625" style="177" customWidth="1"/>
    <col min="3" max="3" width="9.5546875" style="177" bestFit="1" customWidth="1"/>
    <col min="4" max="4" width="10.6640625" style="177" bestFit="1" customWidth="1"/>
    <col min="5" max="5" width="9.5546875" style="177" bestFit="1" customWidth="1"/>
    <col min="6" max="6" width="10.5546875" style="177" customWidth="1"/>
    <col min="7" max="7" width="0.6640625" style="177" customWidth="1"/>
    <col min="8" max="9" width="10.44140625" style="177" bestFit="1" customWidth="1"/>
    <col min="10" max="10" width="9.5546875" style="177" bestFit="1" customWidth="1"/>
    <col min="11" max="11" width="0.88671875" style="177" customWidth="1"/>
    <col min="12" max="13" width="10.88671875" style="177" bestFit="1" customWidth="1"/>
    <col min="14" max="14" width="9.109375" style="177" bestFit="1" customWidth="1"/>
    <col min="15" max="15" width="0.88671875" style="177" customWidth="1"/>
    <col min="16" max="16" width="10.109375" style="177" bestFit="1" customWidth="1"/>
    <col min="17" max="17" width="10.88671875" style="177" bestFit="1" customWidth="1"/>
    <col min="18" max="18" width="11" style="177" customWidth="1"/>
    <col min="19" max="19" width="0.88671875" style="177" customWidth="1"/>
    <col min="20" max="20" width="10" style="177"/>
    <col min="21" max="21" width="0.88671875" style="177" customWidth="1"/>
    <col min="22" max="22" width="24.88671875" style="177" bestFit="1" customWidth="1"/>
    <col min="23" max="24" width="12.88671875" style="177" bestFit="1" customWidth="1"/>
    <col min="25" max="25" width="0.88671875" style="177" customWidth="1"/>
    <col min="26" max="26" width="9.33203125" style="177" bestFit="1" customWidth="1"/>
    <col min="27" max="27" width="10" style="177"/>
    <col min="28" max="28" width="0.88671875" style="177" customWidth="1"/>
    <col min="29" max="30" width="10.6640625" style="177" bestFit="1" customWidth="1"/>
    <col min="31" max="31" width="1" style="177" customWidth="1"/>
    <col min="32" max="33" width="10" style="177"/>
    <col min="34" max="34" width="0.88671875" style="177" customWidth="1"/>
    <col min="35" max="35" width="10" style="177"/>
    <col min="36" max="36" width="10" style="177" customWidth="1"/>
    <col min="37" max="37" width="1" style="177" customWidth="1"/>
    <col min="38" max="39" width="10" style="177"/>
    <col min="40" max="40" width="0.88671875" style="177" customWidth="1"/>
    <col min="41" max="41" width="12" style="177" bestFit="1" customWidth="1"/>
    <col min="42" max="42" width="12" style="177" customWidth="1"/>
    <col min="43" max="43" width="0.88671875" style="177" customWidth="1"/>
    <col min="44" max="45" width="10" style="177"/>
    <col min="46" max="46" width="1" style="177" customWidth="1"/>
    <col min="47" max="48" width="12" style="177" bestFit="1" customWidth="1"/>
    <col min="49" max="49" width="1.109375" style="177" customWidth="1"/>
    <col min="50" max="16384" width="10" style="177"/>
  </cols>
  <sheetData>
    <row r="1" spans="1:51" ht="14.4" x14ac:dyDescent="0.3">
      <c r="A1" s="729" t="str">
        <f>'Schedules 55E &amp; 58E Pole'!A1:M1</f>
        <v>Puget Sound Energy</v>
      </c>
      <c r="B1" s="729"/>
      <c r="C1" s="729"/>
      <c r="D1" s="729"/>
      <c r="E1" s="729"/>
      <c r="F1" s="729"/>
      <c r="G1" s="729"/>
      <c r="H1" s="729"/>
      <c r="I1" s="746"/>
      <c r="J1" s="746"/>
      <c r="K1" s="746"/>
      <c r="L1" s="746"/>
      <c r="M1" s="746"/>
      <c r="N1" s="746"/>
      <c r="O1" s="746"/>
      <c r="P1" s="746"/>
      <c r="Q1" s="746"/>
      <c r="R1" s="746"/>
    </row>
    <row r="2" spans="1:51" ht="14.4" x14ac:dyDescent="0.3">
      <c r="A2" s="729" t="s">
        <v>718</v>
      </c>
      <c r="B2" s="729"/>
      <c r="C2" s="729"/>
      <c r="D2" s="729"/>
      <c r="E2" s="729"/>
      <c r="F2" s="729"/>
      <c r="G2" s="729"/>
      <c r="H2" s="729"/>
      <c r="I2" s="746"/>
      <c r="J2" s="746"/>
      <c r="K2" s="746"/>
      <c r="L2" s="746"/>
      <c r="M2" s="746"/>
      <c r="N2" s="746"/>
      <c r="O2" s="746"/>
      <c r="P2" s="746"/>
      <c r="Q2" s="746"/>
      <c r="R2" s="746"/>
    </row>
    <row r="3" spans="1:51" ht="14.4" x14ac:dyDescent="0.3">
      <c r="A3" s="729" t="s">
        <v>717</v>
      </c>
      <c r="B3" s="729"/>
      <c r="C3" s="729"/>
      <c r="D3" s="729"/>
      <c r="E3" s="729"/>
      <c r="F3" s="729"/>
      <c r="G3" s="729"/>
      <c r="H3" s="729"/>
      <c r="I3" s="746"/>
      <c r="J3" s="746"/>
      <c r="K3" s="746"/>
      <c r="L3" s="746"/>
      <c r="M3" s="746"/>
      <c r="N3" s="746"/>
      <c r="O3" s="746"/>
      <c r="P3" s="746"/>
      <c r="Q3" s="746"/>
      <c r="R3" s="746"/>
    </row>
    <row r="4" spans="1:51" ht="14.4" x14ac:dyDescent="0.3">
      <c r="A4" s="729" t="str">
        <f>'Schedules 55E &amp; 58E Pole'!A3:M3</f>
        <v>2022 General Rate Case (GRC)</v>
      </c>
      <c r="B4" s="729"/>
      <c r="C4" s="729"/>
      <c r="D4" s="729"/>
      <c r="E4" s="729"/>
      <c r="F4" s="729"/>
      <c r="G4" s="729"/>
      <c r="H4" s="729"/>
      <c r="I4" s="746"/>
      <c r="J4" s="746"/>
      <c r="K4" s="746"/>
      <c r="L4" s="746"/>
      <c r="M4" s="746"/>
      <c r="N4" s="746"/>
      <c r="O4" s="746"/>
      <c r="P4" s="746"/>
      <c r="Q4" s="746"/>
      <c r="R4" s="746"/>
    </row>
    <row r="5" spans="1:51" ht="15" thickBot="1" x14ac:dyDescent="0.35">
      <c r="A5" s="729" t="str">
        <f>'Schedules 55E &amp; 58E Pole'!A4:M4</f>
        <v>Test Year Ending June 30, 2021</v>
      </c>
      <c r="B5" s="729"/>
      <c r="C5" s="729"/>
      <c r="D5" s="729"/>
      <c r="E5" s="729"/>
      <c r="F5" s="729"/>
      <c r="G5" s="729"/>
      <c r="H5" s="729"/>
      <c r="I5" s="746"/>
      <c r="J5" s="746"/>
      <c r="K5" s="746"/>
      <c r="L5" s="746"/>
      <c r="M5" s="746"/>
      <c r="N5" s="746"/>
      <c r="O5" s="746"/>
      <c r="P5" s="746"/>
      <c r="Q5" s="746"/>
      <c r="R5" s="746"/>
    </row>
    <row r="6" spans="1:51" x14ac:dyDescent="0.2">
      <c r="A6" s="212"/>
      <c r="B6" s="219"/>
      <c r="C6" s="212"/>
      <c r="E6" s="212"/>
      <c r="F6" s="216"/>
      <c r="G6" s="216"/>
      <c r="H6" s="218"/>
      <c r="I6" s="218"/>
      <c r="J6" s="218"/>
      <c r="T6" s="463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1"/>
    </row>
    <row r="7" spans="1:51" x14ac:dyDescent="0.2">
      <c r="A7" s="212"/>
      <c r="B7" s="217"/>
      <c r="C7" s="212"/>
      <c r="E7" s="212"/>
      <c r="F7" s="216"/>
      <c r="G7" s="216"/>
      <c r="H7" s="748" t="s">
        <v>664</v>
      </c>
      <c r="I7" s="749"/>
      <c r="J7" s="741"/>
      <c r="L7" s="748" t="s">
        <v>720</v>
      </c>
      <c r="M7" s="749"/>
      <c r="N7" s="741"/>
      <c r="P7" s="748" t="s">
        <v>721</v>
      </c>
      <c r="Q7" s="750"/>
      <c r="R7" s="751"/>
      <c r="T7" s="415"/>
      <c r="U7" s="244"/>
      <c r="V7" s="244"/>
      <c r="W7" s="748" t="s">
        <v>710</v>
      </c>
      <c r="X7" s="751"/>
      <c r="Y7" s="244"/>
      <c r="Z7" s="748" t="s">
        <v>1157</v>
      </c>
      <c r="AA7" s="751"/>
      <c r="AB7" s="244"/>
      <c r="AC7" s="748" t="s">
        <v>710</v>
      </c>
      <c r="AD7" s="751"/>
      <c r="AE7" s="244"/>
      <c r="AF7" s="748" t="s">
        <v>1157</v>
      </c>
      <c r="AG7" s="751"/>
      <c r="AH7" s="244"/>
      <c r="AI7" s="748" t="s">
        <v>710</v>
      </c>
      <c r="AJ7" s="751"/>
      <c r="AK7" s="244"/>
      <c r="AL7" s="748" t="s">
        <v>1157</v>
      </c>
      <c r="AM7" s="751"/>
      <c r="AN7" s="244"/>
      <c r="AO7" s="748" t="s">
        <v>710</v>
      </c>
      <c r="AP7" s="751"/>
      <c r="AQ7" s="244"/>
      <c r="AR7" s="748" t="s">
        <v>1157</v>
      </c>
      <c r="AS7" s="751"/>
      <c r="AT7" s="244"/>
      <c r="AU7" s="748" t="s">
        <v>710</v>
      </c>
      <c r="AV7" s="751"/>
      <c r="AW7" s="244"/>
      <c r="AX7" s="748" t="s">
        <v>1157</v>
      </c>
      <c r="AY7" s="754"/>
    </row>
    <row r="8" spans="1:51" ht="40.799999999999997" x14ac:dyDescent="0.2">
      <c r="A8" s="212"/>
      <c r="B8" s="215" t="s">
        <v>870</v>
      </c>
      <c r="C8" s="740" t="s">
        <v>719</v>
      </c>
      <c r="D8" s="741"/>
      <c r="E8" s="742" t="s">
        <v>1044</v>
      </c>
      <c r="F8" s="743"/>
      <c r="G8" s="214"/>
      <c r="H8" s="213" t="s">
        <v>724</v>
      </c>
      <c r="I8" s="213" t="s">
        <v>725</v>
      </c>
      <c r="J8" s="213" t="s">
        <v>726</v>
      </c>
      <c r="K8" s="258"/>
      <c r="L8" s="213" t="s">
        <v>724</v>
      </c>
      <c r="M8" s="213" t="s">
        <v>725</v>
      </c>
      <c r="N8" s="213" t="s">
        <v>726</v>
      </c>
      <c r="O8" s="258"/>
      <c r="P8" s="213" t="s">
        <v>727</v>
      </c>
      <c r="Q8" s="213" t="s">
        <v>728</v>
      </c>
      <c r="R8" s="213" t="s">
        <v>729</v>
      </c>
      <c r="T8" s="691" t="s">
        <v>1158</v>
      </c>
      <c r="U8" s="244"/>
      <c r="V8" s="244"/>
      <c r="W8" s="686" t="s">
        <v>1171</v>
      </c>
      <c r="X8" s="686" t="s">
        <v>1172</v>
      </c>
      <c r="Y8" s="244"/>
      <c r="Z8" s="686" t="s">
        <v>1171</v>
      </c>
      <c r="AA8" s="686" t="s">
        <v>1172</v>
      </c>
      <c r="AB8" s="244"/>
      <c r="AC8" s="686" t="s">
        <v>1159</v>
      </c>
      <c r="AD8" s="686" t="s">
        <v>1160</v>
      </c>
      <c r="AE8" s="686"/>
      <c r="AF8" s="686" t="s">
        <v>1159</v>
      </c>
      <c r="AG8" s="686" t="s">
        <v>1160</v>
      </c>
      <c r="AH8" s="244"/>
      <c r="AI8" s="686" t="s">
        <v>1173</v>
      </c>
      <c r="AJ8" s="686" t="s">
        <v>1174</v>
      </c>
      <c r="AK8" s="686"/>
      <c r="AL8" s="686" t="s">
        <v>1173</v>
      </c>
      <c r="AM8" s="686" t="s">
        <v>1174</v>
      </c>
      <c r="AN8" s="244"/>
      <c r="AO8" s="686" t="s">
        <v>1161</v>
      </c>
      <c r="AP8" s="686" t="s">
        <v>1162</v>
      </c>
      <c r="AQ8" s="686"/>
      <c r="AR8" s="686" t="s">
        <v>1161</v>
      </c>
      <c r="AS8" s="686" t="s">
        <v>1162</v>
      </c>
      <c r="AT8" s="244"/>
      <c r="AU8" s="686" t="s">
        <v>1163</v>
      </c>
      <c r="AV8" s="686" t="s">
        <v>1164</v>
      </c>
      <c r="AW8" s="686"/>
      <c r="AX8" s="686" t="s">
        <v>1163</v>
      </c>
      <c r="AY8" s="692" t="s">
        <v>1164</v>
      </c>
    </row>
    <row r="9" spans="1:51" x14ac:dyDescent="0.2">
      <c r="A9" s="193"/>
      <c r="B9" s="204"/>
      <c r="C9" s="210"/>
      <c r="D9" s="183"/>
      <c r="E9" s="210"/>
      <c r="F9" s="183"/>
      <c r="G9" s="183"/>
      <c r="T9" s="415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414"/>
    </row>
    <row r="10" spans="1:51" x14ac:dyDescent="0.2">
      <c r="A10" s="744" t="s">
        <v>730</v>
      </c>
      <c r="B10" s="744"/>
      <c r="C10" s="744"/>
      <c r="D10" s="744"/>
      <c r="E10" s="744"/>
      <c r="F10" s="744"/>
      <c r="G10" s="183"/>
      <c r="T10" s="415"/>
      <c r="U10" s="244"/>
      <c r="V10" s="693"/>
      <c r="W10" s="694"/>
      <c r="X10" s="694"/>
      <c r="Y10" s="244"/>
      <c r="Z10" s="244"/>
      <c r="AA10" s="244"/>
      <c r="AB10" s="244"/>
      <c r="AC10" s="694"/>
      <c r="AD10" s="694"/>
      <c r="AE10" s="244"/>
      <c r="AF10" s="244"/>
      <c r="AG10" s="244"/>
      <c r="AH10" s="244"/>
      <c r="AI10" s="694"/>
      <c r="AJ10" s="694"/>
      <c r="AK10" s="244"/>
      <c r="AL10" s="244"/>
      <c r="AM10" s="244"/>
      <c r="AN10" s="244"/>
      <c r="AO10" s="694"/>
      <c r="AP10" s="694"/>
      <c r="AQ10" s="244"/>
      <c r="AR10" s="244"/>
      <c r="AS10" s="244"/>
      <c r="AT10" s="244"/>
      <c r="AU10" s="694"/>
      <c r="AV10" s="694"/>
      <c r="AW10" s="244"/>
      <c r="AX10" s="244"/>
      <c r="AY10" s="414"/>
    </row>
    <row r="11" spans="1:51" x14ac:dyDescent="0.2">
      <c r="A11" s="193" t="str">
        <f>A28</f>
        <v>SCHEDULE 50</v>
      </c>
      <c r="B11" s="426">
        <f>'WP4 Customer Counts'!O9</f>
        <v>120</v>
      </c>
      <c r="C11" s="210"/>
      <c r="D11" s="183">
        <f>D45</f>
        <v>5814</v>
      </c>
      <c r="E11" s="210"/>
      <c r="F11" s="183">
        <f>F45</f>
        <v>5744</v>
      </c>
      <c r="G11" s="183"/>
      <c r="H11" s="426">
        <f t="shared" ref="H11:H19" si="0">SUM(I11:J11)</f>
        <v>53563</v>
      </c>
      <c r="I11" s="426">
        <f>B43</f>
        <v>53338</v>
      </c>
      <c r="J11" s="426">
        <f>B44</f>
        <v>225</v>
      </c>
      <c r="L11" s="183">
        <f t="shared" ref="L11:L19" si="1">SUM(M11:N11)</f>
        <v>5814</v>
      </c>
      <c r="M11" s="183">
        <f>D41</f>
        <v>5757</v>
      </c>
      <c r="N11" s="183">
        <f t="shared" ref="N11:N19" si="2">ROUND(J11/($J$20-$J$19)*$N$20,0)</f>
        <v>57</v>
      </c>
      <c r="P11" s="183">
        <f t="shared" ref="P11:P19" si="3">Q11-R11</f>
        <v>-13.199999999999818</v>
      </c>
      <c r="Q11" s="183">
        <f>F41</f>
        <v>5688</v>
      </c>
      <c r="R11" s="657">
        <f>SUM('BDJ-6 Base Revenue (Summary)'!$E$12:$E$14)</f>
        <v>5701.2</v>
      </c>
      <c r="T11" s="415">
        <f>ROUND(Q11/I11,6)</f>
        <v>0.106641</v>
      </c>
      <c r="U11" s="244"/>
      <c r="V11" s="693" t="s">
        <v>733</v>
      </c>
      <c r="W11" s="695">
        <f>SUM('BDJ-6 Base Revenue (Summary)'!F12:F14)</f>
        <v>8723.52</v>
      </c>
      <c r="X11" s="695">
        <f>SUM('BDJ-6 Base Revenue (Summary)'!R12:R14)</f>
        <v>9144.1200000000008</v>
      </c>
      <c r="Y11" s="244"/>
      <c r="Z11" s="244">
        <f t="shared" ref="Z11:AA18" si="4">ROUND(W11/$I11,6)</f>
        <v>0.163552</v>
      </c>
      <c r="AA11" s="244">
        <f t="shared" si="4"/>
        <v>0.17143700000000001</v>
      </c>
      <c r="AB11" s="244"/>
      <c r="AC11" s="695">
        <f>SUM('Sch 141A Lighting Tariff'!$I$10:$I$19)</f>
        <v>111.84</v>
      </c>
      <c r="AD11" s="695">
        <f>SUM('Sch 141A Lighting Tariff'!$M$10:$M$19)</f>
        <v>116.64</v>
      </c>
      <c r="AE11" s="244"/>
      <c r="AF11" s="244">
        <f t="shared" ref="AF11:AG18" si="5">ROUND(AC11/$I11,6)</f>
        <v>2.0969999999999999E-3</v>
      </c>
      <c r="AG11" s="244">
        <f t="shared" si="5"/>
        <v>2.1870000000000001E-3</v>
      </c>
      <c r="AH11" s="244"/>
      <c r="AI11" s="695">
        <f>SUM('Sch 141C Lighting Tariff'!$I$10:$I$19)</f>
        <v>29.280000000000005</v>
      </c>
      <c r="AJ11" s="695">
        <f>SUM('Sch 141C Lighting Tariff'!$M$10:$M$19)</f>
        <v>31.68</v>
      </c>
      <c r="AK11" s="244"/>
      <c r="AL11" s="244">
        <f t="shared" ref="AL11:AM18" si="6">ROUND(AI11/$I11,6)</f>
        <v>5.4900000000000001E-4</v>
      </c>
      <c r="AM11" s="244">
        <f t="shared" si="6"/>
        <v>5.9400000000000002E-4</v>
      </c>
      <c r="AN11" s="244"/>
      <c r="AO11" s="695">
        <f>SUM('Sch 141N Lighting Tariff'!$I$12:$I$21)</f>
        <v>2428.5600000000004</v>
      </c>
      <c r="AP11" s="695">
        <f>SUM('Sch 141N Lighting Tariff'!$M$12:$M$21)</f>
        <v>1688.6399999999999</v>
      </c>
      <c r="AQ11" s="244"/>
      <c r="AR11" s="244">
        <f t="shared" ref="AR11:AS18" si="7">ROUND(AO11/$I11,6)</f>
        <v>4.5532000000000003E-2</v>
      </c>
      <c r="AS11" s="244">
        <f t="shared" si="7"/>
        <v>3.1659E-2</v>
      </c>
      <c r="AT11" s="244"/>
      <c r="AU11" s="695">
        <f>SUM('Sch 141R Lighting Tariff'!$I$12:$I$21)</f>
        <v>452.64</v>
      </c>
      <c r="AV11" s="695">
        <f>SUM('Sch 141R Lighting Tariff'!$M$12:$M$21)</f>
        <v>1605.96</v>
      </c>
      <c r="AW11" s="244"/>
      <c r="AX11" s="244">
        <f t="shared" ref="AX11:AY18" si="8">ROUND(AU11/$I11,6)</f>
        <v>8.4860000000000005E-3</v>
      </c>
      <c r="AY11" s="414">
        <f t="shared" si="8"/>
        <v>3.0109E-2</v>
      </c>
    </row>
    <row r="12" spans="1:51" x14ac:dyDescent="0.2">
      <c r="A12" s="193" t="str">
        <f>A47</f>
        <v>SCHEDULE 51</v>
      </c>
      <c r="B12" s="426">
        <f>'WP4 Customer Counts'!O10</f>
        <v>13216</v>
      </c>
      <c r="C12" s="210"/>
      <c r="D12" s="183">
        <f>D67</f>
        <v>936796</v>
      </c>
      <c r="E12" s="210"/>
      <c r="F12" s="183">
        <f>F67</f>
        <v>948342</v>
      </c>
      <c r="G12" s="183"/>
      <c r="H12" s="426">
        <f t="shared" si="0"/>
        <v>2725617</v>
      </c>
      <c r="I12" s="426">
        <f>B65</f>
        <v>2714227</v>
      </c>
      <c r="J12" s="426">
        <f>B66</f>
        <v>11390</v>
      </c>
      <c r="L12" s="183">
        <f t="shared" si="1"/>
        <v>936796</v>
      </c>
      <c r="M12" s="183">
        <f>D63</f>
        <v>933898</v>
      </c>
      <c r="N12" s="183">
        <f t="shared" si="2"/>
        <v>2898</v>
      </c>
      <c r="P12" s="183">
        <f t="shared" si="3"/>
        <v>14.144279999891296</v>
      </c>
      <c r="Q12" s="183">
        <f>$F$63</f>
        <v>945500</v>
      </c>
      <c r="R12" s="657">
        <f>SUM('BDJ-6 Base Revenue (Summary)'!$E$15:$E$17)</f>
        <v>945485.85572000011</v>
      </c>
      <c r="T12" s="415">
        <f t="shared" ref="T12:T18" si="9">ROUND(Q12/I12,6)</f>
        <v>0.34834999999999999</v>
      </c>
      <c r="U12" s="244"/>
      <c r="V12" s="693" t="s">
        <v>746</v>
      </c>
      <c r="W12" s="695">
        <f>SUM('BDJ-6 Base Revenue (Summary)'!F15:F17)</f>
        <v>1093613.01572</v>
      </c>
      <c r="X12" s="695">
        <f>SUM('BDJ-6 Base Revenue (Summary)'!R15:R17)</f>
        <v>1113677.49572</v>
      </c>
      <c r="Y12" s="244"/>
      <c r="Z12" s="244">
        <f t="shared" si="4"/>
        <v>0.40291900000000003</v>
      </c>
      <c r="AA12" s="244">
        <f t="shared" si="4"/>
        <v>0.41031099999999998</v>
      </c>
      <c r="AB12" s="244"/>
      <c r="AC12" s="695">
        <f>SUM('Sch 141A Lighting Tariff'!$I$22:$I$42)</f>
        <v>5132.2800000000007</v>
      </c>
      <c r="AD12" s="695">
        <f>SUM('Sch 141A Lighting Tariff'!$M$22:$M$42)</f>
        <v>5331.8399999999992</v>
      </c>
      <c r="AE12" s="244"/>
      <c r="AF12" s="244">
        <f t="shared" si="5"/>
        <v>1.8910000000000001E-3</v>
      </c>
      <c r="AG12" s="244">
        <f t="shared" si="5"/>
        <v>1.964E-3</v>
      </c>
      <c r="AH12" s="244"/>
      <c r="AI12" s="695">
        <f>SUM('Sch 141C Lighting Tariff'!$I$22:$I$42)</f>
        <v>1733.5200000000002</v>
      </c>
      <c r="AJ12" s="695">
        <f>SUM('Sch 141C Lighting Tariff'!$M$22:$M$42)</f>
        <v>1742.7600000000004</v>
      </c>
      <c r="AK12" s="244"/>
      <c r="AL12" s="244">
        <f t="shared" si="6"/>
        <v>6.3900000000000003E-4</v>
      </c>
      <c r="AM12" s="244">
        <f t="shared" si="6"/>
        <v>6.4199999999999999E-4</v>
      </c>
      <c r="AN12" s="244"/>
      <c r="AO12" s="695">
        <f>SUM('Sch 141N Lighting Tariff'!$I$24:$I$44)</f>
        <v>118991.75999999998</v>
      </c>
      <c r="AP12" s="695">
        <f>SUM('Sch 141N Lighting Tariff'!$M$24:$M$44)</f>
        <v>82773.48</v>
      </c>
      <c r="AQ12" s="244"/>
      <c r="AR12" s="244">
        <f t="shared" si="7"/>
        <v>4.3839999999999997E-2</v>
      </c>
      <c r="AS12" s="244">
        <f t="shared" si="7"/>
        <v>3.0495999999999999E-2</v>
      </c>
      <c r="AT12" s="244"/>
      <c r="AU12" s="695">
        <f>SUM('Sch 141R Lighting Tariff'!$I$24:$I$44)</f>
        <v>22269.599999999999</v>
      </c>
      <c r="AV12" s="695">
        <f>SUM('Sch 141R Lighting Tariff'!$M$24:$M$44)</f>
        <v>78343.560000000012</v>
      </c>
      <c r="AW12" s="244"/>
      <c r="AX12" s="244">
        <f t="shared" si="8"/>
        <v>8.2050000000000005E-3</v>
      </c>
      <c r="AY12" s="414">
        <f t="shared" si="8"/>
        <v>2.8864000000000001E-2</v>
      </c>
    </row>
    <row r="13" spans="1:51" x14ac:dyDescent="0.2">
      <c r="A13" s="193" t="str">
        <f>A69</f>
        <v>SCHEDULE 52</v>
      </c>
      <c r="B13" s="426">
        <f>'WP4 Customer Counts'!O11</f>
        <v>27731</v>
      </c>
      <c r="C13" s="210"/>
      <c r="D13" s="183">
        <f>D95</f>
        <v>1835449</v>
      </c>
      <c r="E13" s="210"/>
      <c r="F13" s="183">
        <f>F95</f>
        <v>1796132</v>
      </c>
      <c r="G13" s="183"/>
      <c r="H13" s="426">
        <f t="shared" si="0"/>
        <v>12615929</v>
      </c>
      <c r="I13" s="426">
        <f>B93</f>
        <v>12614287</v>
      </c>
      <c r="J13" s="426">
        <f>B94</f>
        <v>1642</v>
      </c>
      <c r="L13" s="183">
        <f t="shared" si="1"/>
        <v>1835449</v>
      </c>
      <c r="M13" s="183">
        <f>D91</f>
        <v>1835031</v>
      </c>
      <c r="N13" s="183">
        <f t="shared" si="2"/>
        <v>418</v>
      </c>
      <c r="P13" s="183">
        <f t="shared" si="3"/>
        <v>18.387980000115931</v>
      </c>
      <c r="Q13" s="183">
        <f>F91</f>
        <v>1795722</v>
      </c>
      <c r="R13" s="657">
        <f>SUM('BDJ-6 Base Revenue (Summary)'!$E$18:$E$19)</f>
        <v>1795703.6120199999</v>
      </c>
      <c r="T13" s="415">
        <f t="shared" si="9"/>
        <v>0.14235600000000001</v>
      </c>
      <c r="U13" s="244"/>
      <c r="V13" s="693" t="s">
        <v>757</v>
      </c>
      <c r="W13" s="695">
        <f>SUM('BDJ-6 Base Revenue (Summary)'!F18:F19)</f>
        <v>2405278.4120200006</v>
      </c>
      <c r="X13" s="695">
        <f>SUM('BDJ-6 Base Revenue (Summary)'!R18:R19)</f>
        <v>2487536.4920200002</v>
      </c>
      <c r="Y13" s="244"/>
      <c r="Z13" s="244">
        <f t="shared" si="4"/>
        <v>0.19067899999999999</v>
      </c>
      <c r="AA13" s="244">
        <f t="shared" si="4"/>
        <v>0.19719999999999999</v>
      </c>
      <c r="AB13" s="244"/>
      <c r="AC13" s="695">
        <f>SUM('Sch 141A Lighting Tariff'!$I$45:$I$60)</f>
        <v>21620.16</v>
      </c>
      <c r="AD13" s="695">
        <f>SUM('Sch 141A Lighting Tariff'!$M$45:$M$60)</f>
        <v>22479.24</v>
      </c>
      <c r="AE13" s="244"/>
      <c r="AF13" s="244">
        <f t="shared" si="5"/>
        <v>1.714E-3</v>
      </c>
      <c r="AG13" s="244">
        <f t="shared" si="5"/>
        <v>1.7819999999999999E-3</v>
      </c>
      <c r="AH13" s="244"/>
      <c r="AI13" s="695">
        <f>SUM('Sch 141C Lighting Tariff'!$I$45:$I$60)</f>
        <v>6258.96</v>
      </c>
      <c r="AJ13" s="695">
        <f>SUM('Sch 141C Lighting Tariff'!$M$45:$M$60)</f>
        <v>6618.72</v>
      </c>
      <c r="AK13" s="244"/>
      <c r="AL13" s="244">
        <f t="shared" si="6"/>
        <v>4.9600000000000002E-4</v>
      </c>
      <c r="AM13" s="244">
        <f t="shared" si="6"/>
        <v>5.2499999999999997E-4</v>
      </c>
      <c r="AN13" s="244"/>
      <c r="AO13" s="695">
        <f>SUM('Sch 141N Lighting Tariff'!$I$47:$I$62)</f>
        <v>490133.64</v>
      </c>
      <c r="AP13" s="695">
        <f>SUM('Sch 141N Lighting Tariff'!$M$47:$M$62)</f>
        <v>339518.52000000008</v>
      </c>
      <c r="AQ13" s="244"/>
      <c r="AR13" s="244">
        <f t="shared" si="7"/>
        <v>3.8855000000000001E-2</v>
      </c>
      <c r="AS13" s="244">
        <f t="shared" si="7"/>
        <v>2.6915000000000001E-2</v>
      </c>
      <c r="AT13" s="244"/>
      <c r="AU13" s="695">
        <f>SUM('Sch 141R Lighting Tariff'!$I$47:$I$62)</f>
        <v>91562.04</v>
      </c>
      <c r="AV13" s="695">
        <f>SUM('Sch 141R Lighting Tariff'!$M$47:$M$62)</f>
        <v>323216.39999999991</v>
      </c>
      <c r="AW13" s="244"/>
      <c r="AX13" s="244">
        <f t="shared" si="8"/>
        <v>7.2589999999999998E-3</v>
      </c>
      <c r="AY13" s="414">
        <f t="shared" si="8"/>
        <v>2.5623E-2</v>
      </c>
    </row>
    <row r="14" spans="1:51" x14ac:dyDescent="0.2">
      <c r="A14" s="193" t="str">
        <f>A97</f>
        <v>SCHEDULE 53</v>
      </c>
      <c r="B14" s="426">
        <f>'WP4 Customer Counts'!O12</f>
        <v>37100</v>
      </c>
      <c r="C14" s="210"/>
      <c r="D14" s="183">
        <f>D157</f>
        <v>11944458</v>
      </c>
      <c r="E14" s="210"/>
      <c r="F14" s="183">
        <f>F157</f>
        <v>11708297</v>
      </c>
      <c r="G14" s="183"/>
      <c r="H14" s="426">
        <f t="shared" si="0"/>
        <v>36752004</v>
      </c>
      <c r="I14" s="426">
        <f>B155</f>
        <v>36075891</v>
      </c>
      <c r="J14" s="426">
        <f>B156</f>
        <v>676113</v>
      </c>
      <c r="L14" s="183">
        <f t="shared" si="1"/>
        <v>11944458</v>
      </c>
      <c r="M14" s="183">
        <f>D153</f>
        <v>11772426</v>
      </c>
      <c r="N14" s="183">
        <f t="shared" si="2"/>
        <v>172032</v>
      </c>
      <c r="P14" s="183">
        <f t="shared" si="3"/>
        <v>-343.59999999962747</v>
      </c>
      <c r="Q14" s="183">
        <f>F153</f>
        <v>11539577</v>
      </c>
      <c r="R14" s="657">
        <f>+'BDJ-6 Base Revenue (Summary)'!$E$20</f>
        <v>11539920.6</v>
      </c>
      <c r="T14" s="415">
        <f t="shared" si="9"/>
        <v>0.31986900000000001</v>
      </c>
      <c r="U14" s="244"/>
      <c r="V14" s="693" t="s">
        <v>767</v>
      </c>
      <c r="W14" s="695">
        <f>'BDJ-6 Base Revenue (Summary)'!F20</f>
        <v>13335755.880000001</v>
      </c>
      <c r="X14" s="695">
        <f>'BDJ-6 Base Revenue (Summary)'!R20</f>
        <v>13579796.159999998</v>
      </c>
      <c r="Y14" s="244"/>
      <c r="Z14" s="244">
        <f t="shared" si="4"/>
        <v>0.36965799999999999</v>
      </c>
      <c r="AA14" s="244">
        <f t="shared" si="4"/>
        <v>0.37642300000000001</v>
      </c>
      <c r="AB14" s="244"/>
      <c r="AC14" s="695">
        <f>SUM('Sch 141A Lighting Tariff'!$I$63:$I$127)</f>
        <v>63812.399999999994</v>
      </c>
      <c r="AD14" s="695">
        <f>SUM('Sch 141A Lighting Tariff'!$M$63:$M$127)</f>
        <v>65447.159999999989</v>
      </c>
      <c r="AE14" s="244"/>
      <c r="AF14" s="244">
        <f t="shared" si="5"/>
        <v>1.769E-3</v>
      </c>
      <c r="AG14" s="244">
        <f t="shared" si="5"/>
        <v>1.8140000000000001E-3</v>
      </c>
      <c r="AH14" s="244"/>
      <c r="AI14" s="695">
        <f>SUM('Sch 141C Lighting Tariff'!$I$63:$I$127)</f>
        <v>18666.960000000003</v>
      </c>
      <c r="AJ14" s="695">
        <f>SUM('Sch 141C Lighting Tariff'!$M$63:$M$127)</f>
        <v>19688.640000000003</v>
      </c>
      <c r="AK14" s="244"/>
      <c r="AL14" s="244">
        <f t="shared" si="6"/>
        <v>5.1699999999999999E-4</v>
      </c>
      <c r="AM14" s="244">
        <f t="shared" si="6"/>
        <v>5.4600000000000004E-4</v>
      </c>
      <c r="AN14" s="244"/>
      <c r="AO14" s="695">
        <f>SUM('Sch 141N Lighting Tariff'!$I$65:$I$129)</f>
        <v>1444216.1999999997</v>
      </c>
      <c r="AP14" s="695">
        <f>SUM('Sch 141N Lighting Tariff'!$M$65:$M$129)</f>
        <v>1002203.5200000003</v>
      </c>
      <c r="AQ14" s="244"/>
      <c r="AR14" s="244">
        <f t="shared" si="7"/>
        <v>4.0032999999999999E-2</v>
      </c>
      <c r="AS14" s="244">
        <f t="shared" si="7"/>
        <v>2.7779999999999999E-2</v>
      </c>
      <c r="AT14" s="244"/>
      <c r="AU14" s="695">
        <f>SUM('Sch 141R Lighting Tariff'!$I$65:$I$129)</f>
        <v>269139.72000000003</v>
      </c>
      <c r="AV14" s="695">
        <f>SUM('Sch 141R Lighting Tariff'!$M$65:$M$129)</f>
        <v>952536.23999999976</v>
      </c>
      <c r="AW14" s="244"/>
      <c r="AX14" s="244">
        <f t="shared" si="8"/>
        <v>7.4599999999999996E-3</v>
      </c>
      <c r="AY14" s="414">
        <f t="shared" si="8"/>
        <v>2.6404E-2</v>
      </c>
    </row>
    <row r="15" spans="1:51" x14ac:dyDescent="0.2">
      <c r="A15" s="193" t="str">
        <f>A159</f>
        <v>SCHEDULE 54</v>
      </c>
      <c r="B15" s="426">
        <f>'WP4 Customer Counts'!O13</f>
        <v>575</v>
      </c>
      <c r="C15" s="210"/>
      <c r="D15" s="183">
        <f>D186</f>
        <v>562280</v>
      </c>
      <c r="E15" s="210"/>
      <c r="F15" s="183">
        <f>F186</f>
        <v>521914</v>
      </c>
      <c r="G15" s="183"/>
      <c r="H15" s="426">
        <f t="shared" si="0"/>
        <v>6399672</v>
      </c>
      <c r="I15" s="426">
        <f>B184</f>
        <v>6228929</v>
      </c>
      <c r="J15" s="426">
        <f>B185</f>
        <v>170743</v>
      </c>
      <c r="L15" s="183">
        <f t="shared" si="1"/>
        <v>562280</v>
      </c>
      <c r="M15" s="183">
        <f>D182</f>
        <v>518836</v>
      </c>
      <c r="N15" s="183">
        <f t="shared" si="2"/>
        <v>43444</v>
      </c>
      <c r="P15" s="183">
        <f t="shared" si="3"/>
        <v>-42.760000000009313</v>
      </c>
      <c r="Q15" s="183">
        <f>F182</f>
        <v>479306</v>
      </c>
      <c r="R15" s="657">
        <f>+'BDJ-6 Base Revenue (Summary)'!$E$22</f>
        <v>479348.76</v>
      </c>
      <c r="T15" s="415">
        <f t="shared" si="9"/>
        <v>7.6948000000000003E-2</v>
      </c>
      <c r="U15" s="244"/>
      <c r="V15" s="693" t="s">
        <v>795</v>
      </c>
      <c r="W15" s="695">
        <f>SUM('BDJ-6 Base Revenue (Summary)'!F22)</f>
        <v>795237.12000000011</v>
      </c>
      <c r="X15" s="695">
        <f>SUM('BDJ-6 Base Revenue (Summary)'!R22)</f>
        <v>838466.64</v>
      </c>
      <c r="Y15" s="244"/>
      <c r="Z15" s="244">
        <f t="shared" si="4"/>
        <v>0.127668</v>
      </c>
      <c r="AA15" s="244">
        <f t="shared" si="4"/>
        <v>0.13460800000000001</v>
      </c>
      <c r="AB15" s="244"/>
      <c r="AC15" s="695">
        <f>SUM('Sch 141A Lighting Tariff'!$I$130:$I$149)</f>
        <v>11156.520000000002</v>
      </c>
      <c r="AD15" s="695">
        <f>SUM('Sch 141A Lighting Tariff'!$M$130:$M$149)</f>
        <v>11746.920000000002</v>
      </c>
      <c r="AE15" s="244"/>
      <c r="AF15" s="244">
        <f t="shared" si="5"/>
        <v>1.7910000000000001E-3</v>
      </c>
      <c r="AG15" s="244">
        <f t="shared" si="5"/>
        <v>1.8860000000000001E-3</v>
      </c>
      <c r="AH15" s="244"/>
      <c r="AI15" s="695">
        <f>SUM('Sch 141C Lighting Tariff'!$I$130:$I$149)</f>
        <v>3240.9600000000005</v>
      </c>
      <c r="AJ15" s="695">
        <f>SUM('Sch 141C Lighting Tariff'!$M$130:$M$149)</f>
        <v>3612.84</v>
      </c>
      <c r="AK15" s="244"/>
      <c r="AL15" s="244">
        <f t="shared" si="6"/>
        <v>5.1999999999999995E-4</v>
      </c>
      <c r="AM15" s="244">
        <f t="shared" si="6"/>
        <v>5.8E-4</v>
      </c>
      <c r="AN15" s="244"/>
      <c r="AO15" s="695">
        <f>SUM('Sch 141N Lighting Tariff'!$I$132:$I$151)</f>
        <v>253999.56</v>
      </c>
      <c r="AP15" s="695">
        <f>SUM('Sch 141N Lighting Tariff'!$M$132:$M$151)</f>
        <v>176231.39999999997</v>
      </c>
      <c r="AQ15" s="244"/>
      <c r="AR15" s="244">
        <f t="shared" si="7"/>
        <v>4.0777000000000001E-2</v>
      </c>
      <c r="AS15" s="244">
        <f t="shared" si="7"/>
        <v>2.8292000000000001E-2</v>
      </c>
      <c r="AT15" s="244"/>
      <c r="AU15" s="695">
        <f>SUM('Sch 141R Lighting Tariff'!$I$132:$I$151)</f>
        <v>47491.319999999992</v>
      </c>
      <c r="AV15" s="695">
        <f>SUM('Sch 141R Lighting Tariff'!$M$132:$M$151)</f>
        <v>167526.71999999997</v>
      </c>
      <c r="AW15" s="244"/>
      <c r="AX15" s="244">
        <f t="shared" si="8"/>
        <v>7.6239999999999997E-3</v>
      </c>
      <c r="AY15" s="414">
        <f t="shared" si="8"/>
        <v>2.6894999999999999E-2</v>
      </c>
    </row>
    <row r="16" spans="1:51" x14ac:dyDescent="0.2">
      <c r="A16" s="193" t="str">
        <f>A188</f>
        <v>SCHEDULES 55 &amp; 56</v>
      </c>
      <c r="B16" s="426">
        <f>'WP4 Customer Counts'!O16</f>
        <v>20135</v>
      </c>
      <c r="C16" s="210"/>
      <c r="D16" s="183">
        <f>D217</f>
        <v>1165896</v>
      </c>
      <c r="E16" s="210"/>
      <c r="F16" s="183">
        <f>F217</f>
        <v>1128053</v>
      </c>
      <c r="G16" s="183"/>
      <c r="H16" s="426">
        <f t="shared" si="0"/>
        <v>3767495</v>
      </c>
      <c r="I16" s="426">
        <f>B215</f>
        <v>3767304</v>
      </c>
      <c r="J16" s="426">
        <f>B216</f>
        <v>191</v>
      </c>
      <c r="L16" s="183">
        <f t="shared" si="1"/>
        <v>1074221</v>
      </c>
      <c r="M16" s="183">
        <f>D213-D212-D211</f>
        <v>1074172</v>
      </c>
      <c r="N16" s="183">
        <f t="shared" si="2"/>
        <v>49</v>
      </c>
      <c r="P16" s="183">
        <f t="shared" si="3"/>
        <v>8.7199999999720603</v>
      </c>
      <c r="Q16" s="183">
        <f>F213-F211-F212</f>
        <v>1055189</v>
      </c>
      <c r="R16" s="657">
        <f>+'BDJ-6 Base Revenue (Summary)'!$E$23</f>
        <v>1055180.28</v>
      </c>
      <c r="T16" s="415">
        <f t="shared" si="9"/>
        <v>0.28009099999999998</v>
      </c>
      <c r="U16" s="244"/>
      <c r="V16" s="693" t="s">
        <v>814</v>
      </c>
      <c r="W16" s="695">
        <f>SUM('BDJ-6 Base Revenue (Summary)'!F23)</f>
        <v>1226136.4799999997</v>
      </c>
      <c r="X16" s="695">
        <f>SUM('BDJ-6 Base Revenue (Summary)'!R23)</f>
        <v>1247228.6399999997</v>
      </c>
      <c r="Y16" s="244"/>
      <c r="Z16" s="244">
        <f t="shared" si="4"/>
        <v>0.32546799999999998</v>
      </c>
      <c r="AA16" s="244">
        <f t="shared" si="4"/>
        <v>0.331067</v>
      </c>
      <c r="AB16" s="244"/>
      <c r="AC16" s="695">
        <f>SUM('Sch 141A Lighting Tariff'!$I$152:$I$170)</f>
        <v>6145.2</v>
      </c>
      <c r="AD16" s="695">
        <f>SUM('Sch 141A Lighting Tariff'!$M$152:$M$170)</f>
        <v>6241.2000000000016</v>
      </c>
      <c r="AE16" s="244"/>
      <c r="AF16" s="244">
        <f t="shared" si="5"/>
        <v>1.6310000000000001E-3</v>
      </c>
      <c r="AG16" s="244">
        <f t="shared" si="5"/>
        <v>1.6570000000000001E-3</v>
      </c>
      <c r="AH16" s="244"/>
      <c r="AI16" s="695">
        <f>SUM('Sch 141C Lighting Tariff'!$I$152:$I$170)</f>
        <v>1775.9999999999995</v>
      </c>
      <c r="AJ16" s="695">
        <f>SUM('Sch 141C Lighting Tariff'!$M$152:$M$170)</f>
        <v>1797.3599999999997</v>
      </c>
      <c r="AK16" s="244"/>
      <c r="AL16" s="244">
        <f t="shared" si="6"/>
        <v>4.7100000000000001E-4</v>
      </c>
      <c r="AM16" s="244">
        <f t="shared" si="6"/>
        <v>4.7699999999999999E-4</v>
      </c>
      <c r="AN16" s="244"/>
      <c r="AO16" s="695">
        <f>SUM('Sch 141N Lighting Tariff'!$I$154:$I$172)</f>
        <v>138122.99999999997</v>
      </c>
      <c r="AP16" s="695">
        <f>SUM('Sch 141N Lighting Tariff'!$M$154:$M$172)</f>
        <v>95680.799999999988</v>
      </c>
      <c r="AQ16" s="244"/>
      <c r="AR16" s="244">
        <f t="shared" si="7"/>
        <v>3.6664000000000002E-2</v>
      </c>
      <c r="AS16" s="244">
        <f t="shared" si="7"/>
        <v>2.5398E-2</v>
      </c>
      <c r="AT16" s="244"/>
      <c r="AU16" s="695">
        <f>SUM('Sch 141R Lighting Tariff'!$I$154:$I$172)</f>
        <v>25727.399999999994</v>
      </c>
      <c r="AV16" s="695">
        <f>SUM('Sch 141R Lighting Tariff'!$M$154:$M$172)</f>
        <v>91137.599999999991</v>
      </c>
      <c r="AW16" s="244"/>
      <c r="AX16" s="244">
        <f t="shared" si="8"/>
        <v>6.829E-3</v>
      </c>
      <c r="AY16" s="414">
        <f t="shared" si="8"/>
        <v>2.4192000000000002E-2</v>
      </c>
    </row>
    <row r="17" spans="1:51" x14ac:dyDescent="0.2">
      <c r="A17" s="193" t="str">
        <f>A219</f>
        <v>SCHEDULE 57</v>
      </c>
      <c r="B17" s="426">
        <f>'WP4 Customer Counts'!O17</f>
        <v>1253</v>
      </c>
      <c r="C17" s="210"/>
      <c r="D17" s="183">
        <f>D227</f>
        <v>906827</v>
      </c>
      <c r="E17" s="210"/>
      <c r="F17" s="183">
        <f>F227</f>
        <v>920210</v>
      </c>
      <c r="G17" s="183"/>
      <c r="H17" s="426">
        <f t="shared" si="0"/>
        <v>5370526</v>
      </c>
      <c r="I17" s="426">
        <f>B225</f>
        <v>3656529</v>
      </c>
      <c r="J17" s="426">
        <f>B226</f>
        <v>1713997</v>
      </c>
      <c r="L17" s="183">
        <f t="shared" si="1"/>
        <v>906827</v>
      </c>
      <c r="M17" s="183">
        <f>D223</f>
        <v>470713</v>
      </c>
      <c r="N17" s="183">
        <f t="shared" si="2"/>
        <v>436114</v>
      </c>
      <c r="P17" s="183">
        <f t="shared" si="3"/>
        <v>-3.4030000038910657E-2</v>
      </c>
      <c r="Q17" s="183">
        <f>F223</f>
        <v>492492</v>
      </c>
      <c r="R17" s="657">
        <f>+'BDJ-6 Base Revenue (Summary)'!$E$24</f>
        <v>492492.03403000004</v>
      </c>
      <c r="T17" s="415">
        <f t="shared" si="9"/>
        <v>0.134688</v>
      </c>
      <c r="U17" s="244"/>
      <c r="V17" s="693" t="s">
        <v>831</v>
      </c>
      <c r="W17" s="695">
        <f>SUM('BDJ-6 Base Revenue (Summary)'!F24)</f>
        <v>790210.03590999986</v>
      </c>
      <c r="X17" s="695">
        <f>SUM('BDJ-6 Base Revenue (Summary)'!R24)</f>
        <v>830848.76768999989</v>
      </c>
      <c r="Y17" s="244"/>
      <c r="Z17" s="244">
        <f t="shared" si="4"/>
        <v>0.216109</v>
      </c>
      <c r="AA17" s="244">
        <f t="shared" si="4"/>
        <v>0.22722300000000001</v>
      </c>
      <c r="AB17" s="244"/>
      <c r="AC17" s="695">
        <f>'Sch 141A Lighting Tariff'!$I$212</f>
        <v>10633.64148</v>
      </c>
      <c r="AD17" s="695">
        <f>'Sch 141A Lighting Tariff'!$M$212</f>
        <v>11079.395138000002</v>
      </c>
      <c r="AE17" s="244"/>
      <c r="AF17" s="244">
        <f t="shared" si="5"/>
        <v>2.908E-3</v>
      </c>
      <c r="AG17" s="244">
        <f t="shared" si="5"/>
        <v>3.0300000000000001E-3</v>
      </c>
      <c r="AH17" s="244"/>
      <c r="AI17" s="695">
        <f>'Sch 141C Lighting Tariff'!$I$212</f>
        <v>3125.6461320000003</v>
      </c>
      <c r="AJ17" s="695">
        <f>'Sch 141C Lighting Tariff'!$M$212</f>
        <v>3431.766114</v>
      </c>
      <c r="AK17" s="244"/>
      <c r="AL17" s="244">
        <f t="shared" si="6"/>
        <v>8.5499999999999997E-4</v>
      </c>
      <c r="AM17" s="244">
        <f t="shared" si="6"/>
        <v>9.3899999999999995E-4</v>
      </c>
      <c r="AN17" s="244"/>
      <c r="AO17" s="695">
        <f>'Sch 141N Lighting Tariff'!$I$214</f>
        <v>239176.37540999998</v>
      </c>
      <c r="AP17" s="695">
        <f>'Sch 141N Lighting Tariff'!$M$214</f>
        <v>165997.58813399999</v>
      </c>
      <c r="AQ17" s="244"/>
      <c r="AR17" s="244">
        <f t="shared" si="7"/>
        <v>6.5410999999999997E-2</v>
      </c>
      <c r="AS17" s="244">
        <f t="shared" si="7"/>
        <v>4.5398000000000001E-2</v>
      </c>
      <c r="AT17" s="244"/>
      <c r="AU17" s="695">
        <f>'Sch 141R Lighting Tariff'!$I$214</f>
        <v>44709.628950000006</v>
      </c>
      <c r="AV17" s="695">
        <f>'Sch 141R Lighting Tariff'!$M$214</f>
        <v>157764.571776</v>
      </c>
      <c r="AW17" s="244"/>
      <c r="AX17" s="244">
        <f t="shared" si="8"/>
        <v>1.2227E-2</v>
      </c>
      <c r="AY17" s="414">
        <f t="shared" si="8"/>
        <v>4.3145999999999997E-2</v>
      </c>
    </row>
    <row r="18" spans="1:51" x14ac:dyDescent="0.2">
      <c r="A18" s="193" t="str">
        <f>A229</f>
        <v>SCHEDULES 58 &amp; 59</v>
      </c>
      <c r="B18" s="426">
        <f>'WP4 Customer Counts'!$O$20</f>
        <v>4057</v>
      </c>
      <c r="C18" s="210"/>
      <c r="D18" s="183">
        <f>D275</f>
        <v>426266</v>
      </c>
      <c r="E18" s="210"/>
      <c r="F18" s="183">
        <f>F275</f>
        <v>412018</v>
      </c>
      <c r="G18" s="183"/>
      <c r="H18" s="426">
        <f t="shared" si="0"/>
        <v>2201001</v>
      </c>
      <c r="I18" s="426">
        <f>B273</f>
        <v>2199040</v>
      </c>
      <c r="J18" s="426">
        <f>B274</f>
        <v>1961</v>
      </c>
      <c r="L18" s="183">
        <f t="shared" si="1"/>
        <v>405614</v>
      </c>
      <c r="M18" s="183">
        <f>D271-D270</f>
        <v>405115</v>
      </c>
      <c r="N18" s="183">
        <f t="shared" si="2"/>
        <v>499</v>
      </c>
      <c r="P18" s="183">
        <f t="shared" si="3"/>
        <v>75.35999999998603</v>
      </c>
      <c r="Q18" s="183">
        <f>F271-F270</f>
        <v>395979</v>
      </c>
      <c r="R18" s="657">
        <f>+'BDJ-6 Base Revenue (Summary)'!$E$25</f>
        <v>395903.64</v>
      </c>
      <c r="T18" s="415">
        <f t="shared" si="9"/>
        <v>0.18006900000000001</v>
      </c>
      <c r="U18" s="244"/>
      <c r="V18" s="693" t="s">
        <v>834</v>
      </c>
      <c r="W18" s="695">
        <f>SUM('BDJ-6 Base Revenue (Summary)'!F25)</f>
        <v>506992.92000000004</v>
      </c>
      <c r="X18" s="695">
        <f>SUM('BDJ-6 Base Revenue (Summary)'!R25)</f>
        <v>522137.88</v>
      </c>
      <c r="Y18" s="244"/>
      <c r="Z18" s="244">
        <f t="shared" si="4"/>
        <v>0.23055200000000001</v>
      </c>
      <c r="AA18" s="244">
        <f t="shared" si="4"/>
        <v>0.23743900000000001</v>
      </c>
      <c r="AB18" s="244"/>
      <c r="AC18" s="695">
        <f>SUM('Sch 141A Lighting Tariff'!$I$173:$I$209)</f>
        <v>3971.6399999999994</v>
      </c>
      <c r="AD18" s="695">
        <f>SUM('Sch 141A Lighting Tariff'!$M$173:$M$209)</f>
        <v>4127.3999999999996</v>
      </c>
      <c r="AE18" s="244"/>
      <c r="AF18" s="244">
        <f t="shared" si="5"/>
        <v>1.8060000000000001E-3</v>
      </c>
      <c r="AG18" s="244">
        <f t="shared" si="5"/>
        <v>1.877E-3</v>
      </c>
      <c r="AH18" s="244"/>
      <c r="AI18" s="695">
        <f>SUM('Sch 141C Lighting Tariff'!$I$173:$I$209)</f>
        <v>1149.3600000000001</v>
      </c>
      <c r="AJ18" s="695">
        <f>SUM('Sch 141C Lighting Tariff'!$M$173:$M$209)</f>
        <v>1265.9999999999998</v>
      </c>
      <c r="AK18" s="244"/>
      <c r="AL18" s="244">
        <f t="shared" si="6"/>
        <v>5.2300000000000003E-4</v>
      </c>
      <c r="AM18" s="244">
        <f t="shared" si="6"/>
        <v>5.7600000000000001E-4</v>
      </c>
      <c r="AN18" s="244"/>
      <c r="AO18" s="695">
        <f>SUM('Sch 141N Lighting Tariff'!$I$175:$I$211)</f>
        <v>89263.079999999987</v>
      </c>
      <c r="AP18" s="695">
        <f>SUM('Sch 141N Lighting Tariff'!$M$175:$M$211)</f>
        <v>61961.039999999994</v>
      </c>
      <c r="AQ18" s="244"/>
      <c r="AR18" s="244">
        <f t="shared" si="7"/>
        <v>4.0592000000000003E-2</v>
      </c>
      <c r="AS18" s="244">
        <f t="shared" si="7"/>
        <v>2.8176E-2</v>
      </c>
      <c r="AT18" s="244"/>
      <c r="AU18" s="695">
        <f>SUM('Sch 141R Lighting Tariff'!$I$175:$I$211)</f>
        <v>16705.2</v>
      </c>
      <c r="AV18" s="695">
        <f>SUM('Sch 141R Lighting Tariff'!$M$175:$M$211)</f>
        <v>58879.8</v>
      </c>
      <c r="AW18" s="244"/>
      <c r="AX18" s="244">
        <f t="shared" si="8"/>
        <v>7.5969999999999996E-3</v>
      </c>
      <c r="AY18" s="414">
        <f t="shared" si="8"/>
        <v>2.6775E-2</v>
      </c>
    </row>
    <row r="19" spans="1:51" x14ac:dyDescent="0.2">
      <c r="A19" s="193" t="s">
        <v>731</v>
      </c>
      <c r="B19" s="296"/>
      <c r="C19" s="210"/>
      <c r="D19" s="183">
        <f>D276</f>
        <v>0</v>
      </c>
      <c r="E19" s="210"/>
      <c r="F19" s="183"/>
      <c r="G19" s="183"/>
      <c r="H19" s="426">
        <f t="shared" si="0"/>
        <v>0</v>
      </c>
      <c r="I19" s="426">
        <v>0</v>
      </c>
      <c r="J19" s="426">
        <v>0</v>
      </c>
      <c r="L19" s="183">
        <f t="shared" si="1"/>
        <v>112327</v>
      </c>
      <c r="M19" s="183">
        <f>SUM(D211:D212,D270)</f>
        <v>112327</v>
      </c>
      <c r="N19" s="183">
        <f t="shared" si="2"/>
        <v>0</v>
      </c>
      <c r="P19" s="183">
        <f t="shared" si="3"/>
        <v>-4.4000000000087311</v>
      </c>
      <c r="Q19" s="183">
        <f>F211+F212+F270</f>
        <v>88366</v>
      </c>
      <c r="R19" s="657">
        <f>SUM('BDJ-6 Base Revenue (Summary)'!$E$26:$E$27)</f>
        <v>88370.400000000009</v>
      </c>
      <c r="T19" s="415"/>
      <c r="U19" s="244"/>
      <c r="V19" s="693" t="s">
        <v>731</v>
      </c>
      <c r="W19" s="695">
        <f>SUM('BDJ-6 Base Revenue (Summary)'!F26:F27)</f>
        <v>88370.400000000009</v>
      </c>
      <c r="X19" s="695">
        <f>SUM('BDJ-6 Base Revenue (Summary)'!R26:R27)</f>
        <v>88370.400000000009</v>
      </c>
      <c r="Y19" s="244"/>
      <c r="Z19" s="244"/>
      <c r="AA19" s="244"/>
      <c r="AB19" s="244"/>
      <c r="AC19" s="696"/>
      <c r="AD19" s="696"/>
      <c r="AE19" s="244"/>
      <c r="AF19" s="244"/>
      <c r="AG19" s="244"/>
      <c r="AH19" s="244"/>
      <c r="AI19" s="696"/>
      <c r="AJ19" s="696"/>
      <c r="AK19" s="244"/>
      <c r="AL19" s="244"/>
      <c r="AM19" s="244"/>
      <c r="AN19" s="244"/>
      <c r="AO19" s="696"/>
      <c r="AP19" s="696"/>
      <c r="AQ19" s="244"/>
      <c r="AR19" s="244"/>
      <c r="AS19" s="244"/>
      <c r="AT19" s="244"/>
      <c r="AU19" s="696"/>
      <c r="AV19" s="696"/>
      <c r="AW19" s="244"/>
      <c r="AX19" s="244"/>
      <c r="AY19" s="414"/>
    </row>
    <row r="20" spans="1:51" s="211" customFormat="1" ht="10.8" thickBot="1" x14ac:dyDescent="0.25">
      <c r="A20" s="193" t="s">
        <v>732</v>
      </c>
      <c r="B20" s="658">
        <f>SUM(B11:B19)</f>
        <v>104187</v>
      </c>
      <c r="C20" s="210"/>
      <c r="D20" s="203">
        <f>SUM(D11:D19)</f>
        <v>17783786</v>
      </c>
      <c r="E20" s="210"/>
      <c r="F20" s="203">
        <f>SUM(F11:F19)</f>
        <v>17440710</v>
      </c>
      <c r="G20" s="183"/>
      <c r="H20" s="658">
        <f>SUM(H11:H19)</f>
        <v>69885807</v>
      </c>
      <c r="I20" s="658">
        <f>SUM(I11:I19)</f>
        <v>67309545</v>
      </c>
      <c r="J20" s="658">
        <f>SUM(J11:J19)</f>
        <v>2576262</v>
      </c>
      <c r="K20" s="177"/>
      <c r="L20" s="203">
        <f>SUM(L11:L19)</f>
        <v>17783786</v>
      </c>
      <c r="M20" s="203">
        <f>SUM(M11:M19)</f>
        <v>17128275</v>
      </c>
      <c r="N20" s="659">
        <f>'[1]Exhibit No.__(BDJ-LIGHT RD) '!$J$22</f>
        <v>655511</v>
      </c>
      <c r="O20" s="177"/>
      <c r="P20" s="203">
        <f>SUM(P10:P19)</f>
        <v>-287.38176999971893</v>
      </c>
      <c r="Q20" s="203">
        <f>SUM(Q10:Q19)</f>
        <v>16797819</v>
      </c>
      <c r="R20" s="203">
        <f>SUM(R10:R19)</f>
        <v>16798106.38177</v>
      </c>
      <c r="S20" s="574"/>
      <c r="T20" s="412"/>
      <c r="U20" s="317"/>
      <c r="V20" s="317"/>
      <c r="W20" s="697">
        <f>SUM(W10:W19)</f>
        <v>20250317.783650003</v>
      </c>
      <c r="X20" s="697">
        <f>SUM(X10:X19)</f>
        <v>20717206.595429998</v>
      </c>
      <c r="Y20" s="317"/>
      <c r="Z20" s="317"/>
      <c r="AA20" s="317"/>
      <c r="AB20" s="317"/>
      <c r="AC20" s="697">
        <f>SUM(AC10:AC19)</f>
        <v>122583.68148</v>
      </c>
      <c r="AD20" s="697">
        <f>SUM(AD10:AD19)</f>
        <v>126569.79513799999</v>
      </c>
      <c r="AE20" s="317"/>
      <c r="AF20" s="317"/>
      <c r="AG20" s="317"/>
      <c r="AH20" s="317"/>
      <c r="AI20" s="697">
        <f>SUM(AI10:AI19)</f>
        <v>35980.686132000003</v>
      </c>
      <c r="AJ20" s="697">
        <f>SUM(AJ10:AJ19)</f>
        <v>38189.766113999998</v>
      </c>
      <c r="AK20" s="317"/>
      <c r="AL20" s="317"/>
      <c r="AM20" s="317"/>
      <c r="AN20" s="317"/>
      <c r="AO20" s="697">
        <f>SUM(AO10:AO19)</f>
        <v>2776332.1754099997</v>
      </c>
      <c r="AP20" s="697">
        <f>SUM(AP10:AP19)</f>
        <v>1926054.9881340005</v>
      </c>
      <c r="AQ20" s="317"/>
      <c r="AR20" s="317"/>
      <c r="AS20" s="317"/>
      <c r="AT20" s="317"/>
      <c r="AU20" s="697">
        <f>SUM(AU10:AU19)</f>
        <v>518057.54894999997</v>
      </c>
      <c r="AV20" s="697">
        <f>SUM(AV10:AV19)</f>
        <v>1831010.8517759999</v>
      </c>
      <c r="AW20" s="317"/>
      <c r="AX20" s="317"/>
      <c r="AY20" s="698"/>
    </row>
    <row r="21" spans="1:51" ht="11.4" thickTop="1" thickBot="1" x14ac:dyDescent="0.25">
      <c r="A21" s="193"/>
      <c r="B21" s="210"/>
      <c r="C21" s="210"/>
      <c r="D21" s="183"/>
      <c r="E21" s="210"/>
      <c r="F21" s="183"/>
      <c r="G21" s="183"/>
      <c r="M21" s="190"/>
      <c r="N21" s="190"/>
      <c r="S21" s="635"/>
      <c r="T21" s="699"/>
      <c r="U21" s="700"/>
      <c r="V21" s="700"/>
      <c r="W21" s="701">
        <f>W20-'BDJ-6 Base Revenue (Summary)'!F29</f>
        <v>0</v>
      </c>
      <c r="X21" s="701">
        <f>X20-'BDJ-6 Base Revenue (Summary)'!R29</f>
        <v>0</v>
      </c>
      <c r="Y21" s="700"/>
      <c r="Z21" s="700"/>
      <c r="AA21" s="700"/>
      <c r="AB21" s="700"/>
      <c r="AC21" s="701">
        <f>AC20-'Sch 141A Lighting Tariff'!$I$215</f>
        <v>0</v>
      </c>
      <c r="AD21" s="701">
        <f>AD20-'Sch 141A Lighting Tariff'!$M$215</f>
        <v>0</v>
      </c>
      <c r="AE21" s="700"/>
      <c r="AF21" s="700"/>
      <c r="AG21" s="700"/>
      <c r="AH21" s="700"/>
      <c r="AI21" s="701">
        <f>AI20-'Sch 141C Lighting Tariff'!$I$215</f>
        <v>0</v>
      </c>
      <c r="AJ21" s="701">
        <f>AJ20-'Sch 141C Lighting Tariff'!$M$215</f>
        <v>0</v>
      </c>
      <c r="AK21" s="700"/>
      <c r="AL21" s="700"/>
      <c r="AM21" s="700"/>
      <c r="AN21" s="700"/>
      <c r="AO21" s="701">
        <f>AO20-'Sch 141N Lighting Tariff'!$I$217</f>
        <v>0</v>
      </c>
      <c r="AP21" s="701">
        <f>AP20-'Sch 141N Lighting Tariff'!$M$217</f>
        <v>0</v>
      </c>
      <c r="AQ21" s="700"/>
      <c r="AR21" s="700"/>
      <c r="AS21" s="700"/>
      <c r="AT21" s="700"/>
      <c r="AU21" s="701">
        <f>AU20-'Sch 141R Lighting Tariff'!$I$217</f>
        <v>0</v>
      </c>
      <c r="AV21" s="701">
        <f>AV20-'Sch 141R Lighting Tariff'!$M$217</f>
        <v>0</v>
      </c>
      <c r="AW21" s="700"/>
      <c r="AX21" s="700"/>
      <c r="AY21" s="702"/>
    </row>
    <row r="22" spans="1:51" ht="10.8" thickBot="1" x14ac:dyDescent="0.25">
      <c r="A22" s="193"/>
      <c r="B22" s="210"/>
      <c r="C22" s="210"/>
      <c r="D22" s="183"/>
      <c r="E22" s="210"/>
      <c r="F22" s="203">
        <f>'Rate Spread Lighting'!M27</f>
        <v>17441391.006648999</v>
      </c>
      <c r="G22" s="183"/>
      <c r="L22" s="660"/>
      <c r="M22" s="661">
        <f>'Rate Spread Lighting'!I27</f>
        <v>-1.925194309837586E-2</v>
      </c>
      <c r="N22" s="518">
        <f>M22</f>
        <v>-1.925194309837586E-2</v>
      </c>
      <c r="Q22" s="209"/>
      <c r="R22" s="209"/>
    </row>
    <row r="23" spans="1:51" ht="10.8" thickTop="1" x14ac:dyDescent="0.2">
      <c r="A23" s="193"/>
      <c r="B23" s="210"/>
      <c r="C23" s="210"/>
      <c r="D23" s="183"/>
      <c r="E23" s="210"/>
      <c r="F23" s="210"/>
      <c r="G23" s="210"/>
      <c r="H23" s="210"/>
      <c r="L23" s="190">
        <f>SUM(M23:N23)</f>
        <v>-342372.43614569324</v>
      </c>
      <c r="M23" s="183">
        <f>M22*M20</f>
        <v>-329752.57567333378</v>
      </c>
      <c r="N23" s="183">
        <f>N22*N20</f>
        <v>-12619.860472359458</v>
      </c>
      <c r="Q23" s="209"/>
      <c r="R23" s="209"/>
    </row>
    <row r="24" spans="1:51" ht="10.8" thickBot="1" x14ac:dyDescent="0.25">
      <c r="A24" s="193"/>
      <c r="B24" s="204"/>
      <c r="C24" s="210"/>
      <c r="D24" s="183"/>
      <c r="E24" s="210"/>
      <c r="F24" s="210"/>
      <c r="G24" s="210"/>
      <c r="H24" s="210"/>
      <c r="L24" s="662">
        <f>SUM(M24:N24)</f>
        <v>17441413.563854307</v>
      </c>
      <c r="M24" s="662">
        <f>M23+M20</f>
        <v>16798522.424326666</v>
      </c>
      <c r="N24" s="662">
        <f>N23+N20</f>
        <v>642891.13952764054</v>
      </c>
      <c r="Q24" s="209"/>
      <c r="R24" s="209"/>
    </row>
    <row r="25" spans="1:51" ht="10.8" thickTop="1" x14ac:dyDescent="0.2">
      <c r="A25" s="193"/>
      <c r="B25" s="204"/>
      <c r="C25" s="210"/>
      <c r="D25" s="183"/>
      <c r="E25" s="210"/>
      <c r="F25" s="210"/>
      <c r="G25" s="210"/>
      <c r="H25" s="210"/>
      <c r="L25" s="190"/>
      <c r="M25" s="183"/>
      <c r="N25" s="183"/>
      <c r="Q25" s="209"/>
      <c r="R25" s="209"/>
    </row>
    <row r="26" spans="1:51" ht="30.6" x14ac:dyDescent="0.2">
      <c r="A26" s="193"/>
      <c r="B26" s="663" t="s">
        <v>869</v>
      </c>
      <c r="C26" s="752" t="s">
        <v>719</v>
      </c>
      <c r="D26" s="753"/>
      <c r="E26" s="738" t="str">
        <f>E8</f>
        <v>Proposed Effective January 1, 2023</v>
      </c>
      <c r="F26" s="739"/>
      <c r="G26" s="183"/>
      <c r="L26" s="190"/>
      <c r="M26" s="190"/>
      <c r="N26" s="190"/>
      <c r="Q26" s="209"/>
      <c r="R26" s="209"/>
    </row>
    <row r="27" spans="1:51" x14ac:dyDescent="0.2">
      <c r="A27" s="193"/>
      <c r="B27" s="663"/>
      <c r="C27" s="664" t="s">
        <v>722</v>
      </c>
      <c r="D27" s="664" t="s">
        <v>723</v>
      </c>
      <c r="E27" s="664" t="s">
        <v>722</v>
      </c>
      <c r="F27" s="664" t="s">
        <v>723</v>
      </c>
      <c r="G27" s="183"/>
      <c r="L27" s="190"/>
      <c r="M27" s="190"/>
      <c r="N27" s="190"/>
      <c r="Q27" s="209"/>
      <c r="R27" s="209"/>
    </row>
    <row r="28" spans="1:51" x14ac:dyDescent="0.2">
      <c r="A28" s="744" t="s">
        <v>733</v>
      </c>
      <c r="B28" s="744"/>
      <c r="C28" s="744"/>
      <c r="D28" s="744"/>
      <c r="E28" s="744"/>
      <c r="F28" s="744"/>
      <c r="G28" s="193"/>
    </row>
    <row r="29" spans="1:51" x14ac:dyDescent="0.2">
      <c r="A29" s="193" t="s">
        <v>734</v>
      </c>
      <c r="B29" s="193"/>
      <c r="C29" s="193"/>
      <c r="D29" s="183"/>
      <c r="E29" s="193"/>
      <c r="F29" s="193"/>
      <c r="G29" s="193"/>
    </row>
    <row r="30" spans="1:51" x14ac:dyDescent="0.2">
      <c r="A30" s="193"/>
      <c r="B30" s="193"/>
      <c r="C30" s="193"/>
      <c r="D30" s="183"/>
      <c r="E30" s="193"/>
      <c r="F30" s="193"/>
      <c r="G30" s="193"/>
    </row>
    <row r="31" spans="1:51" x14ac:dyDescent="0.2">
      <c r="A31" s="192" t="s">
        <v>1045</v>
      </c>
      <c r="B31" s="426">
        <f>'WP1 Light Inventory'!I9</f>
        <v>708</v>
      </c>
      <c r="C31" s="330">
        <f>'Base Lighting Tariff'!G9</f>
        <v>0.7</v>
      </c>
      <c r="D31" s="183">
        <f>IF(C31="n/a",0,ROUND(B31*C31,0))</f>
        <v>496</v>
      </c>
      <c r="E31" s="330">
        <f>'Base Lighting Tariff'!I9</f>
        <v>0.64999999999999991</v>
      </c>
      <c r="F31" s="183">
        <f>ROUND(E31*$B31,0)</f>
        <v>460</v>
      </c>
      <c r="G31" s="183"/>
      <c r="J31" s="330"/>
      <c r="Q31" s="330"/>
      <c r="R31" s="330"/>
    </row>
    <row r="32" spans="1:51" x14ac:dyDescent="0.2">
      <c r="A32" s="185"/>
      <c r="B32" s="426"/>
      <c r="C32" s="330"/>
      <c r="D32" s="183"/>
      <c r="E32" s="208"/>
      <c r="F32" s="183"/>
      <c r="G32" s="183"/>
      <c r="Q32" s="208"/>
      <c r="R32" s="208"/>
    </row>
    <row r="33" spans="1:18" x14ac:dyDescent="0.2">
      <c r="A33" s="192" t="s">
        <v>735</v>
      </c>
      <c r="B33" s="426">
        <f>'WP1 Light Inventory'!I11</f>
        <v>27</v>
      </c>
      <c r="C33" s="330">
        <f>'Base Lighting Tariff'!G11</f>
        <v>4.82</v>
      </c>
      <c r="D33" s="183">
        <f>IF(C33="n/a",0,ROUND(B33*C33,0))</f>
        <v>130</v>
      </c>
      <c r="E33" s="330">
        <f>'Base Lighting Tariff'!I11</f>
        <v>5.2</v>
      </c>
      <c r="F33" s="183">
        <f>ROUND(E33*$B33,0)</f>
        <v>140</v>
      </c>
      <c r="G33" s="183"/>
      <c r="J33" s="330"/>
      <c r="Q33" s="330"/>
      <c r="R33" s="330"/>
    </row>
    <row r="34" spans="1:18" x14ac:dyDescent="0.2">
      <c r="A34" s="192" t="s">
        <v>736</v>
      </c>
      <c r="B34" s="426">
        <f>'WP1 Light Inventory'!I12</f>
        <v>228</v>
      </c>
      <c r="C34" s="330">
        <f>'Base Lighting Tariff'!G12</f>
        <v>7.21</v>
      </c>
      <c r="D34" s="183">
        <f>IF(C34="n/a",0,ROUND(B34*C34,0))</f>
        <v>1644</v>
      </c>
      <c r="E34" s="330">
        <f>'Base Lighting Tariff'!I12</f>
        <v>7.3999999999999995</v>
      </c>
      <c r="F34" s="183">
        <f>ROUND(E34*$B34,0)</f>
        <v>1687</v>
      </c>
      <c r="G34" s="183"/>
      <c r="J34" s="330"/>
      <c r="Q34" s="330"/>
      <c r="R34" s="330"/>
    </row>
    <row r="35" spans="1:18" x14ac:dyDescent="0.2">
      <c r="A35" s="192" t="s">
        <v>737</v>
      </c>
      <c r="B35" s="426">
        <f>'WP1 Light Inventory'!I13</f>
        <v>238</v>
      </c>
      <c r="C35" s="330">
        <f>'Base Lighting Tariff'!G13</f>
        <v>14.37</v>
      </c>
      <c r="D35" s="183">
        <f>IF(C35="n/a",0,ROUND(B35*C35,0))</f>
        <v>3420</v>
      </c>
      <c r="E35" s="330">
        <f>'Base Lighting Tariff'!I13</f>
        <v>14.03</v>
      </c>
      <c r="F35" s="183">
        <f>ROUND(E35*$B35,0)</f>
        <v>3339</v>
      </c>
      <c r="G35" s="183"/>
      <c r="J35" s="330"/>
      <c r="Q35" s="330"/>
      <c r="R35" s="330"/>
    </row>
    <row r="36" spans="1:18" x14ac:dyDescent="0.2">
      <c r="A36" s="185"/>
      <c r="B36" s="426"/>
      <c r="C36" s="208"/>
      <c r="D36" s="183"/>
      <c r="E36" s="208"/>
      <c r="F36" s="183"/>
      <c r="G36" s="183"/>
      <c r="J36" s="330"/>
      <c r="Q36" s="208"/>
      <c r="R36" s="208"/>
    </row>
    <row r="37" spans="1:18" x14ac:dyDescent="0.2">
      <c r="A37" s="192" t="s">
        <v>738</v>
      </c>
      <c r="B37" s="426">
        <f>'WP1 Light Inventory'!I15</f>
        <v>0</v>
      </c>
      <c r="C37" s="330">
        <f>'Base Lighting Tariff'!G15</f>
        <v>3.19</v>
      </c>
      <c r="D37" s="183">
        <f>IF(C37="n/a",0,ROUND(B37*C37,0))</f>
        <v>0</v>
      </c>
      <c r="E37" s="330">
        <f>'Base Lighting Tariff'!I15</f>
        <v>2.95</v>
      </c>
      <c r="F37" s="183">
        <f>ROUND(E37*$B37,0)</f>
        <v>0</v>
      </c>
      <c r="G37" s="183"/>
      <c r="J37" s="330"/>
      <c r="Q37" s="330"/>
      <c r="R37" s="330"/>
    </row>
    <row r="38" spans="1:18" x14ac:dyDescent="0.2">
      <c r="A38" s="192" t="s">
        <v>739</v>
      </c>
      <c r="B38" s="426">
        <f>'WP1 Light Inventory'!I16</f>
        <v>12</v>
      </c>
      <c r="C38" s="330">
        <f>'Base Lighting Tariff'!G16</f>
        <v>5.57</v>
      </c>
      <c r="D38" s="183">
        <f>IF(C38="n/a",0,ROUND(B38*C38,0))</f>
        <v>67</v>
      </c>
      <c r="E38" s="330">
        <f>'Base Lighting Tariff'!I16</f>
        <v>5.15</v>
      </c>
      <c r="F38" s="183">
        <f>ROUND(E38*$B38,0)</f>
        <v>62</v>
      </c>
      <c r="G38" s="183"/>
      <c r="J38" s="330"/>
      <c r="Q38" s="330"/>
      <c r="R38" s="330"/>
    </row>
    <row r="39" spans="1:18" x14ac:dyDescent="0.2">
      <c r="A39" s="192" t="s">
        <v>740</v>
      </c>
      <c r="B39" s="426">
        <f>'WP1 Light Inventory'!I17</f>
        <v>0</v>
      </c>
      <c r="C39" s="330">
        <f>'Base Lighting Tariff'!G17</f>
        <v>12.74</v>
      </c>
      <c r="D39" s="183">
        <f>IF(C39="n/a",0,ROUND(B39*C39,0))</f>
        <v>0</v>
      </c>
      <c r="E39" s="330">
        <f>'Base Lighting Tariff'!I17</f>
        <v>11.780000000000001</v>
      </c>
      <c r="F39" s="183">
        <f>ROUND(E39*$B39,0)</f>
        <v>0</v>
      </c>
      <c r="G39" s="183"/>
      <c r="J39" s="330"/>
      <c r="Q39" s="330"/>
      <c r="R39" s="330"/>
    </row>
    <row r="40" spans="1:18" x14ac:dyDescent="0.2">
      <c r="A40" s="192" t="s">
        <v>741</v>
      </c>
      <c r="B40" s="426">
        <f>'WP1 Light Inventory'!I18</f>
        <v>0</v>
      </c>
      <c r="C40" s="330">
        <f>'Base Lighting Tariff'!G18</f>
        <v>22.3</v>
      </c>
      <c r="D40" s="183">
        <f>IF(C40="n/a",0,ROUND(B40*C40,0))</f>
        <v>0</v>
      </c>
      <c r="E40" s="330">
        <f>'Base Lighting Tariff'!I18</f>
        <v>20.619999999999997</v>
      </c>
      <c r="F40" s="183">
        <f>ROUND(E40*$B40,0)</f>
        <v>0</v>
      </c>
      <c r="G40" s="183"/>
      <c r="J40" s="330"/>
      <c r="Q40" s="330"/>
      <c r="R40" s="330"/>
    </row>
    <row r="41" spans="1:18" x14ac:dyDescent="0.2">
      <c r="A41" s="188" t="s">
        <v>742</v>
      </c>
      <c r="B41" s="590">
        <f>SUM(B31:B40)</f>
        <v>1213</v>
      </c>
      <c r="C41" s="330"/>
      <c r="D41" s="197">
        <f>SUM(D31:D40)</f>
        <v>5757</v>
      </c>
      <c r="E41" s="330"/>
      <c r="F41" s="197">
        <f>SUM(F31:F40)</f>
        <v>5688</v>
      </c>
      <c r="G41" s="183"/>
      <c r="J41" s="330"/>
    </row>
    <row r="42" spans="1:18" x14ac:dyDescent="0.2">
      <c r="A42" s="185"/>
      <c r="B42" s="426"/>
      <c r="C42" s="208"/>
      <c r="D42" s="183"/>
      <c r="E42" s="208"/>
      <c r="F42" s="183"/>
      <c r="G42" s="183"/>
    </row>
    <row r="43" spans="1:18" x14ac:dyDescent="0.2">
      <c r="A43" s="185" t="s">
        <v>743</v>
      </c>
      <c r="B43" s="426">
        <v>53338</v>
      </c>
      <c r="D43" s="183"/>
      <c r="F43" s="183"/>
      <c r="G43" s="207"/>
      <c r="I43" s="190"/>
    </row>
    <row r="44" spans="1:18" x14ac:dyDescent="0.2">
      <c r="A44" s="185" t="s">
        <v>744</v>
      </c>
      <c r="B44" s="426">
        <v>225</v>
      </c>
      <c r="C44" s="184">
        <f>IF(B44=0,0,ROUND(D44/B44,6))</f>
        <v>0.25333299999999997</v>
      </c>
      <c r="D44" s="183">
        <f>$N$11</f>
        <v>57</v>
      </c>
      <c r="E44" s="184">
        <f>IF(B44=0,0,ROUND(F44/B44,6))</f>
        <v>0.248889</v>
      </c>
      <c r="F44" s="183">
        <f>ROUND(+D44*(1+H44),0)</f>
        <v>56</v>
      </c>
      <c r="G44" s="496"/>
      <c r="H44" s="518">
        <f>M22</f>
        <v>-1.925194309837586E-2</v>
      </c>
      <c r="I44" s="745"/>
      <c r="J44" s="745"/>
      <c r="K44" s="182"/>
      <c r="L44" s="182"/>
      <c r="M44" s="182"/>
      <c r="N44" s="182"/>
      <c r="O44" s="182"/>
      <c r="P44" s="182"/>
      <c r="Q44" s="182"/>
      <c r="R44" s="182"/>
    </row>
    <row r="45" spans="1:18" ht="10.8" thickBot="1" x14ac:dyDescent="0.25">
      <c r="A45" s="181" t="s">
        <v>20</v>
      </c>
      <c r="B45" s="199">
        <f>SUM(B43:B44)</f>
        <v>53563</v>
      </c>
      <c r="C45" s="179"/>
      <c r="D45" s="178">
        <f>SUM(D44,D41)</f>
        <v>5814</v>
      </c>
      <c r="E45" s="179"/>
      <c r="F45" s="178">
        <f>SUM(F44,F41)</f>
        <v>5744</v>
      </c>
      <c r="H45" s="745" t="s">
        <v>745</v>
      </c>
      <c r="I45" s="745"/>
    </row>
    <row r="46" spans="1:18" ht="10.8" thickTop="1" x14ac:dyDescent="0.2">
      <c r="A46" s="206"/>
      <c r="B46" s="196"/>
      <c r="C46" s="179"/>
      <c r="D46" s="179"/>
      <c r="E46" s="179"/>
      <c r="F46" s="179"/>
      <c r="G46" s="179"/>
    </row>
    <row r="47" spans="1:18" x14ac:dyDescent="0.2">
      <c r="A47" s="744" t="s">
        <v>746</v>
      </c>
      <c r="B47" s="744"/>
      <c r="C47" s="744"/>
      <c r="D47" s="744"/>
      <c r="E47" s="744"/>
      <c r="F47" s="744"/>
      <c r="G47" s="193"/>
    </row>
    <row r="48" spans="1:18" x14ac:dyDescent="0.2">
      <c r="A48" s="193"/>
      <c r="B48" s="193"/>
      <c r="C48" s="193"/>
      <c r="D48" s="193"/>
      <c r="E48" s="193"/>
      <c r="F48" s="193"/>
      <c r="G48" s="193"/>
    </row>
    <row r="49" spans="1:10" x14ac:dyDescent="0.2">
      <c r="A49" s="202" t="s">
        <v>934</v>
      </c>
      <c r="B49" s="426">
        <f>'WP1 Light Inventory'!I20</f>
        <v>0</v>
      </c>
      <c r="C49" s="330">
        <f>'Base Lighting Tariff'!G23</f>
        <v>1.43</v>
      </c>
      <c r="D49" s="183">
        <f t="shared" ref="D49:D58" si="10">IF(C49="n/a",0,ROUND(B49*C49,0))</f>
        <v>0</v>
      </c>
      <c r="E49" s="330">
        <f>'Base Lighting Tariff'!I23</f>
        <v>0.44</v>
      </c>
      <c r="F49" s="183">
        <f t="shared" ref="F49:F58" si="11">ROUND(E49*$B49,0)</f>
        <v>0</v>
      </c>
      <c r="G49" s="193"/>
    </row>
    <row r="50" spans="1:10" x14ac:dyDescent="0.2">
      <c r="A50" s="202" t="s">
        <v>935</v>
      </c>
      <c r="B50" s="426">
        <f>'WP1 Light Inventory'!I21</f>
        <v>52217</v>
      </c>
      <c r="C50" s="330">
        <f>'Base Lighting Tariff'!G24</f>
        <v>1.43</v>
      </c>
      <c r="D50" s="183">
        <f t="shared" si="10"/>
        <v>74670</v>
      </c>
      <c r="E50" s="330">
        <f>'Base Lighting Tariff'!I24</f>
        <v>1.3199999999999998</v>
      </c>
      <c r="F50" s="183">
        <f t="shared" si="11"/>
        <v>68926</v>
      </c>
      <c r="G50" s="193"/>
      <c r="J50" s="190"/>
    </row>
    <row r="51" spans="1:10" x14ac:dyDescent="0.2">
      <c r="A51" s="202" t="s">
        <v>747</v>
      </c>
      <c r="B51" s="426">
        <f>'WP1 Light Inventory'!I22</f>
        <v>28562</v>
      </c>
      <c r="C51" s="330">
        <f>'Base Lighting Tariff'!G25</f>
        <v>2.39</v>
      </c>
      <c r="D51" s="183">
        <f t="shared" si="10"/>
        <v>68263</v>
      </c>
      <c r="E51" s="330">
        <f>'Base Lighting Tariff'!I25</f>
        <v>2.2000000000000002</v>
      </c>
      <c r="F51" s="183">
        <f t="shared" si="11"/>
        <v>62836</v>
      </c>
      <c r="G51" s="193"/>
      <c r="J51" s="190"/>
    </row>
    <row r="52" spans="1:10" x14ac:dyDescent="0.2">
      <c r="A52" s="202" t="s">
        <v>748</v>
      </c>
      <c r="B52" s="426">
        <f>'WP1 Light Inventory'!I23</f>
        <v>12365</v>
      </c>
      <c r="C52" s="330">
        <f>'Base Lighting Tariff'!G26</f>
        <v>3.34</v>
      </c>
      <c r="D52" s="183">
        <f t="shared" si="10"/>
        <v>41299</v>
      </c>
      <c r="E52" s="330">
        <f>'Base Lighting Tariff'!I26</f>
        <v>3.08</v>
      </c>
      <c r="F52" s="183">
        <f t="shared" si="11"/>
        <v>38084</v>
      </c>
      <c r="G52" s="193"/>
      <c r="J52" s="190"/>
    </row>
    <row r="53" spans="1:10" x14ac:dyDescent="0.2">
      <c r="A53" s="202" t="s">
        <v>749</v>
      </c>
      <c r="B53" s="426">
        <f>'WP1 Light Inventory'!I24</f>
        <v>5819</v>
      </c>
      <c r="C53" s="330">
        <f>'Base Lighting Tariff'!G27</f>
        <v>4.3</v>
      </c>
      <c r="D53" s="183">
        <f t="shared" si="10"/>
        <v>25022</v>
      </c>
      <c r="E53" s="330">
        <f>'Base Lighting Tariff'!I27</f>
        <v>3.97</v>
      </c>
      <c r="F53" s="183">
        <f t="shared" si="11"/>
        <v>23101</v>
      </c>
      <c r="G53" s="193"/>
      <c r="J53" s="190"/>
    </row>
    <row r="54" spans="1:10" x14ac:dyDescent="0.2">
      <c r="A54" s="202" t="s">
        <v>750</v>
      </c>
      <c r="B54" s="426">
        <f>'WP1 Light Inventory'!I25</f>
        <v>824</v>
      </c>
      <c r="C54" s="330">
        <f>'Base Lighting Tariff'!G28</f>
        <v>5.26</v>
      </c>
      <c r="D54" s="183">
        <f t="shared" si="10"/>
        <v>4334</v>
      </c>
      <c r="E54" s="330">
        <f>'Base Lighting Tariff'!I28</f>
        <v>4.8499999999999996</v>
      </c>
      <c r="F54" s="183">
        <f t="shared" si="11"/>
        <v>3996</v>
      </c>
      <c r="G54" s="193"/>
      <c r="J54" s="190"/>
    </row>
    <row r="55" spans="1:10" x14ac:dyDescent="0.2">
      <c r="A55" s="202" t="s">
        <v>751</v>
      </c>
      <c r="B55" s="426">
        <f>'WP1 Light Inventory'!I26</f>
        <v>2412</v>
      </c>
      <c r="C55" s="330">
        <f>'Base Lighting Tariff'!G29</f>
        <v>6.21</v>
      </c>
      <c r="D55" s="183">
        <f t="shared" si="10"/>
        <v>14979</v>
      </c>
      <c r="E55" s="330">
        <f>'Base Lighting Tariff'!I29</f>
        <v>5.74</v>
      </c>
      <c r="F55" s="183">
        <f t="shared" si="11"/>
        <v>13845</v>
      </c>
      <c r="G55" s="193"/>
      <c r="J55" s="190"/>
    </row>
    <row r="56" spans="1:10" x14ac:dyDescent="0.2">
      <c r="A56" s="202" t="s">
        <v>752</v>
      </c>
      <c r="B56" s="426">
        <f>'WP1 Light Inventory'!I27</f>
        <v>705</v>
      </c>
      <c r="C56" s="330">
        <f>'Base Lighting Tariff'!G30</f>
        <v>7.17</v>
      </c>
      <c r="D56" s="183">
        <f t="shared" si="10"/>
        <v>5055</v>
      </c>
      <c r="E56" s="330">
        <f>'Base Lighting Tariff'!I30</f>
        <v>6.63</v>
      </c>
      <c r="F56" s="183">
        <f t="shared" si="11"/>
        <v>4674</v>
      </c>
      <c r="G56" s="193"/>
      <c r="J56" s="190"/>
    </row>
    <row r="57" spans="1:10" x14ac:dyDescent="0.2">
      <c r="A57" s="202" t="s">
        <v>753</v>
      </c>
      <c r="B57" s="426">
        <f>'WP1 Light Inventory'!I28</f>
        <v>96</v>
      </c>
      <c r="C57" s="330">
        <f>'Base Lighting Tariff'!G31</f>
        <v>8.1199999999999992</v>
      </c>
      <c r="D57" s="183">
        <f t="shared" si="10"/>
        <v>780</v>
      </c>
      <c r="E57" s="330">
        <f>'Base Lighting Tariff'!I31</f>
        <v>7.51</v>
      </c>
      <c r="F57" s="183">
        <f t="shared" si="11"/>
        <v>721</v>
      </c>
      <c r="G57" s="193"/>
      <c r="J57" s="190"/>
    </row>
    <row r="58" spans="1:10" x14ac:dyDescent="0.2">
      <c r="A58" s="202" t="s">
        <v>754</v>
      </c>
      <c r="B58" s="426">
        <f>'WP1 Light Inventory'!I29</f>
        <v>952</v>
      </c>
      <c r="C58" s="330">
        <f>'Base Lighting Tariff'!G32</f>
        <v>9.08</v>
      </c>
      <c r="D58" s="183">
        <f t="shared" si="10"/>
        <v>8644</v>
      </c>
      <c r="E58" s="330">
        <f>'Base Lighting Tariff'!I32</f>
        <v>8.39</v>
      </c>
      <c r="F58" s="183">
        <f t="shared" si="11"/>
        <v>7987</v>
      </c>
      <c r="G58" s="193"/>
      <c r="J58" s="190"/>
    </row>
    <row r="59" spans="1:10" x14ac:dyDescent="0.2">
      <c r="A59" s="193"/>
      <c r="B59" s="426"/>
      <c r="C59" s="205"/>
      <c r="D59" s="183"/>
      <c r="E59" s="205"/>
      <c r="F59" s="183"/>
      <c r="G59" s="183"/>
    </row>
    <row r="60" spans="1:10" x14ac:dyDescent="0.2">
      <c r="A60" s="202" t="s">
        <v>755</v>
      </c>
      <c r="B60" s="296">
        <v>0</v>
      </c>
      <c r="C60" s="297">
        <f>'Base Lighting Tariff'!G20</f>
        <v>1.4200000000000001E-2</v>
      </c>
      <c r="D60" s="183">
        <f>IF(C60="n/a",0,ROUND(B60*C60,0))</f>
        <v>0</v>
      </c>
      <c r="E60" s="297">
        <f>'Base Lighting Tariff'!I20</f>
        <v>1.289E-2</v>
      </c>
      <c r="F60" s="183">
        <f>ROUND(E60*$B60,0)</f>
        <v>0</v>
      </c>
      <c r="G60" s="183"/>
    </row>
    <row r="61" spans="1:10" x14ac:dyDescent="0.2">
      <c r="A61" s="202" t="s">
        <v>756</v>
      </c>
      <c r="B61" s="426">
        <v>507979166</v>
      </c>
      <c r="C61" s="297">
        <f>'Base Lighting Tariff'!G21</f>
        <v>1.3600000000000001E-3</v>
      </c>
      <c r="D61" s="183">
        <f>IF(C61="n/a",0,ROUND(B61*C61,0))</f>
        <v>690852</v>
      </c>
      <c r="E61" s="297">
        <f>'Base Lighting Tariff'!I21</f>
        <v>1.42E-3</v>
      </c>
      <c r="F61" s="183">
        <f>ROUND(E61*$B61,0)</f>
        <v>721330</v>
      </c>
      <c r="G61" s="183"/>
    </row>
    <row r="62" spans="1:10" x14ac:dyDescent="0.2">
      <c r="A62" s="202"/>
      <c r="B62" s="183"/>
      <c r="C62" s="297"/>
      <c r="D62" s="183"/>
      <c r="E62" s="297"/>
      <c r="F62" s="183"/>
      <c r="G62" s="183"/>
    </row>
    <row r="63" spans="1:10" x14ac:dyDescent="0.2">
      <c r="A63" s="188" t="s">
        <v>742</v>
      </c>
      <c r="B63" s="273">
        <f>SUM(B49:B58)</f>
        <v>103952</v>
      </c>
      <c r="C63" s="330"/>
      <c r="D63" s="187">
        <f>SUM(D49:D61)</f>
        <v>933898</v>
      </c>
      <c r="E63" s="330"/>
      <c r="F63" s="187">
        <f>SUM(F49:F61)</f>
        <v>945500</v>
      </c>
      <c r="G63" s="183"/>
    </row>
    <row r="64" spans="1:10" x14ac:dyDescent="0.2">
      <c r="A64" s="186"/>
      <c r="B64" s="204"/>
      <c r="D64" s="183"/>
      <c r="F64" s="183"/>
      <c r="G64" s="183"/>
    </row>
    <row r="65" spans="1:18" x14ac:dyDescent="0.2">
      <c r="A65" s="185" t="s">
        <v>743</v>
      </c>
      <c r="B65" s="426">
        <v>2714227</v>
      </c>
      <c r="D65" s="183"/>
      <c r="F65" s="183"/>
      <c r="G65" s="183"/>
      <c r="I65" s="190"/>
    </row>
    <row r="66" spans="1:18" x14ac:dyDescent="0.2">
      <c r="A66" s="185" t="s">
        <v>744</v>
      </c>
      <c r="B66" s="426">
        <v>11390</v>
      </c>
      <c r="C66" s="184">
        <f>ROUND(D66/B66,6)</f>
        <v>0.25443399999999999</v>
      </c>
      <c r="D66" s="183">
        <f>$N$12</f>
        <v>2898</v>
      </c>
      <c r="E66" s="184">
        <f>ROUND(F66/B66,6)</f>
        <v>0.24951699999999999</v>
      </c>
      <c r="F66" s="183">
        <f>ROUND(+D66*(1+H66),0)</f>
        <v>2842</v>
      </c>
      <c r="G66" s="496"/>
      <c r="H66" s="518">
        <f>+$H$44</f>
        <v>-1.925194309837586E-2</v>
      </c>
      <c r="I66" s="745"/>
      <c r="J66" s="745"/>
      <c r="K66" s="182"/>
      <c r="L66" s="182"/>
      <c r="M66" s="182"/>
      <c r="N66" s="182"/>
      <c r="O66" s="182"/>
      <c r="P66" s="182"/>
      <c r="Q66" s="182"/>
      <c r="R66" s="182"/>
    </row>
    <row r="67" spans="1:18" ht="10.8" thickBot="1" x14ac:dyDescent="0.25">
      <c r="A67" s="181" t="s">
        <v>20</v>
      </c>
      <c r="B67" s="180">
        <f>SUM(B65:B66)</f>
        <v>2725617</v>
      </c>
      <c r="C67" s="179"/>
      <c r="D67" s="203">
        <f>SUM(D63:D66)</f>
        <v>936796</v>
      </c>
      <c r="E67" s="179"/>
      <c r="F67" s="203">
        <f>SUM(F63:F66)</f>
        <v>948342</v>
      </c>
      <c r="H67" s="745" t="s">
        <v>745</v>
      </c>
      <c r="I67" s="745"/>
    </row>
    <row r="68" spans="1:18" ht="10.8" thickTop="1" x14ac:dyDescent="0.2">
      <c r="A68" s="193"/>
      <c r="B68" s="193"/>
      <c r="C68" s="194" t="s">
        <v>91</v>
      </c>
      <c r="D68" s="193"/>
      <c r="E68" s="194" t="s">
        <v>91</v>
      </c>
      <c r="F68" s="183" t="s">
        <v>91</v>
      </c>
      <c r="G68" s="183"/>
    </row>
    <row r="69" spans="1:18" x14ac:dyDescent="0.2">
      <c r="A69" s="744" t="s">
        <v>757</v>
      </c>
      <c r="B69" s="744"/>
      <c r="C69" s="744"/>
      <c r="D69" s="744"/>
      <c r="E69" s="744"/>
      <c r="F69" s="744"/>
      <c r="G69" s="193"/>
    </row>
    <row r="70" spans="1:18" x14ac:dyDescent="0.2">
      <c r="A70" s="186" t="s">
        <v>758</v>
      </c>
      <c r="B70" s="193"/>
      <c r="C70" s="193"/>
      <c r="D70" s="193"/>
      <c r="E70" s="193"/>
      <c r="F70" s="193"/>
      <c r="G70" s="193"/>
    </row>
    <row r="71" spans="1:18" x14ac:dyDescent="0.2">
      <c r="A71" s="189" t="s">
        <v>759</v>
      </c>
      <c r="B71" s="426">
        <f>'WP1 Light Inventory'!I42</f>
        <v>0</v>
      </c>
      <c r="C71" s="330">
        <f>'Base Lighting Tariff'!G37</f>
        <v>1.59</v>
      </c>
      <c r="D71" s="183">
        <f t="shared" ref="D71:D78" si="12">IF(C71="n/a",0,ROUND(B71*C71,0))</f>
        <v>0</v>
      </c>
      <c r="E71" s="330">
        <f>'Base Lighting Tariff'!I37</f>
        <v>1.46</v>
      </c>
      <c r="F71" s="183">
        <f t="shared" ref="F71:F78" si="13">ROUND(E71*$B71,0)</f>
        <v>0</v>
      </c>
      <c r="G71" s="193"/>
      <c r="H71" s="330"/>
      <c r="I71" s="190"/>
    </row>
    <row r="72" spans="1:18" x14ac:dyDescent="0.2">
      <c r="A72" s="191" t="s">
        <v>760</v>
      </c>
      <c r="B72" s="426">
        <f>'WP1 Light Inventory'!I43</f>
        <v>8040</v>
      </c>
      <c r="C72" s="330">
        <f>'Base Lighting Tariff'!G38</f>
        <v>2.23</v>
      </c>
      <c r="D72" s="183">
        <f t="shared" si="12"/>
        <v>17929</v>
      </c>
      <c r="E72" s="330">
        <f>'Base Lighting Tariff'!I38</f>
        <v>2.0700000000000003</v>
      </c>
      <c r="F72" s="183">
        <f t="shared" si="13"/>
        <v>16643</v>
      </c>
      <c r="G72" s="193"/>
      <c r="H72" s="330"/>
      <c r="I72" s="190"/>
    </row>
    <row r="73" spans="1:18" x14ac:dyDescent="0.2">
      <c r="A73" s="191" t="s">
        <v>761</v>
      </c>
      <c r="B73" s="426">
        <f>'WP1 Light Inventory'!I44</f>
        <v>115242</v>
      </c>
      <c r="C73" s="330">
        <f>'Base Lighting Tariff'!G39</f>
        <v>3.19</v>
      </c>
      <c r="D73" s="183">
        <f t="shared" si="12"/>
        <v>367622</v>
      </c>
      <c r="E73" s="330">
        <f>'Base Lighting Tariff'!I39</f>
        <v>2.95</v>
      </c>
      <c r="F73" s="183">
        <f t="shared" si="13"/>
        <v>339964</v>
      </c>
      <c r="G73" s="193"/>
      <c r="H73" s="330"/>
      <c r="I73" s="190"/>
    </row>
    <row r="74" spans="1:18" x14ac:dyDescent="0.2">
      <c r="A74" s="191" t="s">
        <v>762</v>
      </c>
      <c r="B74" s="426">
        <f>'WP1 Light Inventory'!I45</f>
        <v>53643</v>
      </c>
      <c r="C74" s="330">
        <f>'Base Lighting Tariff'!G40</f>
        <v>4.78</v>
      </c>
      <c r="D74" s="183">
        <f t="shared" si="12"/>
        <v>256414</v>
      </c>
      <c r="E74" s="330">
        <f>'Base Lighting Tariff'!I40</f>
        <v>4.41</v>
      </c>
      <c r="F74" s="183">
        <f t="shared" si="13"/>
        <v>236566</v>
      </c>
      <c r="G74" s="193"/>
      <c r="H74" s="330"/>
      <c r="I74" s="190"/>
    </row>
    <row r="75" spans="1:18" x14ac:dyDescent="0.2">
      <c r="A75" s="191" t="s">
        <v>763</v>
      </c>
      <c r="B75" s="426">
        <f>'WP1 Light Inventory'!I46</f>
        <v>11381</v>
      </c>
      <c r="C75" s="330">
        <f>'Base Lighting Tariff'!G41</f>
        <v>6.37</v>
      </c>
      <c r="D75" s="183">
        <f t="shared" si="12"/>
        <v>72497</v>
      </c>
      <c r="E75" s="330">
        <f>'Base Lighting Tariff'!I41</f>
        <v>5.8900000000000006</v>
      </c>
      <c r="F75" s="183">
        <f t="shared" si="13"/>
        <v>67034</v>
      </c>
      <c r="G75" s="193"/>
      <c r="H75" s="330"/>
      <c r="I75" s="190"/>
    </row>
    <row r="76" spans="1:18" x14ac:dyDescent="0.2">
      <c r="A76" s="191" t="s">
        <v>764</v>
      </c>
      <c r="B76" s="426">
        <f>'WP1 Light Inventory'!I47</f>
        <v>16790</v>
      </c>
      <c r="C76" s="330">
        <f>'Base Lighting Tariff'!G42</f>
        <v>7.96</v>
      </c>
      <c r="D76" s="183">
        <f t="shared" si="12"/>
        <v>133648</v>
      </c>
      <c r="E76" s="330">
        <f>'Base Lighting Tariff'!I42</f>
        <v>7.35</v>
      </c>
      <c r="F76" s="183">
        <f t="shared" si="13"/>
        <v>123407</v>
      </c>
      <c r="G76" s="193"/>
      <c r="H76" s="330"/>
      <c r="I76" s="190"/>
    </row>
    <row r="77" spans="1:18" x14ac:dyDescent="0.2">
      <c r="A77" s="191" t="s">
        <v>765</v>
      </c>
      <c r="B77" s="426">
        <f>'WP1 Light Inventory'!I48</f>
        <v>1692</v>
      </c>
      <c r="C77" s="330">
        <f>'Base Lighting Tariff'!G43</f>
        <v>9.8699999999999992</v>
      </c>
      <c r="D77" s="183">
        <f t="shared" si="12"/>
        <v>16700</v>
      </c>
      <c r="E77" s="330">
        <f>'Base Lighting Tariff'!I43</f>
        <v>9.129999999999999</v>
      </c>
      <c r="F77" s="183">
        <f t="shared" si="13"/>
        <v>15448</v>
      </c>
      <c r="G77" s="193"/>
      <c r="H77" s="330"/>
      <c r="I77" s="190"/>
    </row>
    <row r="78" spans="1:18" x14ac:dyDescent="0.2">
      <c r="A78" s="191" t="s">
        <v>766</v>
      </c>
      <c r="B78" s="426">
        <f>'WP1 Light Inventory'!I49</f>
        <v>7064</v>
      </c>
      <c r="C78" s="330">
        <f>'Base Lighting Tariff'!G44</f>
        <v>12.74</v>
      </c>
      <c r="D78" s="183">
        <f t="shared" si="12"/>
        <v>89995</v>
      </c>
      <c r="E78" s="330">
        <f>'Base Lighting Tariff'!I44</f>
        <v>11.780000000000001</v>
      </c>
      <c r="F78" s="183">
        <f t="shared" si="13"/>
        <v>83214</v>
      </c>
      <c r="G78" s="193"/>
      <c r="H78" s="330"/>
      <c r="I78" s="190"/>
    </row>
    <row r="79" spans="1:18" x14ac:dyDescent="0.2">
      <c r="A79" s="191"/>
      <c r="B79" s="426"/>
      <c r="C79" s="330"/>
      <c r="D79" s="183"/>
      <c r="E79" s="330"/>
      <c r="F79" s="193"/>
      <c r="G79" s="193"/>
    </row>
    <row r="80" spans="1:18" x14ac:dyDescent="0.2">
      <c r="A80" s="191" t="s">
        <v>1046</v>
      </c>
      <c r="B80" s="426">
        <f>'WP1 Light Inventory'!I51</f>
        <v>840</v>
      </c>
      <c r="C80" s="330">
        <f>'Base Lighting Tariff'!G46</f>
        <v>2.23</v>
      </c>
      <c r="D80" s="183">
        <f t="shared" ref="D80:D86" si="14">IF(C80="n/a",0,ROUND(B80*C80,0))</f>
        <v>1873</v>
      </c>
      <c r="E80" s="330">
        <f>'Base Lighting Tariff'!I46</f>
        <v>2.0700000000000003</v>
      </c>
      <c r="F80" s="183">
        <f t="shared" ref="F80:F86" si="15">ROUND(E80*$B80,0)</f>
        <v>1739</v>
      </c>
      <c r="G80" s="193"/>
      <c r="H80" s="330"/>
      <c r="I80" s="190"/>
    </row>
    <row r="81" spans="1:18" x14ac:dyDescent="0.2">
      <c r="A81" s="191" t="s">
        <v>1047</v>
      </c>
      <c r="B81" s="426">
        <f>'WP1 Light Inventory'!I52</f>
        <v>52</v>
      </c>
      <c r="C81" s="330">
        <f>'Base Lighting Tariff'!G47</f>
        <v>3.19</v>
      </c>
      <c r="D81" s="183">
        <f t="shared" si="14"/>
        <v>166</v>
      </c>
      <c r="E81" s="330">
        <f>'Base Lighting Tariff'!I47</f>
        <v>2.95</v>
      </c>
      <c r="F81" s="183">
        <f t="shared" si="15"/>
        <v>153</v>
      </c>
      <c r="G81" s="193"/>
      <c r="H81" s="330"/>
      <c r="I81" s="190"/>
    </row>
    <row r="82" spans="1:18" x14ac:dyDescent="0.2">
      <c r="A82" s="191" t="s">
        <v>1048</v>
      </c>
      <c r="B82" s="426">
        <f>'WP1 Light Inventory'!I53</f>
        <v>2416</v>
      </c>
      <c r="C82" s="330">
        <f>'Base Lighting Tariff'!G48</f>
        <v>4.78</v>
      </c>
      <c r="D82" s="183">
        <f t="shared" si="14"/>
        <v>11548</v>
      </c>
      <c r="E82" s="330">
        <f>'Base Lighting Tariff'!I48</f>
        <v>4.41</v>
      </c>
      <c r="F82" s="183">
        <f t="shared" si="15"/>
        <v>10655</v>
      </c>
      <c r="G82" s="193"/>
      <c r="H82" s="330"/>
      <c r="I82" s="190"/>
    </row>
    <row r="83" spans="1:18" x14ac:dyDescent="0.2">
      <c r="A83" s="189" t="s">
        <v>1049</v>
      </c>
      <c r="B83" s="426">
        <f>'WP1 Light Inventory'!I54</f>
        <v>2543</v>
      </c>
      <c r="C83" s="330">
        <f>'Base Lighting Tariff'!G49</f>
        <v>5.57</v>
      </c>
      <c r="D83" s="183">
        <f t="shared" si="14"/>
        <v>14165</v>
      </c>
      <c r="E83" s="330">
        <f>'Base Lighting Tariff'!I49</f>
        <v>5.15</v>
      </c>
      <c r="F83" s="183">
        <f t="shared" si="15"/>
        <v>13096</v>
      </c>
      <c r="G83" s="193"/>
      <c r="H83" s="330"/>
      <c r="I83" s="190"/>
    </row>
    <row r="84" spans="1:18" x14ac:dyDescent="0.2">
      <c r="A84" s="191" t="s">
        <v>1050</v>
      </c>
      <c r="B84" s="426">
        <f>'WP1 Light Inventory'!I55</f>
        <v>432</v>
      </c>
      <c r="C84" s="330">
        <f>'Base Lighting Tariff'!G50</f>
        <v>7.96</v>
      </c>
      <c r="D84" s="183">
        <f t="shared" si="14"/>
        <v>3439</v>
      </c>
      <c r="E84" s="330">
        <f>'Base Lighting Tariff'!I50</f>
        <v>7.35</v>
      </c>
      <c r="F84" s="183">
        <f t="shared" si="15"/>
        <v>3175</v>
      </c>
      <c r="G84" s="193"/>
      <c r="H84" s="330"/>
      <c r="I84" s="190"/>
    </row>
    <row r="85" spans="1:18" x14ac:dyDescent="0.2">
      <c r="A85" s="191" t="s">
        <v>1051</v>
      </c>
      <c r="B85" s="426">
        <f>'WP1 Light Inventory'!I56</f>
        <v>684</v>
      </c>
      <c r="C85" s="330">
        <f>'Base Lighting Tariff'!G51</f>
        <v>12.74</v>
      </c>
      <c r="D85" s="183">
        <f t="shared" si="14"/>
        <v>8714</v>
      </c>
      <c r="E85" s="330">
        <f>'Base Lighting Tariff'!I51</f>
        <v>11.780000000000001</v>
      </c>
      <c r="F85" s="183">
        <f t="shared" si="15"/>
        <v>8058</v>
      </c>
      <c r="G85" s="193"/>
      <c r="H85" s="330"/>
      <c r="I85" s="190"/>
    </row>
    <row r="86" spans="1:18" x14ac:dyDescent="0.2">
      <c r="A86" s="189" t="s">
        <v>1052</v>
      </c>
      <c r="B86" s="426">
        <f>'WP1 Light Inventory'!I57</f>
        <v>216</v>
      </c>
      <c r="C86" s="330">
        <f>'Base Lighting Tariff'!G52</f>
        <v>31.85</v>
      </c>
      <c r="D86" s="183">
        <f t="shared" si="14"/>
        <v>6880</v>
      </c>
      <c r="E86" s="330">
        <f>'Base Lighting Tariff'!I52</f>
        <v>29.439999999999998</v>
      </c>
      <c r="F86" s="183">
        <f t="shared" si="15"/>
        <v>6359</v>
      </c>
      <c r="G86" s="193"/>
      <c r="H86" s="330"/>
      <c r="I86" s="190"/>
    </row>
    <row r="87" spans="1:18" x14ac:dyDescent="0.2">
      <c r="A87" s="188"/>
      <c r="B87" s="277"/>
      <c r="C87" s="330"/>
      <c r="D87" s="220"/>
      <c r="E87" s="330"/>
      <c r="F87" s="220"/>
      <c r="G87" s="193"/>
    </row>
    <row r="88" spans="1:18" x14ac:dyDescent="0.2">
      <c r="A88" s="202" t="s">
        <v>755</v>
      </c>
      <c r="B88" s="296">
        <v>0</v>
      </c>
      <c r="C88" s="297">
        <f>'Base Lighting Tariff'!G34</f>
        <v>1.4200000000000001E-2</v>
      </c>
      <c r="D88" s="183">
        <f>IF(C88="n/a",0,ROUND(B88*C88,0))</f>
        <v>0</v>
      </c>
      <c r="E88" s="297">
        <f>'Base Lighting Tariff'!I34</f>
        <v>1.289E-2</v>
      </c>
      <c r="F88" s="183">
        <f>ROUND(E88*$B88,0)</f>
        <v>0</v>
      </c>
      <c r="G88" s="183"/>
      <c r="H88" s="330"/>
      <c r="I88" s="190"/>
    </row>
    <row r="89" spans="1:18" x14ac:dyDescent="0.2">
      <c r="A89" s="202" t="s">
        <v>756</v>
      </c>
      <c r="B89" s="426">
        <v>612824431</v>
      </c>
      <c r="C89" s="297">
        <f>'Base Lighting Tariff'!G35</f>
        <v>1.3600000000000001E-3</v>
      </c>
      <c r="D89" s="183">
        <f>IF(C89="n/a",0,ROUND(B89*C89,0))</f>
        <v>833441</v>
      </c>
      <c r="E89" s="297">
        <f>'Base Lighting Tariff'!I35</f>
        <v>1.42E-3</v>
      </c>
      <c r="F89" s="183">
        <f>ROUND(E89*$B89,0)</f>
        <v>870211</v>
      </c>
      <c r="G89" s="183"/>
      <c r="H89" s="330"/>
      <c r="I89" s="190"/>
    </row>
    <row r="90" spans="1:18" x14ac:dyDescent="0.2">
      <c r="A90" s="186"/>
      <c r="B90" s="201"/>
      <c r="D90" s="183"/>
      <c r="F90" s="183"/>
      <c r="G90" s="183"/>
    </row>
    <row r="91" spans="1:18" x14ac:dyDescent="0.2">
      <c r="A91" s="188" t="s">
        <v>742</v>
      </c>
      <c r="B91" s="426">
        <f>SUM(B71:B86)</f>
        <v>221035</v>
      </c>
      <c r="C91" s="330"/>
      <c r="D91" s="197">
        <f>SUM(D71:D89)</f>
        <v>1835031</v>
      </c>
      <c r="E91" s="330"/>
      <c r="F91" s="197">
        <f>SUM(F71:F89)</f>
        <v>1795722</v>
      </c>
      <c r="G91" s="193"/>
    </row>
    <row r="92" spans="1:18" x14ac:dyDescent="0.2">
      <c r="A92" s="186"/>
      <c r="B92" s="296"/>
      <c r="D92" s="183"/>
      <c r="F92" s="183"/>
      <c r="G92" s="183"/>
      <c r="I92" s="190"/>
    </row>
    <row r="93" spans="1:18" x14ac:dyDescent="0.2">
      <c r="A93" s="185" t="s">
        <v>743</v>
      </c>
      <c r="B93" s="426">
        <v>12614287</v>
      </c>
      <c r="D93" s="183"/>
      <c r="F93" s="183"/>
      <c r="G93" s="179"/>
    </row>
    <row r="94" spans="1:18" x14ac:dyDescent="0.2">
      <c r="A94" s="185" t="s">
        <v>744</v>
      </c>
      <c r="B94" s="426">
        <v>1642</v>
      </c>
      <c r="C94" s="184">
        <f>ROUND(D94/B94,6)</f>
        <v>0.25456800000000002</v>
      </c>
      <c r="D94" s="183">
        <f>$N$13</f>
        <v>418</v>
      </c>
      <c r="E94" s="184">
        <f>ROUND(F94/B94,6)</f>
        <v>0.249695</v>
      </c>
      <c r="F94" s="183">
        <f>ROUND(+D94*(1+H94),0)</f>
        <v>410</v>
      </c>
      <c r="G94" s="496"/>
      <c r="H94" s="518">
        <f>+$H$44</f>
        <v>-1.925194309837586E-2</v>
      </c>
      <c r="I94" s="745"/>
      <c r="J94" s="745"/>
      <c r="K94" s="182"/>
      <c r="L94" s="182"/>
      <c r="M94" s="182"/>
      <c r="N94" s="182"/>
      <c r="O94" s="182"/>
      <c r="P94" s="182"/>
      <c r="Q94" s="182"/>
      <c r="R94" s="182"/>
    </row>
    <row r="95" spans="1:18" ht="10.8" thickBot="1" x14ac:dyDescent="0.25">
      <c r="A95" s="181" t="s">
        <v>20</v>
      </c>
      <c r="B95" s="199">
        <f>SUM(B93:B94)</f>
        <v>12615929</v>
      </c>
      <c r="C95" s="179"/>
      <c r="D95" s="178">
        <f>SUM(D91:D94)</f>
        <v>1835449</v>
      </c>
      <c r="E95" s="179"/>
      <c r="F95" s="178">
        <f>SUM(F91:F94)</f>
        <v>1796132</v>
      </c>
      <c r="H95" s="745" t="s">
        <v>745</v>
      </c>
      <c r="I95" s="745"/>
    </row>
    <row r="96" spans="1:18" ht="10.8" thickTop="1" x14ac:dyDescent="0.2">
      <c r="A96" s="193"/>
      <c r="B96" s="193"/>
      <c r="C96" s="194"/>
      <c r="D96" s="193"/>
      <c r="E96" s="194"/>
      <c r="F96" s="183"/>
      <c r="G96" s="183"/>
    </row>
    <row r="97" spans="1:10" x14ac:dyDescent="0.2">
      <c r="A97" s="744" t="s">
        <v>767</v>
      </c>
      <c r="B97" s="744"/>
      <c r="C97" s="744"/>
      <c r="D97" s="744"/>
      <c r="E97" s="744"/>
      <c r="F97" s="744"/>
      <c r="G97" s="193"/>
    </row>
    <row r="98" spans="1:10" x14ac:dyDescent="0.2">
      <c r="A98" s="186" t="s">
        <v>768</v>
      </c>
      <c r="B98" s="193"/>
      <c r="C98" s="193"/>
      <c r="D98" s="193"/>
      <c r="E98" s="193"/>
      <c r="F98" s="193"/>
      <c r="G98" s="193"/>
    </row>
    <row r="99" spans="1:10" x14ac:dyDescent="0.2">
      <c r="A99" s="191" t="s">
        <v>769</v>
      </c>
      <c r="B99" s="296">
        <f>'WP1 Light Inventory'!I59</f>
        <v>0</v>
      </c>
      <c r="C99" s="330">
        <f>'Base Lighting Tariff'!G54</f>
        <v>12.97</v>
      </c>
      <c r="D99" s="183">
        <f t="shared" ref="D99:D107" si="16">IF(C99="n/a",0,ROUND(B99*C99,0))</f>
        <v>0</v>
      </c>
      <c r="E99" s="330">
        <f>'Base Lighting Tariff'!I54</f>
        <v>12.299999999999999</v>
      </c>
      <c r="F99" s="183">
        <f t="shared" ref="F99:F107" si="17">ROUND(E99*$B99,0)</f>
        <v>0</v>
      </c>
      <c r="G99" s="193"/>
      <c r="J99" s="190"/>
    </row>
    <row r="100" spans="1:10" x14ac:dyDescent="0.2">
      <c r="A100" s="191" t="s">
        <v>770</v>
      </c>
      <c r="B100" s="296">
        <f>'WP1 Light Inventory'!I60</f>
        <v>46032</v>
      </c>
      <c r="C100" s="330">
        <f>'Base Lighting Tariff'!G55</f>
        <v>13.61</v>
      </c>
      <c r="D100" s="183">
        <f t="shared" si="16"/>
        <v>626496</v>
      </c>
      <c r="E100" s="330">
        <f>'Base Lighting Tariff'!I55</f>
        <v>13.530000000000001</v>
      </c>
      <c r="F100" s="183">
        <f t="shared" si="17"/>
        <v>622813</v>
      </c>
      <c r="G100" s="193"/>
      <c r="J100" s="190"/>
    </row>
    <row r="101" spans="1:10" x14ac:dyDescent="0.2">
      <c r="A101" s="191" t="s">
        <v>771</v>
      </c>
      <c r="B101" s="296">
        <f>'WP1 Light Inventory'!I61</f>
        <v>340948</v>
      </c>
      <c r="C101" s="330">
        <f>'Base Lighting Tariff'!G56</f>
        <v>14.01</v>
      </c>
      <c r="D101" s="183">
        <f t="shared" si="16"/>
        <v>4776681</v>
      </c>
      <c r="E101" s="330">
        <f>'Base Lighting Tariff'!I56</f>
        <v>13.879999999999999</v>
      </c>
      <c r="F101" s="183">
        <f t="shared" si="17"/>
        <v>4732358</v>
      </c>
      <c r="G101" s="193"/>
      <c r="J101" s="190"/>
    </row>
    <row r="102" spans="1:10" x14ac:dyDescent="0.2">
      <c r="A102" s="191" t="s">
        <v>772</v>
      </c>
      <c r="B102" s="296">
        <f>'WP1 Light Inventory'!I62</f>
        <v>41816</v>
      </c>
      <c r="C102" s="330">
        <f>'Base Lighting Tariff'!G57</f>
        <v>15.62</v>
      </c>
      <c r="D102" s="183">
        <f t="shared" si="16"/>
        <v>653166</v>
      </c>
      <c r="E102" s="330">
        <f>'Base Lighting Tariff'!I57</f>
        <v>15.35</v>
      </c>
      <c r="F102" s="183">
        <f t="shared" si="17"/>
        <v>641876</v>
      </c>
      <c r="G102" s="193"/>
      <c r="J102" s="190"/>
    </row>
    <row r="103" spans="1:10" x14ac:dyDescent="0.2">
      <c r="A103" s="191" t="s">
        <v>773</v>
      </c>
      <c r="B103" s="296">
        <f>'WP1 Light Inventory'!I63</f>
        <v>52890</v>
      </c>
      <c r="C103" s="330">
        <f>'Base Lighting Tariff'!G58</f>
        <v>17.73</v>
      </c>
      <c r="D103" s="183">
        <f t="shared" si="16"/>
        <v>937740</v>
      </c>
      <c r="E103" s="330">
        <f>'Base Lighting Tariff'!I58</f>
        <v>17.329999999999998</v>
      </c>
      <c r="F103" s="183">
        <f t="shared" si="17"/>
        <v>916584</v>
      </c>
      <c r="G103" s="193"/>
      <c r="J103" s="190"/>
    </row>
    <row r="104" spans="1:10" x14ac:dyDescent="0.2">
      <c r="A104" s="191" t="s">
        <v>774</v>
      </c>
      <c r="B104" s="296">
        <f>'WP1 Light Inventory'!I64</f>
        <v>19383</v>
      </c>
      <c r="C104" s="330">
        <f>'Base Lighting Tariff'!G59</f>
        <v>19.489999999999998</v>
      </c>
      <c r="D104" s="183">
        <f t="shared" si="16"/>
        <v>377775</v>
      </c>
      <c r="E104" s="330">
        <f>'Base Lighting Tariff'!I59</f>
        <v>18.96</v>
      </c>
      <c r="F104" s="183">
        <f t="shared" si="17"/>
        <v>367502</v>
      </c>
      <c r="G104" s="193"/>
      <c r="J104" s="190"/>
    </row>
    <row r="105" spans="1:10" x14ac:dyDescent="0.2">
      <c r="A105" s="191" t="s">
        <v>775</v>
      </c>
      <c r="B105" s="296">
        <f>'WP1 Light Inventory'!I65</f>
        <v>181</v>
      </c>
      <c r="C105" s="330">
        <f>'Base Lighting Tariff'!G60</f>
        <v>21.8</v>
      </c>
      <c r="D105" s="183">
        <f t="shared" si="16"/>
        <v>3946</v>
      </c>
      <c r="E105" s="330">
        <f>'Base Lighting Tariff'!I60</f>
        <v>21.11</v>
      </c>
      <c r="F105" s="183">
        <f t="shared" si="17"/>
        <v>3821</v>
      </c>
      <c r="G105" s="193"/>
      <c r="J105" s="190"/>
    </row>
    <row r="106" spans="1:10" x14ac:dyDescent="0.2">
      <c r="A106" s="191" t="s">
        <v>776</v>
      </c>
      <c r="B106" s="296">
        <f>'WP1 Light Inventory'!I66</f>
        <v>10607</v>
      </c>
      <c r="C106" s="330">
        <f>'Base Lighting Tariff'!G61</f>
        <v>25.4</v>
      </c>
      <c r="D106" s="183">
        <f t="shared" si="16"/>
        <v>269418</v>
      </c>
      <c r="E106" s="330">
        <f>'Base Lighting Tariff'!I61</f>
        <v>24.47</v>
      </c>
      <c r="F106" s="183">
        <f t="shared" si="17"/>
        <v>259553</v>
      </c>
      <c r="G106" s="193"/>
      <c r="J106" s="190"/>
    </row>
    <row r="107" spans="1:10" x14ac:dyDescent="0.2">
      <c r="A107" s="191" t="s">
        <v>777</v>
      </c>
      <c r="B107" s="296">
        <f>'WP1 Light Inventory'!I67</f>
        <v>0</v>
      </c>
      <c r="C107" s="330">
        <f>'Base Lighting Tariff'!G62</f>
        <v>46.5</v>
      </c>
      <c r="D107" s="183">
        <f t="shared" si="16"/>
        <v>0</v>
      </c>
      <c r="E107" s="330">
        <f>'Base Lighting Tariff'!I62</f>
        <v>44.64</v>
      </c>
      <c r="F107" s="183">
        <f t="shared" si="17"/>
        <v>0</v>
      </c>
      <c r="G107" s="193"/>
    </row>
    <row r="108" spans="1:10" x14ac:dyDescent="0.2">
      <c r="A108" s="191"/>
      <c r="B108" s="426"/>
      <c r="C108" s="330"/>
      <c r="D108" s="193"/>
      <c r="E108" s="330"/>
      <c r="F108" s="193"/>
      <c r="G108" s="193"/>
    </row>
    <row r="109" spans="1:10" x14ac:dyDescent="0.2">
      <c r="A109" s="191" t="s">
        <v>1053</v>
      </c>
      <c r="B109" s="296">
        <f>'WP1 Light Inventory'!I69</f>
        <v>0</v>
      </c>
      <c r="C109" s="330">
        <f>'Base Lighting Tariff'!G64</f>
        <v>14.1</v>
      </c>
      <c r="D109" s="183">
        <f>IF(C109="n/a",0,ROUND(B109*C109,0))</f>
        <v>0</v>
      </c>
      <c r="E109" s="330">
        <f>'Base Lighting Tariff'!I64</f>
        <v>14.73</v>
      </c>
      <c r="F109" s="183">
        <f>ROUND(E109*$B109,0)</f>
        <v>0</v>
      </c>
      <c r="G109" s="193"/>
    </row>
    <row r="110" spans="1:10" x14ac:dyDescent="0.2">
      <c r="A110" s="191" t="s">
        <v>1054</v>
      </c>
      <c r="B110" s="296">
        <f>'WP1 Light Inventory'!I70</f>
        <v>0</v>
      </c>
      <c r="C110" s="330">
        <f>'Base Lighting Tariff'!G65</f>
        <v>15.2</v>
      </c>
      <c r="D110" s="183">
        <f>IF(C110="n/a",0,ROUND(B110*C110,0))</f>
        <v>0</v>
      </c>
      <c r="E110" s="330">
        <f>'Base Lighting Tariff'!I65</f>
        <v>15.749999999999998</v>
      </c>
      <c r="F110" s="183">
        <f>ROUND(E110*$B110,0)</f>
        <v>0</v>
      </c>
      <c r="G110" s="193"/>
    </row>
    <row r="111" spans="1:10" x14ac:dyDescent="0.2">
      <c r="A111" s="191" t="s">
        <v>1055</v>
      </c>
      <c r="B111" s="296">
        <f>'WP1 Light Inventory'!I71</f>
        <v>0</v>
      </c>
      <c r="C111" s="330">
        <f>'Base Lighting Tariff'!G66</f>
        <v>17.04</v>
      </c>
      <c r="D111" s="183">
        <f>IF(C111="n/a",0,ROUND(B111*C111,0))</f>
        <v>0</v>
      </c>
      <c r="E111" s="330">
        <f>'Base Lighting Tariff'!I66</f>
        <v>17.440000000000001</v>
      </c>
      <c r="F111" s="183">
        <f>ROUND(E111*$B111,0)</f>
        <v>0</v>
      </c>
      <c r="G111" s="193"/>
    </row>
    <row r="112" spans="1:10" x14ac:dyDescent="0.2">
      <c r="A112" s="191" t="s">
        <v>1056</v>
      </c>
      <c r="B112" s="296">
        <f>'WP1 Light Inventory'!I72</f>
        <v>0</v>
      </c>
      <c r="C112" s="330">
        <f>'Base Lighting Tariff'!G67</f>
        <v>21.03</v>
      </c>
      <c r="D112" s="183">
        <f>IF(C112="n/a",0,ROUND(B112*C112,0))</f>
        <v>0</v>
      </c>
      <c r="E112" s="330">
        <f>'Base Lighting Tariff'!I67</f>
        <v>21.139999999999997</v>
      </c>
      <c r="F112" s="183">
        <f>ROUND(E112*$B112,0)</f>
        <v>0</v>
      </c>
      <c r="G112" s="193"/>
    </row>
    <row r="113" spans="1:10" x14ac:dyDescent="0.2">
      <c r="A113" s="191" t="s">
        <v>1057</v>
      </c>
      <c r="B113" s="296">
        <f>'WP1 Light Inventory'!I73</f>
        <v>0</v>
      </c>
      <c r="C113" s="330">
        <f>'Base Lighting Tariff'!G68</f>
        <v>25.85</v>
      </c>
      <c r="D113" s="183">
        <f>IF(C113="n/a",0,ROUND(B113*C113,0))</f>
        <v>0</v>
      </c>
      <c r="E113" s="330">
        <f>'Base Lighting Tariff'!I68</f>
        <v>25.610000000000003</v>
      </c>
      <c r="F113" s="183">
        <f>ROUND(E113*$B113,0)</f>
        <v>0</v>
      </c>
      <c r="G113" s="193"/>
    </row>
    <row r="114" spans="1:10" x14ac:dyDescent="0.2">
      <c r="A114" s="191"/>
      <c r="B114" s="426"/>
      <c r="C114" s="330"/>
      <c r="D114" s="193"/>
      <c r="E114" s="330"/>
      <c r="F114" s="193"/>
      <c r="G114" s="193"/>
    </row>
    <row r="115" spans="1:10" x14ac:dyDescent="0.2">
      <c r="A115" s="192" t="s">
        <v>934</v>
      </c>
      <c r="B115" s="296">
        <f>'WP1 Light Inventory'!I75</f>
        <v>0</v>
      </c>
      <c r="C115" s="330">
        <f>'Base Lighting Tariff'!G70</f>
        <v>10.95</v>
      </c>
      <c r="D115" s="183">
        <f t="shared" ref="D115:D124" si="18">IF(C115="n/a",0,ROUND(B115*C115,0))</f>
        <v>0</v>
      </c>
      <c r="E115" s="330">
        <f>'Base Lighting Tariff'!I70</f>
        <v>9.759999999999998</v>
      </c>
      <c r="F115" s="183">
        <f t="shared" ref="F115:F124" si="19">ROUND(E115*$B115,0)</f>
        <v>0</v>
      </c>
      <c r="G115" s="193"/>
    </row>
    <row r="116" spans="1:10" x14ac:dyDescent="0.2">
      <c r="A116" s="192" t="s">
        <v>935</v>
      </c>
      <c r="B116" s="296">
        <f>'WP1 Light Inventory'!I76</f>
        <v>262761</v>
      </c>
      <c r="C116" s="330">
        <f>'Base Lighting Tariff'!G71</f>
        <v>10.95</v>
      </c>
      <c r="D116" s="183">
        <f t="shared" si="18"/>
        <v>2877233</v>
      </c>
      <c r="E116" s="330">
        <f>'Base Lighting Tariff'!I71</f>
        <v>10.59</v>
      </c>
      <c r="F116" s="183">
        <f t="shared" si="19"/>
        <v>2782639</v>
      </c>
      <c r="G116" s="193"/>
      <c r="H116" s="190"/>
    </row>
    <row r="117" spans="1:10" x14ac:dyDescent="0.2">
      <c r="A117" s="192" t="s">
        <v>747</v>
      </c>
      <c r="B117" s="296">
        <f>'WP1 Light Inventory'!I77</f>
        <v>5160</v>
      </c>
      <c r="C117" s="330">
        <f>'Base Lighting Tariff'!G72</f>
        <v>11.92</v>
      </c>
      <c r="D117" s="183">
        <f t="shared" si="18"/>
        <v>61507</v>
      </c>
      <c r="E117" s="330">
        <f>'Base Lighting Tariff'!I72</f>
        <v>11.28</v>
      </c>
      <c r="F117" s="183">
        <f t="shared" si="19"/>
        <v>58205</v>
      </c>
      <c r="G117" s="193"/>
    </row>
    <row r="118" spans="1:10" x14ac:dyDescent="0.2">
      <c r="A118" s="192" t="s">
        <v>748</v>
      </c>
      <c r="B118" s="296">
        <f>'WP1 Light Inventory'!I78</f>
        <v>29738</v>
      </c>
      <c r="C118" s="330">
        <f>'Base Lighting Tariff'!G73</f>
        <v>13.4</v>
      </c>
      <c r="D118" s="183">
        <f t="shared" si="18"/>
        <v>398489</v>
      </c>
      <c r="E118" s="330">
        <f>'Base Lighting Tariff'!I73</f>
        <v>12.76</v>
      </c>
      <c r="F118" s="183">
        <f t="shared" si="19"/>
        <v>379457</v>
      </c>
      <c r="G118" s="193"/>
      <c r="J118" s="190"/>
    </row>
    <row r="119" spans="1:10" x14ac:dyDescent="0.2">
      <c r="A119" s="192" t="s">
        <v>749</v>
      </c>
      <c r="B119" s="296">
        <f>'WP1 Light Inventory'!I79</f>
        <v>22000</v>
      </c>
      <c r="C119" s="330">
        <f>'Base Lighting Tariff'!G74</f>
        <v>13.82</v>
      </c>
      <c r="D119" s="183">
        <f t="shared" si="18"/>
        <v>304040</v>
      </c>
      <c r="E119" s="330">
        <f>'Base Lighting Tariff'!I74</f>
        <v>13.94</v>
      </c>
      <c r="F119" s="183">
        <f t="shared" si="19"/>
        <v>306680</v>
      </c>
      <c r="G119" s="193"/>
      <c r="J119" s="190"/>
    </row>
    <row r="120" spans="1:10" x14ac:dyDescent="0.2">
      <c r="A120" s="192" t="s">
        <v>750</v>
      </c>
      <c r="B120" s="296">
        <f>'WP1 Light Inventory'!I80</f>
        <v>1263</v>
      </c>
      <c r="C120" s="330">
        <f>'Base Lighting Tariff'!G75</f>
        <v>15.48</v>
      </c>
      <c r="D120" s="183">
        <f t="shared" si="18"/>
        <v>19551</v>
      </c>
      <c r="E120" s="330">
        <f>'Base Lighting Tariff'!I75</f>
        <v>14.51</v>
      </c>
      <c r="F120" s="183">
        <f t="shared" si="19"/>
        <v>18326</v>
      </c>
      <c r="G120" s="193"/>
      <c r="J120" s="190"/>
    </row>
    <row r="121" spans="1:10" x14ac:dyDescent="0.2">
      <c r="A121" s="192" t="s">
        <v>751</v>
      </c>
      <c r="B121" s="296">
        <f>'WP1 Light Inventory'!I81</f>
        <v>5123</v>
      </c>
      <c r="C121" s="330">
        <f>'Base Lighting Tariff'!G76</f>
        <v>16.27</v>
      </c>
      <c r="D121" s="183">
        <f t="shared" si="18"/>
        <v>83351</v>
      </c>
      <c r="E121" s="330">
        <f>'Base Lighting Tariff'!I76</f>
        <v>15.4</v>
      </c>
      <c r="F121" s="183">
        <f t="shared" si="19"/>
        <v>78894</v>
      </c>
      <c r="G121" s="193"/>
      <c r="J121" s="190"/>
    </row>
    <row r="122" spans="1:10" x14ac:dyDescent="0.2">
      <c r="A122" s="192" t="s">
        <v>752</v>
      </c>
      <c r="B122" s="296">
        <f>'WP1 Light Inventory'!I82</f>
        <v>426</v>
      </c>
      <c r="C122" s="330">
        <f>'Base Lighting Tariff'!G77</f>
        <v>17.78</v>
      </c>
      <c r="D122" s="183">
        <f t="shared" si="18"/>
        <v>7574</v>
      </c>
      <c r="E122" s="330">
        <f>'Base Lighting Tariff'!I77</f>
        <v>16.34</v>
      </c>
      <c r="F122" s="183">
        <f t="shared" si="19"/>
        <v>6961</v>
      </c>
      <c r="G122" s="193"/>
      <c r="H122" s="190"/>
      <c r="J122" s="190"/>
    </row>
    <row r="123" spans="1:10" x14ac:dyDescent="0.2">
      <c r="A123" s="192" t="s">
        <v>753</v>
      </c>
      <c r="B123" s="296">
        <f>'WP1 Light Inventory'!I83</f>
        <v>285</v>
      </c>
      <c r="C123" s="330">
        <f>'Base Lighting Tariff'!G78</f>
        <v>19.47</v>
      </c>
      <c r="D123" s="183">
        <f t="shared" si="18"/>
        <v>5549</v>
      </c>
      <c r="E123" s="330">
        <f>'Base Lighting Tariff'!I78</f>
        <v>17.22</v>
      </c>
      <c r="F123" s="183">
        <f t="shared" si="19"/>
        <v>4908</v>
      </c>
      <c r="G123" s="193"/>
      <c r="H123" s="190"/>
      <c r="J123" s="190"/>
    </row>
    <row r="124" spans="1:10" x14ac:dyDescent="0.2">
      <c r="A124" s="192" t="s">
        <v>754</v>
      </c>
      <c r="B124" s="296">
        <f>'WP1 Light Inventory'!I84</f>
        <v>1881</v>
      </c>
      <c r="C124" s="330">
        <f>'Base Lighting Tariff'!G79</f>
        <v>20.43</v>
      </c>
      <c r="D124" s="183">
        <f t="shared" si="18"/>
        <v>38429</v>
      </c>
      <c r="E124" s="330">
        <f>'Base Lighting Tariff'!I79</f>
        <v>18.100000000000001</v>
      </c>
      <c r="F124" s="183">
        <f t="shared" si="19"/>
        <v>34046</v>
      </c>
      <c r="G124" s="193"/>
      <c r="J124" s="190"/>
    </row>
    <row r="125" spans="1:10" x14ac:dyDescent="0.2">
      <c r="A125" s="191"/>
      <c r="B125" s="426"/>
      <c r="C125" s="330"/>
      <c r="D125" s="193"/>
      <c r="E125" s="330"/>
      <c r="F125" s="193"/>
      <c r="G125" s="193"/>
      <c r="J125" s="190"/>
    </row>
    <row r="126" spans="1:10" x14ac:dyDescent="0.2">
      <c r="A126" s="191" t="s">
        <v>778</v>
      </c>
      <c r="B126" s="296">
        <f>'WP1 Light Inventory'!I97</f>
        <v>0</v>
      </c>
      <c r="C126" s="330">
        <f>'Base Lighting Tariff'!G81</f>
        <v>3.22</v>
      </c>
      <c r="D126" s="183">
        <f t="shared" ref="D126:D134" si="20">IF(C126="n/a",0,ROUND(B126*C126,0))</f>
        <v>0</v>
      </c>
      <c r="E126" s="330">
        <f>'Base Lighting Tariff'!I81</f>
        <v>3.71</v>
      </c>
      <c r="F126" s="183">
        <f t="shared" ref="F126:F134" si="21">ROUND(E126*$B126,0)</f>
        <v>0</v>
      </c>
      <c r="G126" s="193"/>
      <c r="J126" s="190"/>
    </row>
    <row r="127" spans="1:10" x14ac:dyDescent="0.2">
      <c r="A127" s="191" t="s">
        <v>779</v>
      </c>
      <c r="B127" s="296">
        <f>'WP1 Light Inventory'!I98</f>
        <v>624</v>
      </c>
      <c r="C127" s="330">
        <f>'Base Lighting Tariff'!G82</f>
        <v>3.86</v>
      </c>
      <c r="D127" s="183">
        <f t="shared" si="20"/>
        <v>2409</v>
      </c>
      <c r="E127" s="330">
        <f>'Base Lighting Tariff'!I82</f>
        <v>4.3199999999999994</v>
      </c>
      <c r="F127" s="183">
        <f t="shared" si="21"/>
        <v>2696</v>
      </c>
      <c r="G127" s="193"/>
      <c r="J127" s="190"/>
    </row>
    <row r="128" spans="1:10" x14ac:dyDescent="0.2">
      <c r="A128" s="191" t="s">
        <v>780</v>
      </c>
      <c r="B128" s="296">
        <f>'WP1 Light Inventory'!I99</f>
        <v>2445</v>
      </c>
      <c r="C128" s="330">
        <f>'Base Lighting Tariff'!G83</f>
        <v>4.82</v>
      </c>
      <c r="D128" s="183">
        <f t="shared" si="20"/>
        <v>11785</v>
      </c>
      <c r="E128" s="330">
        <f>'Base Lighting Tariff'!I83</f>
        <v>5.2</v>
      </c>
      <c r="F128" s="183">
        <f t="shared" si="21"/>
        <v>12714</v>
      </c>
      <c r="G128" s="193"/>
      <c r="J128" s="190"/>
    </row>
    <row r="129" spans="1:10" x14ac:dyDescent="0.2">
      <c r="A129" s="191" t="s">
        <v>781</v>
      </c>
      <c r="B129" s="296">
        <f>'WP1 Light Inventory'!I100</f>
        <v>1146</v>
      </c>
      <c r="C129" s="330">
        <f>'Base Lighting Tariff'!G84</f>
        <v>6.41</v>
      </c>
      <c r="D129" s="183">
        <f t="shared" si="20"/>
        <v>7346</v>
      </c>
      <c r="E129" s="330">
        <f>'Base Lighting Tariff'!I84</f>
        <v>6.66</v>
      </c>
      <c r="F129" s="183">
        <f t="shared" si="21"/>
        <v>7632</v>
      </c>
      <c r="G129" s="193"/>
      <c r="J129" s="190"/>
    </row>
    <row r="130" spans="1:10" x14ac:dyDescent="0.2">
      <c r="A130" s="191" t="s">
        <v>782</v>
      </c>
      <c r="B130" s="296">
        <f>'WP1 Light Inventory'!I101</f>
        <v>4468</v>
      </c>
      <c r="C130" s="330">
        <f>'Base Lighting Tariff'!G85</f>
        <v>8</v>
      </c>
      <c r="D130" s="183">
        <f t="shared" si="20"/>
        <v>35744</v>
      </c>
      <c r="E130" s="330">
        <f>'Base Lighting Tariff'!I85</f>
        <v>8.14</v>
      </c>
      <c r="F130" s="183">
        <f t="shared" si="21"/>
        <v>36370</v>
      </c>
      <c r="G130" s="193"/>
      <c r="J130" s="190"/>
    </row>
    <row r="131" spans="1:10" x14ac:dyDescent="0.2">
      <c r="A131" s="191" t="s">
        <v>783</v>
      </c>
      <c r="B131" s="296">
        <f>'WP1 Light Inventory'!I102</f>
        <v>2948</v>
      </c>
      <c r="C131" s="330">
        <f>'Base Lighting Tariff'!G86</f>
        <v>9.59</v>
      </c>
      <c r="D131" s="183">
        <f t="shared" si="20"/>
        <v>28271</v>
      </c>
      <c r="E131" s="330">
        <f>'Base Lighting Tariff'!I86</f>
        <v>9.6</v>
      </c>
      <c r="F131" s="183">
        <f t="shared" si="21"/>
        <v>28301</v>
      </c>
      <c r="G131" s="193"/>
      <c r="J131" s="190"/>
    </row>
    <row r="132" spans="1:10" x14ac:dyDescent="0.2">
      <c r="A132" s="191" t="s">
        <v>784</v>
      </c>
      <c r="B132" s="296">
        <f>'WP1 Light Inventory'!I103</f>
        <v>81</v>
      </c>
      <c r="C132" s="330">
        <f>'Base Lighting Tariff'!G87</f>
        <v>11.51</v>
      </c>
      <c r="D132" s="183">
        <f t="shared" si="20"/>
        <v>932</v>
      </c>
      <c r="E132" s="330">
        <f>'Base Lighting Tariff'!I87</f>
        <v>11.379999999999999</v>
      </c>
      <c r="F132" s="183">
        <f t="shared" si="21"/>
        <v>922</v>
      </c>
      <c r="G132" s="193"/>
      <c r="J132" s="190"/>
    </row>
    <row r="133" spans="1:10" x14ac:dyDescent="0.2">
      <c r="A133" s="191" t="s">
        <v>785</v>
      </c>
      <c r="B133" s="296">
        <f>'WP1 Light Inventory'!I104</f>
        <v>4775</v>
      </c>
      <c r="C133" s="330">
        <f>'Base Lighting Tariff'!G88</f>
        <v>14.37</v>
      </c>
      <c r="D133" s="183">
        <f t="shared" si="20"/>
        <v>68617</v>
      </c>
      <c r="E133" s="330">
        <f>'Base Lighting Tariff'!I88</f>
        <v>14.03</v>
      </c>
      <c r="F133" s="183">
        <f t="shared" si="21"/>
        <v>66993</v>
      </c>
      <c r="G133" s="193"/>
      <c r="J133" s="190"/>
    </row>
    <row r="134" spans="1:10" x14ac:dyDescent="0.2">
      <c r="A134" s="191" t="s">
        <v>786</v>
      </c>
      <c r="B134" s="296">
        <f>'WP1 Light Inventory'!I105</f>
        <v>0</v>
      </c>
      <c r="C134" s="330">
        <f>'Base Lighting Tariff'!G89</f>
        <v>33.479999999999997</v>
      </c>
      <c r="D134" s="183">
        <f t="shared" si="20"/>
        <v>0</v>
      </c>
      <c r="E134" s="330">
        <f>'Base Lighting Tariff'!I89</f>
        <v>31.689999999999998</v>
      </c>
      <c r="F134" s="183">
        <f t="shared" si="21"/>
        <v>0</v>
      </c>
      <c r="G134" s="193"/>
      <c r="J134" s="190"/>
    </row>
    <row r="135" spans="1:10" x14ac:dyDescent="0.2">
      <c r="A135" s="191"/>
      <c r="B135" s="426"/>
      <c r="C135" s="330"/>
      <c r="D135" s="193"/>
      <c r="E135" s="330"/>
      <c r="F135" s="193"/>
      <c r="G135" s="193"/>
      <c r="J135" s="190"/>
    </row>
    <row r="136" spans="1:10" x14ac:dyDescent="0.2">
      <c r="A136" s="191" t="s">
        <v>1058</v>
      </c>
      <c r="B136" s="296">
        <f>'WP1 Light Inventory'!I107</f>
        <v>0</v>
      </c>
      <c r="C136" s="330">
        <f>'Base Lighting Tariff'!G91</f>
        <v>5.49</v>
      </c>
      <c r="D136" s="183">
        <f t="shared" ref="D136:D141" si="22">IF(C136="n/a",0,ROUND(B136*C136,0))</f>
        <v>0</v>
      </c>
      <c r="E136" s="330">
        <f>'Base Lighting Tariff'!I91</f>
        <v>6.5799999999999992</v>
      </c>
      <c r="F136" s="183">
        <f t="shared" ref="F136:F141" si="23">ROUND(E136*$B136,0)</f>
        <v>0</v>
      </c>
      <c r="G136" s="193"/>
      <c r="J136" s="190"/>
    </row>
    <row r="137" spans="1:10" x14ac:dyDescent="0.2">
      <c r="A137" s="191" t="s">
        <v>1059</v>
      </c>
      <c r="B137" s="296">
        <f>'WP1 Light Inventory'!I108</f>
        <v>0</v>
      </c>
      <c r="C137" s="330">
        <f>'Base Lighting Tariff'!G92</f>
        <v>6.45</v>
      </c>
      <c r="D137" s="183">
        <f t="shared" si="22"/>
        <v>0</v>
      </c>
      <c r="E137" s="330">
        <f>'Base Lighting Tariff'!I92</f>
        <v>7.46</v>
      </c>
      <c r="F137" s="183">
        <f t="shared" si="23"/>
        <v>0</v>
      </c>
      <c r="G137" s="193"/>
      <c r="J137" s="190"/>
    </row>
    <row r="138" spans="1:10" x14ac:dyDescent="0.2">
      <c r="A138" s="191" t="s">
        <v>1060</v>
      </c>
      <c r="B138" s="296">
        <f>'WP1 Light Inventory'!I109</f>
        <v>0</v>
      </c>
      <c r="C138" s="330">
        <f>'Base Lighting Tariff'!G93</f>
        <v>8.0399999999999991</v>
      </c>
      <c r="D138" s="183">
        <f t="shared" si="22"/>
        <v>0</v>
      </c>
      <c r="E138" s="330">
        <f>'Base Lighting Tariff'!I93</f>
        <v>8.92</v>
      </c>
      <c r="F138" s="183">
        <f t="shared" si="23"/>
        <v>0</v>
      </c>
      <c r="G138" s="193"/>
      <c r="J138" s="190"/>
    </row>
    <row r="139" spans="1:10" x14ac:dyDescent="0.2">
      <c r="A139" s="191" t="s">
        <v>1061</v>
      </c>
      <c r="B139" s="296">
        <f>'WP1 Light Inventory'!I110</f>
        <v>48</v>
      </c>
      <c r="C139" s="330">
        <f>'Base Lighting Tariff'!G94</f>
        <v>8.84</v>
      </c>
      <c r="D139" s="183">
        <f t="shared" si="22"/>
        <v>424</v>
      </c>
      <c r="E139" s="330">
        <f>'Base Lighting Tariff'!I94</f>
        <v>9.66</v>
      </c>
      <c r="F139" s="183">
        <f t="shared" si="23"/>
        <v>464</v>
      </c>
      <c r="G139" s="193"/>
      <c r="J139" s="190"/>
    </row>
    <row r="140" spans="1:10" x14ac:dyDescent="0.2">
      <c r="A140" s="191" t="s">
        <v>1062</v>
      </c>
      <c r="B140" s="296">
        <f>'WP1 Light Inventory'!I111</f>
        <v>0</v>
      </c>
      <c r="C140" s="330">
        <f>'Base Lighting Tariff'!G95</f>
        <v>11.23</v>
      </c>
      <c r="D140" s="183">
        <f t="shared" si="22"/>
        <v>0</v>
      </c>
      <c r="E140" s="330">
        <f>'Base Lighting Tariff'!I95</f>
        <v>11.86</v>
      </c>
      <c r="F140" s="183">
        <f t="shared" si="23"/>
        <v>0</v>
      </c>
      <c r="G140" s="193"/>
      <c r="J140" s="190"/>
    </row>
    <row r="141" spans="1:10" x14ac:dyDescent="0.2">
      <c r="A141" s="191" t="s">
        <v>1063</v>
      </c>
      <c r="B141" s="296">
        <f>'WP1 Light Inventory'!I112</f>
        <v>0</v>
      </c>
      <c r="C141" s="330">
        <f>'Base Lighting Tariff'!G96</f>
        <v>16</v>
      </c>
      <c r="D141" s="183">
        <f t="shared" si="22"/>
        <v>0</v>
      </c>
      <c r="E141" s="330">
        <f>'Base Lighting Tariff'!I96</f>
        <v>16.29</v>
      </c>
      <c r="F141" s="183">
        <f t="shared" si="23"/>
        <v>0</v>
      </c>
      <c r="G141" s="193"/>
      <c r="J141" s="190"/>
    </row>
    <row r="142" spans="1:10" x14ac:dyDescent="0.2">
      <c r="A142" s="191"/>
      <c r="B142" s="426"/>
      <c r="C142" s="330"/>
      <c r="D142" s="193"/>
      <c r="E142" s="330"/>
      <c r="F142" s="193"/>
      <c r="G142" s="193"/>
      <c r="J142" s="190"/>
    </row>
    <row r="143" spans="1:10" x14ac:dyDescent="0.2">
      <c r="A143" s="192" t="s">
        <v>936</v>
      </c>
      <c r="B143" s="296">
        <f>'WP1 Light Inventory'!I114</f>
        <v>0</v>
      </c>
      <c r="C143" s="330">
        <f>'Base Lighting Tariff'!G98</f>
        <v>1.76</v>
      </c>
      <c r="D143" s="183">
        <f t="shared" ref="D143:D152" si="24">IF(C143="n/a",0,ROUND(B143*C143,0))</f>
        <v>0</v>
      </c>
      <c r="E143" s="330">
        <f>'Base Lighting Tariff'!I98</f>
        <v>0.89000000000000012</v>
      </c>
      <c r="F143" s="183">
        <f t="shared" ref="F143:F152" si="25">ROUND(E143*$B143,0)</f>
        <v>0</v>
      </c>
      <c r="G143" s="193"/>
      <c r="J143" s="190"/>
    </row>
    <row r="144" spans="1:10" x14ac:dyDescent="0.2">
      <c r="A144" s="192" t="s">
        <v>937</v>
      </c>
      <c r="B144" s="296">
        <f>'WP1 Light Inventory'!I115</f>
        <v>7875</v>
      </c>
      <c r="C144" s="330">
        <f>'Base Lighting Tariff'!G99</f>
        <v>1.76</v>
      </c>
      <c r="D144" s="183">
        <f t="shared" si="24"/>
        <v>13860</v>
      </c>
      <c r="E144" s="330">
        <f>'Base Lighting Tariff'!I99</f>
        <v>1.77</v>
      </c>
      <c r="F144" s="183">
        <f t="shared" si="25"/>
        <v>13939</v>
      </c>
      <c r="G144" s="193"/>
      <c r="J144" s="190"/>
    </row>
    <row r="145" spans="1:18" x14ac:dyDescent="0.2">
      <c r="A145" s="192" t="s">
        <v>787</v>
      </c>
      <c r="B145" s="296">
        <f>'WP1 Light Inventory'!I116</f>
        <v>7608</v>
      </c>
      <c r="C145" s="330">
        <f>'Base Lighting Tariff'!G100</f>
        <v>2.72</v>
      </c>
      <c r="D145" s="183">
        <f t="shared" si="24"/>
        <v>20694</v>
      </c>
      <c r="E145" s="330">
        <f>'Base Lighting Tariff'!I100</f>
        <v>2.65</v>
      </c>
      <c r="F145" s="183">
        <f t="shared" si="25"/>
        <v>20161</v>
      </c>
      <c r="G145" s="193"/>
      <c r="J145" s="190"/>
    </row>
    <row r="146" spans="1:18" x14ac:dyDescent="0.2">
      <c r="A146" s="192" t="s">
        <v>788</v>
      </c>
      <c r="B146" s="296">
        <f>'WP1 Light Inventory'!I117</f>
        <v>10423</v>
      </c>
      <c r="C146" s="330">
        <f>'Base Lighting Tariff'!G101</f>
        <v>3.67</v>
      </c>
      <c r="D146" s="183">
        <f t="shared" si="24"/>
        <v>38252</v>
      </c>
      <c r="E146" s="330">
        <f>'Base Lighting Tariff'!I101</f>
        <v>3.53</v>
      </c>
      <c r="F146" s="183">
        <f t="shared" si="25"/>
        <v>36793</v>
      </c>
      <c r="G146" s="193"/>
      <c r="J146" s="190"/>
    </row>
    <row r="147" spans="1:18" x14ac:dyDescent="0.2">
      <c r="A147" s="192" t="s">
        <v>789</v>
      </c>
      <c r="B147" s="296">
        <f>'WP1 Light Inventory'!I118</f>
        <v>1210</v>
      </c>
      <c r="C147" s="330">
        <f>'Base Lighting Tariff'!G102</f>
        <v>4.63</v>
      </c>
      <c r="D147" s="183">
        <f t="shared" si="24"/>
        <v>5602</v>
      </c>
      <c r="E147" s="330">
        <f>'Base Lighting Tariff'!I102</f>
        <v>4.42</v>
      </c>
      <c r="F147" s="183">
        <f t="shared" si="25"/>
        <v>5348</v>
      </c>
      <c r="G147" s="193"/>
      <c r="J147" s="190"/>
    </row>
    <row r="148" spans="1:18" x14ac:dyDescent="0.2">
      <c r="A148" s="192" t="s">
        <v>790</v>
      </c>
      <c r="B148" s="296">
        <f>'WP1 Light Inventory'!I119</f>
        <v>15954</v>
      </c>
      <c r="C148" s="330">
        <f>'Base Lighting Tariff'!G103</f>
        <v>5.58</v>
      </c>
      <c r="D148" s="183">
        <f t="shared" si="24"/>
        <v>89023</v>
      </c>
      <c r="E148" s="330">
        <f>'Base Lighting Tariff'!I103</f>
        <v>5.3</v>
      </c>
      <c r="F148" s="183">
        <f t="shared" si="25"/>
        <v>84556</v>
      </c>
      <c r="G148" s="193"/>
      <c r="J148" s="190"/>
    </row>
    <row r="149" spans="1:18" x14ac:dyDescent="0.2">
      <c r="A149" s="192" t="s">
        <v>791</v>
      </c>
      <c r="B149" s="296">
        <f>'WP1 Light Inventory'!I120</f>
        <v>1272</v>
      </c>
      <c r="C149" s="330">
        <f>'Base Lighting Tariff'!G104</f>
        <v>6.54</v>
      </c>
      <c r="D149" s="183">
        <f t="shared" si="24"/>
        <v>8319</v>
      </c>
      <c r="E149" s="330">
        <f>'Base Lighting Tariff'!I104</f>
        <v>6.1899999999999995</v>
      </c>
      <c r="F149" s="183">
        <f t="shared" si="25"/>
        <v>7874</v>
      </c>
      <c r="G149" s="193"/>
      <c r="J149" s="190"/>
    </row>
    <row r="150" spans="1:18" x14ac:dyDescent="0.2">
      <c r="A150" s="192" t="s">
        <v>792</v>
      </c>
      <c r="B150" s="296">
        <f>'WP1 Light Inventory'!I121</f>
        <v>0</v>
      </c>
      <c r="C150" s="330">
        <f>'Base Lighting Tariff'!G105</f>
        <v>7.49</v>
      </c>
      <c r="D150" s="183">
        <f t="shared" si="24"/>
        <v>0</v>
      </c>
      <c r="E150" s="330">
        <f>'Base Lighting Tariff'!I105</f>
        <v>7.08</v>
      </c>
      <c r="F150" s="183">
        <f t="shared" si="25"/>
        <v>0</v>
      </c>
      <c r="G150" s="193"/>
      <c r="J150" s="190"/>
    </row>
    <row r="151" spans="1:18" x14ac:dyDescent="0.2">
      <c r="A151" s="192" t="s">
        <v>793</v>
      </c>
      <c r="B151" s="296">
        <f>'WP1 Light Inventory'!I122</f>
        <v>24</v>
      </c>
      <c r="C151" s="330">
        <f>'Base Lighting Tariff'!G106</f>
        <v>8.4499999999999993</v>
      </c>
      <c r="D151" s="183">
        <f t="shared" si="24"/>
        <v>203</v>
      </c>
      <c r="E151" s="330">
        <f>'Base Lighting Tariff'!I106</f>
        <v>7.9600000000000009</v>
      </c>
      <c r="F151" s="183">
        <f t="shared" si="25"/>
        <v>191</v>
      </c>
      <c r="G151" s="193"/>
      <c r="J151" s="190"/>
    </row>
    <row r="152" spans="1:18" x14ac:dyDescent="0.2">
      <c r="A152" s="192" t="s">
        <v>794</v>
      </c>
      <c r="B152" s="296">
        <f>'WP1 Light Inventory'!I123</f>
        <v>0</v>
      </c>
      <c r="C152" s="330">
        <f>'Base Lighting Tariff'!G107</f>
        <v>9.4</v>
      </c>
      <c r="D152" s="183">
        <f t="shared" si="24"/>
        <v>0</v>
      </c>
      <c r="E152" s="330">
        <f>'Base Lighting Tariff'!I107</f>
        <v>8.84</v>
      </c>
      <c r="F152" s="183">
        <f t="shared" si="25"/>
        <v>0</v>
      </c>
      <c r="G152" s="193"/>
      <c r="J152" s="190"/>
    </row>
    <row r="153" spans="1:18" x14ac:dyDescent="0.2">
      <c r="A153" s="188" t="s">
        <v>742</v>
      </c>
      <c r="B153" s="590">
        <f>SUM(B99:B152)</f>
        <v>901395</v>
      </c>
      <c r="C153" s="330"/>
      <c r="D153" s="187">
        <f>SUM(D99:D152)</f>
        <v>11772426</v>
      </c>
      <c r="E153" s="330"/>
      <c r="F153" s="187">
        <f>SUM(F99:F152)</f>
        <v>11539577</v>
      </c>
      <c r="G153" s="193"/>
    </row>
    <row r="154" spans="1:18" x14ac:dyDescent="0.2">
      <c r="A154" s="186"/>
      <c r="B154" s="296"/>
      <c r="D154" s="183"/>
      <c r="F154" s="183"/>
      <c r="G154" s="183"/>
      <c r="I154" s="190"/>
    </row>
    <row r="155" spans="1:18" x14ac:dyDescent="0.2">
      <c r="A155" s="185" t="s">
        <v>743</v>
      </c>
      <c r="B155" s="426">
        <v>36075891</v>
      </c>
      <c r="D155" s="183"/>
      <c r="F155" s="183"/>
      <c r="G155" s="179"/>
    </row>
    <row r="156" spans="1:18" x14ac:dyDescent="0.2">
      <c r="A156" s="185" t="s">
        <v>744</v>
      </c>
      <c r="B156" s="426">
        <v>676113</v>
      </c>
      <c r="C156" s="184">
        <f>ROUND(D156/B156,6)</f>
        <v>0.25444299999999997</v>
      </c>
      <c r="D156" s="183">
        <f>$N$14</f>
        <v>172032</v>
      </c>
      <c r="E156" s="184">
        <f>ROUND(F156/B156,6)</f>
        <v>0.24954399999999999</v>
      </c>
      <c r="F156" s="183">
        <f>ROUND(+D156*(1+H156),0)</f>
        <v>168720</v>
      </c>
      <c r="G156" s="496"/>
      <c r="H156" s="518">
        <f>+$H$44</f>
        <v>-1.925194309837586E-2</v>
      </c>
      <c r="I156" s="747"/>
      <c r="J156" s="747"/>
      <c r="K156" s="182"/>
      <c r="L156" s="182"/>
      <c r="M156" s="182"/>
      <c r="N156" s="182"/>
      <c r="O156" s="182"/>
      <c r="P156" s="182"/>
      <c r="Q156" s="182"/>
      <c r="R156" s="182"/>
    </row>
    <row r="157" spans="1:18" ht="10.8" thickBot="1" x14ac:dyDescent="0.25">
      <c r="A157" s="181" t="s">
        <v>20</v>
      </c>
      <c r="B157" s="199">
        <f>SUM(B155:B156)</f>
        <v>36752004</v>
      </c>
      <c r="C157" s="179"/>
      <c r="D157" s="178">
        <f>SUM(D156,D153)</f>
        <v>11944458</v>
      </c>
      <c r="E157" s="179"/>
      <c r="F157" s="178">
        <f>SUM(F156,F153)</f>
        <v>11708297</v>
      </c>
      <c r="G157" s="200"/>
      <c r="H157" s="747" t="s">
        <v>745</v>
      </c>
      <c r="I157" s="747"/>
    </row>
    <row r="158" spans="1:18" ht="10.8" thickTop="1" x14ac:dyDescent="0.2">
      <c r="A158" s="193"/>
      <c r="B158" s="196"/>
      <c r="C158" s="195" t="s">
        <v>91</v>
      </c>
      <c r="D158" s="179"/>
      <c r="E158" s="195" t="s">
        <v>91</v>
      </c>
      <c r="F158" s="179" t="s">
        <v>91</v>
      </c>
      <c r="G158" s="179"/>
    </row>
    <row r="159" spans="1:18" x14ac:dyDescent="0.2">
      <c r="A159" s="744" t="s">
        <v>795</v>
      </c>
      <c r="B159" s="744"/>
      <c r="C159" s="744"/>
      <c r="D159" s="744"/>
      <c r="E159" s="744"/>
      <c r="F159" s="744"/>
      <c r="G159" s="193"/>
    </row>
    <row r="160" spans="1:18" x14ac:dyDescent="0.2">
      <c r="A160" s="186" t="s">
        <v>796</v>
      </c>
      <c r="B160" s="193"/>
      <c r="C160" s="193"/>
      <c r="D160" s="193"/>
      <c r="E160" s="193"/>
      <c r="F160" s="193"/>
      <c r="G160" s="193"/>
    </row>
    <row r="161" spans="1:12" x14ac:dyDescent="0.2">
      <c r="A161" s="193"/>
      <c r="B161" s="193"/>
      <c r="C161" s="194"/>
      <c r="D161" s="193"/>
      <c r="E161" s="194"/>
      <c r="F161" s="193"/>
      <c r="G161" s="193"/>
    </row>
    <row r="162" spans="1:12" x14ac:dyDescent="0.2">
      <c r="A162" s="191" t="s">
        <v>797</v>
      </c>
      <c r="B162" s="296">
        <f>'WP1 Light Inventory'!I125</f>
        <v>456</v>
      </c>
      <c r="C162" s="330">
        <f>'Base Lighting Tariff'!G109</f>
        <v>1.59</v>
      </c>
      <c r="D162" s="183">
        <f t="shared" ref="D162:D170" si="26">IF(C162="n/a",0,ROUND(B162*C162,0))</f>
        <v>725</v>
      </c>
      <c r="E162" s="330">
        <f>'Base Lighting Tariff'!I109</f>
        <v>1.46</v>
      </c>
      <c r="F162" s="183">
        <f t="shared" ref="F162:F170" si="27">ROUND(E162*$B162,0)</f>
        <v>666</v>
      </c>
      <c r="G162" s="183"/>
      <c r="H162" s="330"/>
      <c r="J162" s="190"/>
    </row>
    <row r="163" spans="1:12" x14ac:dyDescent="0.2">
      <c r="A163" s="191" t="s">
        <v>798</v>
      </c>
      <c r="B163" s="296">
        <f>'WP1 Light Inventory'!I126</f>
        <v>8114</v>
      </c>
      <c r="C163" s="330">
        <f>'Base Lighting Tariff'!G110</f>
        <v>2.23</v>
      </c>
      <c r="D163" s="183">
        <f t="shared" si="26"/>
        <v>18094</v>
      </c>
      <c r="E163" s="330">
        <f>'Base Lighting Tariff'!I110</f>
        <v>2.0700000000000003</v>
      </c>
      <c r="F163" s="183">
        <f t="shared" si="27"/>
        <v>16796</v>
      </c>
      <c r="G163" s="183"/>
      <c r="J163" s="190"/>
    </row>
    <row r="164" spans="1:12" x14ac:dyDescent="0.2">
      <c r="A164" s="191" t="s">
        <v>799</v>
      </c>
      <c r="B164" s="296">
        <f>'WP1 Light Inventory'!I127</f>
        <v>18283</v>
      </c>
      <c r="C164" s="330">
        <f>'Base Lighting Tariff'!G111</f>
        <v>3.19</v>
      </c>
      <c r="D164" s="183">
        <f t="shared" si="26"/>
        <v>58323</v>
      </c>
      <c r="E164" s="330">
        <f>'Base Lighting Tariff'!I111</f>
        <v>2.95</v>
      </c>
      <c r="F164" s="183">
        <f t="shared" si="27"/>
        <v>53935</v>
      </c>
      <c r="G164" s="183"/>
      <c r="J164" s="190"/>
    </row>
    <row r="165" spans="1:12" x14ac:dyDescent="0.2">
      <c r="A165" s="191" t="s">
        <v>800</v>
      </c>
      <c r="B165" s="296">
        <f>'WP1 Light Inventory'!I128</f>
        <v>5471</v>
      </c>
      <c r="C165" s="330">
        <f>'Base Lighting Tariff'!G112</f>
        <v>4.78</v>
      </c>
      <c r="D165" s="183">
        <f t="shared" si="26"/>
        <v>26151</v>
      </c>
      <c r="E165" s="330">
        <f>'Base Lighting Tariff'!I112</f>
        <v>4.41</v>
      </c>
      <c r="F165" s="183">
        <f t="shared" si="27"/>
        <v>24127</v>
      </c>
      <c r="G165" s="183"/>
      <c r="J165" s="190"/>
    </row>
    <row r="166" spans="1:12" x14ac:dyDescent="0.2">
      <c r="A166" s="191" t="s">
        <v>801</v>
      </c>
      <c r="B166" s="296">
        <f>'WP1 Light Inventory'!I129</f>
        <v>6574</v>
      </c>
      <c r="C166" s="330">
        <f>'Base Lighting Tariff'!G113</f>
        <v>6.37</v>
      </c>
      <c r="D166" s="183">
        <f t="shared" si="26"/>
        <v>41876</v>
      </c>
      <c r="E166" s="330">
        <f>'Base Lighting Tariff'!I113</f>
        <v>5.8900000000000006</v>
      </c>
      <c r="F166" s="183">
        <f t="shared" si="27"/>
        <v>38721</v>
      </c>
      <c r="G166" s="183"/>
      <c r="J166" s="190"/>
    </row>
    <row r="167" spans="1:12" x14ac:dyDescent="0.2">
      <c r="A167" s="191" t="s">
        <v>802</v>
      </c>
      <c r="B167" s="296">
        <f>'WP1 Light Inventory'!I130</f>
        <v>16345</v>
      </c>
      <c r="C167" s="330">
        <f>'Base Lighting Tariff'!G114</f>
        <v>7.96</v>
      </c>
      <c r="D167" s="183">
        <f t="shared" si="26"/>
        <v>130106</v>
      </c>
      <c r="E167" s="330">
        <f>'Base Lighting Tariff'!I114</f>
        <v>7.35</v>
      </c>
      <c r="F167" s="183">
        <f t="shared" si="27"/>
        <v>120136</v>
      </c>
      <c r="G167" s="183"/>
      <c r="J167" s="190"/>
    </row>
    <row r="168" spans="1:12" x14ac:dyDescent="0.2">
      <c r="A168" s="191" t="s">
        <v>803</v>
      </c>
      <c r="B168" s="296">
        <f>'WP1 Light Inventory'!I131</f>
        <v>672</v>
      </c>
      <c r="C168" s="330">
        <f>'Base Lighting Tariff'!G115</f>
        <v>9.8699999999999992</v>
      </c>
      <c r="D168" s="183">
        <f t="shared" si="26"/>
        <v>6633</v>
      </c>
      <c r="E168" s="330">
        <f>'Base Lighting Tariff'!I115</f>
        <v>9.129999999999999</v>
      </c>
      <c r="F168" s="183">
        <f t="shared" si="27"/>
        <v>6135</v>
      </c>
      <c r="G168" s="183"/>
      <c r="J168" s="190"/>
    </row>
    <row r="169" spans="1:12" x14ac:dyDescent="0.2">
      <c r="A169" s="191" t="s">
        <v>804</v>
      </c>
      <c r="B169" s="296">
        <f>'WP1 Light Inventory'!I132</f>
        <v>7389</v>
      </c>
      <c r="C169" s="330">
        <f>'Base Lighting Tariff'!G116</f>
        <v>12.74</v>
      </c>
      <c r="D169" s="183">
        <f t="shared" si="26"/>
        <v>94136</v>
      </c>
      <c r="E169" s="330">
        <f>'Base Lighting Tariff'!I116</f>
        <v>11.780000000000001</v>
      </c>
      <c r="F169" s="183">
        <f t="shared" si="27"/>
        <v>87042</v>
      </c>
      <c r="G169" s="183"/>
      <c r="J169" s="190"/>
    </row>
    <row r="170" spans="1:12" x14ac:dyDescent="0.2">
      <c r="A170" s="191" t="s">
        <v>805</v>
      </c>
      <c r="B170" s="296">
        <f>'WP1 Light Inventory'!I133</f>
        <v>121</v>
      </c>
      <c r="C170" s="330">
        <f>'Base Lighting Tariff'!G117</f>
        <v>31.85</v>
      </c>
      <c r="D170" s="183">
        <f t="shared" si="26"/>
        <v>3854</v>
      </c>
      <c r="E170" s="330">
        <f>'Base Lighting Tariff'!I117</f>
        <v>29.439999999999998</v>
      </c>
      <c r="F170" s="183">
        <f t="shared" si="27"/>
        <v>3562</v>
      </c>
      <c r="G170" s="183"/>
      <c r="J170" s="190"/>
    </row>
    <row r="171" spans="1:12" ht="12.75" customHeight="1" x14ac:dyDescent="0.2">
      <c r="A171" s="191"/>
      <c r="B171" s="426"/>
      <c r="C171" s="330"/>
      <c r="D171" s="183"/>
      <c r="E171" s="330"/>
      <c r="F171" s="183"/>
      <c r="G171" s="183"/>
      <c r="J171" s="190"/>
    </row>
    <row r="172" spans="1:12" x14ac:dyDescent="0.2">
      <c r="A172" s="189" t="s">
        <v>938</v>
      </c>
      <c r="B172" s="296">
        <f>'WP1 Light Inventory'!I135</f>
        <v>0</v>
      </c>
      <c r="C172" s="330">
        <f>'Base Lighting Tariff'!G119</f>
        <v>1.43</v>
      </c>
      <c r="D172" s="183">
        <f t="shared" ref="D172:D181" si="28">IF(C172="n/a",0,ROUND(B172*C172,0))</f>
        <v>0</v>
      </c>
      <c r="E172" s="330">
        <f>'Base Lighting Tariff'!I119</f>
        <v>0.44</v>
      </c>
      <c r="F172" s="183">
        <f t="shared" ref="F172:F181" si="29">ROUND(E172*$B172,0)</f>
        <v>0</v>
      </c>
      <c r="G172" s="183"/>
      <c r="J172" s="190"/>
    </row>
    <row r="173" spans="1:12" x14ac:dyDescent="0.2">
      <c r="A173" s="189" t="s">
        <v>939</v>
      </c>
      <c r="B173" s="296">
        <f>'WP1 Light Inventory'!I136</f>
        <v>15199</v>
      </c>
      <c r="C173" s="330">
        <f>'Base Lighting Tariff'!G120</f>
        <v>1.43</v>
      </c>
      <c r="D173" s="183">
        <f t="shared" si="28"/>
        <v>21735</v>
      </c>
      <c r="E173" s="330">
        <f>'Base Lighting Tariff'!I120</f>
        <v>1.3199999999999998</v>
      </c>
      <c r="F173" s="183">
        <f t="shared" si="29"/>
        <v>20063</v>
      </c>
      <c r="G173" s="183"/>
      <c r="J173" s="190"/>
      <c r="L173" s="190"/>
    </row>
    <row r="174" spans="1:12" x14ac:dyDescent="0.2">
      <c r="A174" s="192" t="s">
        <v>806</v>
      </c>
      <c r="B174" s="296">
        <f>'WP1 Light Inventory'!I137</f>
        <v>768</v>
      </c>
      <c r="C174" s="330">
        <f>'Base Lighting Tariff'!G121</f>
        <v>2.39</v>
      </c>
      <c r="D174" s="183">
        <f t="shared" si="28"/>
        <v>1836</v>
      </c>
      <c r="E174" s="330">
        <f>'Base Lighting Tariff'!I121</f>
        <v>2.2000000000000002</v>
      </c>
      <c r="F174" s="183">
        <f t="shared" si="29"/>
        <v>1690</v>
      </c>
      <c r="G174" s="183"/>
      <c r="J174" s="190"/>
      <c r="L174" s="190"/>
    </row>
    <row r="175" spans="1:12" x14ac:dyDescent="0.2">
      <c r="A175" s="192" t="s">
        <v>807</v>
      </c>
      <c r="B175" s="296">
        <f>'WP1 Light Inventory'!I138</f>
        <v>15965</v>
      </c>
      <c r="C175" s="330">
        <f>'Base Lighting Tariff'!G122</f>
        <v>3.34</v>
      </c>
      <c r="D175" s="183">
        <f t="shared" si="28"/>
        <v>53323</v>
      </c>
      <c r="E175" s="330">
        <f>'Base Lighting Tariff'!I122</f>
        <v>3.08</v>
      </c>
      <c r="F175" s="183">
        <f t="shared" si="29"/>
        <v>49172</v>
      </c>
      <c r="G175" s="183"/>
      <c r="J175" s="190"/>
      <c r="L175" s="190"/>
    </row>
    <row r="176" spans="1:12" x14ac:dyDescent="0.2">
      <c r="A176" s="192" t="s">
        <v>808</v>
      </c>
      <c r="B176" s="296">
        <f>'WP1 Light Inventory'!I139</f>
        <v>7993</v>
      </c>
      <c r="C176" s="330">
        <f>'Base Lighting Tariff'!G123</f>
        <v>4.3</v>
      </c>
      <c r="D176" s="183">
        <f t="shared" si="28"/>
        <v>34370</v>
      </c>
      <c r="E176" s="330">
        <f>'Base Lighting Tariff'!I123</f>
        <v>3.97</v>
      </c>
      <c r="F176" s="183">
        <f t="shared" si="29"/>
        <v>31732</v>
      </c>
      <c r="G176" s="183"/>
      <c r="J176" s="190"/>
      <c r="L176" s="190"/>
    </row>
    <row r="177" spans="1:18" x14ac:dyDescent="0.2">
      <c r="A177" s="192" t="s">
        <v>809</v>
      </c>
      <c r="B177" s="296">
        <f>'WP1 Light Inventory'!I140</f>
        <v>4396</v>
      </c>
      <c r="C177" s="330">
        <f>'Base Lighting Tariff'!G124</f>
        <v>5.26</v>
      </c>
      <c r="D177" s="183">
        <f t="shared" si="28"/>
        <v>23123</v>
      </c>
      <c r="E177" s="330">
        <f>'Base Lighting Tariff'!I124</f>
        <v>4.8499999999999996</v>
      </c>
      <c r="F177" s="183">
        <f t="shared" si="29"/>
        <v>21321</v>
      </c>
      <c r="G177" s="183"/>
      <c r="J177" s="190"/>
      <c r="L177" s="190"/>
    </row>
    <row r="178" spans="1:18" x14ac:dyDescent="0.2">
      <c r="A178" s="192" t="s">
        <v>810</v>
      </c>
      <c r="B178" s="296">
        <f>'WP1 Light Inventory'!I141</f>
        <v>164</v>
      </c>
      <c r="C178" s="330">
        <f>'Base Lighting Tariff'!G125</f>
        <v>6.21</v>
      </c>
      <c r="D178" s="183">
        <f t="shared" si="28"/>
        <v>1018</v>
      </c>
      <c r="E178" s="330">
        <f>'Base Lighting Tariff'!I125</f>
        <v>5.74</v>
      </c>
      <c r="F178" s="183">
        <f t="shared" si="29"/>
        <v>941</v>
      </c>
      <c r="G178" s="183"/>
      <c r="J178" s="190"/>
      <c r="L178" s="190"/>
    </row>
    <row r="179" spans="1:18" x14ac:dyDescent="0.2">
      <c r="A179" s="192" t="s">
        <v>811</v>
      </c>
      <c r="B179" s="296">
        <f>'WP1 Light Inventory'!I142</f>
        <v>452</v>
      </c>
      <c r="C179" s="330">
        <f>'Base Lighting Tariff'!G126</f>
        <v>7.17</v>
      </c>
      <c r="D179" s="183">
        <f t="shared" si="28"/>
        <v>3241</v>
      </c>
      <c r="E179" s="330">
        <f>'Base Lighting Tariff'!I126</f>
        <v>6.63</v>
      </c>
      <c r="F179" s="183">
        <f t="shared" si="29"/>
        <v>2997</v>
      </c>
      <c r="G179" s="183"/>
      <c r="J179" s="190"/>
      <c r="L179" s="190"/>
    </row>
    <row r="180" spans="1:18" x14ac:dyDescent="0.2">
      <c r="A180" s="192" t="s">
        <v>812</v>
      </c>
      <c r="B180" s="296">
        <f>'WP1 Light Inventory'!I143</f>
        <v>36</v>
      </c>
      <c r="C180" s="330">
        <f>'Base Lighting Tariff'!G127</f>
        <v>8.1199999999999992</v>
      </c>
      <c r="D180" s="183">
        <f t="shared" si="28"/>
        <v>292</v>
      </c>
      <c r="E180" s="330">
        <f>'Base Lighting Tariff'!I127</f>
        <v>7.51</v>
      </c>
      <c r="F180" s="183">
        <f t="shared" si="29"/>
        <v>270</v>
      </c>
      <c r="G180" s="183"/>
      <c r="J180" s="190"/>
      <c r="L180" s="190"/>
    </row>
    <row r="181" spans="1:18" x14ac:dyDescent="0.2">
      <c r="A181" s="192" t="s">
        <v>813</v>
      </c>
      <c r="B181" s="296">
        <f>'WP1 Light Inventory'!I144</f>
        <v>0</v>
      </c>
      <c r="C181" s="330">
        <f>'Base Lighting Tariff'!G128</f>
        <v>9.08</v>
      </c>
      <c r="D181" s="183">
        <f t="shared" si="28"/>
        <v>0</v>
      </c>
      <c r="E181" s="330">
        <f>'Base Lighting Tariff'!I128</f>
        <v>8.39</v>
      </c>
      <c r="F181" s="183">
        <f t="shared" si="29"/>
        <v>0</v>
      </c>
      <c r="G181" s="183"/>
      <c r="J181" s="190"/>
      <c r="L181" s="190"/>
    </row>
    <row r="182" spans="1:18" x14ac:dyDescent="0.2">
      <c r="A182" s="188" t="s">
        <v>742</v>
      </c>
      <c r="B182" s="590">
        <f>SUM(B162:B181)</f>
        <v>108398</v>
      </c>
      <c r="C182" s="330"/>
      <c r="D182" s="187">
        <f>SUM(D162:D181)</f>
        <v>518836</v>
      </c>
      <c r="E182" s="330"/>
      <c r="F182" s="187">
        <f>SUM(F162:F181)</f>
        <v>479306</v>
      </c>
      <c r="G182" s="183"/>
      <c r="J182" s="190"/>
    </row>
    <row r="183" spans="1:18" x14ac:dyDescent="0.2">
      <c r="A183" s="186"/>
      <c r="B183" s="296"/>
      <c r="D183" s="183"/>
      <c r="F183" s="183"/>
      <c r="G183" s="183"/>
    </row>
    <row r="184" spans="1:18" x14ac:dyDescent="0.2">
      <c r="A184" s="185" t="s">
        <v>743</v>
      </c>
      <c r="B184" s="426">
        <v>6228929</v>
      </c>
      <c r="D184" s="183"/>
      <c r="F184" s="183"/>
      <c r="G184" s="183"/>
    </row>
    <row r="185" spans="1:18" x14ac:dyDescent="0.2">
      <c r="A185" s="185" t="s">
        <v>744</v>
      </c>
      <c r="B185" s="426">
        <v>170743</v>
      </c>
      <c r="C185" s="184">
        <f>ROUND(D185/B185,6)</f>
        <v>0.25444099999999997</v>
      </c>
      <c r="D185" s="183">
        <f>$N$15</f>
        <v>43444</v>
      </c>
      <c r="E185" s="184">
        <f>ROUND(F185/B185,6)</f>
        <v>0.24954499999999999</v>
      </c>
      <c r="F185" s="183">
        <f>ROUND(+D185*(1+H185),0)</f>
        <v>42608</v>
      </c>
      <c r="G185" s="496"/>
      <c r="H185" s="518">
        <f>+$H$44</f>
        <v>-1.925194309837586E-2</v>
      </c>
      <c r="I185" s="745"/>
      <c r="J185" s="745"/>
      <c r="K185" s="182"/>
      <c r="L185" s="182"/>
      <c r="M185" s="182"/>
      <c r="N185" s="182"/>
      <c r="O185" s="182"/>
      <c r="P185" s="182"/>
      <c r="Q185" s="182"/>
      <c r="R185" s="182"/>
    </row>
    <row r="186" spans="1:18" ht="10.8" thickBot="1" x14ac:dyDescent="0.25">
      <c r="A186" s="181" t="s">
        <v>20</v>
      </c>
      <c r="B186" s="199">
        <f>SUM(B184:B185)</f>
        <v>6399672</v>
      </c>
      <c r="C186" s="179"/>
      <c r="D186" s="178">
        <f>SUM(D182,D185)</f>
        <v>562280</v>
      </c>
      <c r="E186" s="179"/>
      <c r="F186" s="178">
        <f>SUM(F182,F185)</f>
        <v>521914</v>
      </c>
      <c r="G186" s="183"/>
      <c r="H186" s="745" t="s">
        <v>745</v>
      </c>
      <c r="I186" s="745"/>
    </row>
    <row r="187" spans="1:18" ht="10.8" thickTop="1" x14ac:dyDescent="0.2">
      <c r="A187" s="193"/>
      <c r="B187" s="196"/>
      <c r="C187" s="195" t="s">
        <v>91</v>
      </c>
      <c r="D187" s="179"/>
      <c r="E187" s="195" t="s">
        <v>91</v>
      </c>
      <c r="F187" s="179" t="s">
        <v>91</v>
      </c>
      <c r="G187" s="179"/>
    </row>
    <row r="188" spans="1:18" x14ac:dyDescent="0.2">
      <c r="A188" s="744" t="s">
        <v>814</v>
      </c>
      <c r="B188" s="744"/>
      <c r="C188" s="744"/>
      <c r="D188" s="744"/>
      <c r="E188" s="744"/>
      <c r="F188" s="744"/>
    </row>
    <row r="189" spans="1:18" x14ac:dyDescent="0.2">
      <c r="A189" s="186" t="s">
        <v>815</v>
      </c>
      <c r="B189" s="193"/>
      <c r="C189" s="193"/>
      <c r="D189" s="193"/>
      <c r="E189" s="193"/>
      <c r="F189" s="193"/>
      <c r="G189" s="190"/>
    </row>
    <row r="190" spans="1:18" x14ac:dyDescent="0.2">
      <c r="A190" s="193"/>
      <c r="B190" s="193"/>
      <c r="C190" s="194"/>
      <c r="D190" s="193"/>
      <c r="E190" s="194"/>
      <c r="F190" s="193"/>
    </row>
    <row r="191" spans="1:18" x14ac:dyDescent="0.2">
      <c r="A191" s="191" t="s">
        <v>816</v>
      </c>
      <c r="B191" s="296">
        <f>'WP1 Light Inventory'!I146</f>
        <v>192</v>
      </c>
      <c r="C191" s="330">
        <f>'Base Lighting Tariff'!G130</f>
        <v>13.618687765672663</v>
      </c>
      <c r="D191" s="183">
        <f t="shared" ref="D191:D196" si="30">IF(C191="n/a",0,ROUND(B191*C191,0))</f>
        <v>2615</v>
      </c>
      <c r="E191" s="330">
        <f>'Base Lighting Tariff'!I130</f>
        <v>13.530000000000001</v>
      </c>
      <c r="F191" s="183">
        <f t="shared" ref="F191:F196" si="31">ROUND(E191*$B191,0)</f>
        <v>2598</v>
      </c>
    </row>
    <row r="192" spans="1:18" x14ac:dyDescent="0.2">
      <c r="A192" s="191" t="s">
        <v>817</v>
      </c>
      <c r="B192" s="296">
        <f>'WP1 Light Inventory'!I147</f>
        <v>43754</v>
      </c>
      <c r="C192" s="330">
        <f>'Base Lighting Tariff'!G131</f>
        <v>14.02804053242096</v>
      </c>
      <c r="D192" s="183">
        <f t="shared" si="30"/>
        <v>613783</v>
      </c>
      <c r="E192" s="330">
        <f>'Base Lighting Tariff'!I131</f>
        <v>13.879999999999999</v>
      </c>
      <c r="F192" s="183">
        <f t="shared" si="31"/>
        <v>607306</v>
      </c>
    </row>
    <row r="193" spans="1:6" x14ac:dyDescent="0.2">
      <c r="A193" s="191" t="s">
        <v>818</v>
      </c>
      <c r="B193" s="296">
        <f>'WP1 Light Inventory'!I148</f>
        <v>5852</v>
      </c>
      <c r="C193" s="330">
        <f>'Base Lighting Tariff'!G132</f>
        <v>15.645435774644971</v>
      </c>
      <c r="D193" s="183">
        <f t="shared" si="30"/>
        <v>91557</v>
      </c>
      <c r="E193" s="330">
        <f>'Base Lighting Tariff'!I132</f>
        <v>15.36</v>
      </c>
      <c r="F193" s="183">
        <f t="shared" si="31"/>
        <v>89887</v>
      </c>
    </row>
    <row r="194" spans="1:6" x14ac:dyDescent="0.2">
      <c r="A194" s="191" t="s">
        <v>819</v>
      </c>
      <c r="B194" s="296">
        <f>'WP1 Light Inventory'!I149</f>
        <v>12513</v>
      </c>
      <c r="C194" s="330">
        <f>'Base Lighting Tariff'!G133</f>
        <v>17.769437053484459</v>
      </c>
      <c r="D194" s="183">
        <f t="shared" si="30"/>
        <v>222349</v>
      </c>
      <c r="E194" s="330">
        <f>'Base Lighting Tariff'!I133</f>
        <v>17.34</v>
      </c>
      <c r="F194" s="183">
        <f t="shared" si="31"/>
        <v>216975</v>
      </c>
    </row>
    <row r="195" spans="1:6" x14ac:dyDescent="0.2">
      <c r="A195" s="191" t="s">
        <v>820</v>
      </c>
      <c r="B195" s="296">
        <f>'WP1 Light Inventory'!I150</f>
        <v>1336</v>
      </c>
      <c r="C195" s="330">
        <f>'Base Lighting Tariff'!G134</f>
        <v>19.541445099369465</v>
      </c>
      <c r="D195" s="183">
        <f t="shared" si="30"/>
        <v>26107</v>
      </c>
      <c r="E195" s="330">
        <f>'Base Lighting Tariff'!I134</f>
        <v>18.979999999999997</v>
      </c>
      <c r="F195" s="183">
        <f t="shared" si="31"/>
        <v>25357</v>
      </c>
    </row>
    <row r="196" spans="1:6" x14ac:dyDescent="0.2">
      <c r="A196" s="191" t="s">
        <v>821</v>
      </c>
      <c r="B196" s="296">
        <f>'WP1 Light Inventory'!I151</f>
        <v>541</v>
      </c>
      <c r="C196" s="330">
        <f>'Base Lighting Tariff'!G135</f>
        <v>25.472897609019007</v>
      </c>
      <c r="D196" s="183">
        <f t="shared" si="30"/>
        <v>13781</v>
      </c>
      <c r="E196" s="330">
        <f>'Base Lighting Tariff'!I135</f>
        <v>24.49</v>
      </c>
      <c r="F196" s="183">
        <f t="shared" si="31"/>
        <v>13249</v>
      </c>
    </row>
    <row r="197" spans="1:6" x14ac:dyDescent="0.2">
      <c r="A197" s="191"/>
      <c r="B197" s="426"/>
      <c r="C197" s="330"/>
      <c r="D197" s="183"/>
      <c r="E197" s="330"/>
      <c r="F197" s="183"/>
    </row>
    <row r="198" spans="1:6" x14ac:dyDescent="0.2">
      <c r="A198" s="191" t="s">
        <v>822</v>
      </c>
      <c r="B198" s="296">
        <f>'WP1 Light Inventory'!I153</f>
        <v>72</v>
      </c>
      <c r="C198" s="330">
        <f>'Base Lighting Tariff'!G137</f>
        <v>21.078079212012458</v>
      </c>
      <c r="D198" s="183">
        <f>IF(C198="n/a",0,ROUND(B198*C198,0))</f>
        <v>1518</v>
      </c>
      <c r="E198" s="330">
        <f>'Base Lighting Tariff'!I137</f>
        <v>21.16</v>
      </c>
      <c r="F198" s="183">
        <f>ROUND(E198*$B198,0)</f>
        <v>1524</v>
      </c>
    </row>
    <row r="199" spans="1:6" x14ac:dyDescent="0.2">
      <c r="A199" s="191"/>
      <c r="B199" s="426"/>
      <c r="C199" s="330"/>
      <c r="D199" s="183"/>
      <c r="E199" s="330"/>
      <c r="F199" s="183"/>
    </row>
    <row r="200" spans="1:6" x14ac:dyDescent="0.2">
      <c r="A200" s="189" t="s">
        <v>940</v>
      </c>
      <c r="B200" s="296">
        <f>'WP1 Light Inventory'!I155</f>
        <v>0</v>
      </c>
      <c r="C200" s="330">
        <f>'Base Lighting Tariff'!G139</f>
        <v>10.35</v>
      </c>
      <c r="D200" s="183">
        <f t="shared" ref="D200:D209" si="32">IF(C200="n/a",0,ROUND(B200*C200,0))</f>
        <v>0</v>
      </c>
      <c r="E200" s="330">
        <f>'Base Lighting Tariff'!I139</f>
        <v>7.8999999999999995</v>
      </c>
      <c r="F200" s="183">
        <f t="shared" ref="F200:F209" si="33">ROUND(E200*$B200,0)</f>
        <v>0</v>
      </c>
    </row>
    <row r="201" spans="1:6" x14ac:dyDescent="0.2">
      <c r="A201" s="189" t="s">
        <v>941</v>
      </c>
      <c r="B201" s="296">
        <f>'WP1 Light Inventory'!I156</f>
        <v>7188</v>
      </c>
      <c r="C201" s="330">
        <f>'Base Lighting Tariff'!G140</f>
        <v>10.35</v>
      </c>
      <c r="D201" s="183">
        <f t="shared" si="32"/>
        <v>74396</v>
      </c>
      <c r="E201" s="330">
        <f>'Base Lighting Tariff'!I140</f>
        <v>9.879999999999999</v>
      </c>
      <c r="F201" s="183">
        <f t="shared" si="33"/>
        <v>71017</v>
      </c>
    </row>
    <row r="202" spans="1:6" x14ac:dyDescent="0.2">
      <c r="A202" s="192" t="s">
        <v>823</v>
      </c>
      <c r="B202" s="296">
        <f>'WP1 Light Inventory'!I157</f>
        <v>77</v>
      </c>
      <c r="C202" s="330">
        <f>'Base Lighting Tariff'!G141</f>
        <v>12.72</v>
      </c>
      <c r="D202" s="183">
        <f t="shared" si="32"/>
        <v>979</v>
      </c>
      <c r="E202" s="330">
        <f>'Base Lighting Tariff'!I141</f>
        <v>13.419999999999998</v>
      </c>
      <c r="F202" s="183">
        <f t="shared" si="33"/>
        <v>1033</v>
      </c>
    </row>
    <row r="203" spans="1:6" x14ac:dyDescent="0.2">
      <c r="A203" s="192" t="s">
        <v>824</v>
      </c>
      <c r="B203" s="296">
        <f>'WP1 Light Inventory'!I158</f>
        <v>1795</v>
      </c>
      <c r="C203" s="330">
        <f>'Base Lighting Tariff'!G142</f>
        <v>15.09</v>
      </c>
      <c r="D203" s="183">
        <f t="shared" si="32"/>
        <v>27087</v>
      </c>
      <c r="E203" s="330">
        <f>'Base Lighting Tariff'!I142</f>
        <v>14.62</v>
      </c>
      <c r="F203" s="183">
        <f t="shared" si="33"/>
        <v>26243</v>
      </c>
    </row>
    <row r="204" spans="1:6" x14ac:dyDescent="0.2">
      <c r="A204" s="192" t="s">
        <v>825</v>
      </c>
      <c r="B204" s="296">
        <f>'WP1 Light Inventory'!I159</f>
        <v>0</v>
      </c>
      <c r="C204" s="330">
        <f>'Base Lighting Tariff'!G143</f>
        <v>16.38</v>
      </c>
      <c r="D204" s="183">
        <f t="shared" si="32"/>
        <v>0</v>
      </c>
      <c r="E204" s="330">
        <f>'Base Lighting Tariff'!I143</f>
        <v>17.39</v>
      </c>
      <c r="F204" s="183">
        <f t="shared" si="33"/>
        <v>0</v>
      </c>
    </row>
    <row r="205" spans="1:6" x14ac:dyDescent="0.2">
      <c r="A205" s="192" t="s">
        <v>826</v>
      </c>
      <c r="B205" s="296">
        <f>'WP1 Light Inventory'!I160</f>
        <v>0</v>
      </c>
      <c r="C205" s="330">
        <f>'Base Lighting Tariff'!G144</f>
        <v>18.75</v>
      </c>
      <c r="D205" s="183">
        <f t="shared" si="32"/>
        <v>0</v>
      </c>
      <c r="E205" s="330">
        <f>'Base Lighting Tariff'!I144</f>
        <v>19.77</v>
      </c>
      <c r="F205" s="183">
        <f t="shared" si="33"/>
        <v>0</v>
      </c>
    </row>
    <row r="206" spans="1:6" x14ac:dyDescent="0.2">
      <c r="A206" s="192" t="s">
        <v>827</v>
      </c>
      <c r="B206" s="296">
        <f>'WP1 Light Inventory'!I161</f>
        <v>0</v>
      </c>
      <c r="C206" s="330">
        <f>'Base Lighting Tariff'!G145</f>
        <v>20.8</v>
      </c>
      <c r="D206" s="183">
        <f t="shared" si="32"/>
        <v>0</v>
      </c>
      <c r="E206" s="330">
        <f>'Base Lighting Tariff'!I145</f>
        <v>22.149999999999995</v>
      </c>
      <c r="F206" s="183">
        <f t="shared" si="33"/>
        <v>0</v>
      </c>
    </row>
    <row r="207" spans="1:6" x14ac:dyDescent="0.2">
      <c r="A207" s="192" t="s">
        <v>828</v>
      </c>
      <c r="B207" s="296">
        <f>'WP1 Light Inventory'!I162</f>
        <v>0</v>
      </c>
      <c r="C207" s="330">
        <f>'Base Lighting Tariff'!G146</f>
        <v>22.84</v>
      </c>
      <c r="D207" s="183">
        <f t="shared" si="32"/>
        <v>0</v>
      </c>
      <c r="E207" s="330">
        <f>'Base Lighting Tariff'!I146</f>
        <v>24.53</v>
      </c>
      <c r="F207" s="183">
        <f t="shared" si="33"/>
        <v>0</v>
      </c>
    </row>
    <row r="208" spans="1:6" x14ac:dyDescent="0.2">
      <c r="A208" s="192" t="s">
        <v>829</v>
      </c>
      <c r="B208" s="296">
        <f>'WP1 Light Inventory'!I163</f>
        <v>0</v>
      </c>
      <c r="C208" s="330">
        <f>'Base Lighting Tariff'!G147</f>
        <v>24.89</v>
      </c>
      <c r="D208" s="183">
        <f t="shared" si="32"/>
        <v>0</v>
      </c>
      <c r="E208" s="330">
        <f>'Base Lighting Tariff'!I147</f>
        <v>26.900000000000002</v>
      </c>
      <c r="F208" s="183">
        <f t="shared" si="33"/>
        <v>0</v>
      </c>
    </row>
    <row r="209" spans="1:18" x14ac:dyDescent="0.2">
      <c r="A209" s="192" t="s">
        <v>830</v>
      </c>
      <c r="B209" s="296">
        <f>'WP1 Light Inventory'!I164</f>
        <v>0</v>
      </c>
      <c r="C209" s="330">
        <f>'Base Lighting Tariff'!G148</f>
        <v>26.94</v>
      </c>
      <c r="D209" s="183">
        <f t="shared" si="32"/>
        <v>0</v>
      </c>
      <c r="E209" s="330">
        <f>'Base Lighting Tariff'!I148</f>
        <v>29.28</v>
      </c>
      <c r="F209" s="183">
        <f t="shared" si="33"/>
        <v>0</v>
      </c>
    </row>
    <row r="210" spans="1:18" x14ac:dyDescent="0.2">
      <c r="A210" s="191"/>
      <c r="B210" s="426"/>
      <c r="C210" s="330"/>
      <c r="D210" s="183"/>
      <c r="E210" s="330"/>
      <c r="F210" s="183"/>
    </row>
    <row r="211" spans="1:18" x14ac:dyDescent="0.2">
      <c r="A211" s="191" t="s">
        <v>1064</v>
      </c>
      <c r="B211" s="296">
        <f>'WP1 Light Inventory'!I206</f>
        <v>7340</v>
      </c>
      <c r="C211" s="330">
        <f>'Base Lighting Tariff'!G150</f>
        <v>6.34</v>
      </c>
      <c r="D211" s="183">
        <f>IF(C211="n/a",0,ROUND(B211*C211,0))</f>
        <v>46536</v>
      </c>
      <c r="E211" s="330">
        <f>'Base Lighting Tariff'!I150</f>
        <v>5.29</v>
      </c>
      <c r="F211" s="183">
        <f>ROUND(E211*$B211,0)</f>
        <v>38829</v>
      </c>
    </row>
    <row r="212" spans="1:18" x14ac:dyDescent="0.2">
      <c r="A212" s="191" t="s">
        <v>1065</v>
      </c>
      <c r="B212" s="296">
        <f>'WP1 Light Inventory'!I207</f>
        <v>4085</v>
      </c>
      <c r="C212" s="330">
        <f>'Base Lighting Tariff'!G151</f>
        <v>11.05</v>
      </c>
      <c r="D212" s="183">
        <f>IF(C212="n/a",0,ROUND(B212*C212,0))</f>
        <v>45139</v>
      </c>
      <c r="E212" s="330">
        <f>'Base Lighting Tariff'!I151</f>
        <v>8.32</v>
      </c>
      <c r="F212" s="183">
        <f>ROUND(E212*$B212,0)</f>
        <v>33987</v>
      </c>
    </row>
    <row r="213" spans="1:18" x14ac:dyDescent="0.2">
      <c r="A213" s="188" t="s">
        <v>742</v>
      </c>
      <c r="B213" s="590">
        <f>SUM(B191:B212)</f>
        <v>84745</v>
      </c>
      <c r="C213" s="330"/>
      <c r="D213" s="197">
        <f>SUM(D191:D212)</f>
        <v>1165847</v>
      </c>
      <c r="E213" s="330"/>
      <c r="F213" s="197">
        <f>SUM(F191:F212)</f>
        <v>1128005</v>
      </c>
    </row>
    <row r="214" spans="1:18" x14ac:dyDescent="0.2">
      <c r="A214" s="186"/>
      <c r="B214" s="296"/>
      <c r="D214" s="183"/>
      <c r="F214" s="183"/>
    </row>
    <row r="215" spans="1:18" x14ac:dyDescent="0.2">
      <c r="A215" s="185" t="s">
        <v>743</v>
      </c>
      <c r="B215" s="426">
        <v>3767304</v>
      </c>
      <c r="D215" s="183"/>
      <c r="F215" s="183"/>
    </row>
    <row r="216" spans="1:18" x14ac:dyDescent="0.2">
      <c r="A216" s="185" t="s">
        <v>744</v>
      </c>
      <c r="B216" s="426">
        <v>191</v>
      </c>
      <c r="C216" s="184">
        <f>ROUND(D216/B216,6)</f>
        <v>0.25654500000000002</v>
      </c>
      <c r="D216" s="183">
        <f>$N$16</f>
        <v>49</v>
      </c>
      <c r="E216" s="184">
        <f>ROUND(F216/B216,6)</f>
        <v>0.251309</v>
      </c>
      <c r="F216" s="183">
        <f>ROUND(+D216*(1+H216),0)</f>
        <v>48</v>
      </c>
      <c r="G216" s="496"/>
      <c r="H216" s="518">
        <f>+$H$44</f>
        <v>-1.925194309837586E-2</v>
      </c>
      <c r="I216" s="745"/>
      <c r="J216" s="745"/>
      <c r="K216" s="182"/>
      <c r="L216" s="182"/>
      <c r="M216" s="182"/>
      <c r="N216" s="182"/>
      <c r="O216" s="182"/>
      <c r="P216" s="182"/>
      <c r="Q216" s="182"/>
      <c r="R216" s="182"/>
    </row>
    <row r="217" spans="1:18" ht="10.8" thickBot="1" x14ac:dyDescent="0.25">
      <c r="A217" s="181" t="s">
        <v>20</v>
      </c>
      <c r="B217" s="199">
        <f>SUM(B215:B216)</f>
        <v>3767495</v>
      </c>
      <c r="C217" s="179"/>
      <c r="D217" s="178">
        <f>SUM(D213,D216)</f>
        <v>1165896</v>
      </c>
      <c r="E217" s="179"/>
      <c r="F217" s="178">
        <f>SUM(F213,F216)</f>
        <v>1128053</v>
      </c>
      <c r="H217" s="745" t="s">
        <v>745</v>
      </c>
      <c r="I217" s="745"/>
    </row>
    <row r="218" spans="1:18" ht="10.8" thickTop="1" x14ac:dyDescent="0.2">
      <c r="B218" s="196"/>
      <c r="C218" s="277"/>
      <c r="D218" s="198"/>
      <c r="F218" s="318"/>
    </row>
    <row r="219" spans="1:18" x14ac:dyDescent="0.2">
      <c r="A219" s="744" t="s">
        <v>831</v>
      </c>
      <c r="B219" s="744"/>
      <c r="C219" s="744"/>
      <c r="D219" s="744"/>
      <c r="E219" s="744"/>
      <c r="F219" s="744"/>
    </row>
    <row r="220" spans="1:18" x14ac:dyDescent="0.2">
      <c r="A220" s="186" t="s">
        <v>832</v>
      </c>
      <c r="B220" s="193"/>
      <c r="C220" s="193"/>
      <c r="D220" s="193"/>
      <c r="E220" s="193"/>
      <c r="F220" s="193"/>
    </row>
    <row r="221" spans="1:18" x14ac:dyDescent="0.2">
      <c r="A221" s="193"/>
      <c r="B221" s="193"/>
      <c r="C221" s="194"/>
      <c r="D221" s="193"/>
      <c r="E221" s="194"/>
      <c r="F221" s="193"/>
    </row>
    <row r="222" spans="1:18" x14ac:dyDescent="0.2">
      <c r="A222" s="191" t="s">
        <v>833</v>
      </c>
      <c r="B222" s="296">
        <v>11226169</v>
      </c>
      <c r="C222" s="198">
        <f>'Base Lighting Tariff'!G153</f>
        <v>4.1930000000000002E-2</v>
      </c>
      <c r="D222" s="183">
        <f>IF(C222="n/a",0,ROUND(B222*C222,0))</f>
        <v>470713</v>
      </c>
      <c r="E222" s="198">
        <f>'Base Lighting Tariff'!I153</f>
        <v>4.3869999999999999E-2</v>
      </c>
      <c r="F222" s="183">
        <f>ROUND(E222*$B222,0)</f>
        <v>492492</v>
      </c>
    </row>
    <row r="223" spans="1:18" x14ac:dyDescent="0.2">
      <c r="A223" s="188" t="s">
        <v>742</v>
      </c>
      <c r="B223" s="273">
        <f>SUM(B222:B222)</f>
        <v>11226169</v>
      </c>
      <c r="C223" s="330"/>
      <c r="D223" s="197">
        <f>SUM(D222:D222)</f>
        <v>470713</v>
      </c>
      <c r="E223" s="330"/>
      <c r="F223" s="197">
        <f>SUM(F222:F222)</f>
        <v>492492</v>
      </c>
    </row>
    <row r="224" spans="1:18" x14ac:dyDescent="0.2">
      <c r="A224" s="186"/>
      <c r="B224" s="296"/>
      <c r="D224" s="183"/>
      <c r="F224" s="183"/>
    </row>
    <row r="225" spans="1:18" x14ac:dyDescent="0.2">
      <c r="A225" s="185" t="s">
        <v>743</v>
      </c>
      <c r="B225" s="426">
        <v>3656529</v>
      </c>
      <c r="D225" s="183"/>
      <c r="F225" s="183"/>
    </row>
    <row r="226" spans="1:18" x14ac:dyDescent="0.2">
      <c r="A226" s="185" t="s">
        <v>744</v>
      </c>
      <c r="B226" s="426">
        <v>1713997</v>
      </c>
      <c r="C226" s="184">
        <f>ROUND(D226/B226,6)</f>
        <v>0.25444299999999997</v>
      </c>
      <c r="D226" s="183">
        <f>$N$17</f>
        <v>436114</v>
      </c>
      <c r="E226" s="184">
        <f>ROUND(F226/B226,6)</f>
        <v>0.24954399999999999</v>
      </c>
      <c r="F226" s="183">
        <f>ROUND(+D226*(1+H226),0)</f>
        <v>427718</v>
      </c>
      <c r="G226" s="496"/>
      <c r="H226" s="518">
        <f>+$H$44</f>
        <v>-1.925194309837586E-2</v>
      </c>
      <c r="I226" s="745"/>
      <c r="J226" s="745"/>
      <c r="K226" s="182"/>
      <c r="L226" s="182"/>
      <c r="M226" s="182"/>
      <c r="N226" s="182"/>
      <c r="O226" s="182"/>
      <c r="P226" s="182"/>
      <c r="Q226" s="182"/>
      <c r="R226" s="182"/>
    </row>
    <row r="227" spans="1:18" ht="10.8" thickBot="1" x14ac:dyDescent="0.25">
      <c r="A227" s="181" t="s">
        <v>20</v>
      </c>
      <c r="B227" s="180">
        <f>SUM(B225:B226)</f>
        <v>5370526</v>
      </c>
      <c r="C227" s="179"/>
      <c r="D227" s="178">
        <f>SUM(D223,D226)</f>
        <v>906827</v>
      </c>
      <c r="E227" s="179"/>
      <c r="F227" s="178">
        <f>SUM(F223,F226)</f>
        <v>920210</v>
      </c>
      <c r="H227" s="745" t="s">
        <v>745</v>
      </c>
      <c r="I227" s="745"/>
    </row>
    <row r="228" spans="1:18" ht="10.8" thickTop="1" x14ac:dyDescent="0.2">
      <c r="A228" s="193"/>
      <c r="B228" s="196"/>
      <c r="C228" s="195" t="s">
        <v>91</v>
      </c>
      <c r="D228" s="179"/>
      <c r="E228" s="195" t="s">
        <v>91</v>
      </c>
      <c r="F228" s="179" t="s">
        <v>91</v>
      </c>
    </row>
    <row r="229" spans="1:18" x14ac:dyDescent="0.2">
      <c r="A229" s="744" t="s">
        <v>834</v>
      </c>
      <c r="B229" s="744"/>
      <c r="C229" s="744"/>
      <c r="D229" s="744"/>
      <c r="E229" s="744"/>
      <c r="F229" s="744"/>
    </row>
    <row r="230" spans="1:18" x14ac:dyDescent="0.2">
      <c r="A230" s="186" t="s">
        <v>835</v>
      </c>
      <c r="B230" s="193"/>
      <c r="C230" s="193"/>
      <c r="D230" s="193"/>
      <c r="E230" s="193"/>
      <c r="F230" s="193"/>
    </row>
    <row r="231" spans="1:18" x14ac:dyDescent="0.2">
      <c r="A231" s="193"/>
      <c r="B231" s="193"/>
      <c r="C231" s="194"/>
      <c r="D231" s="193"/>
      <c r="E231" s="194"/>
      <c r="F231" s="193"/>
    </row>
    <row r="232" spans="1:18" x14ac:dyDescent="0.2">
      <c r="A232" s="191" t="s">
        <v>836</v>
      </c>
      <c r="B232" s="296">
        <f>'WP1 Light Inventory'!I166</f>
        <v>636</v>
      </c>
      <c r="C232" s="330">
        <f>'Base Lighting Tariff'!G156</f>
        <v>13.62</v>
      </c>
      <c r="D232" s="183">
        <f t="shared" ref="D232:D237" si="34">IF(C232="n/a",0,ROUND(B232*C232,0))</f>
        <v>8662</v>
      </c>
      <c r="E232" s="330">
        <f>'Base Lighting Tariff'!I156</f>
        <v>13.530000000000001</v>
      </c>
      <c r="F232" s="183">
        <f t="shared" ref="F232:F237" si="35">ROUND(E232*$B232,0)</f>
        <v>8605</v>
      </c>
      <c r="J232" s="190"/>
    </row>
    <row r="233" spans="1:18" x14ac:dyDescent="0.2">
      <c r="A233" s="191" t="s">
        <v>837</v>
      </c>
      <c r="B233" s="296">
        <f>'WP1 Light Inventory'!I167</f>
        <v>125</v>
      </c>
      <c r="C233" s="330">
        <f>'Base Lighting Tariff'!G157</f>
        <v>14.03</v>
      </c>
      <c r="D233" s="183">
        <f t="shared" si="34"/>
        <v>1754</v>
      </c>
      <c r="E233" s="330">
        <f>'Base Lighting Tariff'!I157</f>
        <v>13.879999999999999</v>
      </c>
      <c r="F233" s="183">
        <f t="shared" si="35"/>
        <v>1735</v>
      </c>
      <c r="J233" s="190"/>
    </row>
    <row r="234" spans="1:18" x14ac:dyDescent="0.2">
      <c r="A234" s="191" t="s">
        <v>838</v>
      </c>
      <c r="B234" s="296">
        <f>'WP1 Light Inventory'!I168</f>
        <v>1738</v>
      </c>
      <c r="C234" s="330">
        <f>'Base Lighting Tariff'!G158</f>
        <v>15.65</v>
      </c>
      <c r="D234" s="183">
        <f t="shared" si="34"/>
        <v>27200</v>
      </c>
      <c r="E234" s="330">
        <f>'Base Lighting Tariff'!I158</f>
        <v>15.36</v>
      </c>
      <c r="F234" s="183">
        <f t="shared" si="35"/>
        <v>26696</v>
      </c>
      <c r="J234" s="190"/>
    </row>
    <row r="235" spans="1:18" x14ac:dyDescent="0.2">
      <c r="A235" s="191" t="s">
        <v>839</v>
      </c>
      <c r="B235" s="296">
        <f>'WP1 Light Inventory'!I169</f>
        <v>3196</v>
      </c>
      <c r="C235" s="330">
        <f>'Base Lighting Tariff'!G159</f>
        <v>17.77</v>
      </c>
      <c r="D235" s="183">
        <f t="shared" si="34"/>
        <v>56793</v>
      </c>
      <c r="E235" s="330">
        <f>'Base Lighting Tariff'!I159</f>
        <v>17.34</v>
      </c>
      <c r="F235" s="183">
        <f t="shared" si="35"/>
        <v>55419</v>
      </c>
      <c r="J235" s="190"/>
    </row>
    <row r="236" spans="1:18" x14ac:dyDescent="0.2">
      <c r="A236" s="191" t="s">
        <v>840</v>
      </c>
      <c r="B236" s="296">
        <f>'WP1 Light Inventory'!I170</f>
        <v>467</v>
      </c>
      <c r="C236" s="330">
        <f>'Base Lighting Tariff'!G160</f>
        <v>19.54</v>
      </c>
      <c r="D236" s="183">
        <f t="shared" si="34"/>
        <v>9125</v>
      </c>
      <c r="E236" s="330">
        <f>'Base Lighting Tariff'!I160</f>
        <v>18.979999999999997</v>
      </c>
      <c r="F236" s="183">
        <f t="shared" si="35"/>
        <v>8864</v>
      </c>
      <c r="J236" s="190"/>
    </row>
    <row r="237" spans="1:18" x14ac:dyDescent="0.2">
      <c r="A237" s="191" t="s">
        <v>841</v>
      </c>
      <c r="B237" s="296">
        <f>'WP1 Light Inventory'!I171</f>
        <v>4245</v>
      </c>
      <c r="C237" s="330">
        <f>'Base Lighting Tariff'!G161</f>
        <v>25.47</v>
      </c>
      <c r="D237" s="183">
        <f t="shared" si="34"/>
        <v>108120</v>
      </c>
      <c r="E237" s="330">
        <f>'Base Lighting Tariff'!I161</f>
        <v>24.49</v>
      </c>
      <c r="F237" s="183">
        <f t="shared" si="35"/>
        <v>103960</v>
      </c>
      <c r="H237" s="190"/>
      <c r="I237" s="330"/>
      <c r="J237" s="190"/>
    </row>
    <row r="238" spans="1:18" x14ac:dyDescent="0.2">
      <c r="A238" s="191"/>
      <c r="B238" s="318"/>
      <c r="C238" s="330"/>
      <c r="D238" s="183"/>
      <c r="E238" s="330"/>
      <c r="F238" s="183"/>
      <c r="H238" s="190"/>
      <c r="I238" s="190"/>
      <c r="J238" s="190"/>
    </row>
    <row r="239" spans="1:18" x14ac:dyDescent="0.2">
      <c r="A239" s="191" t="s">
        <v>842</v>
      </c>
      <c r="B239" s="296">
        <f>'WP1 Light Inventory'!I179</f>
        <v>36</v>
      </c>
      <c r="C239" s="330">
        <f>'Base Lighting Tariff'!G163</f>
        <v>18</v>
      </c>
      <c r="D239" s="183">
        <f>IF(C239="n/a",0,ROUND(B239*C239,0))</f>
        <v>648</v>
      </c>
      <c r="E239" s="330">
        <f>'Base Lighting Tariff'!I163</f>
        <v>18.310000000000002</v>
      </c>
      <c r="F239" s="183">
        <f>ROUND(E239*$B239,0)</f>
        <v>659</v>
      </c>
      <c r="H239" s="190"/>
      <c r="I239" s="190"/>
      <c r="J239" s="190"/>
    </row>
    <row r="240" spans="1:18" x14ac:dyDescent="0.2">
      <c r="A240" s="191" t="s">
        <v>843</v>
      </c>
      <c r="B240" s="296">
        <f>'WP1 Light Inventory'!I180</f>
        <v>204</v>
      </c>
      <c r="C240" s="330">
        <f>'Base Lighting Tariff'!G164</f>
        <v>21.08</v>
      </c>
      <c r="D240" s="183">
        <f>IF(C240="n/a",0,ROUND(B240*C240,0))</f>
        <v>4300</v>
      </c>
      <c r="E240" s="330">
        <f>'Base Lighting Tariff'!I164</f>
        <v>21.16</v>
      </c>
      <c r="F240" s="183">
        <f>ROUND(E240*$B240,0)</f>
        <v>4317</v>
      </c>
      <c r="H240" s="190"/>
      <c r="I240" s="190"/>
      <c r="J240" s="190"/>
    </row>
    <row r="241" spans="1:10" x14ac:dyDescent="0.2">
      <c r="A241" s="191" t="s">
        <v>844</v>
      </c>
      <c r="B241" s="296">
        <f>'WP1 Light Inventory'!I181</f>
        <v>1056</v>
      </c>
      <c r="C241" s="330">
        <f>'Base Lighting Tariff'!G165</f>
        <v>25.92</v>
      </c>
      <c r="D241" s="183">
        <f>IF(C241="n/a",0,ROUND(B241*C241,0))</f>
        <v>27372</v>
      </c>
      <c r="E241" s="330">
        <f>'Base Lighting Tariff'!I165</f>
        <v>25.630000000000003</v>
      </c>
      <c r="F241" s="183">
        <f>ROUND(E241*$B241,0)</f>
        <v>27065</v>
      </c>
      <c r="H241" s="190"/>
      <c r="I241" s="190"/>
      <c r="J241" s="190"/>
    </row>
    <row r="242" spans="1:10" x14ac:dyDescent="0.2">
      <c r="A242" s="191" t="s">
        <v>845</v>
      </c>
      <c r="B242" s="296">
        <f>'WP1 Light Inventory'!I182</f>
        <v>1534</v>
      </c>
      <c r="C242" s="330">
        <f>'Base Lighting Tariff'!G166</f>
        <v>48.57</v>
      </c>
      <c r="D242" s="183">
        <f>IF(C242="n/a",0,ROUND(B242*C242,0))</f>
        <v>74506</v>
      </c>
      <c r="E242" s="330">
        <f>'Base Lighting Tariff'!I166</f>
        <v>46.539999999999992</v>
      </c>
      <c r="F242" s="183">
        <f>ROUND(E242*$B242,0)</f>
        <v>71392</v>
      </c>
      <c r="H242" s="190"/>
      <c r="I242" s="330"/>
      <c r="J242" s="190"/>
    </row>
    <row r="243" spans="1:10" x14ac:dyDescent="0.2">
      <c r="A243" s="191"/>
      <c r="B243" s="318"/>
      <c r="C243" s="330"/>
      <c r="D243" s="183"/>
      <c r="E243" s="330"/>
      <c r="F243" s="183"/>
      <c r="H243" s="190"/>
      <c r="I243" s="190"/>
      <c r="J243" s="190"/>
    </row>
    <row r="244" spans="1:10" x14ac:dyDescent="0.2">
      <c r="A244" s="191" t="s">
        <v>846</v>
      </c>
      <c r="B244" s="296">
        <f>'WP1 Light Inventory'!I173</f>
        <v>9</v>
      </c>
      <c r="C244" s="330">
        <f>'Base Lighting Tariff'!G168</f>
        <v>14.03</v>
      </c>
      <c r="D244" s="183">
        <f>IF(C244="n/a",0,ROUND(B244*C244,0))</f>
        <v>126</v>
      </c>
      <c r="E244" s="330">
        <f>'Base Lighting Tariff'!I168</f>
        <v>13.879999999999999</v>
      </c>
      <c r="F244" s="183">
        <f>ROUND(E244*$B244,0)</f>
        <v>125</v>
      </c>
      <c r="H244" s="190"/>
      <c r="I244" s="190"/>
      <c r="J244" s="190"/>
    </row>
    <row r="245" spans="1:10" x14ac:dyDescent="0.2">
      <c r="A245" s="191" t="s">
        <v>847</v>
      </c>
      <c r="B245" s="296">
        <f>'WP1 Light Inventory'!I174</f>
        <v>188</v>
      </c>
      <c r="C245" s="330">
        <f>'Base Lighting Tariff'!G169</f>
        <v>15.65</v>
      </c>
      <c r="D245" s="183">
        <f>IF(C245="n/a",0,ROUND(B245*C245,0))</f>
        <v>2942</v>
      </c>
      <c r="E245" s="330">
        <f>'Base Lighting Tariff'!I169</f>
        <v>15.36</v>
      </c>
      <c r="F245" s="183">
        <f>ROUND(E245*$B245,0)</f>
        <v>2888</v>
      </c>
      <c r="H245" s="190"/>
      <c r="I245" s="190"/>
      <c r="J245" s="190"/>
    </row>
    <row r="246" spans="1:10" x14ac:dyDescent="0.2">
      <c r="A246" s="191" t="s">
        <v>848</v>
      </c>
      <c r="B246" s="296">
        <f>'WP1 Light Inventory'!I175</f>
        <v>108</v>
      </c>
      <c r="C246" s="330">
        <f>'Base Lighting Tariff'!G170</f>
        <v>17.77</v>
      </c>
      <c r="D246" s="183">
        <f>IF(C246="n/a",0,ROUND(B246*C246,0))</f>
        <v>1919</v>
      </c>
      <c r="E246" s="330">
        <f>'Base Lighting Tariff'!I170</f>
        <v>17.34</v>
      </c>
      <c r="F246" s="183">
        <f>ROUND(E246*$B246,0)</f>
        <v>1873</v>
      </c>
      <c r="H246" s="190"/>
      <c r="I246" s="190"/>
      <c r="J246" s="190"/>
    </row>
    <row r="247" spans="1:10" x14ac:dyDescent="0.2">
      <c r="A247" s="191" t="s">
        <v>849</v>
      </c>
      <c r="B247" s="296">
        <f>'WP1 Light Inventory'!I176</f>
        <v>404</v>
      </c>
      <c r="C247" s="330">
        <f>'Base Lighting Tariff'!G171</f>
        <v>19.54</v>
      </c>
      <c r="D247" s="183">
        <f>IF(C247="n/a",0,ROUND(B247*C247,0))</f>
        <v>7894</v>
      </c>
      <c r="E247" s="330">
        <f>'Base Lighting Tariff'!I171</f>
        <v>18.979999999999997</v>
      </c>
      <c r="F247" s="183">
        <f>ROUND(E247*$B247,0)</f>
        <v>7668</v>
      </c>
      <c r="H247" s="190"/>
      <c r="I247" s="190"/>
      <c r="J247" s="190"/>
    </row>
    <row r="248" spans="1:10" x14ac:dyDescent="0.2">
      <c r="A248" s="191" t="s">
        <v>850</v>
      </c>
      <c r="B248" s="296">
        <f>'WP1 Light Inventory'!I177</f>
        <v>579</v>
      </c>
      <c r="C248" s="330">
        <f>'Base Lighting Tariff'!G172</f>
        <v>25.47</v>
      </c>
      <c r="D248" s="183">
        <f>IF(C248="n/a",0,ROUND(B248*C248,0))</f>
        <v>14747</v>
      </c>
      <c r="E248" s="330">
        <f>'Base Lighting Tariff'!I172</f>
        <v>24.49</v>
      </c>
      <c r="F248" s="183">
        <f>ROUND(E248*$B248,0)</f>
        <v>14180</v>
      </c>
      <c r="H248" s="190"/>
      <c r="I248" s="330"/>
      <c r="J248" s="190"/>
    </row>
    <row r="249" spans="1:10" x14ac:dyDescent="0.2">
      <c r="A249" s="191"/>
      <c r="B249" s="318"/>
      <c r="C249" s="330"/>
      <c r="D249" s="183"/>
      <c r="E249" s="330"/>
      <c r="F249" s="183"/>
      <c r="H249" s="190"/>
      <c r="I249" s="190"/>
      <c r="J249" s="190"/>
    </row>
    <row r="250" spans="1:10" x14ac:dyDescent="0.2">
      <c r="A250" s="191" t="s">
        <v>851</v>
      </c>
      <c r="B250" s="296">
        <f>'WP1 Light Inventory'!I184</f>
        <v>120</v>
      </c>
      <c r="C250" s="330">
        <f>'Base Lighting Tariff'!G174</f>
        <v>21.08</v>
      </c>
      <c r="D250" s="183">
        <f>IF(C250="n/a",0,ROUND(B250*C250,0))</f>
        <v>2530</v>
      </c>
      <c r="E250" s="330">
        <f>'Base Lighting Tariff'!I174</f>
        <v>21.16</v>
      </c>
      <c r="F250" s="183">
        <f>ROUND(E250*$B250,0)</f>
        <v>2539</v>
      </c>
      <c r="H250" s="190"/>
      <c r="I250" s="190"/>
      <c r="J250" s="190"/>
    </row>
    <row r="251" spans="1:10" x14ac:dyDescent="0.2">
      <c r="A251" s="191" t="s">
        <v>852</v>
      </c>
      <c r="B251" s="296">
        <f>'WP1 Light Inventory'!I185</f>
        <v>480</v>
      </c>
      <c r="C251" s="330">
        <f>'Base Lighting Tariff'!G175</f>
        <v>25.92</v>
      </c>
      <c r="D251" s="183">
        <f>IF(C251="n/a",0,ROUND(B251*C251,0))</f>
        <v>12442</v>
      </c>
      <c r="E251" s="330">
        <f>'Base Lighting Tariff'!I175</f>
        <v>25.630000000000003</v>
      </c>
      <c r="F251" s="183">
        <f>ROUND(E251*$B251,0)</f>
        <v>12302</v>
      </c>
      <c r="H251" s="190"/>
      <c r="I251" s="330"/>
      <c r="J251" s="190"/>
    </row>
    <row r="252" spans="1:10" x14ac:dyDescent="0.2">
      <c r="A252" s="191"/>
      <c r="B252" s="318"/>
      <c r="C252" s="330"/>
      <c r="D252" s="183"/>
      <c r="E252" s="330"/>
      <c r="F252" s="183"/>
      <c r="J252" s="190"/>
    </row>
    <row r="253" spans="1:10" x14ac:dyDescent="0.2">
      <c r="A253" s="189" t="s">
        <v>942</v>
      </c>
      <c r="B253" s="296">
        <f>'WP1 Light Inventory'!I187</f>
        <v>0</v>
      </c>
      <c r="C253" s="330">
        <f>'Base Lighting Tariff'!G177</f>
        <v>12.16</v>
      </c>
      <c r="D253" s="183">
        <f t="shared" ref="D253:D268" si="36">IF(C253="n/a",0,ROUND(B253*C253,0))</f>
        <v>0</v>
      </c>
      <c r="E253" s="330">
        <f>'Base Lighting Tariff'!I177</f>
        <v>8.6499999999999986</v>
      </c>
      <c r="F253" s="183">
        <f t="shared" ref="F253:F268" si="37">ROUND(E253*$B253,0)</f>
        <v>0</v>
      </c>
      <c r="J253" s="190"/>
    </row>
    <row r="254" spans="1:10" x14ac:dyDescent="0.2">
      <c r="A254" s="189" t="s">
        <v>853</v>
      </c>
      <c r="B254" s="296">
        <f>'WP1 Light Inventory'!I188</f>
        <v>34</v>
      </c>
      <c r="C254" s="330">
        <f>'Base Lighting Tariff'!G178</f>
        <v>12.16</v>
      </c>
      <c r="D254" s="183">
        <f t="shared" si="36"/>
        <v>413</v>
      </c>
      <c r="E254" s="330">
        <f>'Base Lighting Tariff'!I178</f>
        <v>11.08</v>
      </c>
      <c r="F254" s="183">
        <f t="shared" si="37"/>
        <v>377</v>
      </c>
      <c r="J254" s="190"/>
    </row>
    <row r="255" spans="1:10" x14ac:dyDescent="0.2">
      <c r="A255" s="192" t="s">
        <v>854</v>
      </c>
      <c r="B255" s="296">
        <f>'WP1 Light Inventory'!I189</f>
        <v>601</v>
      </c>
      <c r="C255" s="330">
        <f>'Base Lighting Tariff'!G179</f>
        <v>14.03</v>
      </c>
      <c r="D255" s="183">
        <f t="shared" si="36"/>
        <v>8432</v>
      </c>
      <c r="E255" s="330">
        <f>'Base Lighting Tariff'!I179</f>
        <v>13.519999999999998</v>
      </c>
      <c r="F255" s="183">
        <f t="shared" si="37"/>
        <v>8126</v>
      </c>
      <c r="J255" s="190"/>
    </row>
    <row r="256" spans="1:10" x14ac:dyDescent="0.2">
      <c r="A256" s="192" t="s">
        <v>855</v>
      </c>
      <c r="B256" s="296">
        <f>'WP1 Light Inventory'!I190</f>
        <v>184</v>
      </c>
      <c r="C256" s="330">
        <f>'Base Lighting Tariff'!G180</f>
        <v>15.89</v>
      </c>
      <c r="D256" s="183">
        <f t="shared" si="36"/>
        <v>2924</v>
      </c>
      <c r="E256" s="330">
        <f>'Base Lighting Tariff'!I180</f>
        <v>15.959999999999999</v>
      </c>
      <c r="F256" s="183">
        <f t="shared" si="37"/>
        <v>2937</v>
      </c>
      <c r="J256" s="190"/>
    </row>
    <row r="257" spans="1:10" x14ac:dyDescent="0.2">
      <c r="A257" s="192" t="s">
        <v>856</v>
      </c>
      <c r="B257" s="296">
        <f>'WP1 Light Inventory'!I191</f>
        <v>1131</v>
      </c>
      <c r="C257" s="330">
        <f>'Base Lighting Tariff'!G181</f>
        <v>17.760000000000002</v>
      </c>
      <c r="D257" s="183">
        <f t="shared" si="36"/>
        <v>20087</v>
      </c>
      <c r="E257" s="330">
        <f>'Base Lighting Tariff'!I181</f>
        <v>18.41</v>
      </c>
      <c r="F257" s="183">
        <f t="shared" si="37"/>
        <v>20822</v>
      </c>
      <c r="J257" s="190"/>
    </row>
    <row r="258" spans="1:10" x14ac:dyDescent="0.2">
      <c r="A258" s="192" t="s">
        <v>857</v>
      </c>
      <c r="B258" s="296">
        <f>'WP1 Light Inventory'!I192</f>
        <v>131</v>
      </c>
      <c r="C258" s="330">
        <f>'Base Lighting Tariff'!G182</f>
        <v>19.62</v>
      </c>
      <c r="D258" s="183">
        <f t="shared" si="36"/>
        <v>2570</v>
      </c>
      <c r="E258" s="330">
        <f>'Base Lighting Tariff'!I182</f>
        <v>20.849999999999998</v>
      </c>
      <c r="F258" s="183">
        <f t="shared" si="37"/>
        <v>2731</v>
      </c>
      <c r="J258" s="190"/>
    </row>
    <row r="259" spans="1:10" x14ac:dyDescent="0.2">
      <c r="A259" s="192" t="s">
        <v>858</v>
      </c>
      <c r="B259" s="296">
        <f>'WP1 Light Inventory'!I193</f>
        <v>0</v>
      </c>
      <c r="C259" s="330">
        <f>'Base Lighting Tariff'!G183</f>
        <v>21.49</v>
      </c>
      <c r="D259" s="183">
        <f t="shared" si="36"/>
        <v>0</v>
      </c>
      <c r="E259" s="330">
        <f>'Base Lighting Tariff'!I183</f>
        <v>23.299999999999997</v>
      </c>
      <c r="F259" s="183">
        <f t="shared" si="37"/>
        <v>0</v>
      </c>
      <c r="J259" s="190"/>
    </row>
    <row r="260" spans="1:10" x14ac:dyDescent="0.2">
      <c r="A260" s="192" t="s">
        <v>859</v>
      </c>
      <c r="B260" s="296">
        <f>'WP1 Light Inventory'!I194</f>
        <v>121</v>
      </c>
      <c r="C260" s="330">
        <f>'Base Lighting Tariff'!G184</f>
        <v>23.35</v>
      </c>
      <c r="D260" s="183">
        <f t="shared" si="36"/>
        <v>2825</v>
      </c>
      <c r="E260" s="330">
        <f>'Base Lighting Tariff'!I184</f>
        <v>25.75</v>
      </c>
      <c r="F260" s="183">
        <f t="shared" si="37"/>
        <v>3116</v>
      </c>
      <c r="J260" s="190"/>
    </row>
    <row r="261" spans="1:10" x14ac:dyDescent="0.2">
      <c r="A261" s="192" t="s">
        <v>860</v>
      </c>
      <c r="B261" s="296">
        <f>'WP1 Light Inventory'!I195</f>
        <v>269</v>
      </c>
      <c r="C261" s="330">
        <f>'Base Lighting Tariff'!G185</f>
        <v>25.22</v>
      </c>
      <c r="D261" s="183">
        <f t="shared" si="36"/>
        <v>6784</v>
      </c>
      <c r="E261" s="330">
        <f>'Base Lighting Tariff'!I185</f>
        <v>28.19</v>
      </c>
      <c r="F261" s="183">
        <f t="shared" si="37"/>
        <v>7583</v>
      </c>
      <c r="J261" s="190"/>
    </row>
    <row r="262" spans="1:10" x14ac:dyDescent="0.2">
      <c r="A262" s="192" t="s">
        <v>861</v>
      </c>
      <c r="B262" s="296">
        <f>'WP1 Light Inventory'!I196</f>
        <v>0</v>
      </c>
      <c r="C262" s="330">
        <f>'Base Lighting Tariff'!G186</f>
        <v>27.08</v>
      </c>
      <c r="D262" s="183">
        <f t="shared" si="36"/>
        <v>0</v>
      </c>
      <c r="E262" s="330">
        <f>'Base Lighting Tariff'!I186</f>
        <v>30.64</v>
      </c>
      <c r="F262" s="183">
        <f t="shared" si="37"/>
        <v>0</v>
      </c>
      <c r="J262" s="190"/>
    </row>
    <row r="263" spans="1:10" x14ac:dyDescent="0.2">
      <c r="A263" s="189" t="s">
        <v>862</v>
      </c>
      <c r="B263" s="296">
        <f>'WP1 Light Inventory'!I197</f>
        <v>0</v>
      </c>
      <c r="C263" s="330">
        <f>'Base Lighting Tariff'!G187</f>
        <v>31.12</v>
      </c>
      <c r="D263" s="183">
        <f t="shared" si="36"/>
        <v>0</v>
      </c>
      <c r="E263" s="330">
        <f>'Base Lighting Tariff'!I187</f>
        <v>35.92</v>
      </c>
      <c r="F263" s="183">
        <f t="shared" si="37"/>
        <v>0</v>
      </c>
      <c r="J263" s="190"/>
    </row>
    <row r="264" spans="1:10" x14ac:dyDescent="0.2">
      <c r="A264" s="191" t="s">
        <v>863</v>
      </c>
      <c r="B264" s="296">
        <f>'WP1 Light Inventory'!I198</f>
        <v>0</v>
      </c>
      <c r="C264" s="330">
        <f>'Base Lighting Tariff'!G188</f>
        <v>37.340000000000003</v>
      </c>
      <c r="D264" s="183">
        <f t="shared" si="36"/>
        <v>0</v>
      </c>
      <c r="E264" s="330">
        <f>'Base Lighting Tariff'!I188</f>
        <v>44.070000000000007</v>
      </c>
      <c r="F264" s="183">
        <f t="shared" si="37"/>
        <v>0</v>
      </c>
      <c r="J264" s="190"/>
    </row>
    <row r="265" spans="1:10" x14ac:dyDescent="0.2">
      <c r="A265" s="189" t="s">
        <v>864</v>
      </c>
      <c r="B265" s="296">
        <f>'WP1 Light Inventory'!I199</f>
        <v>0</v>
      </c>
      <c r="C265" s="330">
        <f>'Base Lighting Tariff'!G189</f>
        <v>43.55</v>
      </c>
      <c r="D265" s="183">
        <f t="shared" si="36"/>
        <v>0</v>
      </c>
      <c r="E265" s="330">
        <f>'Base Lighting Tariff'!I189</f>
        <v>52.22</v>
      </c>
      <c r="F265" s="183">
        <f t="shared" si="37"/>
        <v>0</v>
      </c>
      <c r="J265" s="190"/>
    </row>
    <row r="266" spans="1:10" x14ac:dyDescent="0.2">
      <c r="A266" s="191" t="s">
        <v>865</v>
      </c>
      <c r="B266" s="296">
        <f>'WP1 Light Inventory'!I200</f>
        <v>0</v>
      </c>
      <c r="C266" s="330">
        <f>'Base Lighting Tariff'!G190</f>
        <v>49.77</v>
      </c>
      <c r="D266" s="183">
        <f t="shared" si="36"/>
        <v>0</v>
      </c>
      <c r="E266" s="330">
        <f>'Base Lighting Tariff'!I190</f>
        <v>60.36</v>
      </c>
      <c r="F266" s="183">
        <f t="shared" si="37"/>
        <v>0</v>
      </c>
      <c r="J266" s="190"/>
    </row>
    <row r="267" spans="1:10" x14ac:dyDescent="0.2">
      <c r="A267" s="191" t="s">
        <v>866</v>
      </c>
      <c r="B267" s="296">
        <f>'WP1 Light Inventory'!I201</f>
        <v>0</v>
      </c>
      <c r="C267" s="330">
        <f>'Base Lighting Tariff'!G191</f>
        <v>55.99</v>
      </c>
      <c r="D267" s="183">
        <f t="shared" si="36"/>
        <v>0</v>
      </c>
      <c r="E267" s="330">
        <f>'Base Lighting Tariff'!I191</f>
        <v>68.509999999999991</v>
      </c>
      <c r="F267" s="183">
        <f t="shared" si="37"/>
        <v>0</v>
      </c>
      <c r="J267" s="190"/>
    </row>
    <row r="268" spans="1:10" x14ac:dyDescent="0.2">
      <c r="A268" s="189" t="s">
        <v>867</v>
      </c>
      <c r="B268" s="296">
        <f>'WP1 Light Inventory'!I202</f>
        <v>0</v>
      </c>
      <c r="C268" s="330">
        <f>'Base Lighting Tariff'!G192</f>
        <v>62.2</v>
      </c>
      <c r="D268" s="183">
        <f t="shared" si="36"/>
        <v>0</v>
      </c>
      <c r="E268" s="330">
        <f>'Base Lighting Tariff'!I192</f>
        <v>76.66</v>
      </c>
      <c r="F268" s="183">
        <f t="shared" si="37"/>
        <v>0</v>
      </c>
      <c r="J268" s="190"/>
    </row>
    <row r="270" spans="1:10" x14ac:dyDescent="0.2">
      <c r="A270" s="189" t="s">
        <v>1066</v>
      </c>
      <c r="B270" s="296">
        <f>'WP1 Light Inventory'!I210</f>
        <v>1869</v>
      </c>
      <c r="C270" s="330">
        <f>'Base Lighting Tariff'!G194</f>
        <v>11.05</v>
      </c>
      <c r="D270" s="183">
        <f>IF(C270="n/a",0,ROUND(B270*C270,0))</f>
        <v>20652</v>
      </c>
      <c r="E270" s="330">
        <f>'Base Lighting Tariff'!I194</f>
        <v>8.32</v>
      </c>
      <c r="F270" s="183">
        <f>ROUND(E270*$B270,0)</f>
        <v>15550</v>
      </c>
    </row>
    <row r="271" spans="1:10" x14ac:dyDescent="0.2">
      <c r="A271" s="188" t="s">
        <v>742</v>
      </c>
      <c r="B271" s="590">
        <f>SUM(B232:B270)</f>
        <v>19465</v>
      </c>
      <c r="C271" s="330"/>
      <c r="D271" s="187">
        <f>SUM(D232:D270)</f>
        <v>425767</v>
      </c>
      <c r="E271" s="330"/>
      <c r="F271" s="187">
        <f>SUM(F232:F270)</f>
        <v>411529</v>
      </c>
    </row>
    <row r="272" spans="1:10" x14ac:dyDescent="0.2">
      <c r="A272" s="186"/>
      <c r="B272" s="296"/>
      <c r="D272" s="183"/>
      <c r="F272" s="183"/>
    </row>
    <row r="273" spans="1:18" x14ac:dyDescent="0.2">
      <c r="A273" s="185" t="s">
        <v>743</v>
      </c>
      <c r="B273" s="426">
        <v>2199040</v>
      </c>
      <c r="D273" s="183"/>
      <c r="F273" s="183"/>
    </row>
    <row r="274" spans="1:18" x14ac:dyDescent="0.2">
      <c r="A274" s="185" t="s">
        <v>744</v>
      </c>
      <c r="B274" s="426">
        <v>1961</v>
      </c>
      <c r="C274" s="184">
        <f>ROUND(D274/B274,6)</f>
        <v>0.25446200000000002</v>
      </c>
      <c r="D274" s="183">
        <f>$N$18</f>
        <v>499</v>
      </c>
      <c r="E274" s="184">
        <f>ROUND(F274/B274,6)</f>
        <v>0.249363</v>
      </c>
      <c r="F274" s="183">
        <f>ROUND(+D274*(1+H274),0)</f>
        <v>489</v>
      </c>
      <c r="G274" s="496"/>
      <c r="H274" s="518">
        <f>+$H$44</f>
        <v>-1.925194309837586E-2</v>
      </c>
      <c r="I274" s="745"/>
      <c r="J274" s="745"/>
      <c r="K274" s="182"/>
      <c r="L274" s="182"/>
      <c r="M274" s="182"/>
      <c r="N274" s="182"/>
      <c r="O274" s="182"/>
      <c r="P274" s="182"/>
      <c r="Q274" s="182"/>
      <c r="R274" s="182"/>
    </row>
    <row r="275" spans="1:18" ht="10.8" thickBot="1" x14ac:dyDescent="0.25">
      <c r="A275" s="181" t="s">
        <v>20</v>
      </c>
      <c r="B275" s="180">
        <f>SUM(B273:B274)</f>
        <v>2201001</v>
      </c>
      <c r="C275" s="179"/>
      <c r="D275" s="178">
        <f>SUM(D271,D274)</f>
        <v>426266</v>
      </c>
      <c r="E275" s="179"/>
      <c r="F275" s="178">
        <f>SUM(F271,F274)</f>
        <v>412018</v>
      </c>
      <c r="H275" s="745" t="s">
        <v>745</v>
      </c>
      <c r="I275" s="745"/>
    </row>
    <row r="276" spans="1:18" ht="10.8" thickTop="1" x14ac:dyDescent="0.2"/>
    <row r="279" spans="1:18" ht="13.8" x14ac:dyDescent="0.3">
      <c r="A279" s="641"/>
    </row>
  </sheetData>
  <mergeCells count="47">
    <mergeCell ref="AL7:AM7"/>
    <mergeCell ref="AO7:AP7"/>
    <mergeCell ref="AR7:AS7"/>
    <mergeCell ref="AU7:AV7"/>
    <mergeCell ref="AX7:AY7"/>
    <mergeCell ref="W7:X7"/>
    <mergeCell ref="Z7:AA7"/>
    <mergeCell ref="AC7:AD7"/>
    <mergeCell ref="AF7:AG7"/>
    <mergeCell ref="AI7:AJ7"/>
    <mergeCell ref="H275:I275"/>
    <mergeCell ref="H67:I67"/>
    <mergeCell ref="H95:I95"/>
    <mergeCell ref="H157:I157"/>
    <mergeCell ref="H186:I186"/>
    <mergeCell ref="H217:I217"/>
    <mergeCell ref="H227:I227"/>
    <mergeCell ref="I94:J94"/>
    <mergeCell ref="I274:J274"/>
    <mergeCell ref="A1:R1"/>
    <mergeCell ref="A2:R2"/>
    <mergeCell ref="A4:R4"/>
    <mergeCell ref="A5:R5"/>
    <mergeCell ref="A159:F159"/>
    <mergeCell ref="A97:F97"/>
    <mergeCell ref="I156:J156"/>
    <mergeCell ref="H7:J7"/>
    <mergeCell ref="L7:N7"/>
    <mergeCell ref="P7:R7"/>
    <mergeCell ref="A10:F10"/>
    <mergeCell ref="A28:F28"/>
    <mergeCell ref="I44:J44"/>
    <mergeCell ref="H45:I45"/>
    <mergeCell ref="A3:R3"/>
    <mergeCell ref="C26:D26"/>
    <mergeCell ref="E26:F26"/>
    <mergeCell ref="C8:D8"/>
    <mergeCell ref="E8:F8"/>
    <mergeCell ref="A229:F229"/>
    <mergeCell ref="I226:J226"/>
    <mergeCell ref="A47:F47"/>
    <mergeCell ref="I66:J66"/>
    <mergeCell ref="A69:F69"/>
    <mergeCell ref="A188:F188"/>
    <mergeCell ref="I216:J216"/>
    <mergeCell ref="A219:F219"/>
    <mergeCell ref="I185:J185"/>
  </mergeCells>
  <pageMargins left="0.7" right="0.7" top="0.75" bottom="0.75" header="0.3" footer="0.3"/>
  <pageSetup scale="63" fitToHeight="0" orientation="landscape" r:id="rId1"/>
  <headerFooter>
    <oddFooter>&amp;R&amp;F
&amp;A
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120"/>
  <sheetViews>
    <sheetView zoomScaleNormal="100" workbookViewId="0">
      <pane ySplit="7" topLeftCell="A8" activePane="bottomLeft" state="frozen"/>
      <selection activeCell="G42" sqref="G42"/>
      <selection pane="bottomLeft" activeCell="E11" sqref="E11:E117"/>
    </sheetView>
  </sheetViews>
  <sheetFormatPr defaultColWidth="9.109375" defaultRowHeight="10.199999999999999" x14ac:dyDescent="0.2"/>
  <cols>
    <col min="1" max="1" width="4.88671875" style="32" customWidth="1"/>
    <col min="2" max="2" width="9.5546875" style="19" bestFit="1" customWidth="1"/>
    <col min="3" max="3" width="53.44140625" style="19" customWidth="1"/>
    <col min="4" max="4" width="21.88671875" style="19" customWidth="1"/>
    <col min="5" max="5" width="12.5546875" style="19" bestFit="1" customWidth="1"/>
    <col min="6" max="6" width="10.5546875" style="19" bestFit="1" customWidth="1"/>
    <col min="7" max="7" width="10.88671875" style="19" bestFit="1" customWidth="1"/>
    <col min="8" max="16384" width="9.109375" style="19"/>
  </cols>
  <sheetData>
    <row r="1" spans="1:5" ht="12" customHeight="1" x14ac:dyDescent="0.3">
      <c r="A1" s="729" t="str">
        <f>'Energy Charge'!A1:I1</f>
        <v>Puget Sound Energy</v>
      </c>
      <c r="B1" s="729"/>
      <c r="C1" s="729"/>
      <c r="D1" s="729"/>
      <c r="E1" s="746"/>
    </row>
    <row r="2" spans="1:5" ht="12" customHeight="1" x14ac:dyDescent="0.3">
      <c r="A2" s="729" t="s">
        <v>459</v>
      </c>
      <c r="B2" s="729"/>
      <c r="C2" s="729"/>
      <c r="D2" s="729"/>
      <c r="E2" s="746"/>
    </row>
    <row r="3" spans="1:5" ht="12" customHeight="1" x14ac:dyDescent="0.3">
      <c r="A3" s="729" t="str">
        <f>'Energy Charge'!A3:I3</f>
        <v>2022 General Rate Case (GRC)</v>
      </c>
      <c r="B3" s="729"/>
      <c r="C3" s="729"/>
      <c r="D3" s="729"/>
      <c r="E3" s="746"/>
    </row>
    <row r="4" spans="1:5" ht="12" customHeight="1" x14ac:dyDescent="0.3">
      <c r="A4" s="729" t="str">
        <f>'Energy Charge'!A4:I4</f>
        <v>Test Year Ending June 30, 2021</v>
      </c>
      <c r="B4" s="729"/>
      <c r="C4" s="729"/>
      <c r="D4" s="729"/>
      <c r="E4" s="746"/>
    </row>
    <row r="6" spans="1:5" x14ac:dyDescent="0.2">
      <c r="D6" s="222" t="s">
        <v>657</v>
      </c>
    </row>
    <row r="7" spans="1:5" ht="20.399999999999999" x14ac:dyDescent="0.2">
      <c r="A7" s="1" t="s">
        <v>1</v>
      </c>
      <c r="B7" s="298" t="s">
        <v>92</v>
      </c>
      <c r="C7" s="298" t="s">
        <v>455</v>
      </c>
      <c r="D7" s="281" t="s">
        <v>653</v>
      </c>
    </row>
    <row r="8" spans="1:5" x14ac:dyDescent="0.2">
      <c r="A8" s="2"/>
      <c r="B8" s="14" t="s">
        <v>3</v>
      </c>
      <c r="C8" s="14" t="s">
        <v>4</v>
      </c>
      <c r="D8" s="14" t="s">
        <v>5</v>
      </c>
    </row>
    <row r="9" spans="1:5" x14ac:dyDescent="0.2">
      <c r="A9" s="32">
        <v>1</v>
      </c>
      <c r="B9" s="299" t="s">
        <v>394</v>
      </c>
      <c r="C9" s="300"/>
      <c r="D9" s="300"/>
    </row>
    <row r="10" spans="1:5" x14ac:dyDescent="0.2">
      <c r="A10" s="32">
        <f t="shared" ref="A10:A41" si="0">A9+1</f>
        <v>2</v>
      </c>
      <c r="C10" s="301" t="s">
        <v>979</v>
      </c>
      <c r="D10" s="300"/>
    </row>
    <row r="11" spans="1:5" x14ac:dyDescent="0.2">
      <c r="A11" s="32">
        <f t="shared" si="0"/>
        <v>3</v>
      </c>
      <c r="C11" s="19" t="s">
        <v>368</v>
      </c>
      <c r="D11" s="49">
        <f>'BDJ-6 Classification of Costs'!D51</f>
        <v>4720752.4150982806</v>
      </c>
      <c r="E11" s="49"/>
    </row>
    <row r="12" spans="1:5" x14ac:dyDescent="0.2">
      <c r="A12" s="32">
        <f t="shared" si="0"/>
        <v>4</v>
      </c>
      <c r="C12" s="19" t="s">
        <v>367</v>
      </c>
      <c r="D12" s="49">
        <f>'BDJ-6 Classification of Costs'!E51</f>
        <v>3622397.9254064234</v>
      </c>
      <c r="E12" s="49"/>
    </row>
    <row r="13" spans="1:5" x14ac:dyDescent="0.2">
      <c r="A13" s="32">
        <f t="shared" si="0"/>
        <v>5</v>
      </c>
      <c r="C13" s="19" t="s">
        <v>377</v>
      </c>
      <c r="D13" s="247">
        <f>'WP11 E373 Pole Cost Estimates'!C44</f>
        <v>1.6130980734759878E-2</v>
      </c>
      <c r="E13" s="49"/>
    </row>
    <row r="14" spans="1:5" x14ac:dyDescent="0.2">
      <c r="A14" s="32">
        <f t="shared" si="0"/>
        <v>6</v>
      </c>
      <c r="C14" s="19" t="s">
        <v>378</v>
      </c>
      <c r="D14" s="49">
        <f>D12*D13</f>
        <v>58432.831148365163</v>
      </c>
      <c r="E14" s="49"/>
    </row>
    <row r="15" spans="1:5" x14ac:dyDescent="0.2">
      <c r="A15" s="32">
        <f t="shared" si="0"/>
        <v>7</v>
      </c>
      <c r="C15" s="19" t="s">
        <v>379</v>
      </c>
      <c r="D15" s="49">
        <f>SUM(D11:D12)-D14</f>
        <v>8284717.5093563385</v>
      </c>
      <c r="E15" s="49"/>
    </row>
    <row r="16" spans="1:5" x14ac:dyDescent="0.2">
      <c r="A16" s="32">
        <f t="shared" si="0"/>
        <v>8</v>
      </c>
      <c r="C16" s="19" t="s">
        <v>293</v>
      </c>
      <c r="D16" s="49">
        <f>'WP5 Facilities Charge (51 &amp; 52)'!C40</f>
        <v>0</v>
      </c>
      <c r="E16" s="49"/>
    </row>
    <row r="17" spans="1:5" ht="10.8" thickBot="1" x14ac:dyDescent="0.25">
      <c r="A17" s="32">
        <f t="shared" si="0"/>
        <v>9</v>
      </c>
      <c r="C17" s="302" t="s">
        <v>291</v>
      </c>
      <c r="D17" s="665">
        <f>D15-D16</f>
        <v>8284717.5093563385</v>
      </c>
      <c r="E17" s="49"/>
    </row>
    <row r="18" spans="1:5" ht="10.8" thickTop="1" x14ac:dyDescent="0.2">
      <c r="A18" s="32">
        <f t="shared" si="0"/>
        <v>10</v>
      </c>
      <c r="C18" s="19" t="s">
        <v>290</v>
      </c>
      <c r="D18" s="49">
        <f>SUM('WP12 Condensed Sch. Level Costs'!L8:L201)</f>
        <v>68100922.699889734</v>
      </c>
      <c r="E18" s="49"/>
    </row>
    <row r="19" spans="1:5" x14ac:dyDescent="0.2">
      <c r="A19" s="32">
        <f t="shared" si="0"/>
        <v>11</v>
      </c>
      <c r="C19" s="19" t="s">
        <v>920</v>
      </c>
      <c r="D19" s="87">
        <f>D17/D18</f>
        <v>0.12165352804198867</v>
      </c>
      <c r="E19" s="49"/>
    </row>
    <row r="20" spans="1:5" ht="10.8" thickBot="1" x14ac:dyDescent="0.25">
      <c r="A20" s="32">
        <f t="shared" si="0"/>
        <v>12</v>
      </c>
      <c r="C20" s="19" t="s">
        <v>292</v>
      </c>
      <c r="D20" s="306">
        <f>(D19/12)</f>
        <v>1.0137794003499056E-2</v>
      </c>
      <c r="E20" s="49"/>
    </row>
    <row r="21" spans="1:5" ht="10.8" thickTop="1" x14ac:dyDescent="0.2">
      <c r="A21" s="32">
        <f t="shared" si="0"/>
        <v>13</v>
      </c>
      <c r="D21" s="244"/>
      <c r="E21" s="49"/>
    </row>
    <row r="22" spans="1:5" x14ac:dyDescent="0.2">
      <c r="A22" s="32">
        <f t="shared" si="0"/>
        <v>14</v>
      </c>
      <c r="C22" s="301" t="s">
        <v>403</v>
      </c>
      <c r="D22" s="300"/>
      <c r="E22" s="49"/>
    </row>
    <row r="23" spans="1:5" x14ac:dyDescent="0.2">
      <c r="A23" s="32">
        <f t="shared" si="0"/>
        <v>15</v>
      </c>
      <c r="C23" s="19" t="s">
        <v>380</v>
      </c>
      <c r="D23" s="49">
        <f>D14</f>
        <v>58432.831148365163</v>
      </c>
      <c r="E23" s="49"/>
    </row>
    <row r="24" spans="1:5" x14ac:dyDescent="0.2">
      <c r="A24" s="32">
        <f t="shared" si="0"/>
        <v>16</v>
      </c>
      <c r="C24" s="19" t="s">
        <v>381</v>
      </c>
      <c r="D24" s="49">
        <f>SUM('WP12 Condensed Sch. Level Costs'!L205:L208)</f>
        <v>1538649.7932336619</v>
      </c>
      <c r="E24" s="49"/>
    </row>
    <row r="25" spans="1:5" x14ac:dyDescent="0.2">
      <c r="A25" s="32">
        <f t="shared" si="0"/>
        <v>17</v>
      </c>
      <c r="C25" s="19" t="s">
        <v>921</v>
      </c>
      <c r="D25" s="87">
        <f>D23/D24</f>
        <v>3.7976693205515839E-2</v>
      </c>
      <c r="E25" s="49"/>
    </row>
    <row r="26" spans="1:5" ht="10.8" thickBot="1" x14ac:dyDescent="0.25">
      <c r="A26" s="32">
        <f t="shared" si="0"/>
        <v>18</v>
      </c>
      <c r="C26" s="19" t="s">
        <v>131</v>
      </c>
      <c r="D26" s="238">
        <f>D25/12</f>
        <v>3.1647244337929866E-3</v>
      </c>
      <c r="E26" s="49"/>
    </row>
    <row r="27" spans="1:5" ht="10.8" thickTop="1" x14ac:dyDescent="0.2">
      <c r="A27" s="32">
        <f t="shared" si="0"/>
        <v>19</v>
      </c>
      <c r="D27" s="244"/>
      <c r="E27" s="49"/>
    </row>
    <row r="28" spans="1:5" x14ac:dyDescent="0.2">
      <c r="A28" s="32">
        <f t="shared" si="0"/>
        <v>20</v>
      </c>
      <c r="C28" s="301" t="s">
        <v>402</v>
      </c>
      <c r="D28" s="300"/>
      <c r="E28" s="49"/>
    </row>
    <row r="29" spans="1:5" x14ac:dyDescent="0.2">
      <c r="A29" s="32">
        <f t="shared" si="0"/>
        <v>21</v>
      </c>
      <c r="C29" s="19" t="s">
        <v>382</v>
      </c>
      <c r="D29" s="49">
        <f>D15</f>
        <v>8284717.5093563385</v>
      </c>
      <c r="E29" s="49"/>
    </row>
    <row r="30" spans="1:5" x14ac:dyDescent="0.2">
      <c r="A30" s="32">
        <f t="shared" si="0"/>
        <v>22</v>
      </c>
      <c r="C30" s="19" t="s">
        <v>312</v>
      </c>
      <c r="D30" s="247">
        <f>'WP5 Facilities Charge (51 &amp; 52)'!C38</f>
        <v>0.13765530897405198</v>
      </c>
      <c r="E30" s="49"/>
    </row>
    <row r="31" spans="1:5" x14ac:dyDescent="0.2">
      <c r="A31" s="32">
        <f t="shared" si="0"/>
        <v>23</v>
      </c>
      <c r="C31" s="19" t="s">
        <v>313</v>
      </c>
      <c r="D31" s="49">
        <f>'WP5 Facilities Charge (51 &amp; 52)'!E15</f>
        <v>0</v>
      </c>
      <c r="E31" s="49"/>
    </row>
    <row r="32" spans="1:5" x14ac:dyDescent="0.2">
      <c r="A32" s="32">
        <f t="shared" si="0"/>
        <v>24</v>
      </c>
      <c r="C32" s="302" t="s">
        <v>314</v>
      </c>
      <c r="D32" s="49">
        <f>D30*D31</f>
        <v>0</v>
      </c>
      <c r="E32" s="49"/>
    </row>
    <row r="33" spans="1:5" x14ac:dyDescent="0.2">
      <c r="A33" s="32">
        <f t="shared" si="0"/>
        <v>25</v>
      </c>
      <c r="C33" s="19" t="s">
        <v>913</v>
      </c>
      <c r="D33" s="515">
        <f>D30</f>
        <v>0.13765530897405198</v>
      </c>
      <c r="E33" s="49"/>
    </row>
    <row r="34" spans="1:5" ht="10.8" thickBot="1" x14ac:dyDescent="0.25">
      <c r="A34" s="32">
        <f t="shared" si="0"/>
        <v>26</v>
      </c>
      <c r="C34" s="19" t="s">
        <v>914</v>
      </c>
      <c r="D34" s="307">
        <f>D33/12</f>
        <v>1.1471275747837665E-2</v>
      </c>
      <c r="E34" s="49"/>
    </row>
    <row r="35" spans="1:5" ht="10.8" thickTop="1" x14ac:dyDescent="0.2">
      <c r="A35" s="32">
        <f t="shared" si="0"/>
        <v>27</v>
      </c>
      <c r="D35" s="247"/>
      <c r="E35" s="49"/>
    </row>
    <row r="36" spans="1:5" x14ac:dyDescent="0.2">
      <c r="A36" s="32">
        <f t="shared" si="0"/>
        <v>28</v>
      </c>
      <c r="B36" s="299" t="s">
        <v>277</v>
      </c>
      <c r="C36" s="300"/>
      <c r="D36" s="300"/>
      <c r="E36" s="49"/>
    </row>
    <row r="37" spans="1:5" x14ac:dyDescent="0.2">
      <c r="A37" s="32">
        <f t="shared" si="0"/>
        <v>29</v>
      </c>
      <c r="C37" s="303" t="s">
        <v>980</v>
      </c>
      <c r="D37" s="304"/>
      <c r="E37" s="49"/>
    </row>
    <row r="38" spans="1:5" x14ac:dyDescent="0.2">
      <c r="A38" s="32">
        <f t="shared" si="0"/>
        <v>30</v>
      </c>
      <c r="C38" s="19" t="s">
        <v>127</v>
      </c>
      <c r="D38" s="49">
        <f>'BDJ-6 Classification of Costs'!F51</f>
        <v>3171056.37086765</v>
      </c>
      <c r="E38" s="49"/>
    </row>
    <row r="39" spans="1:5" x14ac:dyDescent="0.2">
      <c r="A39" s="32">
        <f t="shared" si="0"/>
        <v>31</v>
      </c>
      <c r="C39" s="19" t="s">
        <v>294</v>
      </c>
      <c r="D39" s="49">
        <f>'WP5 Facilities Charge (51 &amp; 52)'!C25</f>
        <v>1589355.8090113411</v>
      </c>
      <c r="E39" s="49"/>
    </row>
    <row r="40" spans="1:5" x14ac:dyDescent="0.2">
      <c r="A40" s="32">
        <f t="shared" si="0"/>
        <v>32</v>
      </c>
      <c r="C40" s="302" t="s">
        <v>291</v>
      </c>
      <c r="D40" s="49">
        <f>D38-D39</f>
        <v>1581700.561856309</v>
      </c>
      <c r="E40" s="49"/>
    </row>
    <row r="41" spans="1:5" x14ac:dyDescent="0.2">
      <c r="A41" s="32">
        <f t="shared" si="0"/>
        <v>33</v>
      </c>
      <c r="C41" s="19" t="s">
        <v>128</v>
      </c>
      <c r="D41" s="157">
        <f>SUM('WP12 Condensed Sch. Level Costs'!K8:K208)</f>
        <v>58504</v>
      </c>
      <c r="E41" s="49"/>
    </row>
    <row r="42" spans="1:5" x14ac:dyDescent="0.2">
      <c r="A42" s="32">
        <f t="shared" ref="A42:A73" si="1">A41+1</f>
        <v>34</v>
      </c>
      <c r="C42" s="19" t="s">
        <v>922</v>
      </c>
      <c r="D42" s="87">
        <f>D40/D41</f>
        <v>27.03576784247759</v>
      </c>
      <c r="E42" s="49"/>
    </row>
    <row r="43" spans="1:5" ht="10.8" thickBot="1" x14ac:dyDescent="0.25">
      <c r="A43" s="32">
        <f t="shared" si="1"/>
        <v>35</v>
      </c>
      <c r="C43" s="19" t="s">
        <v>129</v>
      </c>
      <c r="D43" s="238">
        <f>D42/12</f>
        <v>2.2529806535397991</v>
      </c>
      <c r="E43" s="49"/>
    </row>
    <row r="44" spans="1:5" ht="10.8" thickTop="1" x14ac:dyDescent="0.2">
      <c r="A44" s="32">
        <f t="shared" si="1"/>
        <v>36</v>
      </c>
      <c r="D44" s="244"/>
      <c r="E44" s="49"/>
    </row>
    <row r="45" spans="1:5" x14ac:dyDescent="0.2">
      <c r="A45" s="32">
        <f t="shared" si="1"/>
        <v>37</v>
      </c>
      <c r="C45" s="301" t="s">
        <v>507</v>
      </c>
      <c r="D45" s="300"/>
      <c r="E45" s="49"/>
    </row>
    <row r="46" spans="1:5" x14ac:dyDescent="0.2">
      <c r="A46" s="32">
        <f t="shared" si="1"/>
        <v>38</v>
      </c>
      <c r="C46" s="19" t="s">
        <v>127</v>
      </c>
      <c r="D46" s="49">
        <f>'BDJ-6 Classification of Costs'!F51</f>
        <v>3171056.37086765</v>
      </c>
      <c r="E46" s="49"/>
    </row>
    <row r="47" spans="1:5" x14ac:dyDescent="0.2">
      <c r="A47" s="32">
        <f t="shared" si="1"/>
        <v>39</v>
      </c>
      <c r="C47" s="19" t="s">
        <v>315</v>
      </c>
      <c r="D47" s="247">
        <f>'WP5 Facilities Charge (51 &amp; 52)'!D23</f>
        <v>1.7016602872426446E-2</v>
      </c>
      <c r="E47" s="49"/>
    </row>
    <row r="48" spans="1:5" x14ac:dyDescent="0.2">
      <c r="A48" s="32">
        <f t="shared" si="1"/>
        <v>40</v>
      </c>
      <c r="C48" s="19" t="s">
        <v>509</v>
      </c>
      <c r="D48" s="49">
        <f>'WP5 Facilities Charge (51 &amp; 52)'!D21</f>
        <v>42331597.166666664</v>
      </c>
      <c r="E48" s="49"/>
    </row>
    <row r="49" spans="1:5" x14ac:dyDescent="0.2">
      <c r="A49" s="32">
        <f t="shared" si="1"/>
        <v>41</v>
      </c>
      <c r="C49" s="19" t="s">
        <v>510</v>
      </c>
      <c r="D49" s="49">
        <f>D48*D47</f>
        <v>720339.9779406992</v>
      </c>
      <c r="E49" s="49"/>
    </row>
    <row r="50" spans="1:5" x14ac:dyDescent="0.2">
      <c r="A50" s="32">
        <f t="shared" si="1"/>
        <v>42</v>
      </c>
      <c r="C50" s="19" t="s">
        <v>923</v>
      </c>
      <c r="D50" s="158">
        <f>D47</f>
        <v>1.7016602872426446E-2</v>
      </c>
      <c r="E50" s="49"/>
    </row>
    <row r="51" spans="1:5" ht="10.8" thickBot="1" x14ac:dyDescent="0.25">
      <c r="A51" s="32">
        <f t="shared" si="1"/>
        <v>43</v>
      </c>
      <c r="C51" s="19" t="s">
        <v>915</v>
      </c>
      <c r="D51" s="308">
        <f>D50/12</f>
        <v>1.4180502393688706E-3</v>
      </c>
      <c r="E51" s="49"/>
    </row>
    <row r="52" spans="1:5" ht="10.8" thickTop="1" x14ac:dyDescent="0.2">
      <c r="A52" s="32">
        <f t="shared" si="1"/>
        <v>44</v>
      </c>
      <c r="D52" s="305"/>
      <c r="E52" s="49"/>
    </row>
    <row r="53" spans="1:5" x14ac:dyDescent="0.2">
      <c r="A53" s="32">
        <f t="shared" si="1"/>
        <v>45</v>
      </c>
      <c r="C53" s="301" t="s">
        <v>508</v>
      </c>
      <c r="D53" s="300"/>
      <c r="E53" s="49"/>
    </row>
    <row r="54" spans="1:5" x14ac:dyDescent="0.2">
      <c r="A54" s="32">
        <f t="shared" si="1"/>
        <v>46</v>
      </c>
      <c r="C54" s="19" t="s">
        <v>127</v>
      </c>
      <c r="D54" s="49">
        <f>'BDJ-6 Classification of Costs'!F51</f>
        <v>3171056.37086765</v>
      </c>
      <c r="E54" s="49"/>
    </row>
    <row r="55" spans="1:5" x14ac:dyDescent="0.2">
      <c r="A55" s="32">
        <f t="shared" si="1"/>
        <v>47</v>
      </c>
      <c r="C55" s="19" t="s">
        <v>315</v>
      </c>
      <c r="D55" s="247">
        <f>'WP5 Facilities Charge (51 &amp; 52)'!E23</f>
        <v>1.7016602872426449E-2</v>
      </c>
      <c r="E55" s="49"/>
    </row>
    <row r="56" spans="1:5" x14ac:dyDescent="0.2">
      <c r="A56" s="32">
        <f t="shared" si="1"/>
        <v>48</v>
      </c>
      <c r="C56" s="19" t="s">
        <v>511</v>
      </c>
      <c r="D56" s="49">
        <f>'WP5 Facilities Charge (51 &amp; 52)'!E21</f>
        <v>51068702.583333336</v>
      </c>
      <c r="E56" s="49"/>
    </row>
    <row r="57" spans="1:5" x14ac:dyDescent="0.2">
      <c r="A57" s="32">
        <f t="shared" si="1"/>
        <v>49</v>
      </c>
      <c r="C57" s="19" t="s">
        <v>294</v>
      </c>
      <c r="D57" s="49">
        <f>D56*D55</f>
        <v>869015.8310706421</v>
      </c>
      <c r="E57" s="49"/>
    </row>
    <row r="58" spans="1:5" x14ac:dyDescent="0.2">
      <c r="A58" s="32">
        <f t="shared" si="1"/>
        <v>50</v>
      </c>
      <c r="C58" s="19" t="s">
        <v>923</v>
      </c>
      <c r="D58" s="158">
        <f>D55</f>
        <v>1.7016602872426449E-2</v>
      </c>
      <c r="E58" s="49"/>
    </row>
    <row r="59" spans="1:5" ht="10.8" thickBot="1" x14ac:dyDescent="0.25">
      <c r="A59" s="32">
        <f t="shared" si="1"/>
        <v>51</v>
      </c>
      <c r="C59" s="19" t="s">
        <v>915</v>
      </c>
      <c r="D59" s="308">
        <f>D58/12</f>
        <v>1.4180502393688708E-3</v>
      </c>
      <c r="E59" s="49"/>
    </row>
    <row r="60" spans="1:5" ht="10.8" thickTop="1" x14ac:dyDescent="0.2">
      <c r="A60" s="32">
        <f t="shared" si="1"/>
        <v>52</v>
      </c>
      <c r="B60" s="299" t="s">
        <v>18</v>
      </c>
      <c r="C60" s="300"/>
      <c r="D60" s="300"/>
      <c r="E60" s="49"/>
    </row>
    <row r="61" spans="1:5" x14ac:dyDescent="0.2">
      <c r="A61" s="32">
        <f t="shared" si="1"/>
        <v>53</v>
      </c>
      <c r="C61" s="301" t="s">
        <v>453</v>
      </c>
      <c r="D61" s="300"/>
      <c r="E61" s="49"/>
    </row>
    <row r="62" spans="1:5" x14ac:dyDescent="0.2">
      <c r="A62" s="32">
        <f t="shared" si="1"/>
        <v>54</v>
      </c>
      <c r="C62" s="19" t="s">
        <v>295</v>
      </c>
      <c r="D62" s="159">
        <f>'WP4 Customer Counts'!P21</f>
        <v>8682.25</v>
      </c>
      <c r="E62" s="49"/>
    </row>
    <row r="63" spans="1:5" x14ac:dyDescent="0.2">
      <c r="A63" s="32">
        <f t="shared" si="1"/>
        <v>55</v>
      </c>
      <c r="C63" s="19" t="s">
        <v>296</v>
      </c>
      <c r="D63" s="159">
        <f>'WP4 Customer Counts'!P17</f>
        <v>104.41666666666667</v>
      </c>
      <c r="E63" s="49"/>
    </row>
    <row r="64" spans="1:5" x14ac:dyDescent="0.2">
      <c r="A64" s="32">
        <f t="shared" si="1"/>
        <v>56</v>
      </c>
      <c r="C64" s="19" t="s">
        <v>297</v>
      </c>
      <c r="D64" s="159">
        <f>D62-D63</f>
        <v>8577.8333333333339</v>
      </c>
      <c r="E64" s="49"/>
    </row>
    <row r="65" spans="1:5" x14ac:dyDescent="0.2">
      <c r="A65" s="32">
        <f t="shared" si="1"/>
        <v>57</v>
      </c>
      <c r="C65" s="19" t="s">
        <v>298</v>
      </c>
      <c r="D65" s="247">
        <f>D64/D62</f>
        <v>0.98797354756351563</v>
      </c>
      <c r="E65" s="49"/>
    </row>
    <row r="66" spans="1:5" x14ac:dyDescent="0.2">
      <c r="A66" s="32">
        <f t="shared" si="1"/>
        <v>58</v>
      </c>
      <c r="C66" s="19" t="s">
        <v>127</v>
      </c>
      <c r="D66" s="49">
        <f>'BDJ-6 Classification of Costs'!I51</f>
        <v>1102920.711584572</v>
      </c>
      <c r="E66" s="49"/>
    </row>
    <row r="67" spans="1:5" x14ac:dyDescent="0.2">
      <c r="A67" s="32">
        <f t="shared" si="1"/>
        <v>59</v>
      </c>
      <c r="C67" s="19" t="s">
        <v>299</v>
      </c>
      <c r="D67" s="49">
        <f>D66*D65</f>
        <v>1089656.4881054866</v>
      </c>
      <c r="E67" s="49"/>
    </row>
    <row r="68" spans="1:5" x14ac:dyDescent="0.2">
      <c r="A68" s="32">
        <f t="shared" si="1"/>
        <v>60</v>
      </c>
      <c r="C68" s="19" t="s">
        <v>912</v>
      </c>
      <c r="D68" s="157">
        <f>SUM('WP12 Condensed Sch. Level Costs'!N8:N201)</f>
        <v>56955939.600000001</v>
      </c>
      <c r="E68" s="49"/>
    </row>
    <row r="69" spans="1:5" ht="10.8" thickBot="1" x14ac:dyDescent="0.25">
      <c r="A69" s="32">
        <f t="shared" si="1"/>
        <v>61</v>
      </c>
      <c r="C69" s="19" t="s">
        <v>918</v>
      </c>
      <c r="D69" s="306">
        <f>D67/D68</f>
        <v>1.9131568994526543E-2</v>
      </c>
      <c r="E69" s="49"/>
    </row>
    <row r="70" spans="1:5" ht="10.8" thickTop="1" x14ac:dyDescent="0.2">
      <c r="A70" s="32">
        <f t="shared" si="1"/>
        <v>62</v>
      </c>
      <c r="D70" s="244"/>
      <c r="E70" s="49"/>
    </row>
    <row r="71" spans="1:5" x14ac:dyDescent="0.2">
      <c r="A71" s="32">
        <f t="shared" si="1"/>
        <v>63</v>
      </c>
      <c r="C71" s="301" t="s">
        <v>454</v>
      </c>
      <c r="D71" s="300"/>
      <c r="E71" s="49"/>
    </row>
    <row r="72" spans="1:5" x14ac:dyDescent="0.2">
      <c r="A72" s="32">
        <f t="shared" si="1"/>
        <v>64</v>
      </c>
      <c r="C72" s="19" t="s">
        <v>295</v>
      </c>
      <c r="D72" s="159">
        <f>'WP4 Customer Counts'!P21</f>
        <v>8682.25</v>
      </c>
      <c r="E72" s="49"/>
    </row>
    <row r="73" spans="1:5" x14ac:dyDescent="0.2">
      <c r="A73" s="32">
        <f t="shared" si="1"/>
        <v>65</v>
      </c>
      <c r="C73" s="19" t="s">
        <v>296</v>
      </c>
      <c r="D73" s="159">
        <f>'WP4 Customer Counts'!P17</f>
        <v>104.41666666666667</v>
      </c>
      <c r="E73" s="49"/>
    </row>
    <row r="74" spans="1:5" x14ac:dyDescent="0.2">
      <c r="A74" s="32">
        <f t="shared" ref="A74:A105" si="2">A73+1</f>
        <v>66</v>
      </c>
      <c r="C74" s="19" t="s">
        <v>297</v>
      </c>
      <c r="D74" s="159">
        <f>D72-D73</f>
        <v>8577.8333333333339</v>
      </c>
      <c r="E74" s="49"/>
    </row>
    <row r="75" spans="1:5" x14ac:dyDescent="0.2">
      <c r="A75" s="32">
        <f t="shared" si="2"/>
        <v>67</v>
      </c>
      <c r="C75" s="19" t="s">
        <v>300</v>
      </c>
      <c r="D75" s="247">
        <f>D73/D72</f>
        <v>1.2026452436484399E-2</v>
      </c>
      <c r="E75" s="49"/>
    </row>
    <row r="76" spans="1:5" x14ac:dyDescent="0.2">
      <c r="A76" s="32">
        <f t="shared" si="2"/>
        <v>68</v>
      </c>
      <c r="C76" s="19" t="s">
        <v>127</v>
      </c>
      <c r="D76" s="49">
        <f>'BDJ-6 Classification of Costs'!I51</f>
        <v>1102920.711584572</v>
      </c>
      <c r="E76" s="49"/>
    </row>
    <row r="77" spans="1:5" x14ac:dyDescent="0.2">
      <c r="A77" s="32">
        <f t="shared" si="2"/>
        <v>69</v>
      </c>
      <c r="C77" s="19" t="s">
        <v>299</v>
      </c>
      <c r="D77" s="49">
        <f>D76*D75</f>
        <v>13264.223479085384</v>
      </c>
      <c r="E77" s="49"/>
    </row>
    <row r="78" spans="1:5" x14ac:dyDescent="0.2">
      <c r="A78" s="32">
        <f t="shared" si="2"/>
        <v>70</v>
      </c>
      <c r="C78" s="19" t="s">
        <v>301</v>
      </c>
      <c r="D78" s="157">
        <f>'WP1 Light Inventory'!$F$204</f>
        <v>935514.08333333337</v>
      </c>
      <c r="E78" s="49"/>
    </row>
    <row r="79" spans="1:5" x14ac:dyDescent="0.2">
      <c r="A79" s="32">
        <f t="shared" si="2"/>
        <v>71</v>
      </c>
      <c r="C79" s="19" t="s">
        <v>924</v>
      </c>
      <c r="D79" s="87">
        <f>D77/D78</f>
        <v>1.41785396023367E-2</v>
      </c>
      <c r="E79" s="49"/>
    </row>
    <row r="80" spans="1:5" ht="10.8" thickBot="1" x14ac:dyDescent="0.25">
      <c r="A80" s="32">
        <f t="shared" si="2"/>
        <v>72</v>
      </c>
      <c r="C80" s="19" t="s">
        <v>917</v>
      </c>
      <c r="D80" s="306">
        <f>D79/12</f>
        <v>1.1815449668613916E-3</v>
      </c>
      <c r="E80" s="49"/>
    </row>
    <row r="81" spans="1:5" ht="10.8" thickTop="1" x14ac:dyDescent="0.2">
      <c r="A81" s="32">
        <f t="shared" si="2"/>
        <v>73</v>
      </c>
      <c r="B81" s="299" t="s">
        <v>16</v>
      </c>
      <c r="C81" s="300"/>
      <c r="D81" s="300"/>
      <c r="E81" s="49"/>
    </row>
    <row r="82" spans="1:5" x14ac:dyDescent="0.2">
      <c r="A82" s="32">
        <f t="shared" si="2"/>
        <v>74</v>
      </c>
      <c r="C82" s="301" t="s">
        <v>405</v>
      </c>
      <c r="D82" s="300"/>
      <c r="E82" s="49"/>
    </row>
    <row r="83" spans="1:5" x14ac:dyDescent="0.2">
      <c r="A83" s="32">
        <f t="shared" si="2"/>
        <v>75</v>
      </c>
      <c r="C83" s="302" t="s">
        <v>497</v>
      </c>
      <c r="D83" s="49">
        <f>'BDJ-6 Classification of Costs'!J51</f>
        <v>410312.69825953542</v>
      </c>
      <c r="E83" s="49"/>
    </row>
    <row r="84" spans="1:5" x14ac:dyDescent="0.2">
      <c r="A84" s="32">
        <f t="shared" si="2"/>
        <v>76</v>
      </c>
      <c r="C84" s="302" t="s">
        <v>499</v>
      </c>
      <c r="D84" s="49">
        <f>'BDJ-6 Classification of Costs'!G51</f>
        <v>216695.8943195513</v>
      </c>
      <c r="E84" s="49"/>
    </row>
    <row r="85" spans="1:5" x14ac:dyDescent="0.2">
      <c r="A85" s="32">
        <f t="shared" si="2"/>
        <v>77</v>
      </c>
      <c r="C85" s="19" t="s">
        <v>289</v>
      </c>
      <c r="D85" s="49">
        <f>SUM(D83:D84)</f>
        <v>627008.59257908678</v>
      </c>
      <c r="E85" s="49"/>
    </row>
    <row r="86" spans="1:5" x14ac:dyDescent="0.2">
      <c r="A86" s="32">
        <f t="shared" si="2"/>
        <v>78</v>
      </c>
      <c r="C86" s="19" t="s">
        <v>302</v>
      </c>
      <c r="D86" s="247">
        <f>'WP6 Demand Allocation Analysis'!P29</f>
        <v>5.1158669229439277E-2</v>
      </c>
      <c r="E86" s="49"/>
    </row>
    <row r="87" spans="1:5" x14ac:dyDescent="0.2">
      <c r="A87" s="32">
        <f t="shared" si="2"/>
        <v>79</v>
      </c>
      <c r="C87" s="302" t="s">
        <v>303</v>
      </c>
      <c r="D87" s="49">
        <f>D85*D86</f>
        <v>32076.925191769755</v>
      </c>
      <c r="E87" s="49"/>
    </row>
    <row r="88" spans="1:5" x14ac:dyDescent="0.2">
      <c r="A88" s="32">
        <f t="shared" si="2"/>
        <v>80</v>
      </c>
      <c r="C88" s="19" t="s">
        <v>304</v>
      </c>
      <c r="D88" s="157">
        <f>'WP12 Condensed Sch. Level Costs'!M203</f>
        <v>935.51408333333336</v>
      </c>
      <c r="E88" s="49"/>
    </row>
    <row r="89" spans="1:5" x14ac:dyDescent="0.2">
      <c r="A89" s="32">
        <f t="shared" si="2"/>
        <v>81</v>
      </c>
      <c r="C89" s="19" t="s">
        <v>919</v>
      </c>
      <c r="D89" s="87">
        <f>D87/D88</f>
        <v>34.288019564041576</v>
      </c>
      <c r="E89" s="49"/>
    </row>
    <row r="90" spans="1:5" ht="10.8" thickBot="1" x14ac:dyDescent="0.25">
      <c r="A90" s="32">
        <f t="shared" si="2"/>
        <v>82</v>
      </c>
      <c r="C90" s="19" t="s">
        <v>130</v>
      </c>
      <c r="D90" s="238">
        <f>D89/12</f>
        <v>2.8573349636701315</v>
      </c>
      <c r="E90" s="49"/>
    </row>
    <row r="91" spans="1:5" ht="10.8" thickTop="1" x14ac:dyDescent="0.2">
      <c r="A91" s="32">
        <f t="shared" si="2"/>
        <v>83</v>
      </c>
      <c r="D91" s="244"/>
      <c r="E91" s="49"/>
    </row>
    <row r="92" spans="1:5" x14ac:dyDescent="0.2">
      <c r="A92" s="32">
        <f t="shared" si="2"/>
        <v>84</v>
      </c>
      <c r="C92" s="301" t="s">
        <v>404</v>
      </c>
      <c r="D92" s="300"/>
      <c r="E92" s="49"/>
    </row>
    <row r="93" spans="1:5" x14ac:dyDescent="0.2">
      <c r="A93" s="32">
        <f t="shared" si="2"/>
        <v>85</v>
      </c>
      <c r="C93" s="302" t="s">
        <v>497</v>
      </c>
      <c r="D93" s="49">
        <f>'BDJ-6 Classification of Costs'!J51</f>
        <v>410312.69825953542</v>
      </c>
      <c r="E93" s="49"/>
    </row>
    <row r="94" spans="1:5" x14ac:dyDescent="0.2">
      <c r="A94" s="32">
        <f t="shared" si="2"/>
        <v>86</v>
      </c>
      <c r="C94" s="302" t="s">
        <v>499</v>
      </c>
      <c r="D94" s="49">
        <f>'BDJ-6 Classification of Costs'!G51</f>
        <v>216695.8943195513</v>
      </c>
      <c r="E94" s="49"/>
    </row>
    <row r="95" spans="1:5" x14ac:dyDescent="0.2">
      <c r="A95" s="32">
        <f t="shared" si="2"/>
        <v>87</v>
      </c>
      <c r="C95" s="19" t="s">
        <v>127</v>
      </c>
      <c r="D95" s="49">
        <f>SUM(D93:D94)</f>
        <v>627008.59257908678</v>
      </c>
      <c r="E95" s="49"/>
    </row>
    <row r="96" spans="1:5" x14ac:dyDescent="0.2">
      <c r="A96" s="32">
        <f t="shared" si="2"/>
        <v>88</v>
      </c>
      <c r="C96" s="19" t="s">
        <v>305</v>
      </c>
      <c r="D96" s="247">
        <f>'WP6 Demand Allocation Analysis'!Q29</f>
        <v>0.86268146228042275</v>
      </c>
      <c r="E96" s="49"/>
    </row>
    <row r="97" spans="1:5" x14ac:dyDescent="0.2">
      <c r="A97" s="32">
        <f t="shared" si="2"/>
        <v>89</v>
      </c>
      <c r="C97" s="302" t="s">
        <v>307</v>
      </c>
      <c r="D97" s="49">
        <f>D95*D96</f>
        <v>540908.68950851646</v>
      </c>
      <c r="E97" s="49"/>
    </row>
    <row r="98" spans="1:5" x14ac:dyDescent="0.2">
      <c r="A98" s="32">
        <f t="shared" si="2"/>
        <v>90</v>
      </c>
      <c r="C98" s="19" t="s">
        <v>306</v>
      </c>
      <c r="D98" s="157">
        <f>SUM('WP12 Condensed Sch. Level Costs'!M8:M142)</f>
        <v>12345.703</v>
      </c>
      <c r="E98" s="49"/>
    </row>
    <row r="99" spans="1:5" x14ac:dyDescent="0.2">
      <c r="A99" s="32">
        <f t="shared" si="2"/>
        <v>91</v>
      </c>
      <c r="C99" s="19" t="s">
        <v>919</v>
      </c>
      <c r="D99" s="87">
        <f>D97/D98</f>
        <v>43.813518720522964</v>
      </c>
      <c r="E99" s="49"/>
    </row>
    <row r="100" spans="1:5" ht="10.8" thickBot="1" x14ac:dyDescent="0.25">
      <c r="A100" s="32">
        <f t="shared" si="2"/>
        <v>92</v>
      </c>
      <c r="C100" s="19" t="s">
        <v>130</v>
      </c>
      <c r="D100" s="238">
        <f>D99/12</f>
        <v>3.6511265600435805</v>
      </c>
      <c r="E100" s="49"/>
    </row>
    <row r="101" spans="1:5" ht="10.8" thickTop="1" x14ac:dyDescent="0.2">
      <c r="A101" s="32">
        <f t="shared" si="2"/>
        <v>93</v>
      </c>
      <c r="D101" s="244"/>
      <c r="E101" s="49"/>
    </row>
    <row r="102" spans="1:5" x14ac:dyDescent="0.2">
      <c r="A102" s="32">
        <f t="shared" si="2"/>
        <v>94</v>
      </c>
      <c r="C102" s="301" t="s">
        <v>406</v>
      </c>
      <c r="D102" s="300"/>
      <c r="E102" s="49"/>
    </row>
    <row r="103" spans="1:5" x14ac:dyDescent="0.2">
      <c r="A103" s="32">
        <f t="shared" si="2"/>
        <v>95</v>
      </c>
      <c r="C103" s="302" t="s">
        <v>497</v>
      </c>
      <c r="D103" s="49">
        <f>'BDJ-6 Classification of Costs'!J51</f>
        <v>410312.69825953542</v>
      </c>
      <c r="E103" s="49"/>
    </row>
    <row r="104" spans="1:5" x14ac:dyDescent="0.2">
      <c r="A104" s="32">
        <f t="shared" si="2"/>
        <v>96</v>
      </c>
      <c r="C104" s="302" t="s">
        <v>499</v>
      </c>
      <c r="D104" s="49">
        <f>'BDJ-6 Classification of Costs'!G51</f>
        <v>216695.8943195513</v>
      </c>
      <c r="E104" s="49"/>
    </row>
    <row r="105" spans="1:5" x14ac:dyDescent="0.2">
      <c r="A105" s="32">
        <f t="shared" si="2"/>
        <v>97</v>
      </c>
      <c r="C105" s="19" t="s">
        <v>127</v>
      </c>
      <c r="D105" s="49">
        <f>SUM(D103:D104)</f>
        <v>627008.59257908678</v>
      </c>
      <c r="E105" s="49"/>
    </row>
    <row r="106" spans="1:5" x14ac:dyDescent="0.2">
      <c r="A106" s="32">
        <f t="shared" ref="A106:A118" si="3">A105+1</f>
        <v>98</v>
      </c>
      <c r="C106" s="19" t="s">
        <v>308</v>
      </c>
      <c r="D106" s="247">
        <f>'WP6 Demand Allocation Analysis'!R29</f>
        <v>8.6159868490137972E-2</v>
      </c>
      <c r="E106" s="49"/>
    </row>
    <row r="107" spans="1:5" x14ac:dyDescent="0.2">
      <c r="A107" s="32">
        <f t="shared" si="3"/>
        <v>99</v>
      </c>
      <c r="C107" s="302" t="s">
        <v>309</v>
      </c>
      <c r="D107" s="49">
        <f>D105*D106</f>
        <v>54022.977878800615</v>
      </c>
      <c r="E107" s="49"/>
    </row>
    <row r="108" spans="1:5" x14ac:dyDescent="0.2">
      <c r="A108" s="32">
        <f t="shared" si="3"/>
        <v>100</v>
      </c>
      <c r="C108" s="19" t="s">
        <v>310</v>
      </c>
      <c r="D108" s="157">
        <f>SUM('WP12 Condensed Sch. Level Costs'!M145:M194)</f>
        <v>1215.2350000000001</v>
      </c>
      <c r="E108" s="49"/>
    </row>
    <row r="109" spans="1:5" x14ac:dyDescent="0.2">
      <c r="A109" s="32">
        <f t="shared" si="3"/>
        <v>101</v>
      </c>
      <c r="C109" s="19" t="s">
        <v>919</v>
      </c>
      <c r="D109" s="87">
        <f>D107/D108</f>
        <v>44.454758033467279</v>
      </c>
      <c r="E109" s="49"/>
    </row>
    <row r="110" spans="1:5" ht="10.8" thickBot="1" x14ac:dyDescent="0.25">
      <c r="A110" s="32">
        <f t="shared" si="3"/>
        <v>102</v>
      </c>
      <c r="C110" s="19" t="s">
        <v>130</v>
      </c>
      <c r="D110" s="238">
        <f>D109/12</f>
        <v>3.7045631694556067</v>
      </c>
      <c r="E110" s="49"/>
    </row>
    <row r="111" spans="1:5" ht="10.8" thickTop="1" x14ac:dyDescent="0.2">
      <c r="A111" s="32">
        <f t="shared" si="3"/>
        <v>103</v>
      </c>
      <c r="B111" s="299" t="s">
        <v>17</v>
      </c>
      <c r="C111" s="300"/>
      <c r="D111" s="300"/>
      <c r="E111" s="49"/>
    </row>
    <row r="112" spans="1:5" x14ac:dyDescent="0.2">
      <c r="A112" s="32">
        <f t="shared" si="3"/>
        <v>104</v>
      </c>
      <c r="C112" s="301" t="s">
        <v>407</v>
      </c>
      <c r="D112" s="300"/>
      <c r="E112" s="49"/>
    </row>
    <row r="113" spans="1:5" x14ac:dyDescent="0.2">
      <c r="A113" s="32">
        <f t="shared" si="3"/>
        <v>105</v>
      </c>
      <c r="C113" s="302" t="s">
        <v>498</v>
      </c>
      <c r="D113" s="49">
        <f>'BDJ-6 Classification of Costs'!K51</f>
        <v>3518791.4723366057</v>
      </c>
      <c r="E113" s="49"/>
    </row>
    <row r="114" spans="1:5" x14ac:dyDescent="0.2">
      <c r="A114" s="32">
        <f t="shared" si="3"/>
        <v>106</v>
      </c>
      <c r="C114" s="302" t="s">
        <v>499</v>
      </c>
      <c r="D114" s="49">
        <f>'BDJ-6 Classification of Costs'!H51</f>
        <v>35572.37924873802</v>
      </c>
      <c r="E114" s="49"/>
    </row>
    <row r="115" spans="1:5" x14ac:dyDescent="0.2">
      <c r="A115" s="32">
        <f t="shared" si="3"/>
        <v>107</v>
      </c>
      <c r="C115" s="19" t="s">
        <v>127</v>
      </c>
      <c r="D115" s="49">
        <f>SUM(D113:D114)</f>
        <v>3554363.8515853435</v>
      </c>
      <c r="E115" s="49"/>
    </row>
    <row r="116" spans="1:5" x14ac:dyDescent="0.2">
      <c r="A116" s="32">
        <f t="shared" si="3"/>
        <v>108</v>
      </c>
      <c r="C116" s="19" t="s">
        <v>912</v>
      </c>
      <c r="D116" s="230">
        <f>SUM('WP12 Condensed Sch. Level Costs'!N8:N208)</f>
        <v>65151042.969999999</v>
      </c>
      <c r="E116" s="49"/>
    </row>
    <row r="117" spans="1:5" ht="10.8" thickBot="1" x14ac:dyDescent="0.25">
      <c r="A117" s="32">
        <f t="shared" si="3"/>
        <v>109</v>
      </c>
      <c r="C117" s="19" t="s">
        <v>916</v>
      </c>
      <c r="D117" s="238">
        <f>D115/D116</f>
        <v>5.4555747529966878E-2</v>
      </c>
      <c r="E117" s="49"/>
    </row>
    <row r="118" spans="1:5" ht="10.8" thickTop="1" x14ac:dyDescent="0.2">
      <c r="A118" s="32">
        <f t="shared" si="3"/>
        <v>110</v>
      </c>
      <c r="D118" s="244"/>
    </row>
    <row r="119" spans="1:5" ht="13.8" x14ac:dyDescent="0.3">
      <c r="C119" s="641"/>
      <c r="D119" s="244"/>
    </row>
    <row r="120" spans="1:5" x14ac:dyDescent="0.2">
      <c r="D120" s="244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68"/>
  <sheetViews>
    <sheetView topLeftCell="A3" zoomScaleNormal="100" workbookViewId="0">
      <pane ySplit="6" topLeftCell="A9" activePane="bottomLeft" state="frozen"/>
      <selection activeCell="G42" sqref="G42"/>
      <selection pane="bottomLeft" activeCell="B59" sqref="B59"/>
    </sheetView>
  </sheetViews>
  <sheetFormatPr defaultRowHeight="10.199999999999999" x14ac:dyDescent="0.2"/>
  <cols>
    <col min="1" max="1" width="4.5546875" style="88" customWidth="1"/>
    <col min="2" max="2" width="41.88671875" style="88" customWidth="1"/>
    <col min="3" max="3" width="11.33203125" style="88" customWidth="1"/>
    <col min="4" max="4" width="13.88671875" style="88" bestFit="1" customWidth="1"/>
    <col min="5" max="5" width="13.5546875" style="88" bestFit="1" customWidth="1"/>
    <col min="6" max="6" width="13" style="88" customWidth="1"/>
    <col min="7" max="7" width="12.88671875" style="88" bestFit="1" customWidth="1"/>
    <col min="8" max="8" width="11.88671875" style="88" bestFit="1" customWidth="1"/>
    <col min="9" max="9" width="13.6640625" style="88" bestFit="1" customWidth="1"/>
    <col min="10" max="10" width="14.33203125" style="88" customWidth="1"/>
    <col min="11" max="11" width="12.88671875" style="88" customWidth="1"/>
    <col min="12" max="13" width="9.109375" style="88" bestFit="1" customWidth="1"/>
    <col min="14" max="247" width="8.88671875" style="88"/>
    <col min="248" max="248" width="32.88671875" style="88" customWidth="1"/>
    <col min="249" max="249" width="15.44140625" style="88" bestFit="1" customWidth="1"/>
    <col min="250" max="250" width="15.6640625" style="88" bestFit="1" customWidth="1"/>
    <col min="251" max="251" width="14.109375" style="88" bestFit="1" customWidth="1"/>
    <col min="252" max="252" width="11.33203125" style="88" customWidth="1"/>
    <col min="253" max="253" width="15.109375" style="88" bestFit="1" customWidth="1"/>
    <col min="254" max="254" width="8.88671875" style="88"/>
    <col min="255" max="255" width="12.33203125" style="88" bestFit="1" customWidth="1"/>
    <col min="256" max="503" width="8.88671875" style="88"/>
    <col min="504" max="504" width="32.88671875" style="88" customWidth="1"/>
    <col min="505" max="505" width="15.44140625" style="88" bestFit="1" customWidth="1"/>
    <col min="506" max="506" width="15.6640625" style="88" bestFit="1" customWidth="1"/>
    <col min="507" max="507" width="14.109375" style="88" bestFit="1" customWidth="1"/>
    <col min="508" max="508" width="11.33203125" style="88" customWidth="1"/>
    <col min="509" max="509" width="15.109375" style="88" bestFit="1" customWidth="1"/>
    <col min="510" max="510" width="8.88671875" style="88"/>
    <col min="511" max="511" width="12.33203125" style="88" bestFit="1" customWidth="1"/>
    <col min="512" max="759" width="8.88671875" style="88"/>
    <col min="760" max="760" width="32.88671875" style="88" customWidth="1"/>
    <col min="761" max="761" width="15.44140625" style="88" bestFit="1" customWidth="1"/>
    <col min="762" max="762" width="15.6640625" style="88" bestFit="1" customWidth="1"/>
    <col min="763" max="763" width="14.109375" style="88" bestFit="1" customWidth="1"/>
    <col min="764" max="764" width="11.33203125" style="88" customWidth="1"/>
    <col min="765" max="765" width="15.109375" style="88" bestFit="1" customWidth="1"/>
    <col min="766" max="766" width="8.88671875" style="88"/>
    <col min="767" max="767" width="12.33203125" style="88" bestFit="1" customWidth="1"/>
    <col min="768" max="1015" width="8.88671875" style="88"/>
    <col min="1016" max="1016" width="32.88671875" style="88" customWidth="1"/>
    <col min="1017" max="1017" width="15.44140625" style="88" bestFit="1" customWidth="1"/>
    <col min="1018" max="1018" width="15.6640625" style="88" bestFit="1" customWidth="1"/>
    <col min="1019" max="1019" width="14.109375" style="88" bestFit="1" customWidth="1"/>
    <col min="1020" max="1020" width="11.33203125" style="88" customWidth="1"/>
    <col min="1021" max="1021" width="15.109375" style="88" bestFit="1" customWidth="1"/>
    <col min="1022" max="1022" width="8.88671875" style="88"/>
    <col min="1023" max="1023" width="12.33203125" style="88" bestFit="1" customWidth="1"/>
    <col min="1024" max="1271" width="8.88671875" style="88"/>
    <col min="1272" max="1272" width="32.88671875" style="88" customWidth="1"/>
    <col min="1273" max="1273" width="15.44140625" style="88" bestFit="1" customWidth="1"/>
    <col min="1274" max="1274" width="15.6640625" style="88" bestFit="1" customWidth="1"/>
    <col min="1275" max="1275" width="14.109375" style="88" bestFit="1" customWidth="1"/>
    <col min="1276" max="1276" width="11.33203125" style="88" customWidth="1"/>
    <col min="1277" max="1277" width="15.109375" style="88" bestFit="1" customWidth="1"/>
    <col min="1278" max="1278" width="8.88671875" style="88"/>
    <col min="1279" max="1279" width="12.33203125" style="88" bestFit="1" customWidth="1"/>
    <col min="1280" max="1527" width="8.88671875" style="88"/>
    <col min="1528" max="1528" width="32.88671875" style="88" customWidth="1"/>
    <col min="1529" max="1529" width="15.44140625" style="88" bestFit="1" customWidth="1"/>
    <col min="1530" max="1530" width="15.6640625" style="88" bestFit="1" customWidth="1"/>
    <col min="1531" max="1531" width="14.109375" style="88" bestFit="1" customWidth="1"/>
    <col min="1532" max="1532" width="11.33203125" style="88" customWidth="1"/>
    <col min="1533" max="1533" width="15.109375" style="88" bestFit="1" customWidth="1"/>
    <col min="1534" max="1534" width="8.88671875" style="88"/>
    <col min="1535" max="1535" width="12.33203125" style="88" bestFit="1" customWidth="1"/>
    <col min="1536" max="1783" width="8.88671875" style="88"/>
    <col min="1784" max="1784" width="32.88671875" style="88" customWidth="1"/>
    <col min="1785" max="1785" width="15.44140625" style="88" bestFit="1" customWidth="1"/>
    <col min="1786" max="1786" width="15.6640625" style="88" bestFit="1" customWidth="1"/>
    <col min="1787" max="1787" width="14.109375" style="88" bestFit="1" customWidth="1"/>
    <col min="1788" max="1788" width="11.33203125" style="88" customWidth="1"/>
    <col min="1789" max="1789" width="15.109375" style="88" bestFit="1" customWidth="1"/>
    <col min="1790" max="1790" width="8.88671875" style="88"/>
    <col min="1791" max="1791" width="12.33203125" style="88" bestFit="1" customWidth="1"/>
    <col min="1792" max="2039" width="8.88671875" style="88"/>
    <col min="2040" max="2040" width="32.88671875" style="88" customWidth="1"/>
    <col min="2041" max="2041" width="15.44140625" style="88" bestFit="1" customWidth="1"/>
    <col min="2042" max="2042" width="15.6640625" style="88" bestFit="1" customWidth="1"/>
    <col min="2043" max="2043" width="14.109375" style="88" bestFit="1" customWidth="1"/>
    <col min="2044" max="2044" width="11.33203125" style="88" customWidth="1"/>
    <col min="2045" max="2045" width="15.109375" style="88" bestFit="1" customWidth="1"/>
    <col min="2046" max="2046" width="8.88671875" style="88"/>
    <col min="2047" max="2047" width="12.33203125" style="88" bestFit="1" customWidth="1"/>
    <col min="2048" max="2295" width="8.88671875" style="88"/>
    <col min="2296" max="2296" width="32.88671875" style="88" customWidth="1"/>
    <col min="2297" max="2297" width="15.44140625" style="88" bestFit="1" customWidth="1"/>
    <col min="2298" max="2298" width="15.6640625" style="88" bestFit="1" customWidth="1"/>
    <col min="2299" max="2299" width="14.109375" style="88" bestFit="1" customWidth="1"/>
    <col min="2300" max="2300" width="11.33203125" style="88" customWidth="1"/>
    <col min="2301" max="2301" width="15.109375" style="88" bestFit="1" customWidth="1"/>
    <col min="2302" max="2302" width="8.88671875" style="88"/>
    <col min="2303" max="2303" width="12.33203125" style="88" bestFit="1" customWidth="1"/>
    <col min="2304" max="2551" width="8.88671875" style="88"/>
    <col min="2552" max="2552" width="32.88671875" style="88" customWidth="1"/>
    <col min="2553" max="2553" width="15.44140625" style="88" bestFit="1" customWidth="1"/>
    <col min="2554" max="2554" width="15.6640625" style="88" bestFit="1" customWidth="1"/>
    <col min="2555" max="2555" width="14.109375" style="88" bestFit="1" customWidth="1"/>
    <col min="2556" max="2556" width="11.33203125" style="88" customWidth="1"/>
    <col min="2557" max="2557" width="15.109375" style="88" bestFit="1" customWidth="1"/>
    <col min="2558" max="2558" width="8.88671875" style="88"/>
    <col min="2559" max="2559" width="12.33203125" style="88" bestFit="1" customWidth="1"/>
    <col min="2560" max="2807" width="8.88671875" style="88"/>
    <col min="2808" max="2808" width="32.88671875" style="88" customWidth="1"/>
    <col min="2809" max="2809" width="15.44140625" style="88" bestFit="1" customWidth="1"/>
    <col min="2810" max="2810" width="15.6640625" style="88" bestFit="1" customWidth="1"/>
    <col min="2811" max="2811" width="14.109375" style="88" bestFit="1" customWidth="1"/>
    <col min="2812" max="2812" width="11.33203125" style="88" customWidth="1"/>
    <col min="2813" max="2813" width="15.109375" style="88" bestFit="1" customWidth="1"/>
    <col min="2814" max="2814" width="8.88671875" style="88"/>
    <col min="2815" max="2815" width="12.33203125" style="88" bestFit="1" customWidth="1"/>
    <col min="2816" max="3063" width="8.88671875" style="88"/>
    <col min="3064" max="3064" width="32.88671875" style="88" customWidth="1"/>
    <col min="3065" max="3065" width="15.44140625" style="88" bestFit="1" customWidth="1"/>
    <col min="3066" max="3066" width="15.6640625" style="88" bestFit="1" customWidth="1"/>
    <col min="3067" max="3067" width="14.109375" style="88" bestFit="1" customWidth="1"/>
    <col min="3068" max="3068" width="11.33203125" style="88" customWidth="1"/>
    <col min="3069" max="3069" width="15.109375" style="88" bestFit="1" customWidth="1"/>
    <col min="3070" max="3070" width="8.88671875" style="88"/>
    <col min="3071" max="3071" width="12.33203125" style="88" bestFit="1" customWidth="1"/>
    <col min="3072" max="3319" width="8.88671875" style="88"/>
    <col min="3320" max="3320" width="32.88671875" style="88" customWidth="1"/>
    <col min="3321" max="3321" width="15.44140625" style="88" bestFit="1" customWidth="1"/>
    <col min="3322" max="3322" width="15.6640625" style="88" bestFit="1" customWidth="1"/>
    <col min="3323" max="3323" width="14.109375" style="88" bestFit="1" customWidth="1"/>
    <col min="3324" max="3324" width="11.33203125" style="88" customWidth="1"/>
    <col min="3325" max="3325" width="15.109375" style="88" bestFit="1" customWidth="1"/>
    <col min="3326" max="3326" width="8.88671875" style="88"/>
    <col min="3327" max="3327" width="12.33203125" style="88" bestFit="1" customWidth="1"/>
    <col min="3328" max="3575" width="8.88671875" style="88"/>
    <col min="3576" max="3576" width="32.88671875" style="88" customWidth="1"/>
    <col min="3577" max="3577" width="15.44140625" style="88" bestFit="1" customWidth="1"/>
    <col min="3578" max="3578" width="15.6640625" style="88" bestFit="1" customWidth="1"/>
    <col min="3579" max="3579" width="14.109375" style="88" bestFit="1" customWidth="1"/>
    <col min="3580" max="3580" width="11.33203125" style="88" customWidth="1"/>
    <col min="3581" max="3581" width="15.109375" style="88" bestFit="1" customWidth="1"/>
    <col min="3582" max="3582" width="8.88671875" style="88"/>
    <col min="3583" max="3583" width="12.33203125" style="88" bestFit="1" customWidth="1"/>
    <col min="3584" max="3831" width="8.88671875" style="88"/>
    <col min="3832" max="3832" width="32.88671875" style="88" customWidth="1"/>
    <col min="3833" max="3833" width="15.44140625" style="88" bestFit="1" customWidth="1"/>
    <col min="3834" max="3834" width="15.6640625" style="88" bestFit="1" customWidth="1"/>
    <col min="3835" max="3835" width="14.109375" style="88" bestFit="1" customWidth="1"/>
    <col min="3836" max="3836" width="11.33203125" style="88" customWidth="1"/>
    <col min="3837" max="3837" width="15.109375" style="88" bestFit="1" customWidth="1"/>
    <col min="3838" max="3838" width="8.88671875" style="88"/>
    <col min="3839" max="3839" width="12.33203125" style="88" bestFit="1" customWidth="1"/>
    <col min="3840" max="4087" width="8.88671875" style="88"/>
    <col min="4088" max="4088" width="32.88671875" style="88" customWidth="1"/>
    <col min="4089" max="4089" width="15.44140625" style="88" bestFit="1" customWidth="1"/>
    <col min="4090" max="4090" width="15.6640625" style="88" bestFit="1" customWidth="1"/>
    <col min="4091" max="4091" width="14.109375" style="88" bestFit="1" customWidth="1"/>
    <col min="4092" max="4092" width="11.33203125" style="88" customWidth="1"/>
    <col min="4093" max="4093" width="15.109375" style="88" bestFit="1" customWidth="1"/>
    <col min="4094" max="4094" width="8.88671875" style="88"/>
    <col min="4095" max="4095" width="12.33203125" style="88" bestFit="1" customWidth="1"/>
    <col min="4096" max="4343" width="8.88671875" style="88"/>
    <col min="4344" max="4344" width="32.88671875" style="88" customWidth="1"/>
    <col min="4345" max="4345" width="15.44140625" style="88" bestFit="1" customWidth="1"/>
    <col min="4346" max="4346" width="15.6640625" style="88" bestFit="1" customWidth="1"/>
    <col min="4347" max="4347" width="14.109375" style="88" bestFit="1" customWidth="1"/>
    <col min="4348" max="4348" width="11.33203125" style="88" customWidth="1"/>
    <col min="4349" max="4349" width="15.109375" style="88" bestFit="1" customWidth="1"/>
    <col min="4350" max="4350" width="8.88671875" style="88"/>
    <col min="4351" max="4351" width="12.33203125" style="88" bestFit="1" customWidth="1"/>
    <col min="4352" max="4599" width="8.88671875" style="88"/>
    <col min="4600" max="4600" width="32.88671875" style="88" customWidth="1"/>
    <col min="4601" max="4601" width="15.44140625" style="88" bestFit="1" customWidth="1"/>
    <col min="4602" max="4602" width="15.6640625" style="88" bestFit="1" customWidth="1"/>
    <col min="4603" max="4603" width="14.109375" style="88" bestFit="1" customWidth="1"/>
    <col min="4604" max="4604" width="11.33203125" style="88" customWidth="1"/>
    <col min="4605" max="4605" width="15.109375" style="88" bestFit="1" customWidth="1"/>
    <col min="4606" max="4606" width="8.88671875" style="88"/>
    <col min="4607" max="4607" width="12.33203125" style="88" bestFit="1" customWidth="1"/>
    <col min="4608" max="4855" width="8.88671875" style="88"/>
    <col min="4856" max="4856" width="32.88671875" style="88" customWidth="1"/>
    <col min="4857" max="4857" width="15.44140625" style="88" bestFit="1" customWidth="1"/>
    <col min="4858" max="4858" width="15.6640625" style="88" bestFit="1" customWidth="1"/>
    <col min="4859" max="4859" width="14.109375" style="88" bestFit="1" customWidth="1"/>
    <col min="4860" max="4860" width="11.33203125" style="88" customWidth="1"/>
    <col min="4861" max="4861" width="15.109375" style="88" bestFit="1" customWidth="1"/>
    <col min="4862" max="4862" width="8.88671875" style="88"/>
    <col min="4863" max="4863" width="12.33203125" style="88" bestFit="1" customWidth="1"/>
    <col min="4864" max="5111" width="8.88671875" style="88"/>
    <col min="5112" max="5112" width="32.88671875" style="88" customWidth="1"/>
    <col min="5113" max="5113" width="15.44140625" style="88" bestFit="1" customWidth="1"/>
    <col min="5114" max="5114" width="15.6640625" style="88" bestFit="1" customWidth="1"/>
    <col min="5115" max="5115" width="14.109375" style="88" bestFit="1" customWidth="1"/>
    <col min="5116" max="5116" width="11.33203125" style="88" customWidth="1"/>
    <col min="5117" max="5117" width="15.109375" style="88" bestFit="1" customWidth="1"/>
    <col min="5118" max="5118" width="8.88671875" style="88"/>
    <col min="5119" max="5119" width="12.33203125" style="88" bestFit="1" customWidth="1"/>
    <col min="5120" max="5367" width="8.88671875" style="88"/>
    <col min="5368" max="5368" width="32.88671875" style="88" customWidth="1"/>
    <col min="5369" max="5369" width="15.44140625" style="88" bestFit="1" customWidth="1"/>
    <col min="5370" max="5370" width="15.6640625" style="88" bestFit="1" customWidth="1"/>
    <col min="5371" max="5371" width="14.109375" style="88" bestFit="1" customWidth="1"/>
    <col min="5372" max="5372" width="11.33203125" style="88" customWidth="1"/>
    <col min="5373" max="5373" width="15.109375" style="88" bestFit="1" customWidth="1"/>
    <col min="5374" max="5374" width="8.88671875" style="88"/>
    <col min="5375" max="5375" width="12.33203125" style="88" bestFit="1" customWidth="1"/>
    <col min="5376" max="5623" width="8.88671875" style="88"/>
    <col min="5624" max="5624" width="32.88671875" style="88" customWidth="1"/>
    <col min="5625" max="5625" width="15.44140625" style="88" bestFit="1" customWidth="1"/>
    <col min="5626" max="5626" width="15.6640625" style="88" bestFit="1" customWidth="1"/>
    <col min="5627" max="5627" width="14.109375" style="88" bestFit="1" customWidth="1"/>
    <col min="5628" max="5628" width="11.33203125" style="88" customWidth="1"/>
    <col min="5629" max="5629" width="15.109375" style="88" bestFit="1" customWidth="1"/>
    <col min="5630" max="5630" width="8.88671875" style="88"/>
    <col min="5631" max="5631" width="12.33203125" style="88" bestFit="1" customWidth="1"/>
    <col min="5632" max="5879" width="8.88671875" style="88"/>
    <col min="5880" max="5880" width="32.88671875" style="88" customWidth="1"/>
    <col min="5881" max="5881" width="15.44140625" style="88" bestFit="1" customWidth="1"/>
    <col min="5882" max="5882" width="15.6640625" style="88" bestFit="1" customWidth="1"/>
    <col min="5883" max="5883" width="14.109375" style="88" bestFit="1" customWidth="1"/>
    <col min="5884" max="5884" width="11.33203125" style="88" customWidth="1"/>
    <col min="5885" max="5885" width="15.109375" style="88" bestFit="1" customWidth="1"/>
    <col min="5886" max="5886" width="8.88671875" style="88"/>
    <col min="5887" max="5887" width="12.33203125" style="88" bestFit="1" customWidth="1"/>
    <col min="5888" max="6135" width="8.88671875" style="88"/>
    <col min="6136" max="6136" width="32.88671875" style="88" customWidth="1"/>
    <col min="6137" max="6137" width="15.44140625" style="88" bestFit="1" customWidth="1"/>
    <col min="6138" max="6138" width="15.6640625" style="88" bestFit="1" customWidth="1"/>
    <col min="6139" max="6139" width="14.109375" style="88" bestFit="1" customWidth="1"/>
    <col min="6140" max="6140" width="11.33203125" style="88" customWidth="1"/>
    <col min="6141" max="6141" width="15.109375" style="88" bestFit="1" customWidth="1"/>
    <col min="6142" max="6142" width="8.88671875" style="88"/>
    <col min="6143" max="6143" width="12.33203125" style="88" bestFit="1" customWidth="1"/>
    <col min="6144" max="6391" width="8.88671875" style="88"/>
    <col min="6392" max="6392" width="32.88671875" style="88" customWidth="1"/>
    <col min="6393" max="6393" width="15.44140625" style="88" bestFit="1" customWidth="1"/>
    <col min="6394" max="6394" width="15.6640625" style="88" bestFit="1" customWidth="1"/>
    <col min="6395" max="6395" width="14.109375" style="88" bestFit="1" customWidth="1"/>
    <col min="6396" max="6396" width="11.33203125" style="88" customWidth="1"/>
    <col min="6397" max="6397" width="15.109375" style="88" bestFit="1" customWidth="1"/>
    <col min="6398" max="6398" width="8.88671875" style="88"/>
    <col min="6399" max="6399" width="12.33203125" style="88" bestFit="1" customWidth="1"/>
    <col min="6400" max="6647" width="8.88671875" style="88"/>
    <col min="6648" max="6648" width="32.88671875" style="88" customWidth="1"/>
    <col min="6649" max="6649" width="15.44140625" style="88" bestFit="1" customWidth="1"/>
    <col min="6650" max="6650" width="15.6640625" style="88" bestFit="1" customWidth="1"/>
    <col min="6651" max="6651" width="14.109375" style="88" bestFit="1" customWidth="1"/>
    <col min="6652" max="6652" width="11.33203125" style="88" customWidth="1"/>
    <col min="6653" max="6653" width="15.109375" style="88" bestFit="1" customWidth="1"/>
    <col min="6654" max="6654" width="8.88671875" style="88"/>
    <col min="6655" max="6655" width="12.33203125" style="88" bestFit="1" customWidth="1"/>
    <col min="6656" max="6903" width="8.88671875" style="88"/>
    <col min="6904" max="6904" width="32.88671875" style="88" customWidth="1"/>
    <col min="6905" max="6905" width="15.44140625" style="88" bestFit="1" customWidth="1"/>
    <col min="6906" max="6906" width="15.6640625" style="88" bestFit="1" customWidth="1"/>
    <col min="6907" max="6907" width="14.109375" style="88" bestFit="1" customWidth="1"/>
    <col min="6908" max="6908" width="11.33203125" style="88" customWidth="1"/>
    <col min="6909" max="6909" width="15.109375" style="88" bestFit="1" customWidth="1"/>
    <col min="6910" max="6910" width="8.88671875" style="88"/>
    <col min="6911" max="6911" width="12.33203125" style="88" bestFit="1" customWidth="1"/>
    <col min="6912" max="7159" width="8.88671875" style="88"/>
    <col min="7160" max="7160" width="32.88671875" style="88" customWidth="1"/>
    <col min="7161" max="7161" width="15.44140625" style="88" bestFit="1" customWidth="1"/>
    <col min="7162" max="7162" width="15.6640625" style="88" bestFit="1" customWidth="1"/>
    <col min="7163" max="7163" width="14.109375" style="88" bestFit="1" customWidth="1"/>
    <col min="7164" max="7164" width="11.33203125" style="88" customWidth="1"/>
    <col min="7165" max="7165" width="15.109375" style="88" bestFit="1" customWidth="1"/>
    <col min="7166" max="7166" width="8.88671875" style="88"/>
    <col min="7167" max="7167" width="12.33203125" style="88" bestFit="1" customWidth="1"/>
    <col min="7168" max="7415" width="8.88671875" style="88"/>
    <col min="7416" max="7416" width="32.88671875" style="88" customWidth="1"/>
    <col min="7417" max="7417" width="15.44140625" style="88" bestFit="1" customWidth="1"/>
    <col min="7418" max="7418" width="15.6640625" style="88" bestFit="1" customWidth="1"/>
    <col min="7419" max="7419" width="14.109375" style="88" bestFit="1" customWidth="1"/>
    <col min="7420" max="7420" width="11.33203125" style="88" customWidth="1"/>
    <col min="7421" max="7421" width="15.109375" style="88" bestFit="1" customWidth="1"/>
    <col min="7422" max="7422" width="8.88671875" style="88"/>
    <col min="7423" max="7423" width="12.33203125" style="88" bestFit="1" customWidth="1"/>
    <col min="7424" max="7671" width="8.88671875" style="88"/>
    <col min="7672" max="7672" width="32.88671875" style="88" customWidth="1"/>
    <col min="7673" max="7673" width="15.44140625" style="88" bestFit="1" customWidth="1"/>
    <col min="7674" max="7674" width="15.6640625" style="88" bestFit="1" customWidth="1"/>
    <col min="7675" max="7675" width="14.109375" style="88" bestFit="1" customWidth="1"/>
    <col min="7676" max="7676" width="11.33203125" style="88" customWidth="1"/>
    <col min="7677" max="7677" width="15.109375" style="88" bestFit="1" customWidth="1"/>
    <col min="7678" max="7678" width="8.88671875" style="88"/>
    <col min="7679" max="7679" width="12.33203125" style="88" bestFit="1" customWidth="1"/>
    <col min="7680" max="7927" width="8.88671875" style="88"/>
    <col min="7928" max="7928" width="32.88671875" style="88" customWidth="1"/>
    <col min="7929" max="7929" width="15.44140625" style="88" bestFit="1" customWidth="1"/>
    <col min="7930" max="7930" width="15.6640625" style="88" bestFit="1" customWidth="1"/>
    <col min="7931" max="7931" width="14.109375" style="88" bestFit="1" customWidth="1"/>
    <col min="7932" max="7932" width="11.33203125" style="88" customWidth="1"/>
    <col min="7933" max="7933" width="15.109375" style="88" bestFit="1" customWidth="1"/>
    <col min="7934" max="7934" width="8.88671875" style="88"/>
    <col min="7935" max="7935" width="12.33203125" style="88" bestFit="1" customWidth="1"/>
    <col min="7936" max="8183" width="8.88671875" style="88"/>
    <col min="8184" max="8184" width="32.88671875" style="88" customWidth="1"/>
    <col min="8185" max="8185" width="15.44140625" style="88" bestFit="1" customWidth="1"/>
    <col min="8186" max="8186" width="15.6640625" style="88" bestFit="1" customWidth="1"/>
    <col min="8187" max="8187" width="14.109375" style="88" bestFit="1" customWidth="1"/>
    <col min="8188" max="8188" width="11.33203125" style="88" customWidth="1"/>
    <col min="8189" max="8189" width="15.109375" style="88" bestFit="1" customWidth="1"/>
    <col min="8190" max="8190" width="8.88671875" style="88"/>
    <col min="8191" max="8191" width="12.33203125" style="88" bestFit="1" customWidth="1"/>
    <col min="8192" max="8439" width="8.88671875" style="88"/>
    <col min="8440" max="8440" width="32.88671875" style="88" customWidth="1"/>
    <col min="8441" max="8441" width="15.44140625" style="88" bestFit="1" customWidth="1"/>
    <col min="8442" max="8442" width="15.6640625" style="88" bestFit="1" customWidth="1"/>
    <col min="8443" max="8443" width="14.109375" style="88" bestFit="1" customWidth="1"/>
    <col min="8444" max="8444" width="11.33203125" style="88" customWidth="1"/>
    <col min="8445" max="8445" width="15.109375" style="88" bestFit="1" customWidth="1"/>
    <col min="8446" max="8446" width="8.88671875" style="88"/>
    <col min="8447" max="8447" width="12.33203125" style="88" bestFit="1" customWidth="1"/>
    <col min="8448" max="8695" width="8.88671875" style="88"/>
    <col min="8696" max="8696" width="32.88671875" style="88" customWidth="1"/>
    <col min="8697" max="8697" width="15.44140625" style="88" bestFit="1" customWidth="1"/>
    <col min="8698" max="8698" width="15.6640625" style="88" bestFit="1" customWidth="1"/>
    <col min="8699" max="8699" width="14.109375" style="88" bestFit="1" customWidth="1"/>
    <col min="8700" max="8700" width="11.33203125" style="88" customWidth="1"/>
    <col min="8701" max="8701" width="15.109375" style="88" bestFit="1" customWidth="1"/>
    <col min="8702" max="8702" width="8.88671875" style="88"/>
    <col min="8703" max="8703" width="12.33203125" style="88" bestFit="1" customWidth="1"/>
    <col min="8704" max="8951" width="8.88671875" style="88"/>
    <col min="8952" max="8952" width="32.88671875" style="88" customWidth="1"/>
    <col min="8953" max="8953" width="15.44140625" style="88" bestFit="1" customWidth="1"/>
    <col min="8954" max="8954" width="15.6640625" style="88" bestFit="1" customWidth="1"/>
    <col min="8955" max="8955" width="14.109375" style="88" bestFit="1" customWidth="1"/>
    <col min="8956" max="8956" width="11.33203125" style="88" customWidth="1"/>
    <col min="8957" max="8957" width="15.109375" style="88" bestFit="1" customWidth="1"/>
    <col min="8958" max="8958" width="8.88671875" style="88"/>
    <col min="8959" max="8959" width="12.33203125" style="88" bestFit="1" customWidth="1"/>
    <col min="8960" max="9207" width="8.88671875" style="88"/>
    <col min="9208" max="9208" width="32.88671875" style="88" customWidth="1"/>
    <col min="9209" max="9209" width="15.44140625" style="88" bestFit="1" customWidth="1"/>
    <col min="9210" max="9210" width="15.6640625" style="88" bestFit="1" customWidth="1"/>
    <col min="9211" max="9211" width="14.109375" style="88" bestFit="1" customWidth="1"/>
    <col min="9212" max="9212" width="11.33203125" style="88" customWidth="1"/>
    <col min="9213" max="9213" width="15.109375" style="88" bestFit="1" customWidth="1"/>
    <col min="9214" max="9214" width="8.88671875" style="88"/>
    <col min="9215" max="9215" width="12.33203125" style="88" bestFit="1" customWidth="1"/>
    <col min="9216" max="9463" width="8.88671875" style="88"/>
    <col min="9464" max="9464" width="32.88671875" style="88" customWidth="1"/>
    <col min="9465" max="9465" width="15.44140625" style="88" bestFit="1" customWidth="1"/>
    <col min="9466" max="9466" width="15.6640625" style="88" bestFit="1" customWidth="1"/>
    <col min="9467" max="9467" width="14.109375" style="88" bestFit="1" customWidth="1"/>
    <col min="9468" max="9468" width="11.33203125" style="88" customWidth="1"/>
    <col min="9469" max="9469" width="15.109375" style="88" bestFit="1" customWidth="1"/>
    <col min="9470" max="9470" width="8.88671875" style="88"/>
    <col min="9471" max="9471" width="12.33203125" style="88" bestFit="1" customWidth="1"/>
    <col min="9472" max="9719" width="8.88671875" style="88"/>
    <col min="9720" max="9720" width="32.88671875" style="88" customWidth="1"/>
    <col min="9721" max="9721" width="15.44140625" style="88" bestFit="1" customWidth="1"/>
    <col min="9722" max="9722" width="15.6640625" style="88" bestFit="1" customWidth="1"/>
    <col min="9723" max="9723" width="14.109375" style="88" bestFit="1" customWidth="1"/>
    <col min="9724" max="9724" width="11.33203125" style="88" customWidth="1"/>
    <col min="9725" max="9725" width="15.109375" style="88" bestFit="1" customWidth="1"/>
    <col min="9726" max="9726" width="8.88671875" style="88"/>
    <col min="9727" max="9727" width="12.33203125" style="88" bestFit="1" customWidth="1"/>
    <col min="9728" max="9975" width="8.88671875" style="88"/>
    <col min="9976" max="9976" width="32.88671875" style="88" customWidth="1"/>
    <col min="9977" max="9977" width="15.44140625" style="88" bestFit="1" customWidth="1"/>
    <col min="9978" max="9978" width="15.6640625" style="88" bestFit="1" customWidth="1"/>
    <col min="9979" max="9979" width="14.109375" style="88" bestFit="1" customWidth="1"/>
    <col min="9980" max="9980" width="11.33203125" style="88" customWidth="1"/>
    <col min="9981" max="9981" width="15.109375" style="88" bestFit="1" customWidth="1"/>
    <col min="9982" max="9982" width="8.88671875" style="88"/>
    <col min="9983" max="9983" width="12.33203125" style="88" bestFit="1" customWidth="1"/>
    <col min="9984" max="10231" width="8.88671875" style="88"/>
    <col min="10232" max="10232" width="32.88671875" style="88" customWidth="1"/>
    <col min="10233" max="10233" width="15.44140625" style="88" bestFit="1" customWidth="1"/>
    <col min="10234" max="10234" width="15.6640625" style="88" bestFit="1" customWidth="1"/>
    <col min="10235" max="10235" width="14.109375" style="88" bestFit="1" customWidth="1"/>
    <col min="10236" max="10236" width="11.33203125" style="88" customWidth="1"/>
    <col min="10237" max="10237" width="15.109375" style="88" bestFit="1" customWidth="1"/>
    <col min="10238" max="10238" width="8.88671875" style="88"/>
    <col min="10239" max="10239" width="12.33203125" style="88" bestFit="1" customWidth="1"/>
    <col min="10240" max="10487" width="8.88671875" style="88"/>
    <col min="10488" max="10488" width="32.88671875" style="88" customWidth="1"/>
    <col min="10489" max="10489" width="15.44140625" style="88" bestFit="1" customWidth="1"/>
    <col min="10490" max="10490" width="15.6640625" style="88" bestFit="1" customWidth="1"/>
    <col min="10491" max="10491" width="14.109375" style="88" bestFit="1" customWidth="1"/>
    <col min="10492" max="10492" width="11.33203125" style="88" customWidth="1"/>
    <col min="10493" max="10493" width="15.109375" style="88" bestFit="1" customWidth="1"/>
    <col min="10494" max="10494" width="8.88671875" style="88"/>
    <col min="10495" max="10495" width="12.33203125" style="88" bestFit="1" customWidth="1"/>
    <col min="10496" max="10743" width="8.88671875" style="88"/>
    <col min="10744" max="10744" width="32.88671875" style="88" customWidth="1"/>
    <col min="10745" max="10745" width="15.44140625" style="88" bestFit="1" customWidth="1"/>
    <col min="10746" max="10746" width="15.6640625" style="88" bestFit="1" customWidth="1"/>
    <col min="10747" max="10747" width="14.109375" style="88" bestFit="1" customWidth="1"/>
    <col min="10748" max="10748" width="11.33203125" style="88" customWidth="1"/>
    <col min="10749" max="10749" width="15.109375" style="88" bestFit="1" customWidth="1"/>
    <col min="10750" max="10750" width="8.88671875" style="88"/>
    <col min="10751" max="10751" width="12.33203125" style="88" bestFit="1" customWidth="1"/>
    <col min="10752" max="10999" width="8.88671875" style="88"/>
    <col min="11000" max="11000" width="32.88671875" style="88" customWidth="1"/>
    <col min="11001" max="11001" width="15.44140625" style="88" bestFit="1" customWidth="1"/>
    <col min="11002" max="11002" width="15.6640625" style="88" bestFit="1" customWidth="1"/>
    <col min="11003" max="11003" width="14.109375" style="88" bestFit="1" customWidth="1"/>
    <col min="11004" max="11004" width="11.33203125" style="88" customWidth="1"/>
    <col min="11005" max="11005" width="15.109375" style="88" bestFit="1" customWidth="1"/>
    <col min="11006" max="11006" width="8.88671875" style="88"/>
    <col min="11007" max="11007" width="12.33203125" style="88" bestFit="1" customWidth="1"/>
    <col min="11008" max="11255" width="8.88671875" style="88"/>
    <col min="11256" max="11256" width="32.88671875" style="88" customWidth="1"/>
    <col min="11257" max="11257" width="15.44140625" style="88" bestFit="1" customWidth="1"/>
    <col min="11258" max="11258" width="15.6640625" style="88" bestFit="1" customWidth="1"/>
    <col min="11259" max="11259" width="14.109375" style="88" bestFit="1" customWidth="1"/>
    <col min="11260" max="11260" width="11.33203125" style="88" customWidth="1"/>
    <col min="11261" max="11261" width="15.109375" style="88" bestFit="1" customWidth="1"/>
    <col min="11262" max="11262" width="8.88671875" style="88"/>
    <col min="11263" max="11263" width="12.33203125" style="88" bestFit="1" customWidth="1"/>
    <col min="11264" max="11511" width="8.88671875" style="88"/>
    <col min="11512" max="11512" width="32.88671875" style="88" customWidth="1"/>
    <col min="11513" max="11513" width="15.44140625" style="88" bestFit="1" customWidth="1"/>
    <col min="11514" max="11514" width="15.6640625" style="88" bestFit="1" customWidth="1"/>
    <col min="11515" max="11515" width="14.109375" style="88" bestFit="1" customWidth="1"/>
    <col min="11516" max="11516" width="11.33203125" style="88" customWidth="1"/>
    <col min="11517" max="11517" width="15.109375" style="88" bestFit="1" customWidth="1"/>
    <col min="11518" max="11518" width="8.88671875" style="88"/>
    <col min="11519" max="11519" width="12.33203125" style="88" bestFit="1" customWidth="1"/>
    <col min="11520" max="11767" width="8.88671875" style="88"/>
    <col min="11768" max="11768" width="32.88671875" style="88" customWidth="1"/>
    <col min="11769" max="11769" width="15.44140625" style="88" bestFit="1" customWidth="1"/>
    <col min="11770" max="11770" width="15.6640625" style="88" bestFit="1" customWidth="1"/>
    <col min="11771" max="11771" width="14.109375" style="88" bestFit="1" customWidth="1"/>
    <col min="11772" max="11772" width="11.33203125" style="88" customWidth="1"/>
    <col min="11773" max="11773" width="15.109375" style="88" bestFit="1" customWidth="1"/>
    <col min="11774" max="11774" width="8.88671875" style="88"/>
    <col min="11775" max="11775" width="12.33203125" style="88" bestFit="1" customWidth="1"/>
    <col min="11776" max="12023" width="8.88671875" style="88"/>
    <col min="12024" max="12024" width="32.88671875" style="88" customWidth="1"/>
    <col min="12025" max="12025" width="15.44140625" style="88" bestFit="1" customWidth="1"/>
    <col min="12026" max="12026" width="15.6640625" style="88" bestFit="1" customWidth="1"/>
    <col min="12027" max="12027" width="14.109375" style="88" bestFit="1" customWidth="1"/>
    <col min="12028" max="12028" width="11.33203125" style="88" customWidth="1"/>
    <col min="12029" max="12029" width="15.109375" style="88" bestFit="1" customWidth="1"/>
    <col min="12030" max="12030" width="8.88671875" style="88"/>
    <col min="12031" max="12031" width="12.33203125" style="88" bestFit="1" customWidth="1"/>
    <col min="12032" max="12279" width="8.88671875" style="88"/>
    <col min="12280" max="12280" width="32.88671875" style="88" customWidth="1"/>
    <col min="12281" max="12281" width="15.44140625" style="88" bestFit="1" customWidth="1"/>
    <col min="12282" max="12282" width="15.6640625" style="88" bestFit="1" customWidth="1"/>
    <col min="12283" max="12283" width="14.109375" style="88" bestFit="1" customWidth="1"/>
    <col min="12284" max="12284" width="11.33203125" style="88" customWidth="1"/>
    <col min="12285" max="12285" width="15.109375" style="88" bestFit="1" customWidth="1"/>
    <col min="12286" max="12286" width="8.88671875" style="88"/>
    <col min="12287" max="12287" width="12.33203125" style="88" bestFit="1" customWidth="1"/>
    <col min="12288" max="12535" width="8.88671875" style="88"/>
    <col min="12536" max="12536" width="32.88671875" style="88" customWidth="1"/>
    <col min="12537" max="12537" width="15.44140625" style="88" bestFit="1" customWidth="1"/>
    <col min="12538" max="12538" width="15.6640625" style="88" bestFit="1" customWidth="1"/>
    <col min="12539" max="12539" width="14.109375" style="88" bestFit="1" customWidth="1"/>
    <col min="12540" max="12540" width="11.33203125" style="88" customWidth="1"/>
    <col min="12541" max="12541" width="15.109375" style="88" bestFit="1" customWidth="1"/>
    <col min="12542" max="12542" width="8.88671875" style="88"/>
    <col min="12543" max="12543" width="12.33203125" style="88" bestFit="1" customWidth="1"/>
    <col min="12544" max="12791" width="8.88671875" style="88"/>
    <col min="12792" max="12792" width="32.88671875" style="88" customWidth="1"/>
    <col min="12793" max="12793" width="15.44140625" style="88" bestFit="1" customWidth="1"/>
    <col min="12794" max="12794" width="15.6640625" style="88" bestFit="1" customWidth="1"/>
    <col min="12795" max="12795" width="14.109375" style="88" bestFit="1" customWidth="1"/>
    <col min="12796" max="12796" width="11.33203125" style="88" customWidth="1"/>
    <col min="12797" max="12797" width="15.109375" style="88" bestFit="1" customWidth="1"/>
    <col min="12798" max="12798" width="8.88671875" style="88"/>
    <col min="12799" max="12799" width="12.33203125" style="88" bestFit="1" customWidth="1"/>
    <col min="12800" max="13047" width="8.88671875" style="88"/>
    <col min="13048" max="13048" width="32.88671875" style="88" customWidth="1"/>
    <col min="13049" max="13049" width="15.44140625" style="88" bestFit="1" customWidth="1"/>
    <col min="13050" max="13050" width="15.6640625" style="88" bestFit="1" customWidth="1"/>
    <col min="13051" max="13051" width="14.109375" style="88" bestFit="1" customWidth="1"/>
    <col min="13052" max="13052" width="11.33203125" style="88" customWidth="1"/>
    <col min="13053" max="13053" width="15.109375" style="88" bestFit="1" customWidth="1"/>
    <col min="13054" max="13054" width="8.88671875" style="88"/>
    <col min="13055" max="13055" width="12.33203125" style="88" bestFit="1" customWidth="1"/>
    <col min="13056" max="13303" width="8.88671875" style="88"/>
    <col min="13304" max="13304" width="32.88671875" style="88" customWidth="1"/>
    <col min="13305" max="13305" width="15.44140625" style="88" bestFit="1" customWidth="1"/>
    <col min="13306" max="13306" width="15.6640625" style="88" bestFit="1" customWidth="1"/>
    <col min="13307" max="13307" width="14.109375" style="88" bestFit="1" customWidth="1"/>
    <col min="13308" max="13308" width="11.33203125" style="88" customWidth="1"/>
    <col min="13309" max="13309" width="15.109375" style="88" bestFit="1" customWidth="1"/>
    <col min="13310" max="13310" width="8.88671875" style="88"/>
    <col min="13311" max="13311" width="12.33203125" style="88" bestFit="1" customWidth="1"/>
    <col min="13312" max="13559" width="8.88671875" style="88"/>
    <col min="13560" max="13560" width="32.88671875" style="88" customWidth="1"/>
    <col min="13561" max="13561" width="15.44140625" style="88" bestFit="1" customWidth="1"/>
    <col min="13562" max="13562" width="15.6640625" style="88" bestFit="1" customWidth="1"/>
    <col min="13563" max="13563" width="14.109375" style="88" bestFit="1" customWidth="1"/>
    <col min="13564" max="13564" width="11.33203125" style="88" customWidth="1"/>
    <col min="13565" max="13565" width="15.109375" style="88" bestFit="1" customWidth="1"/>
    <col min="13566" max="13566" width="8.88671875" style="88"/>
    <col min="13567" max="13567" width="12.33203125" style="88" bestFit="1" customWidth="1"/>
    <col min="13568" max="13815" width="8.88671875" style="88"/>
    <col min="13816" max="13816" width="32.88671875" style="88" customWidth="1"/>
    <col min="13817" max="13817" width="15.44140625" style="88" bestFit="1" customWidth="1"/>
    <col min="13818" max="13818" width="15.6640625" style="88" bestFit="1" customWidth="1"/>
    <col min="13819" max="13819" width="14.109375" style="88" bestFit="1" customWidth="1"/>
    <col min="13820" max="13820" width="11.33203125" style="88" customWidth="1"/>
    <col min="13821" max="13821" width="15.109375" style="88" bestFit="1" customWidth="1"/>
    <col min="13822" max="13822" width="8.88671875" style="88"/>
    <col min="13823" max="13823" width="12.33203125" style="88" bestFit="1" customWidth="1"/>
    <col min="13824" max="14071" width="8.88671875" style="88"/>
    <col min="14072" max="14072" width="32.88671875" style="88" customWidth="1"/>
    <col min="14073" max="14073" width="15.44140625" style="88" bestFit="1" customWidth="1"/>
    <col min="14074" max="14074" width="15.6640625" style="88" bestFit="1" customWidth="1"/>
    <col min="14075" max="14075" width="14.109375" style="88" bestFit="1" customWidth="1"/>
    <col min="14076" max="14076" width="11.33203125" style="88" customWidth="1"/>
    <col min="14077" max="14077" width="15.109375" style="88" bestFit="1" customWidth="1"/>
    <col min="14078" max="14078" width="8.88671875" style="88"/>
    <col min="14079" max="14079" width="12.33203125" style="88" bestFit="1" customWidth="1"/>
    <col min="14080" max="14327" width="8.88671875" style="88"/>
    <col min="14328" max="14328" width="32.88671875" style="88" customWidth="1"/>
    <col min="14329" max="14329" width="15.44140625" style="88" bestFit="1" customWidth="1"/>
    <col min="14330" max="14330" width="15.6640625" style="88" bestFit="1" customWidth="1"/>
    <col min="14331" max="14331" width="14.109375" style="88" bestFit="1" customWidth="1"/>
    <col min="14332" max="14332" width="11.33203125" style="88" customWidth="1"/>
    <col min="14333" max="14333" width="15.109375" style="88" bestFit="1" customWidth="1"/>
    <col min="14334" max="14334" width="8.88671875" style="88"/>
    <col min="14335" max="14335" width="12.33203125" style="88" bestFit="1" customWidth="1"/>
    <col min="14336" max="14583" width="8.88671875" style="88"/>
    <col min="14584" max="14584" width="32.88671875" style="88" customWidth="1"/>
    <col min="14585" max="14585" width="15.44140625" style="88" bestFit="1" customWidth="1"/>
    <col min="14586" max="14586" width="15.6640625" style="88" bestFit="1" customWidth="1"/>
    <col min="14587" max="14587" width="14.109375" style="88" bestFit="1" customWidth="1"/>
    <col min="14588" max="14588" width="11.33203125" style="88" customWidth="1"/>
    <col min="14589" max="14589" width="15.109375" style="88" bestFit="1" customWidth="1"/>
    <col min="14590" max="14590" width="8.88671875" style="88"/>
    <col min="14591" max="14591" width="12.33203125" style="88" bestFit="1" customWidth="1"/>
    <col min="14592" max="14839" width="8.88671875" style="88"/>
    <col min="14840" max="14840" width="32.88671875" style="88" customWidth="1"/>
    <col min="14841" max="14841" width="15.44140625" style="88" bestFit="1" customWidth="1"/>
    <col min="14842" max="14842" width="15.6640625" style="88" bestFit="1" customWidth="1"/>
    <col min="14843" max="14843" width="14.109375" style="88" bestFit="1" customWidth="1"/>
    <col min="14844" max="14844" width="11.33203125" style="88" customWidth="1"/>
    <col min="14845" max="14845" width="15.109375" style="88" bestFit="1" customWidth="1"/>
    <col min="14846" max="14846" width="8.88671875" style="88"/>
    <col min="14847" max="14847" width="12.33203125" style="88" bestFit="1" customWidth="1"/>
    <col min="14848" max="15095" width="8.88671875" style="88"/>
    <col min="15096" max="15096" width="32.88671875" style="88" customWidth="1"/>
    <col min="15097" max="15097" width="15.44140625" style="88" bestFit="1" customWidth="1"/>
    <col min="15098" max="15098" width="15.6640625" style="88" bestFit="1" customWidth="1"/>
    <col min="15099" max="15099" width="14.109375" style="88" bestFit="1" customWidth="1"/>
    <col min="15100" max="15100" width="11.33203125" style="88" customWidth="1"/>
    <col min="15101" max="15101" width="15.109375" style="88" bestFit="1" customWidth="1"/>
    <col min="15102" max="15102" width="8.88671875" style="88"/>
    <col min="15103" max="15103" width="12.33203125" style="88" bestFit="1" customWidth="1"/>
    <col min="15104" max="15351" width="8.88671875" style="88"/>
    <col min="15352" max="15352" width="32.88671875" style="88" customWidth="1"/>
    <col min="15353" max="15353" width="15.44140625" style="88" bestFit="1" customWidth="1"/>
    <col min="15354" max="15354" width="15.6640625" style="88" bestFit="1" customWidth="1"/>
    <col min="15355" max="15355" width="14.109375" style="88" bestFit="1" customWidth="1"/>
    <col min="15356" max="15356" width="11.33203125" style="88" customWidth="1"/>
    <col min="15357" max="15357" width="15.109375" style="88" bestFit="1" customWidth="1"/>
    <col min="15358" max="15358" width="8.88671875" style="88"/>
    <col min="15359" max="15359" width="12.33203125" style="88" bestFit="1" customWidth="1"/>
    <col min="15360" max="15607" width="8.88671875" style="88"/>
    <col min="15608" max="15608" width="32.88671875" style="88" customWidth="1"/>
    <col min="15609" max="15609" width="15.44140625" style="88" bestFit="1" customWidth="1"/>
    <col min="15610" max="15610" width="15.6640625" style="88" bestFit="1" customWidth="1"/>
    <col min="15611" max="15611" width="14.109375" style="88" bestFit="1" customWidth="1"/>
    <col min="15612" max="15612" width="11.33203125" style="88" customWidth="1"/>
    <col min="15613" max="15613" width="15.109375" style="88" bestFit="1" customWidth="1"/>
    <col min="15614" max="15614" width="8.88671875" style="88"/>
    <col min="15615" max="15615" width="12.33203125" style="88" bestFit="1" customWidth="1"/>
    <col min="15616" max="15863" width="8.88671875" style="88"/>
    <col min="15864" max="15864" width="32.88671875" style="88" customWidth="1"/>
    <col min="15865" max="15865" width="15.44140625" style="88" bestFit="1" customWidth="1"/>
    <col min="15866" max="15866" width="15.6640625" style="88" bestFit="1" customWidth="1"/>
    <col min="15867" max="15867" width="14.109375" style="88" bestFit="1" customWidth="1"/>
    <col min="15868" max="15868" width="11.33203125" style="88" customWidth="1"/>
    <col min="15869" max="15869" width="15.109375" style="88" bestFit="1" customWidth="1"/>
    <col min="15870" max="15870" width="8.88671875" style="88"/>
    <col min="15871" max="15871" width="12.33203125" style="88" bestFit="1" customWidth="1"/>
    <col min="15872" max="16119" width="8.88671875" style="88"/>
    <col min="16120" max="16120" width="32.88671875" style="88" customWidth="1"/>
    <col min="16121" max="16121" width="15.44140625" style="88" bestFit="1" customWidth="1"/>
    <col min="16122" max="16122" width="15.6640625" style="88" bestFit="1" customWidth="1"/>
    <col min="16123" max="16123" width="14.109375" style="88" bestFit="1" customWidth="1"/>
    <col min="16124" max="16124" width="11.33203125" style="88" customWidth="1"/>
    <col min="16125" max="16125" width="15.109375" style="88" bestFit="1" customWidth="1"/>
    <col min="16126" max="16126" width="8.88671875" style="88"/>
    <col min="16127" max="16127" width="12.33203125" style="88" bestFit="1" customWidth="1"/>
    <col min="16128" max="16371" width="8.88671875" style="88"/>
    <col min="16372" max="16384" width="8.88671875" style="88" customWidth="1"/>
  </cols>
  <sheetData>
    <row r="1" spans="1:20" x14ac:dyDescent="0.2">
      <c r="A1" s="729" t="str">
        <f>'BDJ-6 Base Revenue (Summary)'!A1:I1</f>
        <v>Puget Sound Energy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20" x14ac:dyDescent="0.2">
      <c r="A2" s="729" t="s">
        <v>75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</row>
    <row r="3" spans="1:20" x14ac:dyDescent="0.2">
      <c r="A3" s="729" t="s">
        <v>656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</row>
    <row r="4" spans="1:20" x14ac:dyDescent="0.2">
      <c r="A4" s="729" t="str">
        <f>'BDJ-6 Base Revenue (Summary)'!A4:I4</f>
        <v>2022 General Rate Case (GRC)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</row>
    <row r="5" spans="1:20" x14ac:dyDescent="0.2">
      <c r="A5" s="729" t="str">
        <f>'BDJ-6 Base Revenue (Summary)'!A5:I5</f>
        <v>Test Year Ending June 30, 2021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</row>
    <row r="7" spans="1:20" ht="15" customHeight="1" x14ac:dyDescent="0.2">
      <c r="A7" s="309"/>
      <c r="B7" s="317"/>
      <c r="C7" s="763" t="s">
        <v>20</v>
      </c>
      <c r="D7" s="755" t="s">
        <v>394</v>
      </c>
      <c r="E7" s="756"/>
      <c r="F7" s="758" t="s">
        <v>43</v>
      </c>
      <c r="G7" s="755" t="s">
        <v>456</v>
      </c>
      <c r="H7" s="757"/>
      <c r="I7" s="756"/>
      <c r="J7" s="758" t="s">
        <v>458</v>
      </c>
      <c r="K7" s="761" t="s">
        <v>457</v>
      </c>
    </row>
    <row r="8" spans="1:20" ht="32.25" customHeight="1" x14ac:dyDescent="0.2">
      <c r="A8" s="105" t="s">
        <v>1</v>
      </c>
      <c r="B8" s="101" t="s">
        <v>2</v>
      </c>
      <c r="C8" s="764"/>
      <c r="D8" s="103" t="s">
        <v>316</v>
      </c>
      <c r="E8" s="102" t="s">
        <v>317</v>
      </c>
      <c r="F8" s="759"/>
      <c r="G8" s="101" t="s">
        <v>318</v>
      </c>
      <c r="H8" s="101" t="s">
        <v>320</v>
      </c>
      <c r="I8" s="259" t="s">
        <v>319</v>
      </c>
      <c r="J8" s="759"/>
      <c r="K8" s="762"/>
    </row>
    <row r="9" spans="1:20" x14ac:dyDescent="0.2">
      <c r="A9" s="48"/>
      <c r="B9" s="98" t="s">
        <v>3</v>
      </c>
      <c r="C9" s="97" t="s">
        <v>4</v>
      </c>
      <c r="D9" s="100" t="s">
        <v>5</v>
      </c>
      <c r="E9" s="99" t="s">
        <v>6</v>
      </c>
      <c r="F9" s="96" t="s">
        <v>390</v>
      </c>
      <c r="G9" s="98" t="s">
        <v>21</v>
      </c>
      <c r="H9" s="98" t="s">
        <v>8</v>
      </c>
      <c r="I9" s="97" t="s">
        <v>9</v>
      </c>
      <c r="J9" s="96" t="s">
        <v>22</v>
      </c>
      <c r="K9" s="321" t="s">
        <v>23</v>
      </c>
    </row>
    <row r="10" spans="1:20" x14ac:dyDescent="0.2">
      <c r="A10" s="310"/>
      <c r="B10" s="244" t="s">
        <v>1072</v>
      </c>
      <c r="C10" s="92"/>
      <c r="D10" s="244"/>
      <c r="E10" s="92"/>
      <c r="F10" s="91"/>
      <c r="G10" s="244"/>
      <c r="H10" s="244"/>
      <c r="I10" s="92"/>
      <c r="J10" s="91"/>
      <c r="K10" s="322"/>
      <c r="M10" s="95"/>
    </row>
    <row r="11" spans="1:20" x14ac:dyDescent="0.2">
      <c r="A11" s="311">
        <v>1</v>
      </c>
      <c r="B11" s="244" t="s">
        <v>26</v>
      </c>
      <c r="C11" s="146"/>
      <c r="D11" s="295"/>
      <c r="E11" s="146"/>
      <c r="F11" s="314"/>
      <c r="G11" s="295"/>
      <c r="H11" s="295"/>
      <c r="I11" s="146"/>
      <c r="J11" s="314"/>
      <c r="K11" s="324"/>
      <c r="L11" s="209"/>
      <c r="M11" s="209"/>
      <c r="N11" s="209"/>
      <c r="O11" s="209"/>
      <c r="P11" s="209"/>
      <c r="Q11" s="209"/>
      <c r="R11" s="209"/>
      <c r="S11" s="209"/>
      <c r="T11" s="209"/>
    </row>
    <row r="12" spans="1:20" x14ac:dyDescent="0.2">
      <c r="A12" s="311">
        <f t="shared" ref="A12:A51" si="0">A11+1</f>
        <v>2</v>
      </c>
      <c r="B12" s="245" t="s">
        <v>35</v>
      </c>
      <c r="C12" s="146">
        <f t="shared" ref="C12:C17" si="1">SUM(D12:K12)</f>
        <v>60608997.957916662</v>
      </c>
      <c r="D12" s="295">
        <v>26884580.480796691</v>
      </c>
      <c r="E12" s="146">
        <v>33724417.477119975</v>
      </c>
      <c r="F12" s="314"/>
      <c r="G12" s="295"/>
      <c r="H12" s="295"/>
      <c r="I12" s="146"/>
      <c r="J12" s="314"/>
      <c r="K12" s="324"/>
      <c r="L12" s="209"/>
      <c r="M12" s="209"/>
      <c r="N12" s="209"/>
      <c r="O12" s="209"/>
      <c r="P12" s="209"/>
      <c r="Q12" s="209"/>
      <c r="R12" s="209"/>
      <c r="S12" s="209"/>
      <c r="T12" s="209"/>
    </row>
    <row r="13" spans="1:20" x14ac:dyDescent="0.2">
      <c r="A13" s="311">
        <f t="shared" si="0"/>
        <v>3</v>
      </c>
      <c r="B13" s="245" t="s">
        <v>36</v>
      </c>
      <c r="C13" s="146">
        <f t="shared" si="1"/>
        <v>-28462557.079999998</v>
      </c>
      <c r="D13" s="295">
        <v>-12625252.558008669</v>
      </c>
      <c r="E13" s="146">
        <v>-15837304.521991331</v>
      </c>
      <c r="F13" s="314"/>
      <c r="G13" s="295"/>
      <c r="H13" s="295"/>
      <c r="I13" s="146"/>
      <c r="J13" s="314"/>
      <c r="K13" s="324"/>
      <c r="L13" s="209"/>
      <c r="M13" s="209"/>
      <c r="N13" s="209"/>
      <c r="O13" s="209"/>
      <c r="P13" s="209"/>
      <c r="Q13" s="209"/>
      <c r="R13" s="209"/>
      <c r="S13" s="209"/>
      <c r="T13" s="209"/>
    </row>
    <row r="14" spans="1:20" x14ac:dyDescent="0.2">
      <c r="A14" s="311">
        <f t="shared" si="0"/>
        <v>4</v>
      </c>
      <c r="B14" s="245" t="s">
        <v>37</v>
      </c>
      <c r="C14" s="146">
        <f t="shared" si="1"/>
        <v>56886895.516848847</v>
      </c>
      <c r="D14" s="295">
        <v>50277432.218900025</v>
      </c>
      <c r="E14" s="146"/>
      <c r="F14" s="314"/>
      <c r="G14" s="295"/>
      <c r="H14" s="295"/>
      <c r="I14" s="146"/>
      <c r="J14" s="314">
        <v>4401538.3281535655</v>
      </c>
      <c r="K14" s="324">
        <v>2207924.9697952559</v>
      </c>
      <c r="L14" s="209"/>
      <c r="M14" s="209"/>
      <c r="N14" s="209"/>
      <c r="O14" s="209"/>
      <c r="P14" s="209"/>
      <c r="Q14" s="209"/>
      <c r="R14" s="209"/>
      <c r="S14" s="209"/>
      <c r="T14" s="209"/>
    </row>
    <row r="15" spans="1:20" x14ac:dyDescent="0.2">
      <c r="A15" s="311">
        <f t="shared" si="0"/>
        <v>5</v>
      </c>
      <c r="B15" s="245" t="s">
        <v>38</v>
      </c>
      <c r="C15" s="146">
        <f t="shared" si="1"/>
        <v>-21681335.141657855</v>
      </c>
      <c r="D15" s="295">
        <v>-18749156.690450303</v>
      </c>
      <c r="E15" s="146"/>
      <c r="F15" s="314"/>
      <c r="G15" s="295"/>
      <c r="H15" s="295"/>
      <c r="I15" s="146"/>
      <c r="J15" s="314">
        <v>-1890293.5569989111</v>
      </c>
      <c r="K15" s="324">
        <v>-1041884.8942086416</v>
      </c>
      <c r="L15" s="209"/>
      <c r="M15" s="209"/>
      <c r="N15" s="209"/>
      <c r="O15" s="209"/>
      <c r="P15" s="209"/>
      <c r="Q15" s="209"/>
      <c r="R15" s="209"/>
      <c r="S15" s="209"/>
      <c r="T15" s="209"/>
    </row>
    <row r="16" spans="1:20" x14ac:dyDescent="0.2">
      <c r="A16" s="311">
        <f t="shared" si="0"/>
        <v>6</v>
      </c>
      <c r="B16" s="245" t="s">
        <v>1067</v>
      </c>
      <c r="C16" s="146">
        <f t="shared" si="1"/>
        <v>-3136320.4820895907</v>
      </c>
      <c r="D16" s="295">
        <v>-2863120.5824447526</v>
      </c>
      <c r="E16" s="295"/>
      <c r="F16" s="314"/>
      <c r="G16" s="295"/>
      <c r="H16" s="295"/>
      <c r="I16" s="146"/>
      <c r="J16" s="314">
        <v>-133655.42637755477</v>
      </c>
      <c r="K16" s="324">
        <v>-139544.47326728341</v>
      </c>
      <c r="L16" s="209"/>
      <c r="M16" s="209"/>
      <c r="N16" s="209"/>
      <c r="O16" s="209"/>
      <c r="P16" s="209"/>
      <c r="Q16" s="209"/>
      <c r="R16" s="209"/>
      <c r="S16" s="209"/>
      <c r="T16" s="209"/>
    </row>
    <row r="17" spans="1:20" x14ac:dyDescent="0.2">
      <c r="A17" s="311">
        <f t="shared" si="0"/>
        <v>7</v>
      </c>
      <c r="B17" s="244" t="s">
        <v>27</v>
      </c>
      <c r="C17" s="94">
        <f t="shared" si="1"/>
        <v>64215680.771018066</v>
      </c>
      <c r="D17" s="275">
        <f t="shared" ref="D17:K17" si="2">SUM(D12:D16)</f>
        <v>42924482.868792996</v>
      </c>
      <c r="E17" s="94">
        <f t="shared" si="2"/>
        <v>17887112.955128644</v>
      </c>
      <c r="F17" s="93">
        <f t="shared" si="2"/>
        <v>0</v>
      </c>
      <c r="G17" s="275">
        <f t="shared" si="2"/>
        <v>0</v>
      </c>
      <c r="H17" s="275">
        <f t="shared" si="2"/>
        <v>0</v>
      </c>
      <c r="I17" s="94">
        <f t="shared" si="2"/>
        <v>0</v>
      </c>
      <c r="J17" s="93">
        <f t="shared" si="2"/>
        <v>2377589.3447770993</v>
      </c>
      <c r="K17" s="687">
        <f t="shared" si="2"/>
        <v>1026495.6023193308</v>
      </c>
      <c r="L17" s="209"/>
      <c r="M17" s="209"/>
      <c r="N17" s="209"/>
      <c r="O17" s="209"/>
      <c r="P17" s="209"/>
      <c r="Q17" s="209"/>
      <c r="R17" s="209"/>
      <c r="S17" s="209"/>
      <c r="T17" s="209"/>
    </row>
    <row r="18" spans="1:20" x14ac:dyDescent="0.2">
      <c r="A18" s="311">
        <f t="shared" si="0"/>
        <v>8</v>
      </c>
      <c r="B18" s="312"/>
      <c r="C18" s="146"/>
      <c r="D18" s="295"/>
      <c r="E18" s="146"/>
      <c r="F18" s="314"/>
      <c r="G18" s="295"/>
      <c r="H18" s="295"/>
      <c r="I18" s="146"/>
      <c r="J18" s="314"/>
      <c r="K18" s="324"/>
      <c r="L18" s="209"/>
      <c r="M18" s="209"/>
      <c r="N18" s="209"/>
      <c r="O18" s="209"/>
      <c r="P18" s="209"/>
      <c r="Q18" s="209"/>
      <c r="R18" s="209"/>
      <c r="S18" s="209"/>
      <c r="T18" s="209"/>
    </row>
    <row r="19" spans="1:20" x14ac:dyDescent="0.2">
      <c r="A19" s="311">
        <f t="shared" si="0"/>
        <v>9</v>
      </c>
      <c r="B19" s="244" t="s">
        <v>28</v>
      </c>
      <c r="C19" s="669">
        <v>7.1599999999999997E-2</v>
      </c>
      <c r="D19" s="295"/>
      <c r="E19" s="146"/>
      <c r="F19" s="314"/>
      <c r="G19" s="295"/>
      <c r="H19" s="295"/>
      <c r="I19" s="146"/>
      <c r="J19" s="314"/>
      <c r="K19" s="324"/>
      <c r="L19" s="209"/>
      <c r="M19" s="209"/>
      <c r="N19" s="209"/>
      <c r="O19" s="209"/>
      <c r="P19" s="209"/>
      <c r="Q19" s="209"/>
      <c r="R19" s="209"/>
      <c r="S19" s="209"/>
      <c r="T19" s="209"/>
    </row>
    <row r="20" spans="1:20" x14ac:dyDescent="0.2">
      <c r="A20" s="311">
        <f t="shared" si="0"/>
        <v>10</v>
      </c>
      <c r="B20" s="313" t="s">
        <v>1068</v>
      </c>
      <c r="C20" s="146">
        <f>SUM(D20:K20)</f>
        <v>4597842.7432048926</v>
      </c>
      <c r="D20" s="295">
        <f t="shared" ref="D20:K20" si="3">+D17*$C$19</f>
        <v>3073392.9734055782</v>
      </c>
      <c r="E20" s="146">
        <f t="shared" si="3"/>
        <v>1280717.2875872108</v>
      </c>
      <c r="F20" s="314">
        <f t="shared" si="3"/>
        <v>0</v>
      </c>
      <c r="G20" s="295">
        <f t="shared" si="3"/>
        <v>0</v>
      </c>
      <c r="H20" s="295">
        <f t="shared" si="3"/>
        <v>0</v>
      </c>
      <c r="I20" s="146">
        <f t="shared" si="3"/>
        <v>0</v>
      </c>
      <c r="J20" s="314">
        <f t="shared" si="3"/>
        <v>170235.39708604029</v>
      </c>
      <c r="K20" s="324">
        <f t="shared" si="3"/>
        <v>73497.085126064077</v>
      </c>
      <c r="L20" s="209"/>
      <c r="M20" s="209"/>
      <c r="N20" s="209"/>
      <c r="O20" s="209"/>
      <c r="P20" s="209"/>
      <c r="Q20" s="209"/>
      <c r="R20" s="209"/>
      <c r="S20" s="209"/>
      <c r="T20" s="209"/>
    </row>
    <row r="21" spans="1:20" x14ac:dyDescent="0.2">
      <c r="A21" s="311">
        <f t="shared" si="0"/>
        <v>11</v>
      </c>
      <c r="B21" s="244"/>
      <c r="C21" s="146"/>
      <c r="D21" s="295"/>
      <c r="E21" s="146"/>
      <c r="F21" s="314"/>
      <c r="G21" s="295"/>
      <c r="H21" s="295"/>
      <c r="I21" s="146"/>
      <c r="J21" s="314"/>
      <c r="K21" s="324"/>
      <c r="L21" s="209"/>
      <c r="M21" s="209"/>
      <c r="N21" s="209"/>
      <c r="O21" s="209"/>
      <c r="P21" s="209"/>
      <c r="Q21" s="209"/>
      <c r="R21" s="209"/>
      <c r="S21" s="209"/>
      <c r="T21" s="209"/>
    </row>
    <row r="22" spans="1:20" x14ac:dyDescent="0.2">
      <c r="A22" s="311">
        <f t="shared" si="0"/>
        <v>12</v>
      </c>
      <c r="B22" s="244" t="s">
        <v>24</v>
      </c>
      <c r="C22" s="146"/>
      <c r="D22" s="295"/>
      <c r="E22" s="146"/>
      <c r="F22" s="314"/>
      <c r="G22" s="295"/>
      <c r="H22" s="295"/>
      <c r="I22" s="146"/>
      <c r="J22" s="314"/>
      <c r="K22" s="324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1:20" x14ac:dyDescent="0.2">
      <c r="A23" s="311">
        <f t="shared" si="0"/>
        <v>13</v>
      </c>
      <c r="B23" s="244" t="s">
        <v>29</v>
      </c>
      <c r="C23" s="146">
        <f t="shared" ref="C23:C29" si="4">SUM(D23:K23)</f>
        <v>0</v>
      </c>
      <c r="D23" s="295"/>
      <c r="E23" s="146"/>
      <c r="F23" s="314">
        <v>0</v>
      </c>
      <c r="G23" s="295"/>
      <c r="H23" s="295"/>
      <c r="I23" s="146"/>
      <c r="J23" s="314"/>
      <c r="K23" s="324"/>
      <c r="L23" s="209"/>
      <c r="M23" s="209"/>
      <c r="N23" s="209"/>
      <c r="O23" s="209"/>
      <c r="P23" s="209"/>
      <c r="Q23" s="209"/>
      <c r="R23" s="209"/>
      <c r="S23" s="209"/>
      <c r="T23" s="209"/>
    </row>
    <row r="24" spans="1:20" x14ac:dyDescent="0.2">
      <c r="A24" s="311">
        <f t="shared" si="0"/>
        <v>14</v>
      </c>
      <c r="B24" s="245" t="s">
        <v>30</v>
      </c>
      <c r="C24" s="146">
        <f t="shared" si="4"/>
        <v>2620715.0577569148</v>
      </c>
      <c r="D24" s="295"/>
      <c r="E24" s="146"/>
      <c r="F24" s="314">
        <v>2620715.0577569148</v>
      </c>
      <c r="G24" s="295"/>
      <c r="H24" s="295"/>
      <c r="I24" s="146"/>
      <c r="J24" s="314"/>
      <c r="K24" s="324"/>
      <c r="L24" s="209"/>
      <c r="M24" s="209"/>
      <c r="N24" s="209"/>
      <c r="O24" s="209"/>
      <c r="P24" s="209"/>
      <c r="Q24" s="209"/>
      <c r="R24" s="209"/>
      <c r="S24" s="209"/>
      <c r="T24" s="209"/>
    </row>
    <row r="25" spans="1:20" x14ac:dyDescent="0.2">
      <c r="A25" s="311">
        <f t="shared" si="0"/>
        <v>15</v>
      </c>
      <c r="B25" s="245" t="s">
        <v>31</v>
      </c>
      <c r="C25" s="146">
        <f t="shared" si="4"/>
        <v>0</v>
      </c>
      <c r="D25" s="295"/>
      <c r="E25" s="146"/>
      <c r="F25" s="314"/>
      <c r="G25" s="295">
        <v>0</v>
      </c>
      <c r="H25" s="295">
        <v>0</v>
      </c>
      <c r="I25" s="146">
        <v>0</v>
      </c>
      <c r="J25" s="314"/>
      <c r="K25" s="324"/>
      <c r="L25" s="209"/>
      <c r="M25" s="209"/>
      <c r="N25" s="209"/>
      <c r="O25" s="209"/>
      <c r="P25" s="209"/>
      <c r="Q25" s="209"/>
      <c r="R25" s="209"/>
      <c r="S25" s="209"/>
      <c r="T25" s="209"/>
    </row>
    <row r="26" spans="1:20" x14ac:dyDescent="0.2">
      <c r="A26" s="311">
        <f t="shared" si="0"/>
        <v>16</v>
      </c>
      <c r="B26" s="245" t="s">
        <v>39</v>
      </c>
      <c r="C26" s="146">
        <f t="shared" si="4"/>
        <v>4036655.3760745572</v>
      </c>
      <c r="D26" s="295"/>
      <c r="E26" s="146"/>
      <c r="F26" s="314">
        <v>591909.43691356387</v>
      </c>
      <c r="G26" s="295"/>
      <c r="H26" s="295"/>
      <c r="I26" s="146"/>
      <c r="J26" s="314">
        <v>67826.64113195808</v>
      </c>
      <c r="K26" s="324">
        <v>3376919.2980290353</v>
      </c>
      <c r="L26" s="209"/>
      <c r="M26" s="209"/>
      <c r="N26" s="209"/>
      <c r="O26" s="209"/>
      <c r="P26" s="209"/>
      <c r="Q26" s="209"/>
      <c r="R26" s="209"/>
      <c r="S26" s="209"/>
      <c r="T26" s="209"/>
    </row>
    <row r="27" spans="1:20" x14ac:dyDescent="0.2">
      <c r="A27" s="311">
        <f t="shared" si="0"/>
        <v>17</v>
      </c>
      <c r="B27" s="313" t="s">
        <v>42</v>
      </c>
      <c r="C27" s="146">
        <f t="shared" si="4"/>
        <v>4222422.2924812986</v>
      </c>
      <c r="D27" s="295">
        <v>1750633.5818796896</v>
      </c>
      <c r="E27" s="295">
        <v>2196020.7936645104</v>
      </c>
      <c r="F27" s="314"/>
      <c r="G27" s="295"/>
      <c r="H27" s="295"/>
      <c r="I27" s="146"/>
      <c r="J27" s="314">
        <v>169514.11780986105</v>
      </c>
      <c r="K27" s="324">
        <v>106253.79912723783</v>
      </c>
      <c r="L27" s="209"/>
      <c r="M27" s="209"/>
      <c r="N27" s="209"/>
      <c r="O27" s="209"/>
      <c r="P27" s="209"/>
      <c r="Q27" s="209"/>
      <c r="R27" s="209"/>
      <c r="S27" s="209"/>
      <c r="T27" s="209"/>
    </row>
    <row r="28" spans="1:20" x14ac:dyDescent="0.2">
      <c r="A28" s="311">
        <f t="shared" si="0"/>
        <v>18</v>
      </c>
      <c r="B28" s="313" t="s">
        <v>632</v>
      </c>
      <c r="C28" s="146">
        <f t="shared" si="4"/>
        <v>605768.74367692694</v>
      </c>
      <c r="D28" s="295">
        <v>251154.20298491974</v>
      </c>
      <c r="E28" s="295">
        <v>315051.56640427391</v>
      </c>
      <c r="F28" s="314"/>
      <c r="G28" s="295"/>
      <c r="H28" s="295"/>
      <c r="I28" s="295"/>
      <c r="J28" s="295">
        <v>24319.299934549814</v>
      </c>
      <c r="K28" s="324">
        <v>15243.674353183491</v>
      </c>
      <c r="L28" s="209"/>
      <c r="M28" s="209"/>
      <c r="N28" s="209"/>
      <c r="O28" s="209"/>
      <c r="P28" s="209"/>
      <c r="Q28" s="209"/>
      <c r="R28" s="209"/>
      <c r="S28" s="209"/>
      <c r="T28" s="209"/>
    </row>
    <row r="29" spans="1:20" x14ac:dyDescent="0.2">
      <c r="A29" s="311">
        <f t="shared" si="0"/>
        <v>19</v>
      </c>
      <c r="B29" s="244" t="s">
        <v>40</v>
      </c>
      <c r="C29" s="236">
        <f t="shared" si="4"/>
        <v>1372953.6215776787</v>
      </c>
      <c r="D29" s="235"/>
      <c r="E29" s="236"/>
      <c r="F29" s="237"/>
      <c r="G29" s="323">
        <v>219536.47509427124</v>
      </c>
      <c r="H29" s="323">
        <v>36038.68349932065</v>
      </c>
      <c r="I29" s="323">
        <v>1117378.4629840867</v>
      </c>
      <c r="J29" s="237"/>
      <c r="K29" s="323"/>
      <c r="L29" s="209"/>
      <c r="M29" s="209"/>
      <c r="N29" s="209"/>
      <c r="O29" s="209"/>
      <c r="P29" s="209"/>
      <c r="Q29" s="209"/>
      <c r="R29" s="209"/>
      <c r="S29" s="209"/>
      <c r="T29" s="209"/>
    </row>
    <row r="30" spans="1:20" x14ac:dyDescent="0.2">
      <c r="A30" s="311">
        <f t="shared" si="0"/>
        <v>20</v>
      </c>
      <c r="B30" s="244" t="s">
        <v>44</v>
      </c>
      <c r="C30" s="146">
        <f t="shared" ref="C30:K30" si="5">SUM(C23:C29)</f>
        <v>12858515.091567377</v>
      </c>
      <c r="D30" s="295">
        <f t="shared" si="5"/>
        <v>2001787.7848646094</v>
      </c>
      <c r="E30" s="146">
        <f t="shared" si="5"/>
        <v>2511072.3600687841</v>
      </c>
      <c r="F30" s="314">
        <f t="shared" si="5"/>
        <v>3212624.4946704786</v>
      </c>
      <c r="G30" s="295">
        <f t="shared" si="5"/>
        <v>219536.47509427124</v>
      </c>
      <c r="H30" s="295">
        <f t="shared" si="5"/>
        <v>36038.68349932065</v>
      </c>
      <c r="I30" s="146">
        <f t="shared" si="5"/>
        <v>1117378.4629840867</v>
      </c>
      <c r="J30" s="314">
        <f t="shared" si="5"/>
        <v>261660.05887636894</v>
      </c>
      <c r="K30" s="324">
        <f t="shared" si="5"/>
        <v>3498416.7715094569</v>
      </c>
      <c r="L30" s="209"/>
      <c r="M30" s="209"/>
      <c r="N30" s="209"/>
      <c r="O30" s="209"/>
      <c r="P30" s="209"/>
      <c r="Q30" s="209"/>
      <c r="R30" s="209"/>
      <c r="S30" s="209"/>
      <c r="T30" s="209"/>
    </row>
    <row r="31" spans="1:20" x14ac:dyDescent="0.2">
      <c r="A31" s="311">
        <f t="shared" si="0"/>
        <v>21</v>
      </c>
      <c r="B31" s="244" t="s">
        <v>45</v>
      </c>
      <c r="C31" s="146"/>
      <c r="D31" s="246">
        <f t="shared" ref="D31:K31" si="6">+D30/$C$30</f>
        <v>0.15567799007969305</v>
      </c>
      <c r="E31" s="666">
        <f t="shared" si="6"/>
        <v>0.19528478538828695</v>
      </c>
      <c r="F31" s="667">
        <f t="shared" si="6"/>
        <v>0.24984412832997491</v>
      </c>
      <c r="G31" s="246">
        <f t="shared" si="6"/>
        <v>1.7073236958616116E-2</v>
      </c>
      <c r="H31" s="246">
        <f t="shared" si="6"/>
        <v>2.8027095852580087E-3</v>
      </c>
      <c r="I31" s="666">
        <f t="shared" si="6"/>
        <v>8.6897939227591245E-2</v>
      </c>
      <c r="J31" s="667">
        <f t="shared" si="6"/>
        <v>2.034916605945937E-2</v>
      </c>
      <c r="K31" s="668">
        <f t="shared" si="6"/>
        <v>0.27207004437112037</v>
      </c>
      <c r="L31" s="209"/>
      <c r="M31" s="209"/>
      <c r="N31" s="209"/>
      <c r="O31" s="209"/>
      <c r="P31" s="209"/>
      <c r="Q31" s="209"/>
      <c r="R31" s="209"/>
      <c r="S31" s="209"/>
      <c r="T31" s="209"/>
    </row>
    <row r="32" spans="1:20" x14ac:dyDescent="0.2">
      <c r="A32" s="311">
        <f t="shared" si="0"/>
        <v>22</v>
      </c>
      <c r="B32" s="245" t="s">
        <v>41</v>
      </c>
      <c r="C32" s="146">
        <v>1352719.2612585388</v>
      </c>
      <c r="D32" s="295">
        <f t="shared" ref="D32:K32" si="7">$C$32*D31</f>
        <v>210588.6157348165</v>
      </c>
      <c r="E32" s="146">
        <f t="shared" si="7"/>
        <v>264165.49062547582</v>
      </c>
      <c r="F32" s="314">
        <f t="shared" si="7"/>
        <v>337968.9647043072</v>
      </c>
      <c r="G32" s="295">
        <f t="shared" si="7"/>
        <v>23095.296485951174</v>
      </c>
      <c r="H32" s="295">
        <f t="shared" si="7"/>
        <v>3791.2792396924392</v>
      </c>
      <c r="I32" s="146">
        <f t="shared" si="7"/>
        <v>117548.51615683663</v>
      </c>
      <c r="J32" s="314">
        <f t="shared" si="7"/>
        <v>27526.708879179208</v>
      </c>
      <c r="K32" s="324">
        <f t="shared" si="7"/>
        <v>368034.3894322798</v>
      </c>
      <c r="L32" s="209"/>
      <c r="M32" s="209"/>
      <c r="N32" s="209"/>
      <c r="O32" s="209"/>
      <c r="P32" s="209"/>
      <c r="Q32" s="209"/>
      <c r="R32" s="209"/>
      <c r="S32" s="209"/>
      <c r="T32" s="209"/>
    </row>
    <row r="33" spans="1:20" x14ac:dyDescent="0.2">
      <c r="A33" s="311">
        <f t="shared" si="0"/>
        <v>23</v>
      </c>
      <c r="B33" s="244" t="s">
        <v>46</v>
      </c>
      <c r="C33" s="146">
        <f>SUM(D33:K33)</f>
        <v>14211234.352825914</v>
      </c>
      <c r="D33" s="295">
        <f t="shared" ref="D33:K33" si="8">SUM(D30,D32)</f>
        <v>2212376.4005994257</v>
      </c>
      <c r="E33" s="146">
        <f t="shared" si="8"/>
        <v>2775237.8506942601</v>
      </c>
      <c r="F33" s="314">
        <f t="shared" si="8"/>
        <v>3550593.4593747859</v>
      </c>
      <c r="G33" s="295">
        <f t="shared" si="8"/>
        <v>242631.77158022241</v>
      </c>
      <c r="H33" s="295">
        <f t="shared" si="8"/>
        <v>39829.962739013092</v>
      </c>
      <c r="I33" s="146">
        <f t="shared" si="8"/>
        <v>1234926.9791409234</v>
      </c>
      <c r="J33" s="314">
        <f t="shared" si="8"/>
        <v>289186.76775554818</v>
      </c>
      <c r="K33" s="324">
        <f t="shared" si="8"/>
        <v>3866451.1609417368</v>
      </c>
      <c r="L33" s="209"/>
      <c r="M33" s="209"/>
      <c r="N33" s="209"/>
      <c r="O33" s="209"/>
      <c r="P33" s="209"/>
      <c r="Q33" s="209"/>
      <c r="R33" s="209"/>
      <c r="S33" s="209"/>
      <c r="T33" s="209"/>
    </row>
    <row r="34" spans="1:20" x14ac:dyDescent="0.2">
      <c r="A34" s="311">
        <f t="shared" si="0"/>
        <v>24</v>
      </c>
      <c r="B34" s="312"/>
      <c r="C34" s="146"/>
      <c r="D34" s="295"/>
      <c r="E34" s="146"/>
      <c r="F34" s="314"/>
      <c r="G34" s="295"/>
      <c r="H34" s="295"/>
      <c r="I34" s="146"/>
      <c r="J34" s="314"/>
      <c r="K34" s="324"/>
      <c r="L34" s="209"/>
      <c r="M34" s="209"/>
      <c r="N34" s="209"/>
      <c r="O34" s="209"/>
      <c r="P34" s="209"/>
      <c r="Q34" s="209"/>
      <c r="R34" s="209"/>
      <c r="S34" s="209"/>
      <c r="T34" s="209"/>
    </row>
    <row r="35" spans="1:20" x14ac:dyDescent="0.2">
      <c r="A35" s="311">
        <f t="shared" si="0"/>
        <v>25</v>
      </c>
      <c r="B35" s="244" t="s">
        <v>25</v>
      </c>
      <c r="C35" s="146">
        <f>SUM(D35:K35)</f>
        <v>18809077.096030809</v>
      </c>
      <c r="D35" s="295">
        <f t="shared" ref="D35:K35" si="9">SUM(D20,D33)</f>
        <v>5285769.3740050038</v>
      </c>
      <c r="E35" s="146">
        <f t="shared" si="9"/>
        <v>4055955.1382814711</v>
      </c>
      <c r="F35" s="314">
        <f t="shared" si="9"/>
        <v>3550593.4593747859</v>
      </c>
      <c r="G35" s="295">
        <f t="shared" si="9"/>
        <v>242631.77158022241</v>
      </c>
      <c r="H35" s="295">
        <f t="shared" si="9"/>
        <v>39829.962739013092</v>
      </c>
      <c r="I35" s="146">
        <f t="shared" si="9"/>
        <v>1234926.9791409234</v>
      </c>
      <c r="J35" s="314">
        <f t="shared" si="9"/>
        <v>459422.16484158847</v>
      </c>
      <c r="K35" s="324">
        <f t="shared" si="9"/>
        <v>3939948.246067801</v>
      </c>
      <c r="L35" s="209"/>
      <c r="M35" s="209"/>
      <c r="N35" s="209"/>
      <c r="O35" s="209"/>
      <c r="P35" s="209"/>
      <c r="Q35" s="209"/>
      <c r="R35" s="209"/>
      <c r="S35" s="209"/>
      <c r="T35" s="209"/>
    </row>
    <row r="36" spans="1:20" x14ac:dyDescent="0.2">
      <c r="A36" s="311">
        <f t="shared" si="0"/>
        <v>26</v>
      </c>
      <c r="B36" s="244"/>
      <c r="C36" s="146"/>
      <c r="D36" s="246">
        <f t="shared" ref="D36:K36" si="10">+D35/$C$35</f>
        <v>0.28102226106141248</v>
      </c>
      <c r="E36" s="666">
        <f t="shared" si="10"/>
        <v>0.21563817924577386</v>
      </c>
      <c r="F36" s="667">
        <f t="shared" si="10"/>
        <v>0.18877021138501532</v>
      </c>
      <c r="G36" s="246">
        <f t="shared" si="10"/>
        <v>1.2899717000544585E-2</v>
      </c>
      <c r="H36" s="246">
        <f t="shared" si="10"/>
        <v>2.1175926142287024E-3</v>
      </c>
      <c r="I36" s="666">
        <f t="shared" si="10"/>
        <v>6.5655905009902066E-2</v>
      </c>
      <c r="J36" s="667">
        <f t="shared" si="10"/>
        <v>2.4425555942802647E-2</v>
      </c>
      <c r="K36" s="668">
        <f t="shared" si="10"/>
        <v>0.20947057774032038</v>
      </c>
      <c r="L36" s="209"/>
      <c r="M36" s="209"/>
      <c r="N36" s="209"/>
      <c r="O36" s="209"/>
      <c r="P36" s="209"/>
      <c r="Q36" s="209"/>
      <c r="R36" s="209"/>
      <c r="S36" s="209"/>
      <c r="T36" s="209"/>
    </row>
    <row r="37" spans="1:20" x14ac:dyDescent="0.2">
      <c r="A37" s="311">
        <f t="shared" si="0"/>
        <v>27</v>
      </c>
      <c r="B37" s="244" t="s">
        <v>32</v>
      </c>
      <c r="C37" s="146">
        <v>-78108.469266157597</v>
      </c>
      <c r="D37" s="295">
        <f t="shared" ref="D37:K37" si="11">$C$37*D36</f>
        <v>-21950.218641221454</v>
      </c>
      <c r="E37" s="146">
        <f t="shared" si="11"/>
        <v>-16843.16809622871</v>
      </c>
      <c r="F37" s="314">
        <f t="shared" si="11"/>
        <v>-14744.552254332542</v>
      </c>
      <c r="G37" s="295">
        <f t="shared" si="11"/>
        <v>-1007.5771488791673</v>
      </c>
      <c r="H37" s="295">
        <f t="shared" si="11"/>
        <v>-165.40191762672492</v>
      </c>
      <c r="I37" s="146">
        <f t="shared" si="11"/>
        <v>-5128.2822386076978</v>
      </c>
      <c r="J37" s="314">
        <f t="shared" si="11"/>
        <v>-1907.8427856672135</v>
      </c>
      <c r="K37" s="324">
        <f t="shared" si="11"/>
        <v>-16361.426183594091</v>
      </c>
      <c r="L37" s="209"/>
      <c r="M37" s="209"/>
      <c r="N37" s="209"/>
      <c r="O37" s="209"/>
      <c r="P37" s="209"/>
      <c r="Q37" s="209"/>
      <c r="R37" s="209"/>
      <c r="S37" s="209"/>
      <c r="T37" s="209"/>
    </row>
    <row r="38" spans="1:20" x14ac:dyDescent="0.2">
      <c r="A38" s="311">
        <f t="shared" si="0"/>
        <v>28</v>
      </c>
      <c r="B38" s="244"/>
      <c r="C38" s="146"/>
      <c r="D38" s="246"/>
      <c r="E38" s="146"/>
      <c r="F38" s="314"/>
      <c r="G38" s="295"/>
      <c r="H38" s="295"/>
      <c r="I38" s="146"/>
      <c r="J38" s="314"/>
      <c r="K38" s="324"/>
      <c r="L38" s="209"/>
      <c r="M38" s="209"/>
      <c r="N38" s="209"/>
      <c r="O38" s="209"/>
      <c r="P38" s="209"/>
      <c r="Q38" s="209"/>
      <c r="R38" s="209"/>
      <c r="S38" s="209"/>
      <c r="T38" s="209"/>
    </row>
    <row r="39" spans="1:20" x14ac:dyDescent="0.2">
      <c r="A39" s="311">
        <f t="shared" si="0"/>
        <v>29</v>
      </c>
      <c r="B39" s="245" t="s">
        <v>1069</v>
      </c>
      <c r="C39" s="146">
        <v>17776464.154850233</v>
      </c>
      <c r="D39" s="295">
        <f t="shared" ref="D39:K39" si="12">$C$39*D36</f>
        <v>4995582.1504731635</v>
      </c>
      <c r="E39" s="146">
        <f t="shared" si="12"/>
        <v>3833284.3637796687</v>
      </c>
      <c r="F39" s="314">
        <f t="shared" si="12"/>
        <v>3355666.8961892263</v>
      </c>
      <c r="G39" s="295">
        <f t="shared" si="12"/>
        <v>229311.35686789299</v>
      </c>
      <c r="H39" s="295">
        <f t="shared" si="12"/>
        <v>37643.309201412128</v>
      </c>
      <c r="I39" s="146">
        <f t="shared" si="12"/>
        <v>1167129.8419627759</v>
      </c>
      <c r="J39" s="314">
        <f t="shared" si="12"/>
        <v>434200.01967952034</v>
      </c>
      <c r="K39" s="324">
        <f t="shared" si="12"/>
        <v>3723646.2166965744</v>
      </c>
      <c r="L39" s="209"/>
      <c r="M39" s="209"/>
      <c r="N39" s="209"/>
      <c r="O39" s="209"/>
      <c r="P39" s="209"/>
      <c r="Q39" s="209"/>
      <c r="R39" s="209"/>
      <c r="S39" s="209"/>
      <c r="T39" s="209"/>
    </row>
    <row r="40" spans="1:20" x14ac:dyDescent="0.2">
      <c r="A40" s="311">
        <f t="shared" si="0"/>
        <v>30</v>
      </c>
      <c r="B40" s="244"/>
      <c r="C40" s="146"/>
      <c r="D40" s="295"/>
      <c r="E40" s="146"/>
      <c r="F40" s="314"/>
      <c r="G40" s="295"/>
      <c r="H40" s="295"/>
      <c r="I40" s="146"/>
      <c r="J40" s="314"/>
      <c r="K40" s="324"/>
      <c r="L40" s="209"/>
      <c r="M40" s="209"/>
      <c r="N40" s="209"/>
      <c r="O40" s="209"/>
      <c r="P40" s="209"/>
      <c r="Q40" s="209"/>
      <c r="R40" s="209"/>
      <c r="S40" s="209"/>
      <c r="T40" s="209"/>
    </row>
    <row r="41" spans="1:20" x14ac:dyDescent="0.2">
      <c r="A41" s="311">
        <f t="shared" si="0"/>
        <v>31</v>
      </c>
      <c r="B41" s="244"/>
      <c r="C41" s="669">
        <f>'Rate Spread Lighting'!N27/C39-1</f>
        <v>-3.6464628128725529E-2</v>
      </c>
      <c r="D41" s="247">
        <f t="shared" ref="D41:K41" si="13">$C$41</f>
        <v>-3.6464628128725529E-2</v>
      </c>
      <c r="E41" s="669">
        <f t="shared" si="13"/>
        <v>-3.6464628128725529E-2</v>
      </c>
      <c r="F41" s="670">
        <f t="shared" si="13"/>
        <v>-3.6464628128725529E-2</v>
      </c>
      <c r="G41" s="247">
        <f t="shared" si="13"/>
        <v>-3.6464628128725529E-2</v>
      </c>
      <c r="H41" s="247">
        <f t="shared" si="13"/>
        <v>-3.6464628128725529E-2</v>
      </c>
      <c r="I41" s="669">
        <f t="shared" si="13"/>
        <v>-3.6464628128725529E-2</v>
      </c>
      <c r="J41" s="670">
        <f t="shared" si="13"/>
        <v>-3.6464628128725529E-2</v>
      </c>
      <c r="K41" s="671">
        <f t="shared" si="13"/>
        <v>-3.6464628128725529E-2</v>
      </c>
      <c r="L41" s="209"/>
      <c r="M41" s="209"/>
      <c r="N41" s="209"/>
      <c r="O41" s="209"/>
      <c r="P41" s="209"/>
      <c r="Q41" s="209"/>
      <c r="R41" s="209"/>
      <c r="S41" s="209"/>
      <c r="T41" s="209"/>
    </row>
    <row r="42" spans="1:20" x14ac:dyDescent="0.2">
      <c r="A42" s="311">
        <f t="shared" si="0"/>
        <v>32</v>
      </c>
      <c r="B42" s="244" t="s">
        <v>1070</v>
      </c>
      <c r="C42" s="146">
        <f>SUM(D42:K42)</f>
        <v>-648212.154850233</v>
      </c>
      <c r="D42" s="295">
        <f t="shared" ref="D42:K42" si="14">D39*D41</f>
        <v>-182162.04540350288</v>
      </c>
      <c r="E42" s="146">
        <f t="shared" si="14"/>
        <v>-139779.28883688385</v>
      </c>
      <c r="F42" s="314">
        <f t="shared" si="14"/>
        <v>-122363.14549341475</v>
      </c>
      <c r="G42" s="295">
        <f t="shared" si="14"/>
        <v>-8361.7533538811895</v>
      </c>
      <c r="H42" s="295">
        <f t="shared" si="14"/>
        <v>-1372.6492715641252</v>
      </c>
      <c r="I42" s="146">
        <f t="shared" si="14"/>
        <v>-42558.955665110821</v>
      </c>
      <c r="J42" s="314">
        <f t="shared" si="14"/>
        <v>-15832.942251099015</v>
      </c>
      <c r="K42" s="324">
        <f t="shared" si="14"/>
        <v>-135781.3745747763</v>
      </c>
      <c r="L42" s="209"/>
      <c r="M42" s="209"/>
      <c r="N42" s="209"/>
      <c r="O42" s="209"/>
      <c r="P42" s="209"/>
      <c r="Q42" s="209"/>
      <c r="R42" s="209"/>
      <c r="S42" s="209"/>
      <c r="T42" s="209"/>
    </row>
    <row r="43" spans="1:20" x14ac:dyDescent="0.2">
      <c r="A43" s="311">
        <f t="shared" si="0"/>
        <v>33</v>
      </c>
      <c r="B43" s="244" t="s">
        <v>1071</v>
      </c>
      <c r="C43" s="146">
        <f>SUM(D43:K43)</f>
        <v>17128252</v>
      </c>
      <c r="D43" s="295">
        <f t="shared" ref="D43:K43" si="15">D42+D39</f>
        <v>4813420.1050696606</v>
      </c>
      <c r="E43" s="146">
        <f t="shared" si="15"/>
        <v>3693505.0749427848</v>
      </c>
      <c r="F43" s="314">
        <f t="shared" si="15"/>
        <v>3233303.7506958116</v>
      </c>
      <c r="G43" s="295">
        <f t="shared" si="15"/>
        <v>220949.6035140118</v>
      </c>
      <c r="H43" s="295">
        <f t="shared" si="15"/>
        <v>36270.659929848</v>
      </c>
      <c r="I43" s="146">
        <f t="shared" si="15"/>
        <v>1124570.8862976651</v>
      </c>
      <c r="J43" s="314">
        <f t="shared" si="15"/>
        <v>418367.0774284213</v>
      </c>
      <c r="K43" s="324">
        <f t="shared" si="15"/>
        <v>3587864.8421217981</v>
      </c>
      <c r="L43" s="209"/>
      <c r="M43" s="209"/>
      <c r="N43" s="209"/>
      <c r="O43" s="209"/>
      <c r="P43" s="209"/>
      <c r="Q43" s="209"/>
      <c r="R43" s="209"/>
      <c r="S43" s="209"/>
      <c r="T43" s="209"/>
    </row>
    <row r="44" spans="1:20" x14ac:dyDescent="0.2">
      <c r="A44" s="311">
        <f t="shared" si="0"/>
        <v>34</v>
      </c>
      <c r="B44" s="244"/>
      <c r="C44" s="315"/>
      <c r="D44" s="496"/>
      <c r="E44" s="315"/>
      <c r="F44" s="316"/>
      <c r="G44" s="496"/>
      <c r="H44" s="496"/>
      <c r="I44" s="315"/>
      <c r="J44" s="316"/>
      <c r="K44" s="325"/>
      <c r="L44" s="209"/>
      <c r="M44" s="209"/>
      <c r="N44" s="209"/>
      <c r="O44" s="209"/>
      <c r="P44" s="209"/>
      <c r="Q44" s="209"/>
      <c r="R44" s="209"/>
      <c r="S44" s="209"/>
      <c r="T44" s="209"/>
    </row>
    <row r="45" spans="1:20" x14ac:dyDescent="0.2">
      <c r="A45" s="311">
        <f t="shared" si="0"/>
        <v>35</v>
      </c>
      <c r="B45" s="244" t="s">
        <v>411</v>
      </c>
      <c r="C45" s="94">
        <f>SUM(D45:K45)</f>
        <v>17050143.530733846</v>
      </c>
      <c r="D45" s="275">
        <f>+D43+D37</f>
        <v>4791469.8864284391</v>
      </c>
      <c r="E45" s="275">
        <f t="shared" ref="E45:K45" si="16">+E43+E37</f>
        <v>3676661.9068465563</v>
      </c>
      <c r="F45" s="275">
        <f t="shared" si="16"/>
        <v>3218559.1984414789</v>
      </c>
      <c r="G45" s="275">
        <f t="shared" si="16"/>
        <v>219942.02636513262</v>
      </c>
      <c r="H45" s="275">
        <f t="shared" si="16"/>
        <v>36105.258012221275</v>
      </c>
      <c r="I45" s="275">
        <f t="shared" si="16"/>
        <v>1119442.6040590573</v>
      </c>
      <c r="J45" s="275">
        <f t="shared" si="16"/>
        <v>416459.23464275408</v>
      </c>
      <c r="K45" s="324">
        <f t="shared" si="16"/>
        <v>3571503.4159382042</v>
      </c>
      <c r="L45" s="209"/>
      <c r="M45" s="209"/>
      <c r="N45" s="209"/>
      <c r="O45" s="209"/>
      <c r="P45" s="209"/>
      <c r="Q45" s="209"/>
      <c r="R45" s="209"/>
      <c r="S45" s="209"/>
      <c r="T45" s="209"/>
    </row>
    <row r="46" spans="1:20" x14ac:dyDescent="0.2">
      <c r="A46" s="311">
        <f t="shared" si="0"/>
        <v>36</v>
      </c>
      <c r="B46" s="312"/>
      <c r="C46" s="146"/>
      <c r="D46" s="496"/>
      <c r="E46" s="315"/>
      <c r="F46" s="316"/>
      <c r="G46" s="496"/>
      <c r="H46" s="496"/>
      <c r="I46" s="315"/>
      <c r="J46" s="316"/>
      <c r="K46" s="326"/>
      <c r="L46" s="209"/>
      <c r="M46" s="209"/>
      <c r="N46" s="209"/>
      <c r="O46" s="209"/>
      <c r="P46" s="209"/>
      <c r="Q46" s="209"/>
      <c r="R46" s="209"/>
      <c r="S46" s="209"/>
      <c r="T46" s="209"/>
    </row>
    <row r="47" spans="1:20" x14ac:dyDescent="0.2">
      <c r="A47" s="311">
        <f t="shared" si="0"/>
        <v>37</v>
      </c>
      <c r="B47" s="244"/>
      <c r="C47" s="146"/>
      <c r="D47" s="496"/>
      <c r="E47" s="315"/>
      <c r="F47" s="316"/>
      <c r="G47" s="496"/>
      <c r="H47" s="496"/>
      <c r="I47" s="315"/>
      <c r="J47" s="316"/>
      <c r="K47" s="326"/>
      <c r="L47" s="209"/>
      <c r="M47" s="209"/>
      <c r="N47" s="209"/>
      <c r="O47" s="209"/>
      <c r="P47" s="209"/>
      <c r="Q47" s="209"/>
      <c r="R47" s="209"/>
      <c r="S47" s="209"/>
      <c r="T47" s="209"/>
    </row>
    <row r="48" spans="1:20" x14ac:dyDescent="0.2">
      <c r="A48" s="311">
        <f t="shared" si="0"/>
        <v>38</v>
      </c>
      <c r="B48" s="244"/>
      <c r="C48" s="669">
        <f>(((C43*('Rate Spread Lighting'!I27+1))/C45)-1)</f>
        <v>-1.4759034911283053E-2</v>
      </c>
      <c r="D48" s="247">
        <f t="shared" ref="D48:K48" si="17">$C$48</f>
        <v>-1.4759034911283053E-2</v>
      </c>
      <c r="E48" s="669">
        <f t="shared" si="17"/>
        <v>-1.4759034911283053E-2</v>
      </c>
      <c r="F48" s="670">
        <f t="shared" si="17"/>
        <v>-1.4759034911283053E-2</v>
      </c>
      <c r="G48" s="247">
        <f t="shared" si="17"/>
        <v>-1.4759034911283053E-2</v>
      </c>
      <c r="H48" s="247">
        <f t="shared" si="17"/>
        <v>-1.4759034911283053E-2</v>
      </c>
      <c r="I48" s="669">
        <f t="shared" si="17"/>
        <v>-1.4759034911283053E-2</v>
      </c>
      <c r="J48" s="670">
        <f t="shared" si="17"/>
        <v>-1.4759034911283053E-2</v>
      </c>
      <c r="K48" s="671">
        <f t="shared" si="17"/>
        <v>-1.4759034911283053E-2</v>
      </c>
      <c r="L48" s="209"/>
      <c r="M48" s="209"/>
      <c r="N48" s="209"/>
      <c r="O48" s="209"/>
      <c r="P48" s="209"/>
      <c r="Q48" s="209"/>
      <c r="R48" s="209"/>
      <c r="S48" s="209"/>
      <c r="T48" s="209"/>
    </row>
    <row r="49" spans="1:20" x14ac:dyDescent="0.2">
      <c r="A49" s="311">
        <f t="shared" si="0"/>
        <v>39</v>
      </c>
      <c r="B49" s="244" t="s">
        <v>449</v>
      </c>
      <c r="C49" s="146">
        <f>SUM(D49:K49)</f>
        <v>-251643.6636124877</v>
      </c>
      <c r="D49" s="295">
        <f t="shared" ref="D49:K49" si="18">D45*D48</f>
        <v>-70717.471330158776</v>
      </c>
      <c r="E49" s="146">
        <f t="shared" si="18"/>
        <v>-54263.981440132848</v>
      </c>
      <c r="F49" s="314">
        <f t="shared" si="18"/>
        <v>-47502.827573828989</v>
      </c>
      <c r="G49" s="295">
        <f t="shared" si="18"/>
        <v>-3246.1320455813302</v>
      </c>
      <c r="H49" s="295">
        <f t="shared" si="18"/>
        <v>-532.87876348325597</v>
      </c>
      <c r="I49" s="146">
        <f t="shared" si="18"/>
        <v>-16521.892474485237</v>
      </c>
      <c r="J49" s="314">
        <f t="shared" si="18"/>
        <v>-6146.5363832186285</v>
      </c>
      <c r="K49" s="324">
        <f t="shared" si="18"/>
        <v>-52711.943601598636</v>
      </c>
      <c r="L49" s="209"/>
      <c r="M49" s="209"/>
      <c r="N49" s="209"/>
      <c r="O49" s="209"/>
      <c r="P49" s="209"/>
      <c r="Q49" s="209"/>
      <c r="R49" s="209"/>
      <c r="S49" s="209"/>
      <c r="T49" s="209"/>
    </row>
    <row r="50" spans="1:20" x14ac:dyDescent="0.2">
      <c r="A50" s="311">
        <f t="shared" si="0"/>
        <v>40</v>
      </c>
      <c r="B50" s="244"/>
      <c r="C50" s="146"/>
      <c r="D50" s="295"/>
      <c r="E50" s="146"/>
      <c r="F50" s="314"/>
      <c r="G50" s="295"/>
      <c r="H50" s="295"/>
      <c r="I50" s="146"/>
      <c r="J50" s="314"/>
      <c r="K50" s="324"/>
      <c r="L50" s="209"/>
      <c r="M50" s="209"/>
      <c r="N50" s="209"/>
      <c r="O50" s="209"/>
      <c r="P50" s="209"/>
      <c r="Q50" s="209"/>
      <c r="R50" s="209"/>
      <c r="S50" s="209"/>
      <c r="T50" s="209"/>
    </row>
    <row r="51" spans="1:20" ht="10.8" thickBot="1" x14ac:dyDescent="0.25">
      <c r="A51" s="311">
        <f t="shared" si="0"/>
        <v>41</v>
      </c>
      <c r="B51" s="244" t="s">
        <v>33</v>
      </c>
      <c r="C51" s="672">
        <f>SUM(D51:K51)</f>
        <v>16798499.867121357</v>
      </c>
      <c r="D51" s="147">
        <f t="shared" ref="D51:K51" si="19">D49+D45</f>
        <v>4720752.4150982806</v>
      </c>
      <c r="E51" s="672">
        <f t="shared" si="19"/>
        <v>3622397.9254064234</v>
      </c>
      <c r="F51" s="673">
        <f t="shared" si="19"/>
        <v>3171056.37086765</v>
      </c>
      <c r="G51" s="147">
        <f t="shared" si="19"/>
        <v>216695.8943195513</v>
      </c>
      <c r="H51" s="147">
        <f t="shared" si="19"/>
        <v>35572.37924873802</v>
      </c>
      <c r="I51" s="672">
        <f t="shared" si="19"/>
        <v>1102920.711584572</v>
      </c>
      <c r="J51" s="673">
        <f t="shared" si="19"/>
        <v>410312.69825953542</v>
      </c>
      <c r="K51" s="674">
        <f t="shared" si="19"/>
        <v>3518791.4723366057</v>
      </c>
      <c r="L51" s="209"/>
      <c r="M51" s="209"/>
      <c r="N51" s="209"/>
      <c r="O51" s="209"/>
      <c r="P51" s="209"/>
      <c r="Q51" s="209"/>
      <c r="R51" s="209"/>
      <c r="S51" s="209"/>
      <c r="T51" s="209"/>
    </row>
    <row r="52" spans="1:20" ht="10.8" thickTop="1" x14ac:dyDescent="0.2">
      <c r="A52" s="310"/>
      <c r="B52" s="244"/>
      <c r="C52" s="295"/>
      <c r="D52" s="244"/>
      <c r="E52" s="244"/>
      <c r="F52" s="244"/>
      <c r="G52" s="244"/>
      <c r="H52" s="244"/>
      <c r="I52" s="244"/>
      <c r="J52" s="244"/>
      <c r="K52" s="244"/>
    </row>
    <row r="53" spans="1:20" x14ac:dyDescent="0.2">
      <c r="A53" s="310"/>
      <c r="B53" s="244" t="s">
        <v>34</v>
      </c>
      <c r="C53" s="244"/>
      <c r="D53" s="244"/>
      <c r="E53" s="244"/>
      <c r="F53" s="244"/>
      <c r="G53" s="244"/>
      <c r="H53" s="244"/>
      <c r="I53" s="244"/>
      <c r="J53" s="244"/>
      <c r="K53" s="244"/>
    </row>
    <row r="54" spans="1:20" x14ac:dyDescent="0.2">
      <c r="A54" s="310"/>
      <c r="C54" s="90"/>
      <c r="J54" s="90"/>
    </row>
    <row r="55" spans="1:20" ht="13.8" x14ac:dyDescent="0.3">
      <c r="B55" s="641"/>
      <c r="C55" s="89"/>
    </row>
    <row r="56" spans="1:20" x14ac:dyDescent="0.2">
      <c r="C56" s="318"/>
    </row>
    <row r="57" spans="1:20" x14ac:dyDescent="0.2">
      <c r="C57" s="90"/>
      <c r="E57" s="319"/>
    </row>
    <row r="58" spans="1:20" x14ac:dyDescent="0.2">
      <c r="C58" s="90"/>
      <c r="E58" s="90"/>
    </row>
    <row r="59" spans="1:20" x14ac:dyDescent="0.2">
      <c r="F59" s="90"/>
      <c r="H59" s="90"/>
    </row>
    <row r="60" spans="1:20" x14ac:dyDescent="0.2">
      <c r="F60" s="90"/>
    </row>
    <row r="61" spans="1:20" x14ac:dyDescent="0.2">
      <c r="C61" s="90"/>
      <c r="E61" s="90"/>
      <c r="F61" s="90"/>
    </row>
    <row r="63" spans="1:20" x14ac:dyDescent="0.2">
      <c r="F63" s="90"/>
    </row>
    <row r="65" spans="3:6" x14ac:dyDescent="0.2">
      <c r="F65" s="320"/>
    </row>
    <row r="66" spans="3:6" x14ac:dyDescent="0.2">
      <c r="C66" s="90"/>
      <c r="F66" s="90"/>
    </row>
    <row r="67" spans="3:6" x14ac:dyDescent="0.2">
      <c r="C67" s="90"/>
      <c r="E67" s="90"/>
      <c r="F67" s="90"/>
    </row>
    <row r="68" spans="3:6" x14ac:dyDescent="0.2">
      <c r="F68" s="90"/>
    </row>
  </sheetData>
  <mergeCells count="11">
    <mergeCell ref="D7:E7"/>
    <mergeCell ref="G7:I7"/>
    <mergeCell ref="F7:F8"/>
    <mergeCell ref="J7:J8"/>
    <mergeCell ref="A1:K1"/>
    <mergeCell ref="A4:K4"/>
    <mergeCell ref="A5:K5"/>
    <mergeCell ref="A2:K2"/>
    <mergeCell ref="A3:K3"/>
    <mergeCell ref="K7:K8"/>
    <mergeCell ref="C7:C8"/>
  </mergeCells>
  <printOptions horizontalCentered="1"/>
  <pageMargins left="0.75" right="0.75" top="1" bottom="1" header="0.5" footer="0.5"/>
  <pageSetup scale="74" orientation="landscape" r:id="rId1"/>
  <headerFooter alignWithMargins="0"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G233"/>
  <sheetViews>
    <sheetView zoomScaleNormal="100" workbookViewId="0">
      <pane ySplit="8" topLeftCell="A9" activePane="bottomLeft" state="frozen"/>
      <selection activeCell="D32" sqref="D32"/>
      <selection pane="bottomLeft" activeCell="P15" sqref="P15"/>
    </sheetView>
  </sheetViews>
  <sheetFormatPr defaultColWidth="9.109375" defaultRowHeight="10.199999999999999" x14ac:dyDescent="0.2"/>
  <cols>
    <col min="1" max="1" width="9.109375" style="621" bestFit="1" customWidth="1"/>
    <col min="2" max="2" width="17.44140625" style="244" customWidth="1"/>
    <col min="3" max="3" width="22.109375" style="244" bestFit="1" customWidth="1"/>
    <col min="4" max="4" width="16.88671875" style="244" bestFit="1" customWidth="1"/>
    <col min="5" max="5" width="12" style="244" bestFit="1" customWidth="1"/>
    <col min="6" max="6" width="8.33203125" style="244" bestFit="1" customWidth="1"/>
    <col min="7" max="7" width="8.33203125" style="177" bestFit="1" customWidth="1"/>
    <col min="8" max="8" width="9" style="177" bestFit="1" customWidth="1"/>
    <col min="9" max="10" width="8.33203125" style="177" bestFit="1" customWidth="1"/>
    <col min="11" max="13" width="12.6640625" style="177" bestFit="1" customWidth="1"/>
    <col min="14" max="14" width="0.6640625" style="177" customWidth="1"/>
    <col min="15" max="17" width="12.6640625" style="177" bestFit="1" customWidth="1"/>
    <col min="18" max="18" width="0.6640625" style="177" customWidth="1"/>
    <col min="19" max="21" width="12.6640625" style="177" bestFit="1" customWidth="1"/>
    <col min="22" max="22" width="0.6640625" style="177" customWidth="1"/>
    <col min="23" max="25" width="12.6640625" style="177" bestFit="1" customWidth="1"/>
    <col min="26" max="26" width="0.88671875" style="177" customWidth="1"/>
    <col min="27" max="29" width="12.6640625" style="177" customWidth="1"/>
    <col min="30" max="30" width="0.6640625" style="177" customWidth="1"/>
    <col min="31" max="32" width="12.6640625" style="177" bestFit="1" customWidth="1"/>
    <col min="33" max="33" width="12.88671875" style="177" bestFit="1" customWidth="1"/>
    <col min="34" max="34" width="0.88671875" style="177" customWidth="1"/>
    <col min="35" max="16384" width="9.109375" style="177"/>
  </cols>
  <sheetData>
    <row r="1" spans="1:33" ht="14.4" x14ac:dyDescent="0.3">
      <c r="A1" s="729" t="str">
        <f>'Schedules 55E &amp; 58E Pole'!A1:M1</f>
        <v>Puget Sound Energy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</row>
    <row r="2" spans="1:33" ht="14.4" x14ac:dyDescent="0.3">
      <c r="A2" s="729" t="s">
        <v>460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</row>
    <row r="3" spans="1:33" ht="14.4" x14ac:dyDescent="0.3">
      <c r="A3" s="729" t="str">
        <f>'Schedules 55E &amp; 58E Pole'!A3:M3</f>
        <v>2022 General Rate Case (GRC)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</row>
    <row r="4" spans="1:33" ht="14.4" x14ac:dyDescent="0.3">
      <c r="A4" s="729" t="str">
        <f>'Schedules 55E &amp; 58E Pole'!A4:M4</f>
        <v>Test Year Ending June 30, 2021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746"/>
    </row>
    <row r="5" spans="1:33" x14ac:dyDescent="0.2">
      <c r="A5" s="619"/>
      <c r="B5" s="736"/>
      <c r="C5" s="736"/>
      <c r="D5" s="736"/>
      <c r="E5" s="736"/>
      <c r="F5" s="736"/>
      <c r="G5" s="736"/>
      <c r="H5" s="736"/>
      <c r="I5" s="736"/>
      <c r="J5" s="736"/>
      <c r="K5" s="736"/>
    </row>
    <row r="6" spans="1:33" ht="14.4" x14ac:dyDescent="0.3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765" t="s">
        <v>895</v>
      </c>
      <c r="L6" s="766"/>
      <c r="M6" s="767"/>
      <c r="O6" s="765" t="s">
        <v>1175</v>
      </c>
      <c r="P6" s="766"/>
      <c r="Q6" s="767"/>
      <c r="S6" s="765" t="s">
        <v>896</v>
      </c>
      <c r="T6" s="766"/>
      <c r="U6" s="767"/>
      <c r="W6" s="765" t="s">
        <v>897</v>
      </c>
      <c r="X6" s="766"/>
      <c r="Y6" s="767"/>
      <c r="Z6" s="346"/>
      <c r="AA6" s="765" t="s">
        <v>1155</v>
      </c>
      <c r="AB6" s="766"/>
      <c r="AC6" s="767"/>
      <c r="AE6" s="765" t="s">
        <v>898</v>
      </c>
      <c r="AF6" s="766"/>
      <c r="AG6" s="767"/>
    </row>
    <row r="7" spans="1:33" ht="26.25" customHeight="1" x14ac:dyDescent="0.2">
      <c r="A7" s="619"/>
      <c r="B7" s="619"/>
      <c r="C7" s="619"/>
      <c r="D7" s="619"/>
      <c r="E7" s="619"/>
      <c r="F7" s="619"/>
      <c r="G7" s="619"/>
      <c r="H7" s="619"/>
      <c r="I7" s="619"/>
      <c r="J7" s="619"/>
      <c r="K7" s="620" t="s">
        <v>657</v>
      </c>
      <c r="L7" s="620" t="s">
        <v>658</v>
      </c>
      <c r="M7" s="620" t="s">
        <v>659</v>
      </c>
      <c r="O7" s="620" t="s">
        <v>657</v>
      </c>
      <c r="P7" s="620" t="s">
        <v>658</v>
      </c>
      <c r="Q7" s="620" t="s">
        <v>659</v>
      </c>
      <c r="S7" s="620" t="s">
        <v>657</v>
      </c>
      <c r="T7" s="620" t="s">
        <v>658</v>
      </c>
      <c r="U7" s="620" t="s">
        <v>659</v>
      </c>
      <c r="W7" s="620" t="s">
        <v>657</v>
      </c>
      <c r="X7" s="620" t="s">
        <v>658</v>
      </c>
      <c r="Y7" s="620" t="s">
        <v>659</v>
      </c>
      <c r="Z7" s="620"/>
      <c r="AA7" s="620" t="s">
        <v>657</v>
      </c>
      <c r="AB7" s="620" t="s">
        <v>658</v>
      </c>
      <c r="AC7" s="620" t="s">
        <v>659</v>
      </c>
      <c r="AE7" s="620" t="s">
        <v>657</v>
      </c>
      <c r="AF7" s="620" t="s">
        <v>658</v>
      </c>
      <c r="AG7" s="620" t="s">
        <v>659</v>
      </c>
    </row>
    <row r="8" spans="1:33" s="574" customFormat="1" ht="20.399999999999999" x14ac:dyDescent="0.2">
      <c r="A8" s="625" t="s">
        <v>1</v>
      </c>
      <c r="B8" s="625" t="s">
        <v>53</v>
      </c>
      <c r="C8" s="624"/>
      <c r="D8" s="624" t="s">
        <v>67</v>
      </c>
      <c r="E8" s="625" t="s">
        <v>160</v>
      </c>
      <c r="F8" s="625" t="s">
        <v>394</v>
      </c>
      <c r="G8" s="625" t="s">
        <v>277</v>
      </c>
      <c r="H8" s="625" t="s">
        <v>18</v>
      </c>
      <c r="I8" s="625" t="s">
        <v>467</v>
      </c>
      <c r="J8" s="625" t="s">
        <v>466</v>
      </c>
      <c r="K8" s="625" t="s">
        <v>20</v>
      </c>
      <c r="L8" s="625" t="s">
        <v>20</v>
      </c>
      <c r="M8" s="625" t="s">
        <v>20</v>
      </c>
      <c r="O8" s="625" t="s">
        <v>20</v>
      </c>
      <c r="P8" s="625" t="s">
        <v>20</v>
      </c>
      <c r="Q8" s="625" t="s">
        <v>20</v>
      </c>
      <c r="S8" s="625" t="s">
        <v>20</v>
      </c>
      <c r="T8" s="625" t="s">
        <v>20</v>
      </c>
      <c r="U8" s="625" t="s">
        <v>20</v>
      </c>
      <c r="W8" s="625" t="s">
        <v>20</v>
      </c>
      <c r="X8" s="625" t="s">
        <v>20</v>
      </c>
      <c r="Y8" s="625" t="s">
        <v>20</v>
      </c>
      <c r="Z8" s="624"/>
      <c r="AA8" s="625" t="s">
        <v>20</v>
      </c>
      <c r="AB8" s="625" t="s">
        <v>20</v>
      </c>
      <c r="AC8" s="625" t="s">
        <v>20</v>
      </c>
      <c r="AE8" s="625" t="s">
        <v>20</v>
      </c>
      <c r="AF8" s="625" t="s">
        <v>20</v>
      </c>
      <c r="AG8" s="625" t="s">
        <v>20</v>
      </c>
    </row>
    <row r="9" spans="1:33" x14ac:dyDescent="0.2">
      <c r="B9" s="596" t="s">
        <v>3</v>
      </c>
      <c r="C9" s="596"/>
      <c r="D9" s="15" t="s">
        <v>4</v>
      </c>
      <c r="E9" s="143" t="s">
        <v>5</v>
      </c>
      <c r="F9" s="169" t="s">
        <v>6</v>
      </c>
      <c r="G9" s="621" t="s">
        <v>390</v>
      </c>
      <c r="H9" s="621" t="s">
        <v>21</v>
      </c>
      <c r="I9" s="621" t="s">
        <v>8</v>
      </c>
      <c r="J9" s="621" t="s">
        <v>9</v>
      </c>
      <c r="K9" s="621" t="s">
        <v>22</v>
      </c>
      <c r="L9" s="621" t="s">
        <v>23</v>
      </c>
      <c r="M9" s="621" t="s">
        <v>10</v>
      </c>
      <c r="O9" s="621" t="s">
        <v>11</v>
      </c>
      <c r="P9" s="621" t="s">
        <v>12</v>
      </c>
      <c r="Q9" s="621" t="s">
        <v>13</v>
      </c>
      <c r="S9" s="621" t="s">
        <v>14</v>
      </c>
      <c r="T9" s="621" t="s">
        <v>877</v>
      </c>
      <c r="U9" s="621" t="s">
        <v>960</v>
      </c>
      <c r="W9" s="129" t="s">
        <v>961</v>
      </c>
      <c r="X9" s="621" t="s">
        <v>962</v>
      </c>
      <c r="Y9" s="621" t="s">
        <v>963</v>
      </c>
      <c r="Z9" s="621"/>
      <c r="AA9" s="621" t="s">
        <v>964</v>
      </c>
      <c r="AB9" s="621" t="s">
        <v>965</v>
      </c>
      <c r="AC9" s="621" t="s">
        <v>966</v>
      </c>
      <c r="AE9" s="621" t="s">
        <v>1143</v>
      </c>
      <c r="AF9" s="621" t="s">
        <v>1144</v>
      </c>
      <c r="AG9" s="621" t="s">
        <v>1145</v>
      </c>
    </row>
    <row r="10" spans="1:33" ht="20.399999999999999" x14ac:dyDescent="0.2">
      <c r="A10" s="621" t="s">
        <v>396</v>
      </c>
      <c r="B10" s="596"/>
      <c r="C10" s="596"/>
      <c r="D10" s="596"/>
      <c r="E10" s="170"/>
      <c r="F10" s="169"/>
      <c r="G10" s="169"/>
      <c r="H10" s="169"/>
      <c r="I10" s="169"/>
      <c r="J10" s="169"/>
      <c r="K10" s="169" t="s">
        <v>400</v>
      </c>
      <c r="L10" s="129" t="s">
        <v>969</v>
      </c>
      <c r="M10" s="129" t="s">
        <v>970</v>
      </c>
      <c r="O10" s="169"/>
      <c r="S10" s="169"/>
      <c r="W10" s="169"/>
      <c r="AA10" s="169"/>
      <c r="AE10" s="169" t="s">
        <v>1146</v>
      </c>
      <c r="AF10" s="169" t="s">
        <v>1147</v>
      </c>
      <c r="AG10" s="169" t="s">
        <v>1148</v>
      </c>
    </row>
    <row r="11" spans="1:33" x14ac:dyDescent="0.2">
      <c r="A11" s="621">
        <v>1</v>
      </c>
      <c r="B11" s="164" t="str">
        <f>'WP12 Condensed Sch. Level Costs'!A7</f>
        <v>Sch 50E</v>
      </c>
      <c r="C11" s="164"/>
      <c r="F11" s="596"/>
    </row>
    <row r="12" spans="1:33" x14ac:dyDescent="0.2">
      <c r="A12" s="621">
        <f t="shared" ref="A12:A75" si="0">A11+1</f>
        <v>2</v>
      </c>
      <c r="B12" s="164">
        <f>'WP12 Condensed Sch. Level Costs'!A8</f>
        <v>3</v>
      </c>
      <c r="C12" s="164"/>
      <c r="D12" s="327" t="str">
        <f>'WP12 Condensed Sch. Level Costs'!C8</f>
        <v>Compact Fluorescent</v>
      </c>
      <c r="E12" s="165" t="str">
        <f>'WP12 Condensed Sch. Level Costs'!D8</f>
        <v>CF 22</v>
      </c>
      <c r="F12" s="328">
        <f>ROUND('Capital Charge'!I10,2)</f>
        <v>0</v>
      </c>
      <c r="G12" s="564">
        <f>ROUND('O&amp;M Charge'!I10,2)</f>
        <v>0</v>
      </c>
      <c r="H12" s="564">
        <f>ROUND('Customer Charge'!I10,2)</f>
        <v>0.15</v>
      </c>
      <c r="I12" s="564">
        <f>ROUND('Demand Charge'!G10,2)</f>
        <v>0.08</v>
      </c>
      <c r="J12" s="564">
        <f>ROUND('Energy Charge'!I10,2)</f>
        <v>0.42</v>
      </c>
      <c r="K12" s="564">
        <f>SUM(F12:J12)</f>
        <v>0.64999999999999991</v>
      </c>
      <c r="L12" s="564">
        <f>K12</f>
        <v>0.64999999999999991</v>
      </c>
      <c r="M12" s="564"/>
      <c r="O12" s="564">
        <f>'Sch 141C Lighting Tariff'!J10</f>
        <v>0</v>
      </c>
      <c r="P12" s="564">
        <f>'Sch 141C Lighting Tariff'!N10</f>
        <v>0</v>
      </c>
      <c r="Q12" s="564"/>
      <c r="S12" s="564">
        <f>'Sch 141N Lighting Tariff'!J12</f>
        <v>0.34</v>
      </c>
      <c r="T12" s="564">
        <f>'Sch 141N Lighting Tariff'!N12</f>
        <v>0.24</v>
      </c>
      <c r="U12" s="564"/>
      <c r="W12" s="564">
        <f>'Sch 141R Lighting Tariff'!J12</f>
        <v>0.06</v>
      </c>
      <c r="X12" s="564">
        <f>'Sch 141R Lighting Tariff'!N12</f>
        <v>0.23</v>
      </c>
      <c r="Y12" s="564"/>
      <c r="Z12" s="564"/>
      <c r="AA12" s="564">
        <f>'Sch 141A Lighting Tariff'!J10</f>
        <v>0.02</v>
      </c>
      <c r="AB12" s="564">
        <f>'Sch 141A Lighting Tariff'!N10</f>
        <v>0.02</v>
      </c>
      <c r="AC12" s="564"/>
      <c r="AE12" s="564">
        <f>K12+O12+S12+W12+AA12</f>
        <v>1.07</v>
      </c>
      <c r="AF12" s="564">
        <f>L12+P12+T12+X12+AB12</f>
        <v>1.1399999999999999</v>
      </c>
      <c r="AG12" s="564"/>
    </row>
    <row r="13" spans="1:33" x14ac:dyDescent="0.2">
      <c r="A13" s="621">
        <f t="shared" si="0"/>
        <v>3</v>
      </c>
      <c r="B13" s="164"/>
      <c r="C13" s="164"/>
      <c r="D13" s="327"/>
      <c r="E13" s="165"/>
      <c r="F13" s="328"/>
      <c r="G13" s="564"/>
      <c r="H13" s="564"/>
      <c r="I13" s="564"/>
      <c r="J13" s="564"/>
      <c r="K13" s="564"/>
      <c r="O13" s="564"/>
      <c r="S13" s="564"/>
      <c r="W13" s="564"/>
      <c r="AA13" s="564"/>
      <c r="AE13" s="564"/>
    </row>
    <row r="14" spans="1:33" x14ac:dyDescent="0.2">
      <c r="A14" s="621">
        <f t="shared" si="0"/>
        <v>4</v>
      </c>
      <c r="B14" s="164" t="str">
        <f>'WP12 Condensed Sch. Level Costs'!A10</f>
        <v>50E-A</v>
      </c>
      <c r="C14" s="164"/>
      <c r="D14" s="327" t="str">
        <f>'WP12 Condensed Sch. Level Costs'!C10</f>
        <v>Mercury Vapor</v>
      </c>
      <c r="E14" s="165" t="str">
        <f>'WP12 Condensed Sch. Level Costs'!D10</f>
        <v>MV 100</v>
      </c>
      <c r="F14" s="328">
        <f>ROUND('Capital Charge'!I12,2)</f>
        <v>0</v>
      </c>
      <c r="G14" s="564">
        <f>ROUND('O&amp;M Charge'!I12,2)</f>
        <v>2.25</v>
      </c>
      <c r="H14" s="564">
        <f>ROUND('Customer Charge'!I12,2)</f>
        <v>0.67</v>
      </c>
      <c r="I14" s="564">
        <f>ROUND('Demand Charge'!G12,2)</f>
        <v>0.37</v>
      </c>
      <c r="J14" s="564">
        <f>ROUND('Energy Charge'!I12,2)</f>
        <v>1.91</v>
      </c>
      <c r="K14" s="564">
        <f>SUM(F14:J14)</f>
        <v>5.2</v>
      </c>
      <c r="L14" s="564">
        <f t="shared" ref="L14:L16" si="1">K14</f>
        <v>5.2</v>
      </c>
      <c r="M14" s="564"/>
      <c r="O14" s="564">
        <f>'Sch 141C Lighting Tariff'!J12</f>
        <v>0.02</v>
      </c>
      <c r="P14" s="564">
        <f>'Sch 141C Lighting Tariff'!N12</f>
        <v>0.02</v>
      </c>
      <c r="Q14" s="564"/>
      <c r="S14" s="564">
        <f>'Sch 141N Lighting Tariff'!J14</f>
        <v>1.56</v>
      </c>
      <c r="T14" s="564">
        <f>'Sch 141N Lighting Tariff'!N14</f>
        <v>1.08</v>
      </c>
      <c r="U14" s="564"/>
      <c r="W14" s="564">
        <f>'Sch 141R Lighting Tariff'!J14</f>
        <v>0.28999999999999998</v>
      </c>
      <c r="X14" s="564">
        <f>'Sch 141R Lighting Tariff'!N14</f>
        <v>1.03</v>
      </c>
      <c r="Y14" s="564"/>
      <c r="Z14" s="564"/>
      <c r="AA14" s="564">
        <f>'Sch 141A Lighting Tariff'!J12</f>
        <v>7.0000000000000007E-2</v>
      </c>
      <c r="AB14" s="564">
        <f>'Sch 141A Lighting Tariff'!N12</f>
        <v>7.0000000000000007E-2</v>
      </c>
      <c r="AC14" s="564"/>
      <c r="AE14" s="564">
        <f t="shared" ref="AE14:AF16" si="2">K14+O14+S14+W14+AA14</f>
        <v>7.14</v>
      </c>
      <c r="AF14" s="564">
        <f t="shared" si="2"/>
        <v>7.4</v>
      </c>
      <c r="AG14" s="564"/>
    </row>
    <row r="15" spans="1:33" x14ac:dyDescent="0.2">
      <c r="A15" s="621">
        <f t="shared" si="0"/>
        <v>5</v>
      </c>
      <c r="B15" s="164" t="str">
        <f>'WP12 Condensed Sch. Level Costs'!A11</f>
        <v>50E-A</v>
      </c>
      <c r="C15" s="164"/>
      <c r="D15" s="327" t="str">
        <f>'WP12 Condensed Sch. Level Costs'!C11</f>
        <v>Mercury Vapor</v>
      </c>
      <c r="E15" s="165" t="str">
        <f>'WP12 Condensed Sch. Level Costs'!D11</f>
        <v>MV 175</v>
      </c>
      <c r="F15" s="328">
        <f>ROUND('Capital Charge'!I13,2)</f>
        <v>0</v>
      </c>
      <c r="G15" s="564">
        <f>ROUND('O&amp;M Charge'!I13,2)</f>
        <v>2.25</v>
      </c>
      <c r="H15" s="564">
        <f>ROUND('Customer Charge'!I13,2)</f>
        <v>1.17</v>
      </c>
      <c r="I15" s="564">
        <f>ROUND('Demand Charge'!G13,2)</f>
        <v>0.64</v>
      </c>
      <c r="J15" s="564">
        <f>ROUND('Energy Charge'!I13,2)</f>
        <v>3.34</v>
      </c>
      <c r="K15" s="564">
        <f>SUM(F15:J15)</f>
        <v>7.3999999999999995</v>
      </c>
      <c r="L15" s="564">
        <f t="shared" si="1"/>
        <v>7.3999999999999995</v>
      </c>
      <c r="M15" s="564"/>
      <c r="O15" s="564">
        <f>'Sch 141C Lighting Tariff'!J13</f>
        <v>0.04</v>
      </c>
      <c r="P15" s="564">
        <f>'Sch 141C Lighting Tariff'!N13</f>
        <v>0.04</v>
      </c>
      <c r="Q15" s="564"/>
      <c r="S15" s="564">
        <f>'Sch 141N Lighting Tariff'!J15</f>
        <v>2.73</v>
      </c>
      <c r="T15" s="564">
        <f>'Sch 141N Lighting Tariff'!N15</f>
        <v>1.89</v>
      </c>
      <c r="U15" s="564"/>
      <c r="W15" s="564">
        <f>'Sch 141R Lighting Tariff'!J15</f>
        <v>0.51</v>
      </c>
      <c r="X15" s="564">
        <f>'Sch 141R Lighting Tariff'!N15</f>
        <v>1.8</v>
      </c>
      <c r="Y15" s="564"/>
      <c r="Z15" s="564"/>
      <c r="AA15" s="564">
        <f>'Sch 141A Lighting Tariff'!J13</f>
        <v>0.12</v>
      </c>
      <c r="AB15" s="564">
        <f>'Sch 141A Lighting Tariff'!N13</f>
        <v>0.13</v>
      </c>
      <c r="AC15" s="564"/>
      <c r="AE15" s="564">
        <f t="shared" si="2"/>
        <v>10.799999999999999</v>
      </c>
      <c r="AF15" s="564">
        <f t="shared" si="2"/>
        <v>11.260000000000002</v>
      </c>
      <c r="AG15" s="564"/>
    </row>
    <row r="16" spans="1:33" x14ac:dyDescent="0.2">
      <c r="A16" s="621">
        <f t="shared" si="0"/>
        <v>6</v>
      </c>
      <c r="B16" s="164" t="str">
        <f>'WP12 Condensed Sch. Level Costs'!A12</f>
        <v>50E-A</v>
      </c>
      <c r="C16" s="164"/>
      <c r="D16" s="327" t="str">
        <f>'WP12 Condensed Sch. Level Costs'!C12</f>
        <v>Mercury Vapor</v>
      </c>
      <c r="E16" s="165" t="str">
        <f>'WP12 Condensed Sch. Level Costs'!D12</f>
        <v>MV 400</v>
      </c>
      <c r="F16" s="328">
        <f>ROUND('Capital Charge'!I14,2)</f>
        <v>0</v>
      </c>
      <c r="G16" s="564">
        <f>ROUND('O&amp;M Charge'!I14,2)</f>
        <v>2.25</v>
      </c>
      <c r="H16" s="564">
        <f>ROUND('Customer Charge'!I14,2)</f>
        <v>2.68</v>
      </c>
      <c r="I16" s="564">
        <f>ROUND('Demand Charge'!G14,2)</f>
        <v>1.46</v>
      </c>
      <c r="J16" s="564">
        <f>ROUND('Energy Charge'!I14,2)</f>
        <v>7.64</v>
      </c>
      <c r="K16" s="564">
        <f>SUM(F16:J16)</f>
        <v>14.03</v>
      </c>
      <c r="L16" s="564">
        <f t="shared" si="1"/>
        <v>14.03</v>
      </c>
      <c r="M16" s="564"/>
      <c r="O16" s="564">
        <f>'Sch 141C Lighting Tariff'!J14</f>
        <v>0.08</v>
      </c>
      <c r="P16" s="564">
        <f>'Sch 141C Lighting Tariff'!N14</f>
        <v>0.09</v>
      </c>
      <c r="Q16" s="564"/>
      <c r="S16" s="564">
        <f>'Sch 141N Lighting Tariff'!J16</f>
        <v>6.23</v>
      </c>
      <c r="T16" s="564">
        <f>'Sch 141N Lighting Tariff'!N16</f>
        <v>4.33</v>
      </c>
      <c r="U16" s="564"/>
      <c r="W16" s="564">
        <f>'Sch 141R Lighting Tariff'!J16</f>
        <v>1.17</v>
      </c>
      <c r="X16" s="564">
        <f>'Sch 141R Lighting Tariff'!N16</f>
        <v>4.1100000000000003</v>
      </c>
      <c r="Y16" s="564"/>
      <c r="Z16" s="564"/>
      <c r="AA16" s="564">
        <f>'Sch 141A Lighting Tariff'!J14</f>
        <v>0.28000000000000003</v>
      </c>
      <c r="AB16" s="564">
        <f>'Sch 141A Lighting Tariff'!N14</f>
        <v>0.28999999999999998</v>
      </c>
      <c r="AC16" s="564"/>
      <c r="AE16" s="564">
        <f t="shared" si="2"/>
        <v>21.79</v>
      </c>
      <c r="AF16" s="564">
        <f t="shared" si="2"/>
        <v>22.849999999999998</v>
      </c>
      <c r="AG16" s="564"/>
    </row>
    <row r="17" spans="1:33" x14ac:dyDescent="0.2">
      <c r="A17" s="621">
        <f t="shared" si="0"/>
        <v>7</v>
      </c>
      <c r="B17" s="164"/>
      <c r="C17" s="164"/>
      <c r="D17" s="327"/>
      <c r="E17" s="165"/>
      <c r="F17" s="328"/>
      <c r="G17" s="564"/>
      <c r="H17" s="564"/>
      <c r="I17" s="564"/>
      <c r="J17" s="564"/>
      <c r="K17" s="564"/>
      <c r="O17" s="564"/>
      <c r="S17" s="564"/>
      <c r="W17" s="564"/>
      <c r="AA17" s="564"/>
      <c r="AE17" s="564"/>
    </row>
    <row r="18" spans="1:33" x14ac:dyDescent="0.2">
      <c r="A18" s="621">
        <f t="shared" si="0"/>
        <v>8</v>
      </c>
      <c r="B18" s="164" t="str">
        <f>'WP12 Condensed Sch. Level Costs'!A14</f>
        <v>50E-B</v>
      </c>
      <c r="C18" s="164"/>
      <c r="D18" s="327" t="str">
        <f>'WP12 Condensed Sch. Level Costs'!C14</f>
        <v>Mercury Vapor</v>
      </c>
      <c r="E18" s="165" t="str">
        <f>'WP12 Condensed Sch. Level Costs'!D14</f>
        <v>MV 100</v>
      </c>
      <c r="F18" s="328">
        <f>ROUND('Capital Charge'!I16,2)</f>
        <v>0</v>
      </c>
      <c r="G18" s="564">
        <f>ROUND('O&amp;M Charge'!I16,2)</f>
        <v>0</v>
      </c>
      <c r="H18" s="564">
        <f>ROUND('Customer Charge'!I16,2)</f>
        <v>0.67</v>
      </c>
      <c r="I18" s="564">
        <f>ROUND('Demand Charge'!G16,2)</f>
        <v>0.37</v>
      </c>
      <c r="J18" s="564">
        <f>ROUND('Energy Charge'!I16,2)</f>
        <v>1.91</v>
      </c>
      <c r="K18" s="564">
        <f>SUM(F18:J18)</f>
        <v>2.95</v>
      </c>
      <c r="L18" s="564">
        <f t="shared" ref="L18:L21" si="3">K18</f>
        <v>2.95</v>
      </c>
      <c r="M18" s="564"/>
      <c r="O18" s="564">
        <f>'Sch 141C Lighting Tariff'!J16</f>
        <v>0.02</v>
      </c>
      <c r="P18" s="564">
        <f>'Sch 141C Lighting Tariff'!N16</f>
        <v>0.02</v>
      </c>
      <c r="Q18" s="564"/>
      <c r="S18" s="564">
        <f>'Sch 141N Lighting Tariff'!J18</f>
        <v>1.56</v>
      </c>
      <c r="T18" s="564">
        <f>'Sch 141N Lighting Tariff'!N18</f>
        <v>1.08</v>
      </c>
      <c r="U18" s="564"/>
      <c r="W18" s="564">
        <f>'Sch 141R Lighting Tariff'!J18</f>
        <v>0.28999999999999998</v>
      </c>
      <c r="X18" s="564">
        <f>'Sch 141R Lighting Tariff'!N18</f>
        <v>1.03</v>
      </c>
      <c r="Y18" s="564"/>
      <c r="Z18" s="564"/>
      <c r="AA18" s="564">
        <f>'Sch 141A Lighting Tariff'!J16</f>
        <v>7.0000000000000007E-2</v>
      </c>
      <c r="AB18" s="564">
        <f>'Sch 141A Lighting Tariff'!N16</f>
        <v>7.0000000000000007E-2</v>
      </c>
      <c r="AC18" s="564"/>
      <c r="AE18" s="564">
        <f t="shared" ref="AE18:AF21" si="4">K18+O18+S18+W18+AA18</f>
        <v>4.8900000000000006</v>
      </c>
      <c r="AF18" s="564">
        <f t="shared" si="4"/>
        <v>5.1500000000000012</v>
      </c>
      <c r="AG18" s="564"/>
    </row>
    <row r="19" spans="1:33" x14ac:dyDescent="0.2">
      <c r="A19" s="621">
        <f t="shared" si="0"/>
        <v>9</v>
      </c>
      <c r="B19" s="164" t="str">
        <f>'WP12 Condensed Sch. Level Costs'!A15</f>
        <v>50E-B</v>
      </c>
      <c r="C19" s="164"/>
      <c r="D19" s="327" t="str">
        <f>'WP12 Condensed Sch. Level Costs'!C15</f>
        <v>Mercury Vapor</v>
      </c>
      <c r="E19" s="165" t="str">
        <f>'WP12 Condensed Sch. Level Costs'!D15</f>
        <v>MV 175</v>
      </c>
      <c r="F19" s="328">
        <f>ROUND('Capital Charge'!I17,2)</f>
        <v>0</v>
      </c>
      <c r="G19" s="564">
        <f>ROUND('O&amp;M Charge'!I17,2)</f>
        <v>0</v>
      </c>
      <c r="H19" s="564">
        <f>ROUND('Customer Charge'!I17,2)</f>
        <v>1.17</v>
      </c>
      <c r="I19" s="564">
        <f>ROUND('Demand Charge'!G17,2)</f>
        <v>0.64</v>
      </c>
      <c r="J19" s="564">
        <f>ROUND('Energy Charge'!I17,2)</f>
        <v>3.34</v>
      </c>
      <c r="K19" s="564">
        <f>SUM(F19:J19)</f>
        <v>5.15</v>
      </c>
      <c r="L19" s="564">
        <f t="shared" si="3"/>
        <v>5.15</v>
      </c>
      <c r="M19" s="564"/>
      <c r="O19" s="564">
        <f>'Sch 141C Lighting Tariff'!J17</f>
        <v>0.04</v>
      </c>
      <c r="P19" s="564">
        <f>'Sch 141C Lighting Tariff'!N17</f>
        <v>0.04</v>
      </c>
      <c r="Q19" s="564"/>
      <c r="S19" s="564">
        <f>'Sch 141N Lighting Tariff'!J19</f>
        <v>2.73</v>
      </c>
      <c r="T19" s="564">
        <f>'Sch 141N Lighting Tariff'!N19</f>
        <v>1.89</v>
      </c>
      <c r="U19" s="564"/>
      <c r="W19" s="564">
        <f>'Sch 141R Lighting Tariff'!J19</f>
        <v>0.51</v>
      </c>
      <c r="X19" s="564">
        <f>'Sch 141R Lighting Tariff'!N19</f>
        <v>1.8</v>
      </c>
      <c r="Y19" s="564"/>
      <c r="Z19" s="564"/>
      <c r="AA19" s="564">
        <f>'Sch 141A Lighting Tariff'!J17</f>
        <v>0.12</v>
      </c>
      <c r="AB19" s="564">
        <f>'Sch 141A Lighting Tariff'!N17</f>
        <v>0.13</v>
      </c>
      <c r="AC19" s="564"/>
      <c r="AE19" s="564">
        <f t="shared" si="4"/>
        <v>8.5499999999999989</v>
      </c>
      <c r="AF19" s="564">
        <f t="shared" si="4"/>
        <v>9.0100000000000016</v>
      </c>
      <c r="AG19" s="564"/>
    </row>
    <row r="20" spans="1:33" x14ac:dyDescent="0.2">
      <c r="A20" s="621">
        <f t="shared" si="0"/>
        <v>10</v>
      </c>
      <c r="B20" s="164" t="str">
        <f>'WP12 Condensed Sch. Level Costs'!A16</f>
        <v>50E-B</v>
      </c>
      <c r="C20" s="164"/>
      <c r="D20" s="327" t="str">
        <f>'WP12 Condensed Sch. Level Costs'!C16</f>
        <v>Mercury Vapor</v>
      </c>
      <c r="E20" s="165" t="str">
        <f>'WP12 Condensed Sch. Level Costs'!D16</f>
        <v>MV 400</v>
      </c>
      <c r="F20" s="328">
        <f>ROUND('Capital Charge'!I18,2)</f>
        <v>0</v>
      </c>
      <c r="G20" s="564">
        <f>ROUND('O&amp;M Charge'!I18,2)</f>
        <v>0</v>
      </c>
      <c r="H20" s="564">
        <f>ROUND('Customer Charge'!I18,2)</f>
        <v>2.68</v>
      </c>
      <c r="I20" s="564">
        <f>ROUND('Demand Charge'!G18,2)</f>
        <v>1.46</v>
      </c>
      <c r="J20" s="564">
        <f>ROUND('Energy Charge'!I18,2)</f>
        <v>7.64</v>
      </c>
      <c r="K20" s="564">
        <f>SUM(F20:J20)</f>
        <v>11.780000000000001</v>
      </c>
      <c r="L20" s="564">
        <f t="shared" si="3"/>
        <v>11.780000000000001</v>
      </c>
      <c r="M20" s="564"/>
      <c r="O20" s="564">
        <f>'Sch 141C Lighting Tariff'!J18</f>
        <v>0.08</v>
      </c>
      <c r="P20" s="564">
        <f>'Sch 141C Lighting Tariff'!N18</f>
        <v>0.09</v>
      </c>
      <c r="Q20" s="564"/>
      <c r="S20" s="564">
        <f>'Sch 141N Lighting Tariff'!J20</f>
        <v>6.23</v>
      </c>
      <c r="T20" s="564">
        <f>'Sch 141N Lighting Tariff'!N20</f>
        <v>4.33</v>
      </c>
      <c r="U20" s="564"/>
      <c r="W20" s="564">
        <f>'Sch 141R Lighting Tariff'!J20</f>
        <v>1.17</v>
      </c>
      <c r="X20" s="564">
        <f>'Sch 141R Lighting Tariff'!N20</f>
        <v>4.1100000000000003</v>
      </c>
      <c r="Y20" s="564"/>
      <c r="Z20" s="564"/>
      <c r="AA20" s="564">
        <f>'Sch 141A Lighting Tariff'!J18</f>
        <v>0.28000000000000003</v>
      </c>
      <c r="AB20" s="564">
        <f>'Sch 141A Lighting Tariff'!N18</f>
        <v>0.28999999999999998</v>
      </c>
      <c r="AC20" s="564"/>
      <c r="AE20" s="564">
        <f t="shared" si="4"/>
        <v>19.540000000000006</v>
      </c>
      <c r="AF20" s="564">
        <f t="shared" si="4"/>
        <v>20.6</v>
      </c>
      <c r="AG20" s="564"/>
    </row>
    <row r="21" spans="1:33" x14ac:dyDescent="0.2">
      <c r="A21" s="621">
        <f t="shared" si="0"/>
        <v>11</v>
      </c>
      <c r="B21" s="164" t="str">
        <f>'WP12 Condensed Sch. Level Costs'!A17</f>
        <v>50E-B</v>
      </c>
      <c r="C21" s="164"/>
      <c r="D21" s="327" t="str">
        <f>'WP12 Condensed Sch. Level Costs'!C17</f>
        <v>Mercury Vapor</v>
      </c>
      <c r="E21" s="165" t="str">
        <f>'WP12 Condensed Sch. Level Costs'!D17</f>
        <v>MV 700</v>
      </c>
      <c r="F21" s="328">
        <f>ROUND('Capital Charge'!I19,2)</f>
        <v>0</v>
      </c>
      <c r="G21" s="564">
        <f>ROUND('O&amp;M Charge'!I19,2)</f>
        <v>0</v>
      </c>
      <c r="H21" s="564">
        <f>ROUND('Customer Charge'!I19,2)</f>
        <v>4.6900000000000004</v>
      </c>
      <c r="I21" s="564">
        <f>ROUND('Demand Charge'!G19,2)</f>
        <v>2.56</v>
      </c>
      <c r="J21" s="564">
        <f>ROUND('Energy Charge'!I19,2)</f>
        <v>13.37</v>
      </c>
      <c r="K21" s="564">
        <f>SUM(F21:J21)</f>
        <v>20.619999999999997</v>
      </c>
      <c r="L21" s="564">
        <f t="shared" si="3"/>
        <v>20.619999999999997</v>
      </c>
      <c r="M21" s="564"/>
      <c r="O21" s="564">
        <f>'Sch 141C Lighting Tariff'!J19</f>
        <v>0.14000000000000001</v>
      </c>
      <c r="P21" s="564">
        <f>'Sch 141C Lighting Tariff'!N19</f>
        <v>0.16</v>
      </c>
      <c r="Q21" s="564"/>
      <c r="S21" s="564">
        <f>'Sch 141N Lighting Tariff'!J21</f>
        <v>10.91</v>
      </c>
      <c r="T21" s="564">
        <f>'Sch 141N Lighting Tariff'!N21</f>
        <v>7.57</v>
      </c>
      <c r="U21" s="564"/>
      <c r="W21" s="564">
        <f>'Sch 141R Lighting Tariff'!J21</f>
        <v>2.04</v>
      </c>
      <c r="X21" s="564">
        <f>'Sch 141R Lighting Tariff'!N21</f>
        <v>7.2</v>
      </c>
      <c r="Y21" s="564"/>
      <c r="Z21" s="564"/>
      <c r="AA21" s="564">
        <f>'Sch 141A Lighting Tariff'!J19</f>
        <v>0.49</v>
      </c>
      <c r="AB21" s="564">
        <f>'Sch 141A Lighting Tariff'!N19</f>
        <v>0.51</v>
      </c>
      <c r="AC21" s="564"/>
      <c r="AE21" s="564">
        <f t="shared" si="4"/>
        <v>34.200000000000003</v>
      </c>
      <c r="AF21" s="564">
        <f t="shared" si="4"/>
        <v>36.059999999999995</v>
      </c>
      <c r="AG21" s="564"/>
    </row>
    <row r="22" spans="1:33" x14ac:dyDescent="0.2">
      <c r="A22" s="621">
        <f t="shared" si="0"/>
        <v>12</v>
      </c>
      <c r="B22" s="164"/>
      <c r="C22" s="164"/>
      <c r="D22" s="327"/>
      <c r="E22" s="165"/>
      <c r="F22" s="328"/>
      <c r="G22" s="564"/>
      <c r="H22" s="564"/>
      <c r="I22" s="564"/>
      <c r="J22" s="564"/>
      <c r="K22" s="564"/>
      <c r="O22" s="564"/>
      <c r="S22" s="564"/>
      <c r="W22" s="564"/>
      <c r="AA22" s="564"/>
      <c r="AE22" s="564"/>
    </row>
    <row r="23" spans="1:33" x14ac:dyDescent="0.2">
      <c r="A23" s="621">
        <f t="shared" si="0"/>
        <v>13</v>
      </c>
      <c r="B23" s="164" t="str">
        <f>'WP12 Condensed Sch. Level Costs'!A18</f>
        <v>Sch 51E</v>
      </c>
      <c r="C23" s="164"/>
      <c r="D23" s="327"/>
      <c r="E23" s="165"/>
      <c r="F23" s="328"/>
      <c r="G23" s="564"/>
      <c r="H23" s="564"/>
      <c r="I23" s="564"/>
      <c r="J23" s="564"/>
      <c r="K23" s="564"/>
      <c r="O23" s="564"/>
      <c r="S23" s="564"/>
      <c r="W23" s="564"/>
      <c r="AA23" s="564"/>
      <c r="AE23" s="564"/>
    </row>
    <row r="24" spans="1:33" x14ac:dyDescent="0.2">
      <c r="A24" s="621">
        <f t="shared" si="0"/>
        <v>14</v>
      </c>
      <c r="B24" s="164" t="str">
        <f>'WP12 Condensed Sch. Level Costs'!A19</f>
        <v>51E</v>
      </c>
      <c r="C24" s="164"/>
      <c r="D24" s="327" t="str">
        <f>'WP12 Condensed Sch. Level Costs'!C19</f>
        <v>Light Emitting Diode</v>
      </c>
      <c r="E24" s="165" t="str">
        <f>'WP12 Condensed Sch. Level Costs'!D19</f>
        <v>LED 0-030</v>
      </c>
      <c r="F24" s="328">
        <f>ROUND('Capital Charge'!I22,2)</f>
        <v>0</v>
      </c>
      <c r="G24" s="564">
        <f>ROUND('O&amp;M Charge'!I22,2)</f>
        <v>0</v>
      </c>
      <c r="H24" s="564">
        <f>ROUND('Customer Charge'!I22,2)</f>
        <v>0.1</v>
      </c>
      <c r="I24" s="564">
        <f>ROUND('Demand Charge'!G22,2)</f>
        <v>0.05</v>
      </c>
      <c r="J24" s="564">
        <f>ROUND('Energy Charge'!I22,2)</f>
        <v>0.28999999999999998</v>
      </c>
      <c r="K24" s="564">
        <f t="shared" ref="K24:K33" si="5">SUM(F24:J24)</f>
        <v>0.44</v>
      </c>
      <c r="L24" s="564">
        <f t="shared" ref="L24:L33" si="6">K24</f>
        <v>0.44</v>
      </c>
      <c r="M24" s="564"/>
      <c r="O24" s="564">
        <f>'Sch 141C Lighting Tariff'!J22</f>
        <v>0</v>
      </c>
      <c r="P24" s="564">
        <f>'Sch 141C Lighting Tariff'!N22</f>
        <v>0</v>
      </c>
      <c r="Q24" s="564"/>
      <c r="S24" s="564">
        <f>'Sch 141N Lighting Tariff'!J24</f>
        <v>0.23</v>
      </c>
      <c r="T24" s="564">
        <f>'Sch 141N Lighting Tariff'!N24</f>
        <v>0.16</v>
      </c>
      <c r="U24" s="564"/>
      <c r="W24" s="564">
        <f>'Sch 141R Lighting Tariff'!J24</f>
        <v>0.04</v>
      </c>
      <c r="X24" s="564">
        <f>'Sch 141R Lighting Tariff'!N24</f>
        <v>0.15</v>
      </c>
      <c r="Y24" s="564"/>
      <c r="Z24" s="564"/>
      <c r="AA24" s="564">
        <f>'Sch 141A Lighting Tariff'!J22</f>
        <v>0.01</v>
      </c>
      <c r="AB24" s="564">
        <f>'Sch 141A Lighting Tariff'!N22</f>
        <v>0.01</v>
      </c>
      <c r="AC24" s="564"/>
      <c r="AE24" s="564">
        <f t="shared" ref="AE24:AE33" si="7">K24+O24+S24+W24+AA24</f>
        <v>0.72000000000000008</v>
      </c>
      <c r="AF24" s="564">
        <f t="shared" ref="AF24:AF33" si="8">L24+P24+T24+X24+AB24</f>
        <v>0.76</v>
      </c>
      <c r="AG24" s="564"/>
    </row>
    <row r="25" spans="1:33" x14ac:dyDescent="0.2">
      <c r="A25" s="621">
        <f t="shared" si="0"/>
        <v>15</v>
      </c>
      <c r="B25" s="164" t="str">
        <f>'WP12 Condensed Sch. Level Costs'!A20</f>
        <v>51E</v>
      </c>
      <c r="C25" s="164"/>
      <c r="D25" s="327" t="str">
        <f>'WP12 Condensed Sch. Level Costs'!C20</f>
        <v>Light Emitting Diode</v>
      </c>
      <c r="E25" s="165" t="str">
        <f>'WP12 Condensed Sch. Level Costs'!D20</f>
        <v>LED 030.01-060</v>
      </c>
      <c r="F25" s="328">
        <f>ROUND('Capital Charge'!I23,2)</f>
        <v>0</v>
      </c>
      <c r="G25" s="564">
        <f>ROUND('O&amp;M Charge'!I23,2)</f>
        <v>0</v>
      </c>
      <c r="H25" s="564">
        <f>ROUND('Customer Charge'!I23,2)</f>
        <v>0.3</v>
      </c>
      <c r="I25" s="564">
        <f>ROUND('Demand Charge'!G23,2)</f>
        <v>0.16</v>
      </c>
      <c r="J25" s="564">
        <f>ROUND('Energy Charge'!I23,2)</f>
        <v>0.86</v>
      </c>
      <c r="K25" s="564">
        <f t="shared" si="5"/>
        <v>1.3199999999999998</v>
      </c>
      <c r="L25" s="564">
        <f t="shared" si="6"/>
        <v>1.3199999999999998</v>
      </c>
      <c r="M25" s="564"/>
      <c r="O25" s="564">
        <f>'Sch 141C Lighting Tariff'!J23</f>
        <v>0.01</v>
      </c>
      <c r="P25" s="564">
        <f>'Sch 141C Lighting Tariff'!N23</f>
        <v>0.01</v>
      </c>
      <c r="Q25" s="564"/>
      <c r="S25" s="564">
        <f>'Sch 141N Lighting Tariff'!J25</f>
        <v>0.7</v>
      </c>
      <c r="T25" s="564">
        <f>'Sch 141N Lighting Tariff'!N25</f>
        <v>0.49</v>
      </c>
      <c r="U25" s="564"/>
      <c r="W25" s="564">
        <f>'Sch 141R Lighting Tariff'!J25</f>
        <v>0.13</v>
      </c>
      <c r="X25" s="564">
        <f>'Sch 141R Lighting Tariff'!N25</f>
        <v>0.46</v>
      </c>
      <c r="Y25" s="564"/>
      <c r="Z25" s="564"/>
      <c r="AA25" s="564">
        <f>'Sch 141A Lighting Tariff'!J23</f>
        <v>0.03</v>
      </c>
      <c r="AB25" s="564">
        <f>'Sch 141A Lighting Tariff'!N23</f>
        <v>0.03</v>
      </c>
      <c r="AC25" s="564"/>
      <c r="AE25" s="564">
        <f t="shared" si="7"/>
        <v>2.1899999999999995</v>
      </c>
      <c r="AF25" s="564">
        <f t="shared" si="8"/>
        <v>2.3099999999999996</v>
      </c>
      <c r="AG25" s="564"/>
    </row>
    <row r="26" spans="1:33" x14ac:dyDescent="0.2">
      <c r="A26" s="621">
        <f t="shared" si="0"/>
        <v>16</v>
      </c>
      <c r="B26" s="164" t="str">
        <f>'WP12 Condensed Sch. Level Costs'!A21</f>
        <v>51E</v>
      </c>
      <c r="C26" s="164"/>
      <c r="D26" s="327" t="str">
        <f>'WP12 Condensed Sch. Level Costs'!C21</f>
        <v>Light Emitting Diode</v>
      </c>
      <c r="E26" s="165" t="str">
        <f>'WP12 Condensed Sch. Level Costs'!D21</f>
        <v>LED 060.01-090</v>
      </c>
      <c r="F26" s="328">
        <f>ROUND('Capital Charge'!I24,2)</f>
        <v>0</v>
      </c>
      <c r="G26" s="564">
        <f>ROUND('O&amp;M Charge'!I24,2)</f>
        <v>0</v>
      </c>
      <c r="H26" s="564">
        <f>ROUND('Customer Charge'!I24,2)</f>
        <v>0.5</v>
      </c>
      <c r="I26" s="564">
        <f>ROUND('Demand Charge'!G24,2)</f>
        <v>0.27</v>
      </c>
      <c r="J26" s="564">
        <f>ROUND('Energy Charge'!I24,2)</f>
        <v>1.43</v>
      </c>
      <c r="K26" s="564">
        <f t="shared" si="5"/>
        <v>2.2000000000000002</v>
      </c>
      <c r="L26" s="564">
        <f t="shared" si="6"/>
        <v>2.2000000000000002</v>
      </c>
      <c r="M26" s="564"/>
      <c r="O26" s="564">
        <f>'Sch 141C Lighting Tariff'!J24</f>
        <v>0.02</v>
      </c>
      <c r="P26" s="564">
        <f>'Sch 141C Lighting Tariff'!N24</f>
        <v>0.02</v>
      </c>
      <c r="Q26" s="564"/>
      <c r="S26" s="564">
        <f>'Sch 141N Lighting Tariff'!J26</f>
        <v>1.17</v>
      </c>
      <c r="T26" s="564">
        <f>'Sch 141N Lighting Tariff'!N26</f>
        <v>0.81</v>
      </c>
      <c r="U26" s="564"/>
      <c r="W26" s="564">
        <f>'Sch 141R Lighting Tariff'!J26</f>
        <v>0.22</v>
      </c>
      <c r="X26" s="564">
        <f>'Sch 141R Lighting Tariff'!N26</f>
        <v>0.77</v>
      </c>
      <c r="Y26" s="564"/>
      <c r="Z26" s="564"/>
      <c r="AA26" s="564">
        <f>'Sch 141A Lighting Tariff'!J24</f>
        <v>0.05</v>
      </c>
      <c r="AB26" s="564">
        <f>'Sch 141A Lighting Tariff'!N24</f>
        <v>0.05</v>
      </c>
      <c r="AC26" s="564"/>
      <c r="AE26" s="564">
        <f t="shared" si="7"/>
        <v>3.66</v>
      </c>
      <c r="AF26" s="564">
        <f t="shared" si="8"/>
        <v>3.85</v>
      </c>
      <c r="AG26" s="564"/>
    </row>
    <row r="27" spans="1:33" x14ac:dyDescent="0.2">
      <c r="A27" s="621">
        <f t="shared" si="0"/>
        <v>17</v>
      </c>
      <c r="B27" s="164" t="str">
        <f>'WP12 Condensed Sch. Level Costs'!A22</f>
        <v>51E</v>
      </c>
      <c r="C27" s="164"/>
      <c r="D27" s="327" t="str">
        <f>'WP12 Condensed Sch. Level Costs'!C22</f>
        <v>Light Emitting Diode</v>
      </c>
      <c r="E27" s="165" t="str">
        <f>'WP12 Condensed Sch. Level Costs'!D22</f>
        <v>LED 090.01-120</v>
      </c>
      <c r="F27" s="328">
        <f>ROUND('Capital Charge'!I25,2)</f>
        <v>0</v>
      </c>
      <c r="G27" s="564">
        <f>ROUND('O&amp;M Charge'!I25,2)</f>
        <v>0</v>
      </c>
      <c r="H27" s="564">
        <f>ROUND('Customer Charge'!I25,2)</f>
        <v>0.7</v>
      </c>
      <c r="I27" s="564">
        <f>ROUND('Demand Charge'!G25,2)</f>
        <v>0.38</v>
      </c>
      <c r="J27" s="564">
        <f>ROUND('Energy Charge'!I25,2)</f>
        <v>2</v>
      </c>
      <c r="K27" s="564">
        <f t="shared" si="5"/>
        <v>3.08</v>
      </c>
      <c r="L27" s="564">
        <f t="shared" si="6"/>
        <v>3.08</v>
      </c>
      <c r="M27" s="564"/>
      <c r="O27" s="564">
        <f>'Sch 141C Lighting Tariff'!J25</f>
        <v>0.02</v>
      </c>
      <c r="P27" s="564">
        <f>'Sch 141C Lighting Tariff'!N25</f>
        <v>0.02</v>
      </c>
      <c r="Q27" s="564"/>
      <c r="S27" s="564">
        <f>'Sch 141N Lighting Tariff'!J27</f>
        <v>1.64</v>
      </c>
      <c r="T27" s="564">
        <f>'Sch 141N Lighting Tariff'!N27</f>
        <v>1.1399999999999999</v>
      </c>
      <c r="U27" s="564"/>
      <c r="W27" s="564">
        <f>'Sch 141R Lighting Tariff'!J27</f>
        <v>0.31</v>
      </c>
      <c r="X27" s="564">
        <f>'Sch 141R Lighting Tariff'!N27</f>
        <v>1.08</v>
      </c>
      <c r="Y27" s="564"/>
      <c r="Z27" s="564"/>
      <c r="AA27" s="564">
        <f>'Sch 141A Lighting Tariff'!J25</f>
        <v>7.0000000000000007E-2</v>
      </c>
      <c r="AB27" s="564">
        <f>'Sch 141A Lighting Tariff'!N25</f>
        <v>0.08</v>
      </c>
      <c r="AC27" s="564"/>
      <c r="AE27" s="564">
        <f t="shared" si="7"/>
        <v>5.12</v>
      </c>
      <c r="AF27" s="564">
        <f t="shared" si="8"/>
        <v>5.4</v>
      </c>
      <c r="AG27" s="564"/>
    </row>
    <row r="28" spans="1:33" x14ac:dyDescent="0.2">
      <c r="A28" s="621">
        <f t="shared" si="0"/>
        <v>18</v>
      </c>
      <c r="B28" s="164" t="str">
        <f>'WP12 Condensed Sch. Level Costs'!A23</f>
        <v>51E</v>
      </c>
      <c r="C28" s="164"/>
      <c r="D28" s="327" t="str">
        <f>'WP12 Condensed Sch. Level Costs'!C23</f>
        <v>Light Emitting Diode</v>
      </c>
      <c r="E28" s="165" t="str">
        <f>'WP12 Condensed Sch. Level Costs'!D23</f>
        <v>LED 120.01-150</v>
      </c>
      <c r="F28" s="328">
        <f>ROUND('Capital Charge'!I26,2)</f>
        <v>0</v>
      </c>
      <c r="G28" s="564">
        <f>ROUND('O&amp;M Charge'!I26,2)</f>
        <v>0</v>
      </c>
      <c r="H28" s="564">
        <f>ROUND('Customer Charge'!I26,2)</f>
        <v>0.9</v>
      </c>
      <c r="I28" s="564">
        <f>ROUND('Demand Charge'!G26,2)</f>
        <v>0.49</v>
      </c>
      <c r="J28" s="564">
        <f>ROUND('Energy Charge'!I26,2)</f>
        <v>2.58</v>
      </c>
      <c r="K28" s="564">
        <f t="shared" si="5"/>
        <v>3.97</v>
      </c>
      <c r="L28" s="564">
        <f t="shared" si="6"/>
        <v>3.97</v>
      </c>
      <c r="M28" s="564"/>
      <c r="O28" s="564">
        <f>'Sch 141C Lighting Tariff'!J26</f>
        <v>0.03</v>
      </c>
      <c r="P28" s="564">
        <f>'Sch 141C Lighting Tariff'!N26</f>
        <v>0.03</v>
      </c>
      <c r="Q28" s="564"/>
      <c r="S28" s="564">
        <f>'Sch 141N Lighting Tariff'!J28</f>
        <v>2.1</v>
      </c>
      <c r="T28" s="564">
        <f>'Sch 141N Lighting Tariff'!N28</f>
        <v>1.46</v>
      </c>
      <c r="U28" s="564"/>
      <c r="W28" s="564">
        <f>'Sch 141R Lighting Tariff'!J28</f>
        <v>0.39</v>
      </c>
      <c r="X28" s="564">
        <f>'Sch 141R Lighting Tariff'!N28</f>
        <v>1.39</v>
      </c>
      <c r="Y28" s="564"/>
      <c r="Z28" s="564"/>
      <c r="AA28" s="564">
        <f>'Sch 141A Lighting Tariff'!J26</f>
        <v>0.09</v>
      </c>
      <c r="AB28" s="564">
        <f>'Sch 141A Lighting Tariff'!N26</f>
        <v>0.1</v>
      </c>
      <c r="AC28" s="564"/>
      <c r="AE28" s="564">
        <f t="shared" si="7"/>
        <v>6.5799999999999992</v>
      </c>
      <c r="AF28" s="564">
        <f t="shared" si="8"/>
        <v>6.9499999999999993</v>
      </c>
      <c r="AG28" s="564"/>
    </row>
    <row r="29" spans="1:33" x14ac:dyDescent="0.2">
      <c r="A29" s="621">
        <f t="shared" si="0"/>
        <v>19</v>
      </c>
      <c r="B29" s="164" t="str">
        <f>'WP12 Condensed Sch. Level Costs'!A24</f>
        <v>51E</v>
      </c>
      <c r="C29" s="164"/>
      <c r="D29" s="327" t="str">
        <f>'WP12 Condensed Sch. Level Costs'!C24</f>
        <v>Light Emitting Diode</v>
      </c>
      <c r="E29" s="165" t="str">
        <f>'WP12 Condensed Sch. Level Costs'!D24</f>
        <v>LED 150.01-180</v>
      </c>
      <c r="F29" s="328">
        <f>ROUND('Capital Charge'!I27,2)</f>
        <v>0</v>
      </c>
      <c r="G29" s="564">
        <f>ROUND('O&amp;M Charge'!I27,2)</f>
        <v>0</v>
      </c>
      <c r="H29" s="564">
        <f>ROUND('Customer Charge'!I27,2)</f>
        <v>1.1000000000000001</v>
      </c>
      <c r="I29" s="564">
        <f>ROUND('Demand Charge'!G27,2)</f>
        <v>0.6</v>
      </c>
      <c r="J29" s="564">
        <f>ROUND('Energy Charge'!I27,2)</f>
        <v>3.15</v>
      </c>
      <c r="K29" s="564">
        <f t="shared" si="5"/>
        <v>4.8499999999999996</v>
      </c>
      <c r="L29" s="564">
        <f t="shared" si="6"/>
        <v>4.8499999999999996</v>
      </c>
      <c r="M29" s="564"/>
      <c r="O29" s="564">
        <f>'Sch 141C Lighting Tariff'!J27</f>
        <v>0.03</v>
      </c>
      <c r="P29" s="564">
        <f>'Sch 141C Lighting Tariff'!N27</f>
        <v>0.04</v>
      </c>
      <c r="Q29" s="564"/>
      <c r="S29" s="564">
        <f>'Sch 141N Lighting Tariff'!J29</f>
        <v>2.57</v>
      </c>
      <c r="T29" s="564">
        <f>'Sch 141N Lighting Tariff'!N29</f>
        <v>1.78</v>
      </c>
      <c r="U29" s="564"/>
      <c r="W29" s="564">
        <f>'Sch 141R Lighting Tariff'!J29</f>
        <v>0.48</v>
      </c>
      <c r="X29" s="564">
        <f>'Sch 141R Lighting Tariff'!N29</f>
        <v>1.7</v>
      </c>
      <c r="Y29" s="564"/>
      <c r="Z29" s="564"/>
      <c r="AA29" s="564">
        <f>'Sch 141A Lighting Tariff'!J27</f>
        <v>0.11</v>
      </c>
      <c r="AB29" s="564">
        <f>'Sch 141A Lighting Tariff'!N27</f>
        <v>0.12</v>
      </c>
      <c r="AC29" s="564"/>
      <c r="AE29" s="564">
        <f t="shared" si="7"/>
        <v>8.0399999999999991</v>
      </c>
      <c r="AF29" s="564">
        <f t="shared" si="8"/>
        <v>8.4899999999999984</v>
      </c>
      <c r="AG29" s="564"/>
    </row>
    <row r="30" spans="1:33" x14ac:dyDescent="0.2">
      <c r="A30" s="621">
        <f t="shared" si="0"/>
        <v>20</v>
      </c>
      <c r="B30" s="164" t="str">
        <f>'WP12 Condensed Sch. Level Costs'!A25</f>
        <v>51E</v>
      </c>
      <c r="C30" s="164"/>
      <c r="D30" s="327" t="str">
        <f>'WP12 Condensed Sch. Level Costs'!C25</f>
        <v>Light Emitting Diode</v>
      </c>
      <c r="E30" s="165" t="str">
        <f>'WP12 Condensed Sch. Level Costs'!D25</f>
        <v>LED 180.01-210</v>
      </c>
      <c r="F30" s="328">
        <f>ROUND('Capital Charge'!I28,2)</f>
        <v>0</v>
      </c>
      <c r="G30" s="564">
        <f>ROUND('O&amp;M Charge'!I28,2)</f>
        <v>0</v>
      </c>
      <c r="H30" s="564">
        <f>ROUND('Customer Charge'!I28,2)</f>
        <v>1.31</v>
      </c>
      <c r="I30" s="564">
        <f>ROUND('Demand Charge'!G28,2)</f>
        <v>0.71</v>
      </c>
      <c r="J30" s="564">
        <f>ROUND('Energy Charge'!I28,2)</f>
        <v>3.72</v>
      </c>
      <c r="K30" s="564">
        <f t="shared" si="5"/>
        <v>5.74</v>
      </c>
      <c r="L30" s="564">
        <f t="shared" si="6"/>
        <v>5.74</v>
      </c>
      <c r="M30" s="564"/>
      <c r="O30" s="564">
        <f>'Sch 141C Lighting Tariff'!J28</f>
        <v>0.04</v>
      </c>
      <c r="P30" s="564">
        <f>'Sch 141C Lighting Tariff'!N28</f>
        <v>0.04</v>
      </c>
      <c r="Q30" s="564"/>
      <c r="S30" s="564">
        <f>'Sch 141N Lighting Tariff'!J30</f>
        <v>3.04</v>
      </c>
      <c r="T30" s="564">
        <f>'Sch 141N Lighting Tariff'!N30</f>
        <v>2.11</v>
      </c>
      <c r="U30" s="564"/>
      <c r="W30" s="564">
        <f>'Sch 141R Lighting Tariff'!J30</f>
        <v>0.56999999999999995</v>
      </c>
      <c r="X30" s="564">
        <f>'Sch 141R Lighting Tariff'!N30</f>
        <v>2</v>
      </c>
      <c r="Y30" s="564"/>
      <c r="Z30" s="564"/>
      <c r="AA30" s="564">
        <f>'Sch 141A Lighting Tariff'!J28</f>
        <v>0.14000000000000001</v>
      </c>
      <c r="AB30" s="564">
        <f>'Sch 141A Lighting Tariff'!N28</f>
        <v>0.14000000000000001</v>
      </c>
      <c r="AC30" s="564"/>
      <c r="AE30" s="564">
        <f t="shared" si="7"/>
        <v>9.5300000000000011</v>
      </c>
      <c r="AF30" s="564">
        <f t="shared" si="8"/>
        <v>10.030000000000001</v>
      </c>
      <c r="AG30" s="564"/>
    </row>
    <row r="31" spans="1:33" x14ac:dyDescent="0.2">
      <c r="A31" s="621">
        <f t="shared" si="0"/>
        <v>21</v>
      </c>
      <c r="B31" s="164" t="str">
        <f>'WP12 Condensed Sch. Level Costs'!A26</f>
        <v>51E</v>
      </c>
      <c r="C31" s="164"/>
      <c r="D31" s="327" t="str">
        <f>'WP12 Condensed Sch. Level Costs'!C26</f>
        <v>Light Emitting Diode</v>
      </c>
      <c r="E31" s="165" t="str">
        <f>'WP12 Condensed Sch. Level Costs'!D26</f>
        <v>LED 210.01-240</v>
      </c>
      <c r="F31" s="328">
        <f>ROUND('Capital Charge'!I29,2)</f>
        <v>0</v>
      </c>
      <c r="G31" s="564">
        <f>ROUND('O&amp;M Charge'!I29,2)</f>
        <v>0</v>
      </c>
      <c r="H31" s="564">
        <f>ROUND('Customer Charge'!I29,2)</f>
        <v>1.51</v>
      </c>
      <c r="I31" s="564">
        <f>ROUND('Demand Charge'!G29,2)</f>
        <v>0.82</v>
      </c>
      <c r="J31" s="564">
        <f>ROUND('Energy Charge'!I29,2)</f>
        <v>4.3</v>
      </c>
      <c r="K31" s="564">
        <f t="shared" si="5"/>
        <v>6.63</v>
      </c>
      <c r="L31" s="564">
        <f t="shared" si="6"/>
        <v>6.63</v>
      </c>
      <c r="M31" s="564"/>
      <c r="O31" s="564">
        <f>'Sch 141C Lighting Tariff'!J29</f>
        <v>0.05</v>
      </c>
      <c r="P31" s="564">
        <f>'Sch 141C Lighting Tariff'!N29</f>
        <v>0.05</v>
      </c>
      <c r="Q31" s="564"/>
      <c r="S31" s="564">
        <f>'Sch 141N Lighting Tariff'!J31</f>
        <v>3.51</v>
      </c>
      <c r="T31" s="564">
        <f>'Sch 141N Lighting Tariff'!N31</f>
        <v>2.4300000000000002</v>
      </c>
      <c r="U31" s="564"/>
      <c r="W31" s="564">
        <f>'Sch 141R Lighting Tariff'!J31</f>
        <v>0.66</v>
      </c>
      <c r="X31" s="564">
        <f>'Sch 141R Lighting Tariff'!N31</f>
        <v>2.31</v>
      </c>
      <c r="Y31" s="564"/>
      <c r="Z31" s="564"/>
      <c r="AA31" s="564">
        <f>'Sch 141A Lighting Tariff'!J29</f>
        <v>0.16</v>
      </c>
      <c r="AB31" s="564">
        <f>'Sch 141A Lighting Tariff'!N29</f>
        <v>0.16</v>
      </c>
      <c r="AC31" s="564"/>
      <c r="AE31" s="564">
        <f t="shared" si="7"/>
        <v>11.01</v>
      </c>
      <c r="AF31" s="564">
        <f t="shared" si="8"/>
        <v>11.58</v>
      </c>
      <c r="AG31" s="564"/>
    </row>
    <row r="32" spans="1:33" x14ac:dyDescent="0.2">
      <c r="A32" s="621">
        <f t="shared" si="0"/>
        <v>22</v>
      </c>
      <c r="B32" s="164" t="str">
        <f>'WP12 Condensed Sch. Level Costs'!A27</f>
        <v>51E</v>
      </c>
      <c r="C32" s="164"/>
      <c r="D32" s="327" t="str">
        <f>'WP12 Condensed Sch. Level Costs'!C27</f>
        <v>Light Emitting Diode</v>
      </c>
      <c r="E32" s="165" t="str">
        <f>'WP12 Condensed Sch. Level Costs'!D27</f>
        <v>LED 240.01-270</v>
      </c>
      <c r="F32" s="328">
        <f>ROUND('Capital Charge'!I30,2)</f>
        <v>0</v>
      </c>
      <c r="G32" s="564">
        <f>ROUND('O&amp;M Charge'!I30,2)</f>
        <v>0</v>
      </c>
      <c r="H32" s="564">
        <f>ROUND('Customer Charge'!I30,2)</f>
        <v>1.71</v>
      </c>
      <c r="I32" s="564">
        <f>ROUND('Demand Charge'!G30,2)</f>
        <v>0.93</v>
      </c>
      <c r="J32" s="564">
        <f>ROUND('Energy Charge'!I30,2)</f>
        <v>4.87</v>
      </c>
      <c r="K32" s="564">
        <f t="shared" si="5"/>
        <v>7.51</v>
      </c>
      <c r="L32" s="564">
        <f t="shared" si="6"/>
        <v>7.51</v>
      </c>
      <c r="M32" s="564"/>
      <c r="O32" s="564">
        <f>'Sch 141C Lighting Tariff'!J30</f>
        <v>0.05</v>
      </c>
      <c r="P32" s="564">
        <f>'Sch 141C Lighting Tariff'!N30</f>
        <v>0.06</v>
      </c>
      <c r="Q32" s="564"/>
      <c r="S32" s="564">
        <f>'Sch 141N Lighting Tariff'!J32</f>
        <v>3.97</v>
      </c>
      <c r="T32" s="564">
        <f>'Sch 141N Lighting Tariff'!N32</f>
        <v>2.76</v>
      </c>
      <c r="U32" s="564"/>
      <c r="W32" s="564">
        <f>'Sch 141R Lighting Tariff'!J32</f>
        <v>0.74</v>
      </c>
      <c r="X32" s="564">
        <f>'Sch 141R Lighting Tariff'!N32</f>
        <v>2.62</v>
      </c>
      <c r="Y32" s="564"/>
      <c r="Z32" s="564"/>
      <c r="AA32" s="564">
        <f>'Sch 141A Lighting Tariff'!J30</f>
        <v>0.18</v>
      </c>
      <c r="AB32" s="564">
        <f>'Sch 141A Lighting Tariff'!N30</f>
        <v>0.18</v>
      </c>
      <c r="AC32" s="564"/>
      <c r="AE32" s="564">
        <f t="shared" si="7"/>
        <v>12.45</v>
      </c>
      <c r="AF32" s="564">
        <f t="shared" si="8"/>
        <v>13.129999999999999</v>
      </c>
      <c r="AG32" s="564"/>
    </row>
    <row r="33" spans="1:33" x14ac:dyDescent="0.2">
      <c r="A33" s="621">
        <f t="shared" si="0"/>
        <v>23</v>
      </c>
      <c r="B33" s="164" t="str">
        <f>'WP12 Condensed Sch. Level Costs'!A28</f>
        <v>51E</v>
      </c>
      <c r="C33" s="164"/>
      <c r="D33" s="327" t="str">
        <f>'WP12 Condensed Sch. Level Costs'!C28</f>
        <v>Light Emitting Diode</v>
      </c>
      <c r="E33" s="165" t="str">
        <f>'WP12 Condensed Sch. Level Costs'!D28</f>
        <v>LED 270.01-300</v>
      </c>
      <c r="F33" s="328">
        <f>ROUND('Capital Charge'!I31,2)</f>
        <v>0</v>
      </c>
      <c r="G33" s="564">
        <f>ROUND('O&amp;M Charge'!I31,2)</f>
        <v>0</v>
      </c>
      <c r="H33" s="564">
        <f>ROUND('Customer Charge'!I31,2)</f>
        <v>1.91</v>
      </c>
      <c r="I33" s="564">
        <f>ROUND('Demand Charge'!G31,2)</f>
        <v>1.04</v>
      </c>
      <c r="J33" s="564">
        <f>ROUND('Energy Charge'!I31,2)</f>
        <v>5.44</v>
      </c>
      <c r="K33" s="564">
        <f t="shared" si="5"/>
        <v>8.39</v>
      </c>
      <c r="L33" s="564">
        <f t="shared" si="6"/>
        <v>8.39</v>
      </c>
      <c r="M33" s="564"/>
      <c r="O33" s="564">
        <f>'Sch 141C Lighting Tariff'!J31</f>
        <v>0.06</v>
      </c>
      <c r="P33" s="564">
        <f>'Sch 141C Lighting Tariff'!N31</f>
        <v>0.06</v>
      </c>
      <c r="Q33" s="564"/>
      <c r="S33" s="564">
        <f>'Sch 141N Lighting Tariff'!J33</f>
        <v>4.4400000000000004</v>
      </c>
      <c r="T33" s="564">
        <f>'Sch 141N Lighting Tariff'!N33</f>
        <v>3.08</v>
      </c>
      <c r="U33" s="564"/>
      <c r="W33" s="564">
        <f>'Sch 141R Lighting Tariff'!J33</f>
        <v>0.83</v>
      </c>
      <c r="X33" s="564">
        <f>'Sch 141R Lighting Tariff'!N33</f>
        <v>2.93</v>
      </c>
      <c r="Y33" s="564"/>
      <c r="Z33" s="564"/>
      <c r="AA33" s="564">
        <f>'Sch 141A Lighting Tariff'!J31</f>
        <v>0.2</v>
      </c>
      <c r="AB33" s="564">
        <f>'Sch 141A Lighting Tariff'!N31</f>
        <v>0.21</v>
      </c>
      <c r="AC33" s="564"/>
      <c r="AE33" s="564">
        <f t="shared" si="7"/>
        <v>13.92</v>
      </c>
      <c r="AF33" s="564">
        <f t="shared" si="8"/>
        <v>14.670000000000002</v>
      </c>
      <c r="AG33" s="564"/>
    </row>
    <row r="34" spans="1:33" x14ac:dyDescent="0.2">
      <c r="A34" s="621">
        <f t="shared" si="0"/>
        <v>24</v>
      </c>
      <c r="B34" s="164"/>
      <c r="C34" s="164"/>
      <c r="D34" s="327"/>
      <c r="E34" s="165"/>
      <c r="F34" s="328"/>
      <c r="G34" s="564"/>
      <c r="H34" s="564"/>
      <c r="I34" s="564"/>
      <c r="J34" s="564"/>
      <c r="K34" s="564"/>
      <c r="L34" s="564"/>
      <c r="M34" s="564"/>
      <c r="O34" s="564"/>
      <c r="P34" s="564"/>
      <c r="Q34" s="564"/>
      <c r="S34" s="564"/>
      <c r="T34" s="564"/>
      <c r="U34" s="564"/>
      <c r="W34" s="564"/>
      <c r="X34" s="564"/>
      <c r="Y34" s="564"/>
      <c r="Z34" s="564"/>
      <c r="AA34" s="564"/>
      <c r="AB34" s="564"/>
      <c r="AC34" s="564"/>
      <c r="AE34" s="564"/>
      <c r="AF34" s="564"/>
      <c r="AG34" s="564"/>
    </row>
    <row r="35" spans="1:33" x14ac:dyDescent="0.2">
      <c r="A35" s="621">
        <f t="shared" si="0"/>
        <v>25</v>
      </c>
      <c r="B35" s="331" t="str">
        <f>'WP12 Condensed Sch. Level Costs'!A30</f>
        <v>51E</v>
      </c>
      <c r="C35" s="331" t="s">
        <v>972</v>
      </c>
      <c r="D35" s="332" t="str">
        <f>'WP12 Condensed Sch. Level Costs'!C30</f>
        <v>Light Emitting Diode</v>
      </c>
      <c r="E35" s="333" t="str">
        <f>'WP12 Condensed Sch. Level Costs'!D30</f>
        <v>LED 0-030</v>
      </c>
      <c r="F35" s="334">
        <f>ROUND('Capital Charge'!I33,6)</f>
        <v>0</v>
      </c>
      <c r="G35" s="335">
        <f>ROUND('O&amp;M Charge'!I33,6)</f>
        <v>0</v>
      </c>
      <c r="H35" s="335">
        <f>ROUND('Customer Charge'!I33,6)</f>
        <v>1.9132E-2</v>
      </c>
      <c r="I35" s="335">
        <f>ROUND('Demand Charge'!G33,6)</f>
        <v>1.0432E-2</v>
      </c>
      <c r="J35" s="335">
        <f>ROUND('Energy Charge'!I33,6)</f>
        <v>5.4556E-2</v>
      </c>
      <c r="K35" s="335">
        <f t="shared" ref="K35:K44" si="9">SUM(F35:J35)</f>
        <v>8.412E-2</v>
      </c>
      <c r="L35" s="335">
        <f t="shared" ref="L35:L44" si="10">K35</f>
        <v>8.412E-2</v>
      </c>
      <c r="M35" s="335"/>
      <c r="N35" s="335"/>
      <c r="O35" s="335">
        <f>'Sch 141C Lighting Tariff'!H33</f>
        <v>5.8200000000000005E-4</v>
      </c>
      <c r="P35" s="335">
        <f>'Sch 141C Lighting Tariff'!L33</f>
        <v>6.3900000000000003E-4</v>
      </c>
      <c r="Q35" s="335"/>
      <c r="R35" s="335"/>
      <c r="S35" s="335">
        <f>'Sch 141N Lighting Tariff'!H35</f>
        <v>4.4534999999999998E-2</v>
      </c>
      <c r="T35" s="335">
        <f>'Sch 141N Lighting Tariff'!L35</f>
        <v>3.0908999999999999E-2</v>
      </c>
      <c r="U35" s="335"/>
      <c r="V35" s="335"/>
      <c r="W35" s="335">
        <f>'Sch 141R Lighting Tariff'!H35</f>
        <v>8.3250000000000008E-3</v>
      </c>
      <c r="X35" s="335">
        <f>'Sch 141R Lighting Tariff'!L35</f>
        <v>2.9375999999999999E-2</v>
      </c>
      <c r="Y35" s="335"/>
      <c r="Z35" s="335"/>
      <c r="AA35" s="335">
        <f>'Sch 141A Lighting Tariff'!H33</f>
        <v>1.98E-3</v>
      </c>
      <c r="AB35" s="335">
        <f>'Sch 141A Lighting Tariff'!L33</f>
        <v>2.0630000000000002E-3</v>
      </c>
      <c r="AC35" s="335"/>
      <c r="AD35" s="335"/>
      <c r="AE35" s="335">
        <f t="shared" ref="AE35:AE44" si="11">K35+O35+S35+W35+AA35</f>
        <v>0.139542</v>
      </c>
      <c r="AF35" s="335">
        <f t="shared" ref="AF35:AF44" si="12">L35+P35+T35+X35+AB35</f>
        <v>0.14710700000000002</v>
      </c>
      <c r="AG35" s="335"/>
    </row>
    <row r="36" spans="1:33" x14ac:dyDescent="0.2">
      <c r="A36" s="621">
        <f t="shared" si="0"/>
        <v>26</v>
      </c>
      <c r="B36" s="331" t="str">
        <f>'WP12 Condensed Sch. Level Costs'!A31</f>
        <v>51E</v>
      </c>
      <c r="C36" s="331" t="s">
        <v>972</v>
      </c>
      <c r="D36" s="332" t="str">
        <f>'WP12 Condensed Sch. Level Costs'!C31</f>
        <v>Light Emitting Diode</v>
      </c>
      <c r="E36" s="333" t="str">
        <f>'WP12 Condensed Sch. Level Costs'!D31</f>
        <v>LED 030.01-060</v>
      </c>
      <c r="F36" s="334">
        <f>ROUND('Capital Charge'!I34,6)</f>
        <v>0</v>
      </c>
      <c r="G36" s="335">
        <f>ROUND('O&amp;M Charge'!I34,6)</f>
        <v>0</v>
      </c>
      <c r="H36" s="335">
        <f>ROUND('Customer Charge'!I34,6)</f>
        <v>1.9132E-2</v>
      </c>
      <c r="I36" s="335">
        <f>ROUND('Demand Charge'!G34,6)</f>
        <v>1.0432E-2</v>
      </c>
      <c r="J36" s="335">
        <f>ROUND('Energy Charge'!I34,6)</f>
        <v>5.4556E-2</v>
      </c>
      <c r="K36" s="335">
        <f t="shared" si="9"/>
        <v>8.412E-2</v>
      </c>
      <c r="L36" s="335">
        <f t="shared" si="10"/>
        <v>8.412E-2</v>
      </c>
      <c r="M36" s="335"/>
      <c r="N36" s="335"/>
      <c r="O36" s="335">
        <f>'Sch 141C Lighting Tariff'!H34</f>
        <v>5.8200000000000005E-4</v>
      </c>
      <c r="P36" s="335">
        <f>'Sch 141C Lighting Tariff'!L34</f>
        <v>6.3900000000000003E-4</v>
      </c>
      <c r="Q36" s="335"/>
      <c r="R36" s="335"/>
      <c r="S36" s="335">
        <f>'Sch 141N Lighting Tariff'!H36</f>
        <v>4.4534999999999998E-2</v>
      </c>
      <c r="T36" s="335">
        <f>'Sch 141N Lighting Tariff'!L36</f>
        <v>3.0908999999999999E-2</v>
      </c>
      <c r="U36" s="335"/>
      <c r="V36" s="335"/>
      <c r="W36" s="335">
        <f>'Sch 141R Lighting Tariff'!H36</f>
        <v>8.3250000000000008E-3</v>
      </c>
      <c r="X36" s="335">
        <f>'Sch 141R Lighting Tariff'!L36</f>
        <v>2.9375999999999999E-2</v>
      </c>
      <c r="Y36" s="335"/>
      <c r="Z36" s="335"/>
      <c r="AA36" s="335">
        <f>'Sch 141A Lighting Tariff'!H34</f>
        <v>1.98E-3</v>
      </c>
      <c r="AB36" s="335">
        <f>'Sch 141A Lighting Tariff'!L34</f>
        <v>2.0630000000000002E-3</v>
      </c>
      <c r="AC36" s="335"/>
      <c r="AD36" s="335"/>
      <c r="AE36" s="335">
        <f t="shared" si="11"/>
        <v>0.139542</v>
      </c>
      <c r="AF36" s="335">
        <f t="shared" si="12"/>
        <v>0.14710700000000002</v>
      </c>
      <c r="AG36" s="335"/>
    </row>
    <row r="37" spans="1:33" x14ac:dyDescent="0.2">
      <c r="A37" s="621">
        <f t="shared" si="0"/>
        <v>27</v>
      </c>
      <c r="B37" s="331" t="str">
        <f>'WP12 Condensed Sch. Level Costs'!A32</f>
        <v>51E</v>
      </c>
      <c r="C37" s="331" t="s">
        <v>972</v>
      </c>
      <c r="D37" s="332" t="str">
        <f>'WP12 Condensed Sch. Level Costs'!C32</f>
        <v>Light Emitting Diode</v>
      </c>
      <c r="E37" s="333" t="str">
        <f>'WP12 Condensed Sch. Level Costs'!D32</f>
        <v>LED 060.01-090</v>
      </c>
      <c r="F37" s="334">
        <f>ROUND('Capital Charge'!I35,6)</f>
        <v>0</v>
      </c>
      <c r="G37" s="335">
        <f>ROUND('O&amp;M Charge'!I35,6)</f>
        <v>0</v>
      </c>
      <c r="H37" s="335">
        <f>ROUND('Customer Charge'!I35,6)</f>
        <v>1.9132E-2</v>
      </c>
      <c r="I37" s="335">
        <f>ROUND('Demand Charge'!G35,6)</f>
        <v>1.0432E-2</v>
      </c>
      <c r="J37" s="335">
        <f>ROUND('Energy Charge'!I35,6)</f>
        <v>5.4556E-2</v>
      </c>
      <c r="K37" s="335">
        <f t="shared" si="9"/>
        <v>8.412E-2</v>
      </c>
      <c r="L37" s="335">
        <f t="shared" si="10"/>
        <v>8.412E-2</v>
      </c>
      <c r="M37" s="335"/>
      <c r="N37" s="335"/>
      <c r="O37" s="335">
        <f>'Sch 141C Lighting Tariff'!H35</f>
        <v>5.8200000000000005E-4</v>
      </c>
      <c r="P37" s="335">
        <f>'Sch 141C Lighting Tariff'!L35</f>
        <v>6.3900000000000003E-4</v>
      </c>
      <c r="Q37" s="335"/>
      <c r="R37" s="335"/>
      <c r="S37" s="335">
        <f>'Sch 141N Lighting Tariff'!H37</f>
        <v>4.4534999999999998E-2</v>
      </c>
      <c r="T37" s="335">
        <f>'Sch 141N Lighting Tariff'!L37</f>
        <v>3.0908999999999999E-2</v>
      </c>
      <c r="U37" s="335"/>
      <c r="V37" s="335"/>
      <c r="W37" s="335">
        <f>'Sch 141R Lighting Tariff'!H37</f>
        <v>8.3250000000000008E-3</v>
      </c>
      <c r="X37" s="335">
        <f>'Sch 141R Lighting Tariff'!L37</f>
        <v>2.9375999999999999E-2</v>
      </c>
      <c r="Y37" s="335"/>
      <c r="Z37" s="335"/>
      <c r="AA37" s="335">
        <f>'Sch 141A Lighting Tariff'!H35</f>
        <v>1.98E-3</v>
      </c>
      <c r="AB37" s="335">
        <f>'Sch 141A Lighting Tariff'!L35</f>
        <v>2.0630000000000002E-3</v>
      </c>
      <c r="AC37" s="335"/>
      <c r="AD37" s="335"/>
      <c r="AE37" s="335">
        <f t="shared" si="11"/>
        <v>0.139542</v>
      </c>
      <c r="AF37" s="335">
        <f t="shared" si="12"/>
        <v>0.14710700000000002</v>
      </c>
      <c r="AG37" s="335"/>
    </row>
    <row r="38" spans="1:33" x14ac:dyDescent="0.2">
      <c r="A38" s="621">
        <f t="shared" si="0"/>
        <v>28</v>
      </c>
      <c r="B38" s="331" t="str">
        <f>'WP12 Condensed Sch. Level Costs'!A33</f>
        <v>51E</v>
      </c>
      <c r="C38" s="331" t="s">
        <v>972</v>
      </c>
      <c r="D38" s="332" t="str">
        <f>'WP12 Condensed Sch. Level Costs'!C33</f>
        <v>Light Emitting Diode</v>
      </c>
      <c r="E38" s="333" t="str">
        <f>'WP12 Condensed Sch. Level Costs'!D33</f>
        <v>LED 090.01-120</v>
      </c>
      <c r="F38" s="334">
        <f>ROUND('Capital Charge'!I36,6)</f>
        <v>0</v>
      </c>
      <c r="G38" s="335">
        <f>ROUND('O&amp;M Charge'!I36,6)</f>
        <v>0</v>
      </c>
      <c r="H38" s="335">
        <f>ROUND('Customer Charge'!I36,6)</f>
        <v>1.9132E-2</v>
      </c>
      <c r="I38" s="335">
        <f>ROUND('Demand Charge'!G36,6)</f>
        <v>1.0432E-2</v>
      </c>
      <c r="J38" s="335">
        <f>ROUND('Energy Charge'!I36,6)</f>
        <v>5.4556E-2</v>
      </c>
      <c r="K38" s="335">
        <f t="shared" si="9"/>
        <v>8.412E-2</v>
      </c>
      <c r="L38" s="335">
        <f t="shared" si="10"/>
        <v>8.412E-2</v>
      </c>
      <c r="M38" s="335"/>
      <c r="N38" s="335"/>
      <c r="O38" s="335">
        <f>'Sch 141C Lighting Tariff'!H36</f>
        <v>5.8200000000000005E-4</v>
      </c>
      <c r="P38" s="335">
        <f>'Sch 141C Lighting Tariff'!L36</f>
        <v>6.3900000000000003E-4</v>
      </c>
      <c r="Q38" s="335"/>
      <c r="R38" s="335"/>
      <c r="S38" s="335">
        <f>'Sch 141N Lighting Tariff'!H38</f>
        <v>4.4534999999999998E-2</v>
      </c>
      <c r="T38" s="335">
        <f>'Sch 141N Lighting Tariff'!L38</f>
        <v>3.0908999999999999E-2</v>
      </c>
      <c r="U38" s="335"/>
      <c r="V38" s="335"/>
      <c r="W38" s="335">
        <f>'Sch 141R Lighting Tariff'!H38</f>
        <v>8.3250000000000008E-3</v>
      </c>
      <c r="X38" s="335">
        <f>'Sch 141R Lighting Tariff'!L38</f>
        <v>2.9375999999999999E-2</v>
      </c>
      <c r="Y38" s="335"/>
      <c r="Z38" s="335"/>
      <c r="AA38" s="335">
        <f>'Sch 141A Lighting Tariff'!H36</f>
        <v>1.98E-3</v>
      </c>
      <c r="AB38" s="335">
        <f>'Sch 141A Lighting Tariff'!L36</f>
        <v>2.0630000000000002E-3</v>
      </c>
      <c r="AC38" s="335"/>
      <c r="AD38" s="335"/>
      <c r="AE38" s="335">
        <f t="shared" si="11"/>
        <v>0.139542</v>
      </c>
      <c r="AF38" s="335">
        <f t="shared" si="12"/>
        <v>0.14710700000000002</v>
      </c>
      <c r="AG38" s="335"/>
    </row>
    <row r="39" spans="1:33" x14ac:dyDescent="0.2">
      <c r="A39" s="621">
        <f t="shared" si="0"/>
        <v>29</v>
      </c>
      <c r="B39" s="331" t="str">
        <f>'WP12 Condensed Sch. Level Costs'!A34</f>
        <v>51E</v>
      </c>
      <c r="C39" s="331" t="s">
        <v>972</v>
      </c>
      <c r="D39" s="332" t="str">
        <f>'WP12 Condensed Sch. Level Costs'!C34</f>
        <v>Light Emitting Diode</v>
      </c>
      <c r="E39" s="333" t="str">
        <f>'WP12 Condensed Sch. Level Costs'!D34</f>
        <v>LED 120.01-150</v>
      </c>
      <c r="F39" s="334">
        <f>ROUND('Capital Charge'!I37,6)</f>
        <v>0</v>
      </c>
      <c r="G39" s="335">
        <f>ROUND('O&amp;M Charge'!I37,6)</f>
        <v>0</v>
      </c>
      <c r="H39" s="335">
        <f>ROUND('Customer Charge'!I37,6)</f>
        <v>1.9132E-2</v>
      </c>
      <c r="I39" s="335">
        <f>ROUND('Demand Charge'!G37,6)</f>
        <v>1.0432E-2</v>
      </c>
      <c r="J39" s="335">
        <f>ROUND('Energy Charge'!I37,6)</f>
        <v>5.4556E-2</v>
      </c>
      <c r="K39" s="335">
        <f t="shared" si="9"/>
        <v>8.412E-2</v>
      </c>
      <c r="L39" s="335">
        <f t="shared" si="10"/>
        <v>8.412E-2</v>
      </c>
      <c r="M39" s="335"/>
      <c r="N39" s="335"/>
      <c r="O39" s="335">
        <f>'Sch 141C Lighting Tariff'!H37</f>
        <v>5.8200000000000005E-4</v>
      </c>
      <c r="P39" s="335">
        <f>'Sch 141C Lighting Tariff'!L37</f>
        <v>6.3900000000000003E-4</v>
      </c>
      <c r="Q39" s="335"/>
      <c r="R39" s="335"/>
      <c r="S39" s="335">
        <f>'Sch 141N Lighting Tariff'!H39</f>
        <v>4.4534999999999998E-2</v>
      </c>
      <c r="T39" s="335">
        <f>'Sch 141N Lighting Tariff'!L39</f>
        <v>3.0908999999999999E-2</v>
      </c>
      <c r="U39" s="335"/>
      <c r="V39" s="335"/>
      <c r="W39" s="335">
        <f>'Sch 141R Lighting Tariff'!H39</f>
        <v>8.3250000000000008E-3</v>
      </c>
      <c r="X39" s="335">
        <f>'Sch 141R Lighting Tariff'!L39</f>
        <v>2.9375999999999999E-2</v>
      </c>
      <c r="Y39" s="335"/>
      <c r="Z39" s="335"/>
      <c r="AA39" s="335">
        <f>'Sch 141A Lighting Tariff'!H37</f>
        <v>1.98E-3</v>
      </c>
      <c r="AB39" s="335">
        <f>'Sch 141A Lighting Tariff'!L37</f>
        <v>2.0630000000000002E-3</v>
      </c>
      <c r="AC39" s="335"/>
      <c r="AD39" s="335"/>
      <c r="AE39" s="335">
        <f t="shared" si="11"/>
        <v>0.139542</v>
      </c>
      <c r="AF39" s="335">
        <f t="shared" si="12"/>
        <v>0.14710700000000002</v>
      </c>
      <c r="AG39" s="335"/>
    </row>
    <row r="40" spans="1:33" x14ac:dyDescent="0.2">
      <c r="A40" s="621">
        <f t="shared" si="0"/>
        <v>30</v>
      </c>
      <c r="B40" s="331" t="str">
        <f>'WP12 Condensed Sch. Level Costs'!A35</f>
        <v>51E</v>
      </c>
      <c r="C40" s="331" t="s">
        <v>972</v>
      </c>
      <c r="D40" s="332" t="str">
        <f>'WP12 Condensed Sch. Level Costs'!C35</f>
        <v>Light Emitting Diode</v>
      </c>
      <c r="E40" s="333" t="str">
        <f>'WP12 Condensed Sch. Level Costs'!D35</f>
        <v>LED 150.01-180</v>
      </c>
      <c r="F40" s="334">
        <f>ROUND('Capital Charge'!I38,6)</f>
        <v>0</v>
      </c>
      <c r="G40" s="335">
        <f>ROUND('O&amp;M Charge'!I38,6)</f>
        <v>0</v>
      </c>
      <c r="H40" s="335">
        <f>ROUND('Customer Charge'!I38,6)</f>
        <v>1.9132E-2</v>
      </c>
      <c r="I40" s="335">
        <f>ROUND('Demand Charge'!G38,6)</f>
        <v>1.0432E-2</v>
      </c>
      <c r="J40" s="335">
        <f>ROUND('Energy Charge'!I38,6)</f>
        <v>5.4556E-2</v>
      </c>
      <c r="K40" s="335">
        <f t="shared" si="9"/>
        <v>8.412E-2</v>
      </c>
      <c r="L40" s="335">
        <f t="shared" si="10"/>
        <v>8.412E-2</v>
      </c>
      <c r="M40" s="335"/>
      <c r="N40" s="335"/>
      <c r="O40" s="335">
        <f>'Sch 141C Lighting Tariff'!H38</f>
        <v>5.8200000000000005E-4</v>
      </c>
      <c r="P40" s="335">
        <f>'Sch 141C Lighting Tariff'!L38</f>
        <v>6.3900000000000003E-4</v>
      </c>
      <c r="Q40" s="335"/>
      <c r="R40" s="335"/>
      <c r="S40" s="335">
        <f>'Sch 141N Lighting Tariff'!H40</f>
        <v>4.4534999999999998E-2</v>
      </c>
      <c r="T40" s="335">
        <f>'Sch 141N Lighting Tariff'!L40</f>
        <v>3.0908999999999999E-2</v>
      </c>
      <c r="U40" s="335"/>
      <c r="V40" s="335"/>
      <c r="W40" s="335">
        <f>'Sch 141R Lighting Tariff'!H40</f>
        <v>8.3250000000000008E-3</v>
      </c>
      <c r="X40" s="335">
        <f>'Sch 141R Lighting Tariff'!L40</f>
        <v>2.9375999999999999E-2</v>
      </c>
      <c r="Y40" s="335"/>
      <c r="Z40" s="335"/>
      <c r="AA40" s="335">
        <f>'Sch 141A Lighting Tariff'!H38</f>
        <v>1.98E-3</v>
      </c>
      <c r="AB40" s="335">
        <f>'Sch 141A Lighting Tariff'!L38</f>
        <v>2.0630000000000002E-3</v>
      </c>
      <c r="AC40" s="335"/>
      <c r="AD40" s="335"/>
      <c r="AE40" s="335">
        <f t="shared" si="11"/>
        <v>0.139542</v>
      </c>
      <c r="AF40" s="335">
        <f t="shared" si="12"/>
        <v>0.14710700000000002</v>
      </c>
      <c r="AG40" s="335"/>
    </row>
    <row r="41" spans="1:33" x14ac:dyDescent="0.2">
      <c r="A41" s="621">
        <f t="shared" si="0"/>
        <v>31</v>
      </c>
      <c r="B41" s="331" t="str">
        <f>'WP12 Condensed Sch. Level Costs'!A36</f>
        <v>51E</v>
      </c>
      <c r="C41" s="331" t="s">
        <v>972</v>
      </c>
      <c r="D41" s="332" t="str">
        <f>'WP12 Condensed Sch. Level Costs'!C36</f>
        <v>Light Emitting Diode</v>
      </c>
      <c r="E41" s="333" t="str">
        <f>'WP12 Condensed Sch. Level Costs'!D36</f>
        <v>LED 180.01-210</v>
      </c>
      <c r="F41" s="334">
        <f>ROUND('Capital Charge'!I39,6)</f>
        <v>0</v>
      </c>
      <c r="G41" s="335">
        <f>ROUND('O&amp;M Charge'!I39,6)</f>
        <v>0</v>
      </c>
      <c r="H41" s="335">
        <f>ROUND('Customer Charge'!I39,6)</f>
        <v>1.9132E-2</v>
      </c>
      <c r="I41" s="335">
        <f>ROUND('Demand Charge'!G39,6)</f>
        <v>1.0432E-2</v>
      </c>
      <c r="J41" s="335">
        <f>ROUND('Energy Charge'!I39,6)</f>
        <v>5.4556E-2</v>
      </c>
      <c r="K41" s="335">
        <f t="shared" si="9"/>
        <v>8.412E-2</v>
      </c>
      <c r="L41" s="335">
        <f t="shared" si="10"/>
        <v>8.412E-2</v>
      </c>
      <c r="M41" s="335"/>
      <c r="N41" s="335"/>
      <c r="O41" s="335">
        <f>'Sch 141C Lighting Tariff'!H39</f>
        <v>5.8200000000000005E-4</v>
      </c>
      <c r="P41" s="335">
        <f>'Sch 141C Lighting Tariff'!L39</f>
        <v>6.3900000000000003E-4</v>
      </c>
      <c r="Q41" s="335"/>
      <c r="R41" s="335"/>
      <c r="S41" s="335">
        <f>'Sch 141N Lighting Tariff'!H41</f>
        <v>4.4534999999999998E-2</v>
      </c>
      <c r="T41" s="335">
        <f>'Sch 141N Lighting Tariff'!L41</f>
        <v>3.0908999999999999E-2</v>
      </c>
      <c r="U41" s="335"/>
      <c r="V41" s="335"/>
      <c r="W41" s="335">
        <f>'Sch 141R Lighting Tariff'!H41</f>
        <v>8.3250000000000008E-3</v>
      </c>
      <c r="X41" s="335">
        <f>'Sch 141R Lighting Tariff'!L41</f>
        <v>2.9375999999999999E-2</v>
      </c>
      <c r="Y41" s="335"/>
      <c r="Z41" s="335"/>
      <c r="AA41" s="335">
        <f>'Sch 141A Lighting Tariff'!H39</f>
        <v>1.98E-3</v>
      </c>
      <c r="AB41" s="335">
        <f>'Sch 141A Lighting Tariff'!L39</f>
        <v>2.0630000000000002E-3</v>
      </c>
      <c r="AC41" s="335"/>
      <c r="AD41" s="335"/>
      <c r="AE41" s="335">
        <f t="shared" si="11"/>
        <v>0.139542</v>
      </c>
      <c r="AF41" s="335">
        <f t="shared" si="12"/>
        <v>0.14710700000000002</v>
      </c>
      <c r="AG41" s="335"/>
    </row>
    <row r="42" spans="1:33" x14ac:dyDescent="0.2">
      <c r="A42" s="621">
        <f t="shared" si="0"/>
        <v>32</v>
      </c>
      <c r="B42" s="331" t="str">
        <f>'WP12 Condensed Sch. Level Costs'!A37</f>
        <v>51E</v>
      </c>
      <c r="C42" s="331" t="s">
        <v>972</v>
      </c>
      <c r="D42" s="332" t="str">
        <f>'WP12 Condensed Sch. Level Costs'!C37</f>
        <v>Light Emitting Diode</v>
      </c>
      <c r="E42" s="333" t="str">
        <f>'WP12 Condensed Sch. Level Costs'!D37</f>
        <v>LED 210.01-240</v>
      </c>
      <c r="F42" s="334">
        <f>ROUND('Capital Charge'!I40,6)</f>
        <v>0</v>
      </c>
      <c r="G42" s="335">
        <f>ROUND('O&amp;M Charge'!I40,6)</f>
        <v>0</v>
      </c>
      <c r="H42" s="335">
        <f>ROUND('Customer Charge'!I40,6)</f>
        <v>1.9132E-2</v>
      </c>
      <c r="I42" s="335">
        <f>ROUND('Demand Charge'!G40,6)</f>
        <v>1.0432E-2</v>
      </c>
      <c r="J42" s="335">
        <f>ROUND('Energy Charge'!I40,6)</f>
        <v>5.4556E-2</v>
      </c>
      <c r="K42" s="335">
        <f t="shared" si="9"/>
        <v>8.412E-2</v>
      </c>
      <c r="L42" s="335">
        <f t="shared" si="10"/>
        <v>8.412E-2</v>
      </c>
      <c r="M42" s="335"/>
      <c r="N42" s="335"/>
      <c r="O42" s="335">
        <f>'Sch 141C Lighting Tariff'!H40</f>
        <v>5.8200000000000005E-4</v>
      </c>
      <c r="P42" s="335">
        <f>'Sch 141C Lighting Tariff'!L40</f>
        <v>6.3900000000000003E-4</v>
      </c>
      <c r="Q42" s="335"/>
      <c r="R42" s="335"/>
      <c r="S42" s="335">
        <f>'Sch 141N Lighting Tariff'!H42</f>
        <v>4.4534999999999998E-2</v>
      </c>
      <c r="T42" s="335">
        <f>'Sch 141N Lighting Tariff'!L42</f>
        <v>3.0908999999999999E-2</v>
      </c>
      <c r="U42" s="335"/>
      <c r="V42" s="335"/>
      <c r="W42" s="335">
        <f>'Sch 141R Lighting Tariff'!H42</f>
        <v>8.3250000000000008E-3</v>
      </c>
      <c r="X42" s="335">
        <f>'Sch 141R Lighting Tariff'!L42</f>
        <v>2.9375999999999999E-2</v>
      </c>
      <c r="Y42" s="335"/>
      <c r="Z42" s="335"/>
      <c r="AA42" s="335">
        <f>'Sch 141A Lighting Tariff'!H40</f>
        <v>1.98E-3</v>
      </c>
      <c r="AB42" s="335">
        <f>'Sch 141A Lighting Tariff'!L40</f>
        <v>2.0630000000000002E-3</v>
      </c>
      <c r="AC42" s="335"/>
      <c r="AD42" s="335"/>
      <c r="AE42" s="335">
        <f t="shared" si="11"/>
        <v>0.139542</v>
      </c>
      <c r="AF42" s="335">
        <f t="shared" si="12"/>
        <v>0.14710700000000002</v>
      </c>
      <c r="AG42" s="335"/>
    </row>
    <row r="43" spans="1:33" x14ac:dyDescent="0.2">
      <c r="A43" s="621">
        <f t="shared" si="0"/>
        <v>33</v>
      </c>
      <c r="B43" s="331" t="str">
        <f>'WP12 Condensed Sch. Level Costs'!A38</f>
        <v>51E</v>
      </c>
      <c r="C43" s="331" t="s">
        <v>972</v>
      </c>
      <c r="D43" s="332" t="str">
        <f>'WP12 Condensed Sch. Level Costs'!C38</f>
        <v>Light Emitting Diode</v>
      </c>
      <c r="E43" s="333" t="str">
        <f>'WP12 Condensed Sch. Level Costs'!D38</f>
        <v>LED 240.01-270</v>
      </c>
      <c r="F43" s="334">
        <f>ROUND('Capital Charge'!I41,6)</f>
        <v>0</v>
      </c>
      <c r="G43" s="335">
        <f>ROUND('O&amp;M Charge'!I41,6)</f>
        <v>0</v>
      </c>
      <c r="H43" s="335">
        <f>ROUND('Customer Charge'!I41,6)</f>
        <v>1.9132E-2</v>
      </c>
      <c r="I43" s="335">
        <f>ROUND('Demand Charge'!G41,6)</f>
        <v>1.0432E-2</v>
      </c>
      <c r="J43" s="335">
        <f>ROUND('Energy Charge'!I41,6)</f>
        <v>5.4556E-2</v>
      </c>
      <c r="K43" s="335">
        <f t="shared" si="9"/>
        <v>8.412E-2</v>
      </c>
      <c r="L43" s="335">
        <f t="shared" si="10"/>
        <v>8.412E-2</v>
      </c>
      <c r="M43" s="335"/>
      <c r="N43" s="335"/>
      <c r="O43" s="335">
        <f>'Sch 141C Lighting Tariff'!H41</f>
        <v>5.8200000000000005E-4</v>
      </c>
      <c r="P43" s="335">
        <f>'Sch 141C Lighting Tariff'!L41</f>
        <v>6.3900000000000003E-4</v>
      </c>
      <c r="Q43" s="335"/>
      <c r="R43" s="335"/>
      <c r="S43" s="335">
        <f>'Sch 141N Lighting Tariff'!H43</f>
        <v>4.4534999999999998E-2</v>
      </c>
      <c r="T43" s="335">
        <f>'Sch 141N Lighting Tariff'!L43</f>
        <v>3.0908999999999999E-2</v>
      </c>
      <c r="U43" s="335"/>
      <c r="V43" s="335"/>
      <c r="W43" s="335">
        <f>'Sch 141R Lighting Tariff'!H43</f>
        <v>8.3250000000000008E-3</v>
      </c>
      <c r="X43" s="335">
        <f>'Sch 141R Lighting Tariff'!L43</f>
        <v>2.9375999999999999E-2</v>
      </c>
      <c r="Y43" s="335"/>
      <c r="Z43" s="335"/>
      <c r="AA43" s="335">
        <f>'Sch 141A Lighting Tariff'!H41</f>
        <v>1.98E-3</v>
      </c>
      <c r="AB43" s="335">
        <f>'Sch 141A Lighting Tariff'!L41</f>
        <v>2.0630000000000002E-3</v>
      </c>
      <c r="AC43" s="335"/>
      <c r="AD43" s="335"/>
      <c r="AE43" s="335">
        <f t="shared" si="11"/>
        <v>0.139542</v>
      </c>
      <c r="AF43" s="335">
        <f t="shared" si="12"/>
        <v>0.14710700000000002</v>
      </c>
      <c r="AG43" s="335"/>
    </row>
    <row r="44" spans="1:33" x14ac:dyDescent="0.2">
      <c r="A44" s="621">
        <f t="shared" si="0"/>
        <v>34</v>
      </c>
      <c r="B44" s="331" t="str">
        <f>'WP12 Condensed Sch. Level Costs'!A39</f>
        <v>51E</v>
      </c>
      <c r="C44" s="331" t="s">
        <v>972</v>
      </c>
      <c r="D44" s="332" t="str">
        <f>'WP12 Condensed Sch. Level Costs'!C39</f>
        <v>Light Emitting Diode</v>
      </c>
      <c r="E44" s="333" t="str">
        <f>'WP12 Condensed Sch. Level Costs'!D39</f>
        <v>LED 270.01-300</v>
      </c>
      <c r="F44" s="334">
        <f>ROUND('Capital Charge'!I42,6)</f>
        <v>0</v>
      </c>
      <c r="G44" s="335">
        <f>ROUND('O&amp;M Charge'!I42,6)</f>
        <v>0</v>
      </c>
      <c r="H44" s="335">
        <f>ROUND('Customer Charge'!I42,6)</f>
        <v>1.9132E-2</v>
      </c>
      <c r="I44" s="335">
        <f>ROUND('Demand Charge'!G42,6)</f>
        <v>1.0432E-2</v>
      </c>
      <c r="J44" s="335">
        <f>ROUND('Energy Charge'!I42,6)</f>
        <v>5.4556E-2</v>
      </c>
      <c r="K44" s="335">
        <f t="shared" si="9"/>
        <v>8.412E-2</v>
      </c>
      <c r="L44" s="335">
        <f t="shared" si="10"/>
        <v>8.412E-2</v>
      </c>
      <c r="M44" s="335"/>
      <c r="N44" s="335"/>
      <c r="O44" s="335">
        <f>'Sch 141C Lighting Tariff'!H42</f>
        <v>5.8200000000000005E-4</v>
      </c>
      <c r="P44" s="335">
        <f>'Sch 141C Lighting Tariff'!L42</f>
        <v>6.3900000000000003E-4</v>
      </c>
      <c r="Q44" s="335"/>
      <c r="R44" s="335"/>
      <c r="S44" s="335">
        <f>'Sch 141N Lighting Tariff'!H44</f>
        <v>4.4534999999999998E-2</v>
      </c>
      <c r="T44" s="335">
        <f>'Sch 141N Lighting Tariff'!L44</f>
        <v>3.0908999999999999E-2</v>
      </c>
      <c r="U44" s="335"/>
      <c r="V44" s="335"/>
      <c r="W44" s="335">
        <f>'Sch 141R Lighting Tariff'!H44</f>
        <v>8.3250000000000008E-3</v>
      </c>
      <c r="X44" s="335">
        <f>'Sch 141R Lighting Tariff'!L44</f>
        <v>2.9375999999999999E-2</v>
      </c>
      <c r="Y44" s="335"/>
      <c r="Z44" s="335"/>
      <c r="AA44" s="335">
        <f>'Sch 141A Lighting Tariff'!H42</f>
        <v>1.98E-3</v>
      </c>
      <c r="AB44" s="335">
        <f>'Sch 141A Lighting Tariff'!L42</f>
        <v>2.0630000000000002E-3</v>
      </c>
      <c r="AC44" s="335"/>
      <c r="AD44" s="335"/>
      <c r="AE44" s="335">
        <f t="shared" si="11"/>
        <v>0.139542</v>
      </c>
      <c r="AF44" s="335">
        <f t="shared" si="12"/>
        <v>0.14710700000000002</v>
      </c>
      <c r="AG44" s="335"/>
    </row>
    <row r="45" spans="1:33" x14ac:dyDescent="0.2">
      <c r="A45" s="621">
        <f t="shared" si="0"/>
        <v>35</v>
      </c>
      <c r="B45" s="164"/>
      <c r="C45" s="164"/>
      <c r="D45" s="327"/>
      <c r="E45" s="165"/>
      <c r="F45" s="328"/>
      <c r="G45" s="564"/>
      <c r="H45" s="564"/>
      <c r="I45" s="564"/>
      <c r="J45" s="564"/>
      <c r="K45" s="564"/>
      <c r="O45" s="564"/>
      <c r="S45" s="564"/>
      <c r="W45" s="564"/>
      <c r="AA45" s="564"/>
      <c r="AE45" s="564"/>
    </row>
    <row r="46" spans="1:33" x14ac:dyDescent="0.2">
      <c r="A46" s="621">
        <f t="shared" si="0"/>
        <v>36</v>
      </c>
      <c r="B46" s="164" t="str">
        <f>'WP12 Condensed Sch. Level Costs'!A40</f>
        <v>Sch 52E</v>
      </c>
      <c r="C46" s="164"/>
      <c r="D46" s="327"/>
      <c r="E46" s="165"/>
      <c r="F46" s="328"/>
      <c r="G46" s="564"/>
      <c r="H46" s="564"/>
      <c r="I46" s="564"/>
      <c r="J46" s="564"/>
      <c r="K46" s="564"/>
      <c r="O46" s="564"/>
      <c r="S46" s="564"/>
      <c r="W46" s="564"/>
      <c r="AA46" s="564"/>
      <c r="AE46" s="564"/>
    </row>
    <row r="47" spans="1:33" x14ac:dyDescent="0.2">
      <c r="A47" s="621">
        <f t="shared" si="0"/>
        <v>37</v>
      </c>
      <c r="B47" s="164" t="str">
        <f>'WP12 Condensed Sch. Level Costs'!A41</f>
        <v xml:space="preserve">52E </v>
      </c>
      <c r="C47" s="164"/>
      <c r="D47" s="327" t="str">
        <f>'WP12 Condensed Sch. Level Costs'!C41</f>
        <v>Sodium Vapor</v>
      </c>
      <c r="E47" s="165" t="str">
        <f>'WP12 Condensed Sch. Level Costs'!D41</f>
        <v>SV 50</v>
      </c>
      <c r="F47" s="328">
        <f>ROUND('Capital Charge'!I45,2)</f>
        <v>0</v>
      </c>
      <c r="G47" s="564">
        <f>ROUND('O&amp;M Charge'!I45,2)</f>
        <v>0</v>
      </c>
      <c r="H47" s="564">
        <f>ROUND('Customer Charge'!I45,2)</f>
        <v>0.33</v>
      </c>
      <c r="I47" s="564">
        <f>ROUND('Demand Charge'!G45,2)</f>
        <v>0.18</v>
      </c>
      <c r="J47" s="564">
        <f>ROUND('Energy Charge'!I45,2)</f>
        <v>0.95</v>
      </c>
      <c r="K47" s="564">
        <f t="shared" ref="K47:K54" si="13">SUM(F47:J47)</f>
        <v>1.46</v>
      </c>
      <c r="L47" s="564">
        <f t="shared" ref="L47:L54" si="14">K47</f>
        <v>1.46</v>
      </c>
      <c r="M47" s="564"/>
      <c r="O47" s="564">
        <f>'Sch 141C Lighting Tariff'!J45</f>
        <v>0.01</v>
      </c>
      <c r="P47" s="564">
        <f>'Sch 141C Lighting Tariff'!N45</f>
        <v>0.01</v>
      </c>
      <c r="Q47" s="564"/>
      <c r="S47" s="564">
        <f>'Sch 141N Lighting Tariff'!J47</f>
        <v>0.78</v>
      </c>
      <c r="T47" s="564">
        <f>'Sch 141N Lighting Tariff'!N47</f>
        <v>0.54</v>
      </c>
      <c r="U47" s="564"/>
      <c r="W47" s="564">
        <f>'Sch 141R Lighting Tariff'!J47</f>
        <v>0.15</v>
      </c>
      <c r="X47" s="564">
        <f>'Sch 141R Lighting Tariff'!N47</f>
        <v>0.51</v>
      </c>
      <c r="Y47" s="564"/>
      <c r="Z47" s="564"/>
      <c r="AA47" s="564">
        <f>'Sch 141A Lighting Tariff'!J45</f>
        <v>0.03</v>
      </c>
      <c r="AB47" s="564">
        <f>'Sch 141A Lighting Tariff'!N45</f>
        <v>0.04</v>
      </c>
      <c r="AC47" s="564"/>
      <c r="AE47" s="564">
        <f t="shared" ref="AE47:AF54" si="15">K47+O47+S47+W47+AA47</f>
        <v>2.4299999999999997</v>
      </c>
      <c r="AF47" s="564">
        <f t="shared" si="15"/>
        <v>2.5599999999999996</v>
      </c>
      <c r="AG47" s="564"/>
    </row>
    <row r="48" spans="1:33" x14ac:dyDescent="0.2">
      <c r="A48" s="621">
        <f t="shared" si="0"/>
        <v>38</v>
      </c>
      <c r="B48" s="164" t="str">
        <f>'WP12 Condensed Sch. Level Costs'!A42</f>
        <v xml:space="preserve">52E </v>
      </c>
      <c r="C48" s="164"/>
      <c r="D48" s="327" t="str">
        <f>'WP12 Condensed Sch. Level Costs'!C42</f>
        <v>Sodium Vapor</v>
      </c>
      <c r="E48" s="165" t="str">
        <f>'WP12 Condensed Sch. Level Costs'!D42</f>
        <v>SV 070</v>
      </c>
      <c r="F48" s="328">
        <f>ROUND('Capital Charge'!I46,2)</f>
        <v>0</v>
      </c>
      <c r="G48" s="564">
        <f>ROUND('O&amp;M Charge'!I46,2)</f>
        <v>0</v>
      </c>
      <c r="H48" s="564">
        <f>ROUND('Customer Charge'!I46,2)</f>
        <v>0.47</v>
      </c>
      <c r="I48" s="564">
        <f>ROUND('Demand Charge'!G46,2)</f>
        <v>0.26</v>
      </c>
      <c r="J48" s="564">
        <f>ROUND('Energy Charge'!I46,2)</f>
        <v>1.34</v>
      </c>
      <c r="K48" s="564">
        <f t="shared" si="13"/>
        <v>2.0700000000000003</v>
      </c>
      <c r="L48" s="564">
        <f t="shared" si="14"/>
        <v>2.0700000000000003</v>
      </c>
      <c r="M48" s="564"/>
      <c r="O48" s="564">
        <f>'Sch 141C Lighting Tariff'!J46</f>
        <v>0.01</v>
      </c>
      <c r="P48" s="564">
        <f>'Sch 141C Lighting Tariff'!N46</f>
        <v>0.02</v>
      </c>
      <c r="Q48" s="564"/>
      <c r="S48" s="564">
        <f>'Sch 141N Lighting Tariff'!J48</f>
        <v>1.0900000000000001</v>
      </c>
      <c r="T48" s="564">
        <f>'Sch 141N Lighting Tariff'!N48</f>
        <v>0.76</v>
      </c>
      <c r="U48" s="564"/>
      <c r="W48" s="564">
        <f>'Sch 141R Lighting Tariff'!J48</f>
        <v>0.2</v>
      </c>
      <c r="X48" s="564">
        <f>'Sch 141R Lighting Tariff'!N48</f>
        <v>0.72</v>
      </c>
      <c r="Y48" s="564"/>
      <c r="Z48" s="564"/>
      <c r="AA48" s="564">
        <f>'Sch 141A Lighting Tariff'!J46</f>
        <v>0.05</v>
      </c>
      <c r="AB48" s="564">
        <f>'Sch 141A Lighting Tariff'!N46</f>
        <v>0.05</v>
      </c>
      <c r="AC48" s="564"/>
      <c r="AE48" s="564">
        <f t="shared" si="15"/>
        <v>3.42</v>
      </c>
      <c r="AF48" s="564">
        <f t="shared" si="15"/>
        <v>3.62</v>
      </c>
      <c r="AG48" s="564"/>
    </row>
    <row r="49" spans="1:33" x14ac:dyDescent="0.2">
      <c r="A49" s="621">
        <f t="shared" si="0"/>
        <v>39</v>
      </c>
      <c r="B49" s="164" t="str">
        <f>'WP12 Condensed Sch. Level Costs'!A43</f>
        <v xml:space="preserve">52E </v>
      </c>
      <c r="C49" s="164"/>
      <c r="D49" s="327" t="str">
        <f>'WP12 Condensed Sch. Level Costs'!C43</f>
        <v>Sodium Vapor</v>
      </c>
      <c r="E49" s="165" t="str">
        <f>'WP12 Condensed Sch. Level Costs'!D43</f>
        <v>SV 100</v>
      </c>
      <c r="F49" s="328">
        <f>ROUND('Capital Charge'!I47,2)</f>
        <v>0</v>
      </c>
      <c r="G49" s="564">
        <f>ROUND('O&amp;M Charge'!I47,2)</f>
        <v>0</v>
      </c>
      <c r="H49" s="564">
        <f>ROUND('Customer Charge'!I47,2)</f>
        <v>0.67</v>
      </c>
      <c r="I49" s="564">
        <f>ROUND('Demand Charge'!G47,2)</f>
        <v>0.37</v>
      </c>
      <c r="J49" s="564">
        <f>ROUND('Energy Charge'!I47,2)</f>
        <v>1.91</v>
      </c>
      <c r="K49" s="564">
        <f t="shared" si="13"/>
        <v>2.95</v>
      </c>
      <c r="L49" s="564">
        <f t="shared" si="14"/>
        <v>2.95</v>
      </c>
      <c r="M49" s="564"/>
      <c r="O49" s="564">
        <f>'Sch 141C Lighting Tariff'!J47</f>
        <v>0.02</v>
      </c>
      <c r="P49" s="564">
        <f>'Sch 141C Lighting Tariff'!N47</f>
        <v>0.02</v>
      </c>
      <c r="Q49" s="564"/>
      <c r="S49" s="564">
        <f>'Sch 141N Lighting Tariff'!J49</f>
        <v>1.56</v>
      </c>
      <c r="T49" s="564">
        <f>'Sch 141N Lighting Tariff'!N49</f>
        <v>1.08</v>
      </c>
      <c r="U49" s="564"/>
      <c r="W49" s="564">
        <f>'Sch 141R Lighting Tariff'!J49</f>
        <v>0.28999999999999998</v>
      </c>
      <c r="X49" s="564">
        <f>'Sch 141R Lighting Tariff'!N49</f>
        <v>1.03</v>
      </c>
      <c r="Y49" s="564"/>
      <c r="Z49" s="564"/>
      <c r="AA49" s="564">
        <f>'Sch 141A Lighting Tariff'!J47</f>
        <v>7.0000000000000007E-2</v>
      </c>
      <c r="AB49" s="564">
        <f>'Sch 141A Lighting Tariff'!N47</f>
        <v>7.0000000000000007E-2</v>
      </c>
      <c r="AC49" s="564"/>
      <c r="AE49" s="564">
        <f t="shared" si="15"/>
        <v>4.8900000000000006</v>
      </c>
      <c r="AF49" s="564">
        <f t="shared" si="15"/>
        <v>5.1500000000000012</v>
      </c>
      <c r="AG49" s="564"/>
    </row>
    <row r="50" spans="1:33" x14ac:dyDescent="0.2">
      <c r="A50" s="621">
        <f t="shared" si="0"/>
        <v>40</v>
      </c>
      <c r="B50" s="164" t="str">
        <f>'WP12 Condensed Sch. Level Costs'!A44</f>
        <v xml:space="preserve">52E </v>
      </c>
      <c r="C50" s="164"/>
      <c r="D50" s="327" t="str">
        <f>'WP12 Condensed Sch. Level Costs'!C44</f>
        <v>Sodium Vapor</v>
      </c>
      <c r="E50" s="165" t="str">
        <f>'WP12 Condensed Sch. Level Costs'!D44</f>
        <v>SV 150</v>
      </c>
      <c r="F50" s="328">
        <f>ROUND('Capital Charge'!I48,2)</f>
        <v>0</v>
      </c>
      <c r="G50" s="564">
        <f>ROUND('O&amp;M Charge'!I48,2)</f>
        <v>0</v>
      </c>
      <c r="H50" s="564">
        <f>ROUND('Customer Charge'!I48,2)</f>
        <v>1</v>
      </c>
      <c r="I50" s="564">
        <f>ROUND('Demand Charge'!G48,2)</f>
        <v>0.55000000000000004</v>
      </c>
      <c r="J50" s="564">
        <f>ROUND('Energy Charge'!I48,2)</f>
        <v>2.86</v>
      </c>
      <c r="K50" s="564">
        <f t="shared" si="13"/>
        <v>4.41</v>
      </c>
      <c r="L50" s="564">
        <f t="shared" si="14"/>
        <v>4.41</v>
      </c>
      <c r="M50" s="564"/>
      <c r="O50" s="564">
        <f>'Sch 141C Lighting Tariff'!J48</f>
        <v>0.03</v>
      </c>
      <c r="P50" s="564">
        <f>'Sch 141C Lighting Tariff'!N48</f>
        <v>0.03</v>
      </c>
      <c r="Q50" s="564"/>
      <c r="S50" s="564">
        <f>'Sch 141N Lighting Tariff'!J50</f>
        <v>2.34</v>
      </c>
      <c r="T50" s="564">
        <f>'Sch 141N Lighting Tariff'!N50</f>
        <v>1.62</v>
      </c>
      <c r="U50" s="564"/>
      <c r="W50" s="564">
        <f>'Sch 141R Lighting Tariff'!J50</f>
        <v>0.44</v>
      </c>
      <c r="X50" s="564">
        <f>'Sch 141R Lighting Tariff'!N50</f>
        <v>1.54</v>
      </c>
      <c r="Y50" s="564"/>
      <c r="Z50" s="564"/>
      <c r="AA50" s="564">
        <f>'Sch 141A Lighting Tariff'!J48</f>
        <v>0.1</v>
      </c>
      <c r="AB50" s="564">
        <f>'Sch 141A Lighting Tariff'!N48</f>
        <v>0.11</v>
      </c>
      <c r="AC50" s="564"/>
      <c r="AE50" s="564">
        <f t="shared" si="15"/>
        <v>7.32</v>
      </c>
      <c r="AF50" s="564">
        <f t="shared" si="15"/>
        <v>7.7100000000000009</v>
      </c>
      <c r="AG50" s="564"/>
    </row>
    <row r="51" spans="1:33" x14ac:dyDescent="0.2">
      <c r="A51" s="621">
        <f t="shared" si="0"/>
        <v>41</v>
      </c>
      <c r="B51" s="164" t="str">
        <f>'WP12 Condensed Sch. Level Costs'!A45</f>
        <v xml:space="preserve">52E </v>
      </c>
      <c r="C51" s="164"/>
      <c r="D51" s="327" t="str">
        <f>'WP12 Condensed Sch. Level Costs'!C45</f>
        <v>Sodium Vapor</v>
      </c>
      <c r="E51" s="165" t="str">
        <f>'WP12 Condensed Sch. Level Costs'!D45</f>
        <v>SV 200</v>
      </c>
      <c r="F51" s="328">
        <f>ROUND('Capital Charge'!I49,2)</f>
        <v>0</v>
      </c>
      <c r="G51" s="564">
        <f>ROUND('O&amp;M Charge'!I49,2)</f>
        <v>0</v>
      </c>
      <c r="H51" s="564">
        <f>ROUND('Customer Charge'!I49,2)</f>
        <v>1.34</v>
      </c>
      <c r="I51" s="564">
        <f>ROUND('Demand Charge'!G49,2)</f>
        <v>0.73</v>
      </c>
      <c r="J51" s="564">
        <f>ROUND('Energy Charge'!I49,2)</f>
        <v>3.82</v>
      </c>
      <c r="K51" s="564">
        <f t="shared" si="13"/>
        <v>5.8900000000000006</v>
      </c>
      <c r="L51" s="564">
        <f t="shared" si="14"/>
        <v>5.8900000000000006</v>
      </c>
      <c r="M51" s="564"/>
      <c r="O51" s="564">
        <f>'Sch 141C Lighting Tariff'!J49</f>
        <v>0.04</v>
      </c>
      <c r="P51" s="564">
        <f>'Sch 141C Lighting Tariff'!N49</f>
        <v>0.04</v>
      </c>
      <c r="Q51" s="564"/>
      <c r="S51" s="564">
        <f>'Sch 141N Lighting Tariff'!J51</f>
        <v>3.12</v>
      </c>
      <c r="T51" s="564">
        <f>'Sch 141N Lighting Tariff'!N51</f>
        <v>2.16</v>
      </c>
      <c r="U51" s="564"/>
      <c r="W51" s="564">
        <f>'Sch 141R Lighting Tariff'!J51</f>
        <v>0.57999999999999996</v>
      </c>
      <c r="X51" s="564">
        <f>'Sch 141R Lighting Tariff'!N51</f>
        <v>2.06</v>
      </c>
      <c r="Y51" s="564"/>
      <c r="Z51" s="564"/>
      <c r="AA51" s="564">
        <f>'Sch 141A Lighting Tariff'!J49</f>
        <v>0.14000000000000001</v>
      </c>
      <c r="AB51" s="564">
        <f>'Sch 141A Lighting Tariff'!N49</f>
        <v>0.14000000000000001</v>
      </c>
      <c r="AC51" s="564"/>
      <c r="AE51" s="564">
        <f t="shared" si="15"/>
        <v>9.7700000000000014</v>
      </c>
      <c r="AF51" s="564">
        <f t="shared" si="15"/>
        <v>10.290000000000001</v>
      </c>
      <c r="AG51" s="564"/>
    </row>
    <row r="52" spans="1:33" x14ac:dyDescent="0.2">
      <c r="A52" s="621">
        <f t="shared" si="0"/>
        <v>42</v>
      </c>
      <c r="B52" s="164" t="str">
        <f>'WP12 Condensed Sch. Level Costs'!A46</f>
        <v xml:space="preserve">52E </v>
      </c>
      <c r="C52" s="164"/>
      <c r="D52" s="327" t="str">
        <f>'WP12 Condensed Sch. Level Costs'!C46</f>
        <v>Sodium Vapor</v>
      </c>
      <c r="E52" s="165" t="str">
        <f>'WP12 Condensed Sch. Level Costs'!D46</f>
        <v>SV 250</v>
      </c>
      <c r="F52" s="328">
        <f>ROUND('Capital Charge'!I50,2)</f>
        <v>0</v>
      </c>
      <c r="G52" s="564">
        <f>ROUND('O&amp;M Charge'!I50,2)</f>
        <v>0</v>
      </c>
      <c r="H52" s="564">
        <f>ROUND('Customer Charge'!I50,2)</f>
        <v>1.67</v>
      </c>
      <c r="I52" s="564">
        <f>ROUND('Demand Charge'!G50,2)</f>
        <v>0.91</v>
      </c>
      <c r="J52" s="564">
        <f>ROUND('Energy Charge'!I50,2)</f>
        <v>4.7699999999999996</v>
      </c>
      <c r="K52" s="564">
        <f t="shared" si="13"/>
        <v>7.35</v>
      </c>
      <c r="L52" s="564">
        <f t="shared" si="14"/>
        <v>7.35</v>
      </c>
      <c r="M52" s="564"/>
      <c r="O52" s="564">
        <f>'Sch 141C Lighting Tariff'!J50</f>
        <v>0.05</v>
      </c>
      <c r="P52" s="564">
        <f>'Sch 141C Lighting Tariff'!N50</f>
        <v>0.06</v>
      </c>
      <c r="Q52" s="564"/>
      <c r="S52" s="564">
        <f>'Sch 141N Lighting Tariff'!J52</f>
        <v>3.9</v>
      </c>
      <c r="T52" s="564">
        <f>'Sch 141N Lighting Tariff'!N52</f>
        <v>2.7</v>
      </c>
      <c r="U52" s="564"/>
      <c r="W52" s="564">
        <f>'Sch 141R Lighting Tariff'!J52</f>
        <v>0.73</v>
      </c>
      <c r="X52" s="564">
        <f>'Sch 141R Lighting Tariff'!N52</f>
        <v>2.57</v>
      </c>
      <c r="Y52" s="564"/>
      <c r="Z52" s="564"/>
      <c r="AA52" s="564">
        <f>'Sch 141A Lighting Tariff'!J50</f>
        <v>0.17</v>
      </c>
      <c r="AB52" s="564">
        <f>'Sch 141A Lighting Tariff'!N50</f>
        <v>0.18</v>
      </c>
      <c r="AC52" s="564"/>
      <c r="AE52" s="564">
        <f t="shared" si="15"/>
        <v>12.2</v>
      </c>
      <c r="AF52" s="564">
        <f t="shared" si="15"/>
        <v>12.86</v>
      </c>
      <c r="AG52" s="564"/>
    </row>
    <row r="53" spans="1:33" x14ac:dyDescent="0.2">
      <c r="A53" s="621">
        <f t="shared" si="0"/>
        <v>43</v>
      </c>
      <c r="B53" s="164" t="str">
        <f>'WP12 Condensed Sch. Level Costs'!A47</f>
        <v xml:space="preserve">52E </v>
      </c>
      <c r="C53" s="164"/>
      <c r="D53" s="327" t="str">
        <f>'WP12 Condensed Sch. Level Costs'!C47</f>
        <v>Sodium Vapor</v>
      </c>
      <c r="E53" s="165" t="str">
        <f>'WP12 Condensed Sch. Level Costs'!D47</f>
        <v>SV 310</v>
      </c>
      <c r="F53" s="328">
        <f>ROUND('Capital Charge'!I51,2)</f>
        <v>0</v>
      </c>
      <c r="G53" s="564">
        <f>ROUND('O&amp;M Charge'!I51,2)</f>
        <v>0</v>
      </c>
      <c r="H53" s="564">
        <f>ROUND('Customer Charge'!I51,2)</f>
        <v>2.08</v>
      </c>
      <c r="I53" s="564">
        <f>ROUND('Demand Charge'!G51,2)</f>
        <v>1.1299999999999999</v>
      </c>
      <c r="J53" s="564">
        <f>ROUND('Energy Charge'!I51,2)</f>
        <v>5.92</v>
      </c>
      <c r="K53" s="564">
        <f t="shared" si="13"/>
        <v>9.129999999999999</v>
      </c>
      <c r="L53" s="564">
        <f t="shared" si="14"/>
        <v>9.129999999999999</v>
      </c>
      <c r="M53" s="564"/>
      <c r="O53" s="564">
        <f>'Sch 141C Lighting Tariff'!J51</f>
        <v>0.06</v>
      </c>
      <c r="P53" s="564">
        <f>'Sch 141C Lighting Tariff'!N51</f>
        <v>7.0000000000000007E-2</v>
      </c>
      <c r="Q53" s="564"/>
      <c r="S53" s="564">
        <f>'Sch 141N Lighting Tariff'!J53</f>
        <v>4.83</v>
      </c>
      <c r="T53" s="564">
        <f>'Sch 141N Lighting Tariff'!N53</f>
        <v>3.35</v>
      </c>
      <c r="U53" s="564"/>
      <c r="W53" s="564">
        <f>'Sch 141R Lighting Tariff'!J53</f>
        <v>0.9</v>
      </c>
      <c r="X53" s="564">
        <f>'Sch 141R Lighting Tariff'!N53</f>
        <v>3.19</v>
      </c>
      <c r="Y53" s="564"/>
      <c r="Z53" s="564"/>
      <c r="AA53" s="564">
        <f>'Sch 141A Lighting Tariff'!J51</f>
        <v>0.21</v>
      </c>
      <c r="AB53" s="564">
        <f>'Sch 141A Lighting Tariff'!N51</f>
        <v>0.22</v>
      </c>
      <c r="AC53" s="564"/>
      <c r="AE53" s="564">
        <f t="shared" si="15"/>
        <v>15.13</v>
      </c>
      <c r="AF53" s="564">
        <f t="shared" si="15"/>
        <v>15.959999999999999</v>
      </c>
      <c r="AG53" s="564"/>
    </row>
    <row r="54" spans="1:33" x14ac:dyDescent="0.2">
      <c r="A54" s="621">
        <f t="shared" si="0"/>
        <v>44</v>
      </c>
      <c r="B54" s="164" t="str">
        <f>'WP12 Condensed Sch. Level Costs'!A48</f>
        <v xml:space="preserve">52E </v>
      </c>
      <c r="C54" s="164"/>
      <c r="D54" s="327" t="str">
        <f>'WP12 Condensed Sch. Level Costs'!C48</f>
        <v>Sodium Vapor</v>
      </c>
      <c r="E54" s="165" t="str">
        <f>'WP12 Condensed Sch. Level Costs'!D48</f>
        <v>SV 400</v>
      </c>
      <c r="F54" s="328">
        <f>ROUND('Capital Charge'!I52,2)</f>
        <v>0</v>
      </c>
      <c r="G54" s="564">
        <f>ROUND('O&amp;M Charge'!I52,2)</f>
        <v>0</v>
      </c>
      <c r="H54" s="564">
        <f>ROUND('Customer Charge'!I52,2)</f>
        <v>2.68</v>
      </c>
      <c r="I54" s="564">
        <f>ROUND('Demand Charge'!G52,2)</f>
        <v>1.46</v>
      </c>
      <c r="J54" s="564">
        <f>ROUND('Energy Charge'!I52,2)</f>
        <v>7.64</v>
      </c>
      <c r="K54" s="564">
        <f t="shared" si="13"/>
        <v>11.780000000000001</v>
      </c>
      <c r="L54" s="564">
        <f t="shared" si="14"/>
        <v>11.780000000000001</v>
      </c>
      <c r="M54" s="564"/>
      <c r="O54" s="564">
        <f>'Sch 141C Lighting Tariff'!J52</f>
        <v>0.08</v>
      </c>
      <c r="P54" s="564">
        <f>'Sch 141C Lighting Tariff'!N52</f>
        <v>0.09</v>
      </c>
      <c r="Q54" s="564"/>
      <c r="S54" s="564">
        <f>'Sch 141N Lighting Tariff'!J54</f>
        <v>6.23</v>
      </c>
      <c r="T54" s="564">
        <f>'Sch 141N Lighting Tariff'!N54</f>
        <v>4.33</v>
      </c>
      <c r="U54" s="564"/>
      <c r="W54" s="564">
        <f>'Sch 141R Lighting Tariff'!J54</f>
        <v>1.17</v>
      </c>
      <c r="X54" s="564">
        <f>'Sch 141R Lighting Tariff'!N54</f>
        <v>4.1100000000000003</v>
      </c>
      <c r="Y54" s="564"/>
      <c r="Z54" s="564"/>
      <c r="AA54" s="564">
        <f>'Sch 141A Lighting Tariff'!J52</f>
        <v>0.28000000000000003</v>
      </c>
      <c r="AB54" s="564">
        <f>'Sch 141A Lighting Tariff'!N52</f>
        <v>0.28999999999999998</v>
      </c>
      <c r="AC54" s="564"/>
      <c r="AE54" s="564">
        <f t="shared" si="15"/>
        <v>19.540000000000006</v>
      </c>
      <c r="AF54" s="564">
        <f t="shared" si="15"/>
        <v>20.6</v>
      </c>
      <c r="AG54" s="564"/>
    </row>
    <row r="55" spans="1:33" x14ac:dyDescent="0.2">
      <c r="A55" s="621">
        <f t="shared" si="0"/>
        <v>45</v>
      </c>
      <c r="B55" s="164"/>
      <c r="C55" s="164"/>
      <c r="D55" s="327"/>
      <c r="E55" s="165"/>
      <c r="F55" s="328"/>
      <c r="G55" s="564"/>
      <c r="H55" s="564"/>
      <c r="I55" s="564"/>
      <c r="J55" s="564"/>
      <c r="K55" s="564"/>
      <c r="O55" s="564"/>
      <c r="S55" s="564"/>
      <c r="W55" s="564"/>
      <c r="AA55" s="564"/>
      <c r="AE55" s="564"/>
    </row>
    <row r="56" spans="1:33" x14ac:dyDescent="0.2">
      <c r="A56" s="621">
        <f t="shared" si="0"/>
        <v>46</v>
      </c>
      <c r="B56" s="164" t="str">
        <f>'WP12 Condensed Sch. Level Costs'!A50</f>
        <v xml:space="preserve">52E </v>
      </c>
      <c r="C56" s="164"/>
      <c r="D56" s="327" t="str">
        <f>'WP12 Condensed Sch. Level Costs'!C50</f>
        <v>Metal Halide</v>
      </c>
      <c r="E56" s="165" t="str">
        <f>'WP12 Condensed Sch. Level Costs'!D50</f>
        <v>MH 070</v>
      </c>
      <c r="F56" s="328">
        <f>ROUND('Capital Charge'!I54,2)</f>
        <v>0</v>
      </c>
      <c r="G56" s="564">
        <f>ROUND('O&amp;M Charge'!I54,2)</f>
        <v>0</v>
      </c>
      <c r="H56" s="564">
        <f>ROUND('Customer Charge'!I54,2)</f>
        <v>0.47</v>
      </c>
      <c r="I56" s="564">
        <f>ROUND('Demand Charge'!G54,2)</f>
        <v>0.26</v>
      </c>
      <c r="J56" s="564">
        <f>ROUND('Energy Charge'!I54,2)</f>
        <v>1.34</v>
      </c>
      <c r="K56" s="564">
        <f t="shared" ref="K56:K62" si="16">SUM(F56:J56)</f>
        <v>2.0700000000000003</v>
      </c>
      <c r="L56" s="564">
        <f t="shared" ref="L56:L62" si="17">K56</f>
        <v>2.0700000000000003</v>
      </c>
      <c r="M56" s="564"/>
      <c r="O56" s="564">
        <f>'Sch 141C Lighting Tariff'!J54</f>
        <v>0.01</v>
      </c>
      <c r="P56" s="564">
        <f>'Sch 141C Lighting Tariff'!N54</f>
        <v>0.02</v>
      </c>
      <c r="Q56" s="564"/>
      <c r="S56" s="564">
        <f>'Sch 141N Lighting Tariff'!J56</f>
        <v>1.0900000000000001</v>
      </c>
      <c r="T56" s="564">
        <f>'Sch 141N Lighting Tariff'!N56</f>
        <v>0.76</v>
      </c>
      <c r="U56" s="564"/>
      <c r="W56" s="564">
        <f>'Sch 141R Lighting Tariff'!J56</f>
        <v>0.2</v>
      </c>
      <c r="X56" s="564">
        <f>'Sch 141R Lighting Tariff'!N56</f>
        <v>0.72</v>
      </c>
      <c r="Y56" s="564"/>
      <c r="Z56" s="564"/>
      <c r="AA56" s="564">
        <f>'Sch 141A Lighting Tariff'!J54</f>
        <v>0.05</v>
      </c>
      <c r="AB56" s="564">
        <f>'Sch 141A Lighting Tariff'!N54</f>
        <v>0.05</v>
      </c>
      <c r="AC56" s="564"/>
      <c r="AE56" s="564">
        <f t="shared" ref="AE56:AF62" si="18">K56+O56+S56+W56+AA56</f>
        <v>3.42</v>
      </c>
      <c r="AF56" s="564">
        <f t="shared" si="18"/>
        <v>3.62</v>
      </c>
      <c r="AG56" s="564"/>
    </row>
    <row r="57" spans="1:33" x14ac:dyDescent="0.2">
      <c r="A57" s="621">
        <f t="shared" si="0"/>
        <v>47</v>
      </c>
      <c r="B57" s="164" t="str">
        <f>'WP12 Condensed Sch. Level Costs'!A51</f>
        <v xml:space="preserve">52E </v>
      </c>
      <c r="C57" s="164"/>
      <c r="D57" s="327" t="str">
        <f>'WP12 Condensed Sch. Level Costs'!C51</f>
        <v>Metal Halide</v>
      </c>
      <c r="E57" s="165" t="str">
        <f>'WP12 Condensed Sch. Level Costs'!D51</f>
        <v>MH 100</v>
      </c>
      <c r="F57" s="328">
        <f>ROUND('Capital Charge'!I55,2)</f>
        <v>0</v>
      </c>
      <c r="G57" s="564">
        <f>ROUND('O&amp;M Charge'!I55,2)</f>
        <v>0</v>
      </c>
      <c r="H57" s="564">
        <f>ROUND('Customer Charge'!I55,2)</f>
        <v>0.67</v>
      </c>
      <c r="I57" s="564">
        <f>ROUND('Demand Charge'!G55,2)</f>
        <v>0.37</v>
      </c>
      <c r="J57" s="564">
        <f>ROUND('Energy Charge'!I55,2)</f>
        <v>1.91</v>
      </c>
      <c r="K57" s="564">
        <f t="shared" si="16"/>
        <v>2.95</v>
      </c>
      <c r="L57" s="564">
        <f t="shared" si="17"/>
        <v>2.95</v>
      </c>
      <c r="M57" s="564"/>
      <c r="O57" s="564">
        <f>'Sch 141C Lighting Tariff'!J55</f>
        <v>0.02</v>
      </c>
      <c r="P57" s="564">
        <f>'Sch 141C Lighting Tariff'!N55</f>
        <v>0.02</v>
      </c>
      <c r="Q57" s="564"/>
      <c r="S57" s="564">
        <f>'Sch 141N Lighting Tariff'!J57</f>
        <v>1.56</v>
      </c>
      <c r="T57" s="564">
        <f>'Sch 141N Lighting Tariff'!N57</f>
        <v>1.08</v>
      </c>
      <c r="U57" s="564"/>
      <c r="W57" s="564">
        <f>'Sch 141R Lighting Tariff'!J57</f>
        <v>0.28999999999999998</v>
      </c>
      <c r="X57" s="564">
        <f>'Sch 141R Lighting Tariff'!N57</f>
        <v>1.03</v>
      </c>
      <c r="Y57" s="564"/>
      <c r="Z57" s="564"/>
      <c r="AA57" s="564">
        <f>'Sch 141A Lighting Tariff'!J55</f>
        <v>7.0000000000000007E-2</v>
      </c>
      <c r="AB57" s="564">
        <f>'Sch 141A Lighting Tariff'!N55</f>
        <v>7.0000000000000007E-2</v>
      </c>
      <c r="AC57" s="564"/>
      <c r="AE57" s="564">
        <f t="shared" si="18"/>
        <v>4.8900000000000006</v>
      </c>
      <c r="AF57" s="564">
        <f t="shared" si="18"/>
        <v>5.1500000000000012</v>
      </c>
      <c r="AG57" s="564"/>
    </row>
    <row r="58" spans="1:33" x14ac:dyDescent="0.2">
      <c r="A58" s="621">
        <f t="shared" si="0"/>
        <v>48</v>
      </c>
      <c r="B58" s="164" t="str">
        <f>'WP12 Condensed Sch. Level Costs'!A52</f>
        <v xml:space="preserve">52E </v>
      </c>
      <c r="C58" s="164"/>
      <c r="D58" s="327" t="str">
        <f>'WP12 Condensed Sch. Level Costs'!C52</f>
        <v>Metal Halide</v>
      </c>
      <c r="E58" s="165" t="str">
        <f>'WP12 Condensed Sch. Level Costs'!D52</f>
        <v>MH 150</v>
      </c>
      <c r="F58" s="328">
        <f>ROUND('Capital Charge'!I56,2)</f>
        <v>0</v>
      </c>
      <c r="G58" s="564">
        <f>ROUND('O&amp;M Charge'!I56,2)</f>
        <v>0</v>
      </c>
      <c r="H58" s="564">
        <f>ROUND('Customer Charge'!I56,2)</f>
        <v>1</v>
      </c>
      <c r="I58" s="564">
        <f>ROUND('Demand Charge'!G56,2)</f>
        <v>0.55000000000000004</v>
      </c>
      <c r="J58" s="564">
        <f>ROUND('Energy Charge'!I56,2)</f>
        <v>2.86</v>
      </c>
      <c r="K58" s="564">
        <f t="shared" si="16"/>
        <v>4.41</v>
      </c>
      <c r="L58" s="564">
        <f t="shared" si="17"/>
        <v>4.41</v>
      </c>
      <c r="M58" s="564"/>
      <c r="O58" s="564">
        <f>'Sch 141C Lighting Tariff'!J56</f>
        <v>0.03</v>
      </c>
      <c r="P58" s="564">
        <f>'Sch 141C Lighting Tariff'!N56</f>
        <v>0.03</v>
      </c>
      <c r="Q58" s="564"/>
      <c r="S58" s="564">
        <f>'Sch 141N Lighting Tariff'!J58</f>
        <v>2.34</v>
      </c>
      <c r="T58" s="564">
        <f>'Sch 141N Lighting Tariff'!N58</f>
        <v>1.62</v>
      </c>
      <c r="U58" s="564"/>
      <c r="W58" s="564">
        <f>'Sch 141R Lighting Tariff'!J58</f>
        <v>0.44</v>
      </c>
      <c r="X58" s="564">
        <f>'Sch 141R Lighting Tariff'!N58</f>
        <v>1.54</v>
      </c>
      <c r="Y58" s="564"/>
      <c r="Z58" s="564"/>
      <c r="AA58" s="564">
        <f>'Sch 141A Lighting Tariff'!J56</f>
        <v>0.1</v>
      </c>
      <c r="AB58" s="564">
        <f>'Sch 141A Lighting Tariff'!N56</f>
        <v>0.11</v>
      </c>
      <c r="AC58" s="564"/>
      <c r="AE58" s="564">
        <f t="shared" si="18"/>
        <v>7.32</v>
      </c>
      <c r="AF58" s="564">
        <f t="shared" si="18"/>
        <v>7.7100000000000009</v>
      </c>
      <c r="AG58" s="564"/>
    </row>
    <row r="59" spans="1:33" x14ac:dyDescent="0.2">
      <c r="A59" s="621">
        <f t="shared" si="0"/>
        <v>49</v>
      </c>
      <c r="B59" s="164" t="str">
        <f>'WP12 Condensed Sch. Level Costs'!A53</f>
        <v xml:space="preserve">52E </v>
      </c>
      <c r="C59" s="164"/>
      <c r="D59" s="327" t="str">
        <f>'WP12 Condensed Sch. Level Costs'!C53</f>
        <v>Metal Halide</v>
      </c>
      <c r="E59" s="165" t="str">
        <f>'WP12 Condensed Sch. Level Costs'!D53</f>
        <v>MH 175</v>
      </c>
      <c r="F59" s="328">
        <f>ROUND('Capital Charge'!I57,2)</f>
        <v>0</v>
      </c>
      <c r="G59" s="564">
        <f>ROUND('O&amp;M Charge'!I57,2)</f>
        <v>0</v>
      </c>
      <c r="H59" s="564">
        <f>ROUND('Customer Charge'!I57,2)</f>
        <v>1.17</v>
      </c>
      <c r="I59" s="564">
        <f>ROUND('Demand Charge'!G57,2)</f>
        <v>0.64</v>
      </c>
      <c r="J59" s="564">
        <f>ROUND('Energy Charge'!I57,2)</f>
        <v>3.34</v>
      </c>
      <c r="K59" s="564">
        <f t="shared" si="16"/>
        <v>5.15</v>
      </c>
      <c r="L59" s="564">
        <f t="shared" si="17"/>
        <v>5.15</v>
      </c>
      <c r="M59" s="564"/>
      <c r="O59" s="564">
        <f>'Sch 141C Lighting Tariff'!J57</f>
        <v>0.04</v>
      </c>
      <c r="P59" s="564">
        <f>'Sch 141C Lighting Tariff'!N57</f>
        <v>0.04</v>
      </c>
      <c r="Q59" s="564"/>
      <c r="S59" s="564">
        <f>'Sch 141N Lighting Tariff'!J59</f>
        <v>2.73</v>
      </c>
      <c r="T59" s="564">
        <f>'Sch 141N Lighting Tariff'!N59</f>
        <v>1.89</v>
      </c>
      <c r="U59" s="564"/>
      <c r="W59" s="564">
        <f>'Sch 141R Lighting Tariff'!J59</f>
        <v>0.51</v>
      </c>
      <c r="X59" s="564">
        <f>'Sch 141R Lighting Tariff'!N59</f>
        <v>1.8</v>
      </c>
      <c r="Y59" s="564"/>
      <c r="Z59" s="564"/>
      <c r="AA59" s="564">
        <f>'Sch 141A Lighting Tariff'!J57</f>
        <v>0.12</v>
      </c>
      <c r="AB59" s="564">
        <f>'Sch 141A Lighting Tariff'!N57</f>
        <v>0.13</v>
      </c>
      <c r="AC59" s="564"/>
      <c r="AE59" s="564">
        <f t="shared" si="18"/>
        <v>8.5499999999999989</v>
      </c>
      <c r="AF59" s="564">
        <f t="shared" si="18"/>
        <v>9.0100000000000016</v>
      </c>
      <c r="AG59" s="564"/>
    </row>
    <row r="60" spans="1:33" x14ac:dyDescent="0.2">
      <c r="A60" s="621">
        <f t="shared" si="0"/>
        <v>50</v>
      </c>
      <c r="B60" s="164" t="str">
        <f>'WP12 Condensed Sch. Level Costs'!A54</f>
        <v xml:space="preserve">52E </v>
      </c>
      <c r="C60" s="164"/>
      <c r="D60" s="327" t="str">
        <f>'WP12 Condensed Sch. Level Costs'!C54</f>
        <v>Metal Halide</v>
      </c>
      <c r="E60" s="165" t="str">
        <f>'WP12 Condensed Sch. Level Costs'!D54</f>
        <v>MH 250</v>
      </c>
      <c r="F60" s="328">
        <f>ROUND('Capital Charge'!I58,2)</f>
        <v>0</v>
      </c>
      <c r="G60" s="564">
        <f>ROUND('O&amp;M Charge'!I58,2)</f>
        <v>0</v>
      </c>
      <c r="H60" s="564">
        <f>ROUND('Customer Charge'!I58,2)</f>
        <v>1.67</v>
      </c>
      <c r="I60" s="564">
        <f>ROUND('Demand Charge'!G58,2)</f>
        <v>0.91</v>
      </c>
      <c r="J60" s="564">
        <f>ROUND('Energy Charge'!I58,2)</f>
        <v>4.7699999999999996</v>
      </c>
      <c r="K60" s="564">
        <f t="shared" si="16"/>
        <v>7.35</v>
      </c>
      <c r="L60" s="564">
        <f t="shared" si="17"/>
        <v>7.35</v>
      </c>
      <c r="M60" s="564"/>
      <c r="O60" s="564">
        <f>'Sch 141C Lighting Tariff'!J58</f>
        <v>0.05</v>
      </c>
      <c r="P60" s="564">
        <f>'Sch 141C Lighting Tariff'!N58</f>
        <v>0.06</v>
      </c>
      <c r="Q60" s="564"/>
      <c r="S60" s="564">
        <f>'Sch 141N Lighting Tariff'!J60</f>
        <v>3.9</v>
      </c>
      <c r="T60" s="564">
        <f>'Sch 141N Lighting Tariff'!N60</f>
        <v>2.7</v>
      </c>
      <c r="U60" s="564"/>
      <c r="W60" s="564">
        <f>'Sch 141R Lighting Tariff'!J60</f>
        <v>0.73</v>
      </c>
      <c r="X60" s="564">
        <f>'Sch 141R Lighting Tariff'!N60</f>
        <v>2.57</v>
      </c>
      <c r="Y60" s="564"/>
      <c r="Z60" s="564"/>
      <c r="AA60" s="564">
        <f>'Sch 141A Lighting Tariff'!J58</f>
        <v>0.17</v>
      </c>
      <c r="AB60" s="564">
        <f>'Sch 141A Lighting Tariff'!N58</f>
        <v>0.18</v>
      </c>
      <c r="AC60" s="564"/>
      <c r="AE60" s="564">
        <f t="shared" si="18"/>
        <v>12.2</v>
      </c>
      <c r="AF60" s="564">
        <f t="shared" si="18"/>
        <v>12.86</v>
      </c>
      <c r="AG60" s="564"/>
    </row>
    <row r="61" spans="1:33" x14ac:dyDescent="0.2">
      <c r="A61" s="621">
        <f t="shared" si="0"/>
        <v>51</v>
      </c>
      <c r="B61" s="164" t="str">
        <f>'WP12 Condensed Sch. Level Costs'!A55</f>
        <v xml:space="preserve">52E </v>
      </c>
      <c r="C61" s="164"/>
      <c r="D61" s="327" t="str">
        <f>'WP12 Condensed Sch. Level Costs'!C55</f>
        <v>Metal Halide</v>
      </c>
      <c r="E61" s="165" t="str">
        <f>'WP12 Condensed Sch. Level Costs'!D55</f>
        <v>MH 400</v>
      </c>
      <c r="F61" s="328">
        <f>ROUND('Capital Charge'!I59,2)</f>
        <v>0</v>
      </c>
      <c r="G61" s="564">
        <f>ROUND('O&amp;M Charge'!I59,2)</f>
        <v>0</v>
      </c>
      <c r="H61" s="564">
        <f>ROUND('Customer Charge'!I59,2)</f>
        <v>2.68</v>
      </c>
      <c r="I61" s="564">
        <f>ROUND('Demand Charge'!G59,2)</f>
        <v>1.46</v>
      </c>
      <c r="J61" s="564">
        <f>ROUND('Energy Charge'!I59,2)</f>
        <v>7.64</v>
      </c>
      <c r="K61" s="564">
        <f t="shared" si="16"/>
        <v>11.780000000000001</v>
      </c>
      <c r="L61" s="564">
        <f t="shared" si="17"/>
        <v>11.780000000000001</v>
      </c>
      <c r="M61" s="564"/>
      <c r="O61" s="564">
        <f>'Sch 141C Lighting Tariff'!J59</f>
        <v>0.08</v>
      </c>
      <c r="P61" s="564">
        <f>'Sch 141C Lighting Tariff'!N59</f>
        <v>0.09</v>
      </c>
      <c r="Q61" s="564"/>
      <c r="S61" s="564">
        <f>'Sch 141N Lighting Tariff'!J61</f>
        <v>6.23</v>
      </c>
      <c r="T61" s="564">
        <f>'Sch 141N Lighting Tariff'!N61</f>
        <v>4.33</v>
      </c>
      <c r="U61" s="564"/>
      <c r="W61" s="564">
        <f>'Sch 141R Lighting Tariff'!J61</f>
        <v>1.17</v>
      </c>
      <c r="X61" s="564">
        <f>'Sch 141R Lighting Tariff'!N61</f>
        <v>4.1100000000000003</v>
      </c>
      <c r="Y61" s="564"/>
      <c r="Z61" s="564"/>
      <c r="AA61" s="564">
        <f>'Sch 141A Lighting Tariff'!J59</f>
        <v>0.28000000000000003</v>
      </c>
      <c r="AB61" s="564">
        <f>'Sch 141A Lighting Tariff'!N59</f>
        <v>0.28999999999999998</v>
      </c>
      <c r="AC61" s="564"/>
      <c r="AE61" s="564">
        <f t="shared" si="18"/>
        <v>19.540000000000006</v>
      </c>
      <c r="AF61" s="564">
        <f t="shared" si="18"/>
        <v>20.6</v>
      </c>
      <c r="AG61" s="564"/>
    </row>
    <row r="62" spans="1:33" x14ac:dyDescent="0.2">
      <c r="A62" s="621">
        <f t="shared" si="0"/>
        <v>52</v>
      </c>
      <c r="B62" s="164" t="str">
        <f>'WP12 Condensed Sch. Level Costs'!A56</f>
        <v xml:space="preserve">52E </v>
      </c>
      <c r="C62" s="164"/>
      <c r="D62" s="327" t="str">
        <f>'WP12 Condensed Sch. Level Costs'!C56</f>
        <v>Metal Halide</v>
      </c>
      <c r="E62" s="165" t="str">
        <f>'WP12 Condensed Sch. Level Costs'!D56</f>
        <v>MH 1000</v>
      </c>
      <c r="F62" s="328">
        <f>ROUND('Capital Charge'!I60,2)</f>
        <v>0</v>
      </c>
      <c r="G62" s="564">
        <f>ROUND('O&amp;M Charge'!I60,2)</f>
        <v>0</v>
      </c>
      <c r="H62" s="564">
        <f>ROUND('Customer Charge'!I60,2)</f>
        <v>6.7</v>
      </c>
      <c r="I62" s="564">
        <f>ROUND('Demand Charge'!G60,2)</f>
        <v>3.65</v>
      </c>
      <c r="J62" s="564">
        <f>ROUND('Energy Charge'!I60,2)</f>
        <v>19.09</v>
      </c>
      <c r="K62" s="564">
        <f t="shared" si="16"/>
        <v>29.439999999999998</v>
      </c>
      <c r="L62" s="564">
        <f t="shared" si="17"/>
        <v>29.439999999999998</v>
      </c>
      <c r="M62" s="564"/>
      <c r="O62" s="564">
        <f>'Sch 141C Lighting Tariff'!J60</f>
        <v>0.2</v>
      </c>
      <c r="P62" s="564">
        <f>'Sch 141C Lighting Tariff'!N60</f>
        <v>0.22</v>
      </c>
      <c r="Q62" s="564"/>
      <c r="S62" s="564">
        <f>'Sch 141N Lighting Tariff'!J62</f>
        <v>15.59</v>
      </c>
      <c r="T62" s="564">
        <f>'Sch 141N Lighting Tariff'!N62</f>
        <v>10.82</v>
      </c>
      <c r="U62" s="564"/>
      <c r="W62" s="564">
        <f>'Sch 141R Lighting Tariff'!J62</f>
        <v>2.91</v>
      </c>
      <c r="X62" s="564">
        <f>'Sch 141R Lighting Tariff'!N62</f>
        <v>10.28</v>
      </c>
      <c r="Y62" s="564"/>
      <c r="Z62" s="564"/>
      <c r="AA62" s="564">
        <f>'Sch 141A Lighting Tariff'!J60</f>
        <v>0.69</v>
      </c>
      <c r="AB62" s="564">
        <f>'Sch 141A Lighting Tariff'!N60</f>
        <v>0.72</v>
      </c>
      <c r="AC62" s="564"/>
      <c r="AE62" s="564">
        <f t="shared" si="18"/>
        <v>48.83</v>
      </c>
      <c r="AF62" s="564">
        <f t="shared" si="18"/>
        <v>51.48</v>
      </c>
      <c r="AG62" s="564"/>
    </row>
    <row r="63" spans="1:33" x14ac:dyDescent="0.2">
      <c r="A63" s="621">
        <f t="shared" si="0"/>
        <v>53</v>
      </c>
      <c r="B63" s="164"/>
      <c r="C63" s="164"/>
      <c r="D63" s="327"/>
      <c r="E63" s="165"/>
      <c r="F63" s="328"/>
      <c r="G63" s="564"/>
      <c r="H63" s="564"/>
      <c r="I63" s="564"/>
      <c r="J63" s="564"/>
      <c r="K63" s="564"/>
      <c r="O63" s="564"/>
      <c r="S63" s="564"/>
      <c r="W63" s="564"/>
      <c r="AA63" s="564"/>
      <c r="AE63" s="564"/>
    </row>
    <row r="64" spans="1:33" x14ac:dyDescent="0.2">
      <c r="A64" s="621">
        <f t="shared" si="0"/>
        <v>54</v>
      </c>
      <c r="B64" s="164" t="str">
        <f>'WP12 Condensed Sch. Level Costs'!A57</f>
        <v>Sch 53E</v>
      </c>
      <c r="C64" s="164"/>
      <c r="D64" s="327"/>
      <c r="E64" s="165"/>
      <c r="F64" s="328"/>
      <c r="G64" s="564"/>
      <c r="H64" s="564"/>
      <c r="I64" s="564"/>
      <c r="J64" s="564"/>
      <c r="K64" s="564"/>
      <c r="O64" s="564"/>
      <c r="S64" s="564"/>
      <c r="W64" s="564"/>
      <c r="AA64" s="564"/>
      <c r="AE64" s="564"/>
    </row>
    <row r="65" spans="1:33" x14ac:dyDescent="0.2">
      <c r="A65" s="621">
        <f t="shared" si="0"/>
        <v>55</v>
      </c>
      <c r="B65" s="164" t="str">
        <f>'WP12 Condensed Sch. Level Costs'!A58</f>
        <v>53E - Company Owned</v>
      </c>
      <c r="C65" s="164"/>
      <c r="D65" s="327" t="str">
        <f>'WP12 Condensed Sch. Level Costs'!C58</f>
        <v>Sodium Vapor</v>
      </c>
      <c r="E65" s="165" t="str">
        <f>'WP12 Condensed Sch. Level Costs'!D58</f>
        <v>SV 050</v>
      </c>
      <c r="F65" s="328">
        <f>ROUND('Capital Charge'!I63,2)</f>
        <v>8.59</v>
      </c>
      <c r="G65" s="564">
        <f>ROUND('O&amp;M Charge'!I63,2)</f>
        <v>2.25</v>
      </c>
      <c r="H65" s="564">
        <f>ROUND('Customer Charge'!I63,2)</f>
        <v>0.33</v>
      </c>
      <c r="I65" s="564">
        <f>ROUND('Demand Charge'!G63,2)</f>
        <v>0.18</v>
      </c>
      <c r="J65" s="564">
        <f>ROUND('Energy Charge'!I63,2)</f>
        <v>0.95</v>
      </c>
      <c r="K65" s="564">
        <f t="shared" ref="K65:K73" si="19">SUM(F65:J65)</f>
        <v>12.299999999999999</v>
      </c>
      <c r="L65" s="564">
        <f t="shared" ref="L65:L73" si="20">K65</f>
        <v>12.299999999999999</v>
      </c>
      <c r="M65" s="564"/>
      <c r="O65" s="564">
        <f>'Sch 141C Lighting Tariff'!J63</f>
        <v>0.01</v>
      </c>
      <c r="P65" s="564">
        <f>'Sch 141C Lighting Tariff'!N63</f>
        <v>0.01</v>
      </c>
      <c r="Q65" s="564"/>
      <c r="S65" s="564">
        <f>'Sch 141N Lighting Tariff'!J65</f>
        <v>0.78</v>
      </c>
      <c r="T65" s="564">
        <f>'Sch 141N Lighting Tariff'!N65</f>
        <v>0.54</v>
      </c>
      <c r="U65" s="564"/>
      <c r="W65" s="564">
        <f>'Sch 141R Lighting Tariff'!J65</f>
        <v>0.15</v>
      </c>
      <c r="X65" s="564">
        <f>'Sch 141R Lighting Tariff'!N65</f>
        <v>0.51</v>
      </c>
      <c r="Y65" s="564"/>
      <c r="Z65" s="564"/>
      <c r="AA65" s="564">
        <f>'Sch 141A Lighting Tariff'!J63</f>
        <v>0.03</v>
      </c>
      <c r="AB65" s="564">
        <f>'Sch 141A Lighting Tariff'!N63</f>
        <v>0.04</v>
      </c>
      <c r="AC65" s="564"/>
      <c r="AE65" s="564">
        <f t="shared" ref="AE65:AE73" si="21">K65+O65+S65+W65+AA65</f>
        <v>13.269999999999998</v>
      </c>
      <c r="AF65" s="564">
        <f t="shared" ref="AF65:AF73" si="22">L65+P65+T65+X65+AB65</f>
        <v>13.399999999999997</v>
      </c>
      <c r="AG65" s="564"/>
    </row>
    <row r="66" spans="1:33" x14ac:dyDescent="0.2">
      <c r="A66" s="621">
        <f t="shared" si="0"/>
        <v>56</v>
      </c>
      <c r="B66" s="164" t="str">
        <f>'WP12 Condensed Sch. Level Costs'!A59</f>
        <v>53E - Company Owned</v>
      </c>
      <c r="C66" s="164"/>
      <c r="D66" s="327" t="str">
        <f>'WP12 Condensed Sch. Level Costs'!C59</f>
        <v>Sodium Vapor</v>
      </c>
      <c r="E66" s="165" t="str">
        <f>'WP12 Condensed Sch. Level Costs'!D59</f>
        <v>SV 070</v>
      </c>
      <c r="F66" s="328">
        <f>ROUND('Capital Charge'!I64,2)</f>
        <v>9.2100000000000009</v>
      </c>
      <c r="G66" s="564">
        <f>ROUND('O&amp;M Charge'!I64,2)</f>
        <v>2.25</v>
      </c>
      <c r="H66" s="564">
        <f>ROUND('Customer Charge'!I64,2)</f>
        <v>0.47</v>
      </c>
      <c r="I66" s="564">
        <f>ROUND('Demand Charge'!G64,2)</f>
        <v>0.26</v>
      </c>
      <c r="J66" s="564">
        <f>ROUND('Energy Charge'!I64,2)</f>
        <v>1.34</v>
      </c>
      <c r="K66" s="564">
        <f t="shared" si="19"/>
        <v>13.530000000000001</v>
      </c>
      <c r="L66" s="564">
        <f t="shared" si="20"/>
        <v>13.530000000000001</v>
      </c>
      <c r="M66" s="564"/>
      <c r="O66" s="564">
        <f>'Sch 141C Lighting Tariff'!J64</f>
        <v>0.01</v>
      </c>
      <c r="P66" s="564">
        <f>'Sch 141C Lighting Tariff'!N64</f>
        <v>0.02</v>
      </c>
      <c r="Q66" s="564"/>
      <c r="S66" s="564">
        <f>'Sch 141N Lighting Tariff'!J66</f>
        <v>1.0900000000000001</v>
      </c>
      <c r="T66" s="564">
        <f>'Sch 141N Lighting Tariff'!N66</f>
        <v>0.76</v>
      </c>
      <c r="U66" s="564"/>
      <c r="W66" s="564">
        <f>'Sch 141R Lighting Tariff'!J66</f>
        <v>0.2</v>
      </c>
      <c r="X66" s="564">
        <f>'Sch 141R Lighting Tariff'!N66</f>
        <v>0.72</v>
      </c>
      <c r="Y66" s="564"/>
      <c r="Z66" s="564"/>
      <c r="AA66" s="564">
        <f>'Sch 141A Lighting Tariff'!J64</f>
        <v>0.05</v>
      </c>
      <c r="AB66" s="564">
        <f>'Sch 141A Lighting Tariff'!N64</f>
        <v>0.05</v>
      </c>
      <c r="AC66" s="564"/>
      <c r="AE66" s="564">
        <f t="shared" si="21"/>
        <v>14.88</v>
      </c>
      <c r="AF66" s="564">
        <f t="shared" si="22"/>
        <v>15.080000000000002</v>
      </c>
      <c r="AG66" s="564"/>
    </row>
    <row r="67" spans="1:33" x14ac:dyDescent="0.2">
      <c r="A67" s="621">
        <f t="shared" si="0"/>
        <v>57</v>
      </c>
      <c r="B67" s="164" t="str">
        <f>'WP12 Condensed Sch. Level Costs'!A60</f>
        <v>53E - Company Owned</v>
      </c>
      <c r="C67" s="164"/>
      <c r="D67" s="327" t="str">
        <f>'WP12 Condensed Sch. Level Costs'!C60</f>
        <v>Sodium Vapor</v>
      </c>
      <c r="E67" s="165" t="str">
        <f>'WP12 Condensed Sch. Level Costs'!D60</f>
        <v>SV 100</v>
      </c>
      <c r="F67" s="328">
        <f>ROUND('Capital Charge'!I65,2)</f>
        <v>8.68</v>
      </c>
      <c r="G67" s="564">
        <f>ROUND('O&amp;M Charge'!I65,2)</f>
        <v>2.25</v>
      </c>
      <c r="H67" s="564">
        <f>ROUND('Customer Charge'!I65,2)</f>
        <v>0.67</v>
      </c>
      <c r="I67" s="564">
        <f>ROUND('Demand Charge'!G65,2)</f>
        <v>0.37</v>
      </c>
      <c r="J67" s="564">
        <f>ROUND('Energy Charge'!I65,2)</f>
        <v>1.91</v>
      </c>
      <c r="K67" s="564">
        <f t="shared" si="19"/>
        <v>13.879999999999999</v>
      </c>
      <c r="L67" s="564">
        <f t="shared" si="20"/>
        <v>13.879999999999999</v>
      </c>
      <c r="M67" s="564"/>
      <c r="O67" s="564">
        <f>'Sch 141C Lighting Tariff'!J65</f>
        <v>0.02</v>
      </c>
      <c r="P67" s="564">
        <f>'Sch 141C Lighting Tariff'!N65</f>
        <v>0.02</v>
      </c>
      <c r="Q67" s="564"/>
      <c r="S67" s="564">
        <f>'Sch 141N Lighting Tariff'!J67</f>
        <v>1.56</v>
      </c>
      <c r="T67" s="564">
        <f>'Sch 141N Lighting Tariff'!N67</f>
        <v>1.08</v>
      </c>
      <c r="U67" s="564"/>
      <c r="W67" s="564">
        <f>'Sch 141R Lighting Tariff'!J67</f>
        <v>0.28999999999999998</v>
      </c>
      <c r="X67" s="564">
        <f>'Sch 141R Lighting Tariff'!N67</f>
        <v>1.03</v>
      </c>
      <c r="Y67" s="564"/>
      <c r="Z67" s="564"/>
      <c r="AA67" s="564">
        <f>'Sch 141A Lighting Tariff'!J65</f>
        <v>7.0000000000000007E-2</v>
      </c>
      <c r="AB67" s="564">
        <f>'Sch 141A Lighting Tariff'!N65</f>
        <v>7.0000000000000007E-2</v>
      </c>
      <c r="AC67" s="564"/>
      <c r="AE67" s="564">
        <f t="shared" si="21"/>
        <v>15.819999999999999</v>
      </c>
      <c r="AF67" s="564">
        <f t="shared" si="22"/>
        <v>16.079999999999998</v>
      </c>
      <c r="AG67" s="564"/>
    </row>
    <row r="68" spans="1:33" x14ac:dyDescent="0.2">
      <c r="A68" s="621">
        <f t="shared" si="0"/>
        <v>58</v>
      </c>
      <c r="B68" s="164" t="str">
        <f>'WP12 Condensed Sch. Level Costs'!A61</f>
        <v>53E - Company Owned</v>
      </c>
      <c r="C68" s="164"/>
      <c r="D68" s="327" t="str">
        <f>'WP12 Condensed Sch. Level Costs'!C61</f>
        <v>Sodium Vapor</v>
      </c>
      <c r="E68" s="165" t="str">
        <f>'WP12 Condensed Sch. Level Costs'!D61</f>
        <v>SV 150</v>
      </c>
      <c r="F68" s="328">
        <f>ROUND('Capital Charge'!I66,2)</f>
        <v>8.69</v>
      </c>
      <c r="G68" s="564">
        <f>ROUND('O&amp;M Charge'!I66,2)</f>
        <v>2.25</v>
      </c>
      <c r="H68" s="564">
        <f>ROUND('Customer Charge'!I66,2)</f>
        <v>1</v>
      </c>
      <c r="I68" s="564">
        <f>ROUND('Demand Charge'!G66,2)</f>
        <v>0.55000000000000004</v>
      </c>
      <c r="J68" s="564">
        <f>ROUND('Energy Charge'!I66,2)</f>
        <v>2.86</v>
      </c>
      <c r="K68" s="564">
        <f t="shared" si="19"/>
        <v>15.35</v>
      </c>
      <c r="L68" s="564">
        <f t="shared" si="20"/>
        <v>15.35</v>
      </c>
      <c r="M68" s="564"/>
      <c r="O68" s="564">
        <f>'Sch 141C Lighting Tariff'!J66</f>
        <v>0.03</v>
      </c>
      <c r="P68" s="564">
        <f>'Sch 141C Lighting Tariff'!N66</f>
        <v>0.03</v>
      </c>
      <c r="Q68" s="564"/>
      <c r="S68" s="564">
        <f>'Sch 141N Lighting Tariff'!J68</f>
        <v>2.34</v>
      </c>
      <c r="T68" s="564">
        <f>'Sch 141N Lighting Tariff'!N68</f>
        <v>1.62</v>
      </c>
      <c r="U68" s="564"/>
      <c r="W68" s="564">
        <f>'Sch 141R Lighting Tariff'!J68</f>
        <v>0.44</v>
      </c>
      <c r="X68" s="564">
        <f>'Sch 141R Lighting Tariff'!N68</f>
        <v>1.54</v>
      </c>
      <c r="Y68" s="564"/>
      <c r="Z68" s="564"/>
      <c r="AA68" s="564">
        <f>'Sch 141A Lighting Tariff'!J66</f>
        <v>0.1</v>
      </c>
      <c r="AB68" s="564">
        <f>'Sch 141A Lighting Tariff'!N66</f>
        <v>0.11</v>
      </c>
      <c r="AC68" s="564"/>
      <c r="AE68" s="564">
        <f t="shared" si="21"/>
        <v>18.260000000000002</v>
      </c>
      <c r="AF68" s="564">
        <f t="shared" si="22"/>
        <v>18.649999999999999</v>
      </c>
      <c r="AG68" s="564"/>
    </row>
    <row r="69" spans="1:33" x14ac:dyDescent="0.2">
      <c r="A69" s="621">
        <f t="shared" si="0"/>
        <v>59</v>
      </c>
      <c r="B69" s="164" t="str">
        <f>'WP12 Condensed Sch. Level Costs'!A62</f>
        <v>53E - Company Owned</v>
      </c>
      <c r="C69" s="164"/>
      <c r="D69" s="327" t="str">
        <f>'WP12 Condensed Sch. Level Costs'!C62</f>
        <v>Sodium Vapor</v>
      </c>
      <c r="E69" s="165" t="str">
        <f>'WP12 Condensed Sch. Level Costs'!D62</f>
        <v>SV 200</v>
      </c>
      <c r="F69" s="328">
        <f>ROUND('Capital Charge'!I67,2)</f>
        <v>9.19</v>
      </c>
      <c r="G69" s="564">
        <f>ROUND('O&amp;M Charge'!I67,2)</f>
        <v>2.25</v>
      </c>
      <c r="H69" s="564">
        <f>ROUND('Customer Charge'!I67,2)</f>
        <v>1.34</v>
      </c>
      <c r="I69" s="564">
        <f>ROUND('Demand Charge'!G67,2)</f>
        <v>0.73</v>
      </c>
      <c r="J69" s="564">
        <f>ROUND('Energy Charge'!I67,2)</f>
        <v>3.82</v>
      </c>
      <c r="K69" s="564">
        <f t="shared" si="19"/>
        <v>17.329999999999998</v>
      </c>
      <c r="L69" s="564">
        <f t="shared" si="20"/>
        <v>17.329999999999998</v>
      </c>
      <c r="M69" s="564"/>
      <c r="O69" s="564">
        <f>'Sch 141C Lighting Tariff'!J67</f>
        <v>0.04</v>
      </c>
      <c r="P69" s="564">
        <f>'Sch 141C Lighting Tariff'!N67</f>
        <v>0.04</v>
      </c>
      <c r="Q69" s="564"/>
      <c r="S69" s="564">
        <f>'Sch 141N Lighting Tariff'!J69</f>
        <v>3.12</v>
      </c>
      <c r="T69" s="564">
        <f>'Sch 141N Lighting Tariff'!N69</f>
        <v>2.16</v>
      </c>
      <c r="U69" s="564"/>
      <c r="W69" s="564">
        <f>'Sch 141R Lighting Tariff'!J69</f>
        <v>0.57999999999999996</v>
      </c>
      <c r="X69" s="564">
        <f>'Sch 141R Lighting Tariff'!N69</f>
        <v>2.06</v>
      </c>
      <c r="Y69" s="564"/>
      <c r="Z69" s="564"/>
      <c r="AA69" s="564">
        <f>'Sch 141A Lighting Tariff'!J67</f>
        <v>0.14000000000000001</v>
      </c>
      <c r="AB69" s="564">
        <f>'Sch 141A Lighting Tariff'!N67</f>
        <v>0.14000000000000001</v>
      </c>
      <c r="AC69" s="564"/>
      <c r="AE69" s="564">
        <f t="shared" si="21"/>
        <v>21.209999999999997</v>
      </c>
      <c r="AF69" s="564">
        <f t="shared" si="22"/>
        <v>21.729999999999997</v>
      </c>
      <c r="AG69" s="564"/>
    </row>
    <row r="70" spans="1:33" x14ac:dyDescent="0.2">
      <c r="A70" s="621">
        <f t="shared" si="0"/>
        <v>60</v>
      </c>
      <c r="B70" s="164" t="str">
        <f>'WP12 Condensed Sch. Level Costs'!A63</f>
        <v>53E - Company Owned</v>
      </c>
      <c r="C70" s="164"/>
      <c r="D70" s="327" t="str">
        <f>'WP12 Condensed Sch. Level Costs'!C63</f>
        <v>Sodium Vapor</v>
      </c>
      <c r="E70" s="165" t="str">
        <f>'WP12 Condensed Sch. Level Costs'!D63</f>
        <v>SV 250</v>
      </c>
      <c r="F70" s="328">
        <f>ROUND('Capital Charge'!I68,2)</f>
        <v>9.36</v>
      </c>
      <c r="G70" s="564">
        <f>ROUND('O&amp;M Charge'!I68,2)</f>
        <v>2.25</v>
      </c>
      <c r="H70" s="564">
        <f>ROUND('Customer Charge'!I68,2)</f>
        <v>1.67</v>
      </c>
      <c r="I70" s="564">
        <f>ROUND('Demand Charge'!G68,2)</f>
        <v>0.91</v>
      </c>
      <c r="J70" s="564">
        <f>ROUND('Energy Charge'!I68,2)</f>
        <v>4.7699999999999996</v>
      </c>
      <c r="K70" s="564">
        <f t="shared" si="19"/>
        <v>18.96</v>
      </c>
      <c r="L70" s="564">
        <f t="shared" si="20"/>
        <v>18.96</v>
      </c>
      <c r="M70" s="564"/>
      <c r="O70" s="564">
        <f>'Sch 141C Lighting Tariff'!J68</f>
        <v>0.05</v>
      </c>
      <c r="P70" s="564">
        <f>'Sch 141C Lighting Tariff'!N68</f>
        <v>0.06</v>
      </c>
      <c r="Q70" s="564"/>
      <c r="S70" s="564">
        <f>'Sch 141N Lighting Tariff'!J70</f>
        <v>3.9</v>
      </c>
      <c r="T70" s="564">
        <f>'Sch 141N Lighting Tariff'!N70</f>
        <v>2.7</v>
      </c>
      <c r="U70" s="564"/>
      <c r="W70" s="564">
        <f>'Sch 141R Lighting Tariff'!J70</f>
        <v>0.73</v>
      </c>
      <c r="X70" s="564">
        <f>'Sch 141R Lighting Tariff'!N70</f>
        <v>2.57</v>
      </c>
      <c r="Y70" s="564"/>
      <c r="Z70" s="564"/>
      <c r="AA70" s="564">
        <f>'Sch 141A Lighting Tariff'!J68</f>
        <v>0.17</v>
      </c>
      <c r="AB70" s="564">
        <f>'Sch 141A Lighting Tariff'!N68</f>
        <v>0.18</v>
      </c>
      <c r="AC70" s="564"/>
      <c r="AE70" s="564">
        <f t="shared" si="21"/>
        <v>23.810000000000002</v>
      </c>
      <c r="AF70" s="564">
        <f t="shared" si="22"/>
        <v>24.47</v>
      </c>
      <c r="AG70" s="564"/>
    </row>
    <row r="71" spans="1:33" x14ac:dyDescent="0.2">
      <c r="A71" s="621">
        <f t="shared" si="0"/>
        <v>61</v>
      </c>
      <c r="B71" s="164" t="str">
        <f>'WP12 Condensed Sch. Level Costs'!A64</f>
        <v>53E - Company Owned</v>
      </c>
      <c r="C71" s="164"/>
      <c r="D71" s="327" t="str">
        <f>'WP12 Condensed Sch. Level Costs'!C64</f>
        <v>Sodium Vapor</v>
      </c>
      <c r="E71" s="165" t="str">
        <f>'WP12 Condensed Sch. Level Costs'!D64</f>
        <v>SV 310</v>
      </c>
      <c r="F71" s="328">
        <f>ROUND('Capital Charge'!I69,2)</f>
        <v>9.73</v>
      </c>
      <c r="G71" s="564">
        <f>ROUND('O&amp;M Charge'!I69,2)</f>
        <v>2.25</v>
      </c>
      <c r="H71" s="564">
        <f>ROUND('Customer Charge'!I69,2)</f>
        <v>2.08</v>
      </c>
      <c r="I71" s="564">
        <f>ROUND('Demand Charge'!G69,2)</f>
        <v>1.1299999999999999</v>
      </c>
      <c r="J71" s="564">
        <f>ROUND('Energy Charge'!I69,2)</f>
        <v>5.92</v>
      </c>
      <c r="K71" s="564">
        <f t="shared" si="19"/>
        <v>21.11</v>
      </c>
      <c r="L71" s="564">
        <f t="shared" si="20"/>
        <v>21.11</v>
      </c>
      <c r="M71" s="564"/>
      <c r="O71" s="564">
        <f>'Sch 141C Lighting Tariff'!J69</f>
        <v>0.06</v>
      </c>
      <c r="P71" s="564">
        <f>'Sch 141C Lighting Tariff'!N69</f>
        <v>7.0000000000000007E-2</v>
      </c>
      <c r="Q71" s="564"/>
      <c r="S71" s="564">
        <f>'Sch 141N Lighting Tariff'!J71</f>
        <v>4.83</v>
      </c>
      <c r="T71" s="564">
        <f>'Sch 141N Lighting Tariff'!N71</f>
        <v>3.35</v>
      </c>
      <c r="U71" s="564"/>
      <c r="W71" s="564">
        <f>'Sch 141R Lighting Tariff'!J71</f>
        <v>0.9</v>
      </c>
      <c r="X71" s="564">
        <f>'Sch 141R Lighting Tariff'!N71</f>
        <v>3.19</v>
      </c>
      <c r="Y71" s="564"/>
      <c r="Z71" s="564"/>
      <c r="AA71" s="564">
        <f>'Sch 141A Lighting Tariff'!J69</f>
        <v>0.21</v>
      </c>
      <c r="AB71" s="564">
        <f>'Sch 141A Lighting Tariff'!N69</f>
        <v>0.22</v>
      </c>
      <c r="AC71" s="564"/>
      <c r="AE71" s="564">
        <f t="shared" si="21"/>
        <v>27.11</v>
      </c>
      <c r="AF71" s="564">
        <f t="shared" si="22"/>
        <v>27.94</v>
      </c>
      <c r="AG71" s="564"/>
    </row>
    <row r="72" spans="1:33" x14ac:dyDescent="0.2">
      <c r="A72" s="621">
        <f t="shared" si="0"/>
        <v>62</v>
      </c>
      <c r="B72" s="164" t="str">
        <f>'WP12 Condensed Sch. Level Costs'!A65</f>
        <v>53E - Company Owned</v>
      </c>
      <c r="C72" s="164"/>
      <c r="D72" s="327" t="str">
        <f>'WP12 Condensed Sch. Level Costs'!C65</f>
        <v>Sodium Vapor</v>
      </c>
      <c r="E72" s="165" t="str">
        <f>'WP12 Condensed Sch. Level Costs'!D65</f>
        <v>SV 400</v>
      </c>
      <c r="F72" s="328">
        <f>ROUND('Capital Charge'!I70,2)</f>
        <v>10.44</v>
      </c>
      <c r="G72" s="564">
        <f>ROUND('O&amp;M Charge'!I70,2)</f>
        <v>2.25</v>
      </c>
      <c r="H72" s="564">
        <f>ROUND('Customer Charge'!I70,2)</f>
        <v>2.68</v>
      </c>
      <c r="I72" s="564">
        <f>ROUND('Demand Charge'!G70,2)</f>
        <v>1.46</v>
      </c>
      <c r="J72" s="564">
        <f>ROUND('Energy Charge'!I70,2)</f>
        <v>7.64</v>
      </c>
      <c r="K72" s="564">
        <f t="shared" si="19"/>
        <v>24.47</v>
      </c>
      <c r="L72" s="564">
        <f t="shared" si="20"/>
        <v>24.47</v>
      </c>
      <c r="M72" s="564"/>
      <c r="O72" s="564">
        <f>'Sch 141C Lighting Tariff'!J70</f>
        <v>0.08</v>
      </c>
      <c r="P72" s="564">
        <f>'Sch 141C Lighting Tariff'!N70</f>
        <v>0.09</v>
      </c>
      <c r="Q72" s="564"/>
      <c r="S72" s="564">
        <f>'Sch 141N Lighting Tariff'!J72</f>
        <v>6.23</v>
      </c>
      <c r="T72" s="564">
        <f>'Sch 141N Lighting Tariff'!N72</f>
        <v>4.33</v>
      </c>
      <c r="U72" s="564"/>
      <c r="W72" s="564">
        <f>'Sch 141R Lighting Tariff'!J72</f>
        <v>1.17</v>
      </c>
      <c r="X72" s="564">
        <f>'Sch 141R Lighting Tariff'!N72</f>
        <v>4.1100000000000003</v>
      </c>
      <c r="Y72" s="564"/>
      <c r="Z72" s="564"/>
      <c r="AA72" s="564">
        <f>'Sch 141A Lighting Tariff'!J70</f>
        <v>0.28000000000000003</v>
      </c>
      <c r="AB72" s="564">
        <f>'Sch 141A Lighting Tariff'!N70</f>
        <v>0.28999999999999998</v>
      </c>
      <c r="AC72" s="564"/>
      <c r="AE72" s="564">
        <f t="shared" si="21"/>
        <v>32.229999999999997</v>
      </c>
      <c r="AF72" s="564">
        <f t="shared" si="22"/>
        <v>33.29</v>
      </c>
      <c r="AG72" s="564"/>
    </row>
    <row r="73" spans="1:33" x14ac:dyDescent="0.2">
      <c r="A73" s="621">
        <f t="shared" si="0"/>
        <v>63</v>
      </c>
      <c r="B73" s="164" t="str">
        <f>'WP12 Condensed Sch. Level Costs'!A66</f>
        <v>53E - Company Owned</v>
      </c>
      <c r="C73" s="164"/>
      <c r="D73" s="327" t="str">
        <f>'WP12 Condensed Sch. Level Costs'!C66</f>
        <v>Sodium Vapor</v>
      </c>
      <c r="E73" s="165" t="str">
        <f>'WP12 Condensed Sch. Level Costs'!D66</f>
        <v>SV 1000</v>
      </c>
      <c r="F73" s="328">
        <f>ROUND('Capital Charge'!I71,2)</f>
        <v>12.95</v>
      </c>
      <c r="G73" s="564">
        <f>ROUND('O&amp;M Charge'!I71,2)</f>
        <v>2.25</v>
      </c>
      <c r="H73" s="564">
        <f>ROUND('Customer Charge'!I71,2)</f>
        <v>6.7</v>
      </c>
      <c r="I73" s="564">
        <f>ROUND('Demand Charge'!G71,2)</f>
        <v>3.65</v>
      </c>
      <c r="J73" s="564">
        <f>ROUND('Energy Charge'!I71,2)</f>
        <v>19.09</v>
      </c>
      <c r="K73" s="564">
        <f t="shared" si="19"/>
        <v>44.64</v>
      </c>
      <c r="L73" s="564">
        <f t="shared" si="20"/>
        <v>44.64</v>
      </c>
      <c r="M73" s="564"/>
      <c r="O73" s="564">
        <f>'Sch 141C Lighting Tariff'!J71</f>
        <v>0.2</v>
      </c>
      <c r="P73" s="564">
        <f>'Sch 141C Lighting Tariff'!N71</f>
        <v>0.22</v>
      </c>
      <c r="Q73" s="564"/>
      <c r="S73" s="564">
        <f>'Sch 141N Lighting Tariff'!J73</f>
        <v>15.59</v>
      </c>
      <c r="T73" s="564">
        <f>'Sch 141N Lighting Tariff'!N73</f>
        <v>10.82</v>
      </c>
      <c r="U73" s="564"/>
      <c r="W73" s="564">
        <f>'Sch 141R Lighting Tariff'!J73</f>
        <v>2.91</v>
      </c>
      <c r="X73" s="564">
        <f>'Sch 141R Lighting Tariff'!N73</f>
        <v>10.28</v>
      </c>
      <c r="Y73" s="564"/>
      <c r="Z73" s="564"/>
      <c r="AA73" s="564">
        <f>'Sch 141A Lighting Tariff'!J71</f>
        <v>0.69</v>
      </c>
      <c r="AB73" s="564">
        <f>'Sch 141A Lighting Tariff'!N71</f>
        <v>0.72</v>
      </c>
      <c r="AC73" s="564"/>
      <c r="AE73" s="564">
        <f t="shared" si="21"/>
        <v>64.03</v>
      </c>
      <c r="AF73" s="564">
        <f t="shared" si="22"/>
        <v>66.679999999999993</v>
      </c>
      <c r="AG73" s="564"/>
    </row>
    <row r="74" spans="1:33" x14ac:dyDescent="0.2">
      <c r="A74" s="621">
        <f t="shared" si="0"/>
        <v>64</v>
      </c>
      <c r="B74" s="164"/>
      <c r="C74" s="164"/>
      <c r="D74" s="327"/>
      <c r="E74" s="165"/>
      <c r="F74" s="328"/>
      <c r="G74" s="564"/>
      <c r="H74" s="564"/>
      <c r="I74" s="564"/>
      <c r="J74" s="564"/>
      <c r="K74" s="564"/>
      <c r="O74" s="564"/>
      <c r="S74" s="564"/>
      <c r="W74" s="564"/>
      <c r="AA74" s="564"/>
      <c r="AE74" s="564"/>
    </row>
    <row r="75" spans="1:33" x14ac:dyDescent="0.2">
      <c r="A75" s="621">
        <f t="shared" si="0"/>
        <v>65</v>
      </c>
      <c r="B75" s="164" t="str">
        <f>'WP12 Condensed Sch. Level Costs'!A68</f>
        <v>53E - Company Owned</v>
      </c>
      <c r="C75" s="164"/>
      <c r="D75" s="327" t="str">
        <f>'WP12 Condensed Sch. Level Costs'!C68</f>
        <v>Metal Halide</v>
      </c>
      <c r="E75" s="165" t="str">
        <f>'WP12 Condensed Sch. Level Costs'!D68</f>
        <v>MH 070</v>
      </c>
      <c r="F75" s="328">
        <f>ROUND('Capital Charge'!I73,2)</f>
        <v>8.15</v>
      </c>
      <c r="G75" s="564">
        <f>ROUND('O&amp;M Charge'!I73,2)</f>
        <v>4.51</v>
      </c>
      <c r="H75" s="564">
        <f>ROUND('Customer Charge'!I73,2)</f>
        <v>0.47</v>
      </c>
      <c r="I75" s="564">
        <f>ROUND('Demand Charge'!G73,2)</f>
        <v>0.26</v>
      </c>
      <c r="J75" s="564">
        <f>ROUND('Energy Charge'!I73,2)</f>
        <v>1.34</v>
      </c>
      <c r="K75" s="564">
        <f>SUM(F75:J75)</f>
        <v>14.73</v>
      </c>
      <c r="L75" s="564">
        <f t="shared" ref="L75:L79" si="23">K75</f>
        <v>14.73</v>
      </c>
      <c r="M75" s="564"/>
      <c r="O75" s="564">
        <f>'Sch 141C Lighting Tariff'!J73</f>
        <v>0.01</v>
      </c>
      <c r="P75" s="564">
        <f>'Sch 141C Lighting Tariff'!N73</f>
        <v>0.02</v>
      </c>
      <c r="Q75" s="564"/>
      <c r="S75" s="564">
        <f>'Sch 141N Lighting Tariff'!J75</f>
        <v>1.0900000000000001</v>
      </c>
      <c r="T75" s="564">
        <f>'Sch 141N Lighting Tariff'!N75</f>
        <v>0.76</v>
      </c>
      <c r="U75" s="564"/>
      <c r="W75" s="564">
        <f>'Sch 141R Lighting Tariff'!J75</f>
        <v>0.2</v>
      </c>
      <c r="X75" s="564">
        <f>'Sch 141R Lighting Tariff'!N75</f>
        <v>0.72</v>
      </c>
      <c r="Y75" s="564"/>
      <c r="Z75" s="564"/>
      <c r="AA75" s="564">
        <f>'Sch 141A Lighting Tariff'!J73</f>
        <v>0.05</v>
      </c>
      <c r="AB75" s="564">
        <f>'Sch 141A Lighting Tariff'!N73</f>
        <v>0.05</v>
      </c>
      <c r="AC75" s="564"/>
      <c r="AE75" s="564">
        <f t="shared" ref="AE75:AF79" si="24">K75+O75+S75+W75+AA75</f>
        <v>16.080000000000002</v>
      </c>
      <c r="AF75" s="564">
        <f t="shared" si="24"/>
        <v>16.28</v>
      </c>
      <c r="AG75" s="564"/>
    </row>
    <row r="76" spans="1:33" x14ac:dyDescent="0.2">
      <c r="A76" s="621">
        <f t="shared" ref="A76:A139" si="25">A75+1</f>
        <v>66</v>
      </c>
      <c r="B76" s="164" t="str">
        <f>'WP12 Condensed Sch. Level Costs'!A69</f>
        <v>53E - Company Owned</v>
      </c>
      <c r="C76" s="164"/>
      <c r="D76" s="327" t="str">
        <f>'WP12 Condensed Sch. Level Costs'!C69</f>
        <v>Metal Halide</v>
      </c>
      <c r="E76" s="165" t="str">
        <f>'WP12 Condensed Sch. Level Costs'!D69</f>
        <v>MH 100</v>
      </c>
      <c r="F76" s="328">
        <f>ROUND('Capital Charge'!I74,2)</f>
        <v>8.2899999999999991</v>
      </c>
      <c r="G76" s="564">
        <f>ROUND('O&amp;M Charge'!I74,2)</f>
        <v>4.51</v>
      </c>
      <c r="H76" s="564">
        <f>ROUND('Customer Charge'!I74,2)</f>
        <v>0.67</v>
      </c>
      <c r="I76" s="564">
        <f>ROUND('Demand Charge'!G74,2)</f>
        <v>0.37</v>
      </c>
      <c r="J76" s="564">
        <f>ROUND('Energy Charge'!I74,2)</f>
        <v>1.91</v>
      </c>
      <c r="K76" s="564">
        <f>SUM(F76:J76)</f>
        <v>15.749999999999998</v>
      </c>
      <c r="L76" s="564">
        <f t="shared" si="23"/>
        <v>15.749999999999998</v>
      </c>
      <c r="M76" s="564"/>
      <c r="O76" s="564">
        <f>'Sch 141C Lighting Tariff'!J74</f>
        <v>0.02</v>
      </c>
      <c r="P76" s="564">
        <f>'Sch 141C Lighting Tariff'!N74</f>
        <v>0.02</v>
      </c>
      <c r="Q76" s="564"/>
      <c r="S76" s="564">
        <f>'Sch 141N Lighting Tariff'!J76</f>
        <v>1.56</v>
      </c>
      <c r="T76" s="564">
        <f>'Sch 141N Lighting Tariff'!N76</f>
        <v>1.08</v>
      </c>
      <c r="U76" s="564"/>
      <c r="W76" s="564">
        <f>'Sch 141R Lighting Tariff'!J76</f>
        <v>0.28999999999999998</v>
      </c>
      <c r="X76" s="564">
        <f>'Sch 141R Lighting Tariff'!N76</f>
        <v>1.03</v>
      </c>
      <c r="Y76" s="564"/>
      <c r="Z76" s="564"/>
      <c r="AA76" s="564">
        <f>'Sch 141A Lighting Tariff'!J74</f>
        <v>7.0000000000000007E-2</v>
      </c>
      <c r="AB76" s="564">
        <f>'Sch 141A Lighting Tariff'!N74</f>
        <v>7.0000000000000007E-2</v>
      </c>
      <c r="AC76" s="564"/>
      <c r="AE76" s="564">
        <f t="shared" si="24"/>
        <v>17.689999999999998</v>
      </c>
      <c r="AF76" s="564">
        <f t="shared" si="24"/>
        <v>17.95</v>
      </c>
      <c r="AG76" s="564"/>
    </row>
    <row r="77" spans="1:33" x14ac:dyDescent="0.2">
      <c r="A77" s="621">
        <f t="shared" si="25"/>
        <v>67</v>
      </c>
      <c r="B77" s="164" t="str">
        <f>'WP12 Condensed Sch. Level Costs'!A70</f>
        <v>53E - Company Owned</v>
      </c>
      <c r="C77" s="164"/>
      <c r="D77" s="327" t="str">
        <f>'WP12 Condensed Sch. Level Costs'!C70</f>
        <v>Metal Halide</v>
      </c>
      <c r="E77" s="165" t="str">
        <f>'WP12 Condensed Sch. Level Costs'!D70</f>
        <v>MH 150</v>
      </c>
      <c r="F77" s="328">
        <f>ROUND('Capital Charge'!I75,2)</f>
        <v>8.52</v>
      </c>
      <c r="G77" s="564">
        <f>ROUND('O&amp;M Charge'!I75,2)</f>
        <v>4.51</v>
      </c>
      <c r="H77" s="564">
        <f>ROUND('Customer Charge'!I75,2)</f>
        <v>1</v>
      </c>
      <c r="I77" s="564">
        <f>ROUND('Demand Charge'!G75,2)</f>
        <v>0.55000000000000004</v>
      </c>
      <c r="J77" s="564">
        <f>ROUND('Energy Charge'!I75,2)</f>
        <v>2.86</v>
      </c>
      <c r="K77" s="564">
        <f>SUM(F77:J77)</f>
        <v>17.440000000000001</v>
      </c>
      <c r="L77" s="564">
        <f t="shared" si="23"/>
        <v>17.440000000000001</v>
      </c>
      <c r="M77" s="564"/>
      <c r="O77" s="564">
        <f>'Sch 141C Lighting Tariff'!J75</f>
        <v>0.03</v>
      </c>
      <c r="P77" s="564">
        <f>'Sch 141C Lighting Tariff'!N75</f>
        <v>0.03</v>
      </c>
      <c r="Q77" s="564"/>
      <c r="S77" s="564">
        <f>'Sch 141N Lighting Tariff'!J77</f>
        <v>2.34</v>
      </c>
      <c r="T77" s="564">
        <f>'Sch 141N Lighting Tariff'!N77</f>
        <v>1.62</v>
      </c>
      <c r="U77" s="564"/>
      <c r="W77" s="564">
        <f>'Sch 141R Lighting Tariff'!J77</f>
        <v>0.44</v>
      </c>
      <c r="X77" s="564">
        <f>'Sch 141R Lighting Tariff'!N77</f>
        <v>1.54</v>
      </c>
      <c r="Y77" s="564"/>
      <c r="Z77" s="564"/>
      <c r="AA77" s="564">
        <f>'Sch 141A Lighting Tariff'!J75</f>
        <v>0.1</v>
      </c>
      <c r="AB77" s="564">
        <f>'Sch 141A Lighting Tariff'!N75</f>
        <v>0.11</v>
      </c>
      <c r="AC77" s="564"/>
      <c r="AE77" s="564">
        <f t="shared" si="24"/>
        <v>20.350000000000005</v>
      </c>
      <c r="AF77" s="564">
        <f t="shared" si="24"/>
        <v>20.740000000000002</v>
      </c>
      <c r="AG77" s="564"/>
    </row>
    <row r="78" spans="1:33" x14ac:dyDescent="0.2">
      <c r="A78" s="621">
        <f t="shared" si="25"/>
        <v>68</v>
      </c>
      <c r="B78" s="164" t="str">
        <f>'WP12 Condensed Sch. Level Costs'!A71</f>
        <v>53E - Company Owned</v>
      </c>
      <c r="C78" s="164"/>
      <c r="D78" s="327" t="str">
        <f>'WP12 Condensed Sch. Level Costs'!C71</f>
        <v>Metal Halide</v>
      </c>
      <c r="E78" s="165" t="str">
        <f>'WP12 Condensed Sch. Level Costs'!D71</f>
        <v>MH 250</v>
      </c>
      <c r="F78" s="328">
        <f>ROUND('Capital Charge'!I76,2)</f>
        <v>9.2799999999999994</v>
      </c>
      <c r="G78" s="564">
        <f>ROUND('O&amp;M Charge'!I76,2)</f>
        <v>4.51</v>
      </c>
      <c r="H78" s="564">
        <f>ROUND('Customer Charge'!I76,2)</f>
        <v>1.67</v>
      </c>
      <c r="I78" s="564">
        <f>ROUND('Demand Charge'!G76,2)</f>
        <v>0.91</v>
      </c>
      <c r="J78" s="564">
        <f>ROUND('Energy Charge'!I76,2)</f>
        <v>4.7699999999999996</v>
      </c>
      <c r="K78" s="564">
        <f>SUM(F78:J78)</f>
        <v>21.139999999999997</v>
      </c>
      <c r="L78" s="564">
        <f t="shared" si="23"/>
        <v>21.139999999999997</v>
      </c>
      <c r="M78" s="564"/>
      <c r="O78" s="564">
        <f>'Sch 141C Lighting Tariff'!J76</f>
        <v>0.05</v>
      </c>
      <c r="P78" s="564">
        <f>'Sch 141C Lighting Tariff'!N76</f>
        <v>0.06</v>
      </c>
      <c r="Q78" s="564"/>
      <c r="S78" s="564">
        <f>'Sch 141N Lighting Tariff'!J78</f>
        <v>3.9</v>
      </c>
      <c r="T78" s="564">
        <f>'Sch 141N Lighting Tariff'!N78</f>
        <v>2.7</v>
      </c>
      <c r="U78" s="564"/>
      <c r="W78" s="564">
        <f>'Sch 141R Lighting Tariff'!J78</f>
        <v>0.73</v>
      </c>
      <c r="X78" s="564">
        <f>'Sch 141R Lighting Tariff'!N78</f>
        <v>2.57</v>
      </c>
      <c r="Y78" s="564"/>
      <c r="Z78" s="564"/>
      <c r="AA78" s="564">
        <f>'Sch 141A Lighting Tariff'!J76</f>
        <v>0.17</v>
      </c>
      <c r="AB78" s="564">
        <f>'Sch 141A Lighting Tariff'!N76</f>
        <v>0.18</v>
      </c>
      <c r="AC78" s="564"/>
      <c r="AE78" s="564">
        <f t="shared" si="24"/>
        <v>25.99</v>
      </c>
      <c r="AF78" s="564">
        <f t="shared" si="24"/>
        <v>26.649999999999995</v>
      </c>
      <c r="AG78" s="564"/>
    </row>
    <row r="79" spans="1:33" x14ac:dyDescent="0.2">
      <c r="A79" s="621">
        <f t="shared" si="25"/>
        <v>69</v>
      </c>
      <c r="B79" s="164" t="str">
        <f>'WP12 Condensed Sch. Level Costs'!A72</f>
        <v>53E - Company Owned</v>
      </c>
      <c r="C79" s="164"/>
      <c r="D79" s="327" t="str">
        <f>'WP12 Condensed Sch. Level Costs'!C72</f>
        <v>Metal Halide</v>
      </c>
      <c r="E79" s="165" t="str">
        <f>'WP12 Condensed Sch. Level Costs'!D72</f>
        <v>MH 400</v>
      </c>
      <c r="F79" s="328">
        <f>ROUND('Capital Charge'!I77,2)</f>
        <v>9.32</v>
      </c>
      <c r="G79" s="564">
        <f>ROUND('O&amp;M Charge'!I77,2)</f>
        <v>4.51</v>
      </c>
      <c r="H79" s="564">
        <f>ROUND('Customer Charge'!I77,2)</f>
        <v>2.68</v>
      </c>
      <c r="I79" s="564">
        <f>ROUND('Demand Charge'!G77,2)</f>
        <v>1.46</v>
      </c>
      <c r="J79" s="564">
        <f>ROUND('Energy Charge'!I77,2)</f>
        <v>7.64</v>
      </c>
      <c r="K79" s="564">
        <f>SUM(F79:J79)</f>
        <v>25.610000000000003</v>
      </c>
      <c r="L79" s="564">
        <f t="shared" si="23"/>
        <v>25.610000000000003</v>
      </c>
      <c r="M79" s="564"/>
      <c r="O79" s="564">
        <f>'Sch 141C Lighting Tariff'!J77</f>
        <v>0.08</v>
      </c>
      <c r="P79" s="564">
        <f>'Sch 141C Lighting Tariff'!N77</f>
        <v>0.09</v>
      </c>
      <c r="Q79" s="564"/>
      <c r="S79" s="564">
        <f>'Sch 141N Lighting Tariff'!J79</f>
        <v>6.23</v>
      </c>
      <c r="T79" s="564">
        <f>'Sch 141N Lighting Tariff'!N79</f>
        <v>4.33</v>
      </c>
      <c r="U79" s="564"/>
      <c r="W79" s="564">
        <f>'Sch 141R Lighting Tariff'!J79</f>
        <v>1.17</v>
      </c>
      <c r="X79" s="564">
        <f>'Sch 141R Lighting Tariff'!N79</f>
        <v>4.1100000000000003</v>
      </c>
      <c r="Y79" s="564"/>
      <c r="Z79" s="564"/>
      <c r="AA79" s="564">
        <f>'Sch 141A Lighting Tariff'!J77</f>
        <v>0.28000000000000003</v>
      </c>
      <c r="AB79" s="564">
        <f>'Sch 141A Lighting Tariff'!N77</f>
        <v>0.28999999999999998</v>
      </c>
      <c r="AC79" s="564"/>
      <c r="AE79" s="564">
        <f t="shared" si="24"/>
        <v>33.370000000000005</v>
      </c>
      <c r="AF79" s="564">
        <f t="shared" si="24"/>
        <v>34.43</v>
      </c>
      <c r="AG79" s="564"/>
    </row>
    <row r="80" spans="1:33" x14ac:dyDescent="0.2">
      <c r="A80" s="621">
        <f t="shared" si="25"/>
        <v>70</v>
      </c>
      <c r="B80" s="164"/>
      <c r="C80" s="164"/>
      <c r="D80" s="327"/>
      <c r="E80" s="165"/>
      <c r="F80" s="328"/>
      <c r="G80" s="564"/>
      <c r="H80" s="564"/>
      <c r="I80" s="564"/>
      <c r="J80" s="564"/>
      <c r="K80" s="564"/>
      <c r="O80" s="564"/>
      <c r="S80" s="564"/>
      <c r="W80" s="564"/>
      <c r="AA80" s="564"/>
      <c r="AE80" s="564"/>
    </row>
    <row r="81" spans="1:33" x14ac:dyDescent="0.2">
      <c r="A81" s="621">
        <f t="shared" si="25"/>
        <v>71</v>
      </c>
      <c r="B81" s="164" t="str">
        <f>'WP12 Condensed Sch. Level Costs'!A74</f>
        <v>53E - Company Owned</v>
      </c>
      <c r="C81" s="164"/>
      <c r="D81" s="327" t="str">
        <f>'WP12 Condensed Sch. Level Costs'!C74</f>
        <v>Light Emitting Diode</v>
      </c>
      <c r="E81" s="165" t="str">
        <f>'WP12 Condensed Sch. Level Costs'!D74</f>
        <v>LED 0-030</v>
      </c>
      <c r="F81" s="328">
        <f>ROUND('Capital Charge'!I79,2)</f>
        <v>8.8699999999999992</v>
      </c>
      <c r="G81" s="564">
        <f>ROUND('O&amp;M Charge'!I79,2)</f>
        <v>0.45</v>
      </c>
      <c r="H81" s="564">
        <f>ROUND('Customer Charge'!I79,2)</f>
        <v>0.1</v>
      </c>
      <c r="I81" s="564">
        <f>ROUND('Demand Charge'!G79,2)</f>
        <v>0.05</v>
      </c>
      <c r="J81" s="564">
        <f>ROUND('Energy Charge'!I79,2)</f>
        <v>0.28999999999999998</v>
      </c>
      <c r="K81" s="564">
        <f t="shared" ref="K81:K90" si="26">SUM(F81:J81)</f>
        <v>9.759999999999998</v>
      </c>
      <c r="L81" s="564">
        <f t="shared" ref="L81:L90" si="27">K81</f>
        <v>9.759999999999998</v>
      </c>
      <c r="M81" s="564"/>
      <c r="O81" s="564">
        <f>'Sch 141C Lighting Tariff'!J79</f>
        <v>0</v>
      </c>
      <c r="P81" s="564">
        <f>'Sch 141C Lighting Tariff'!N79</f>
        <v>0</v>
      </c>
      <c r="Q81" s="564"/>
      <c r="S81" s="564">
        <f>'Sch 141N Lighting Tariff'!J81</f>
        <v>0.23</v>
      </c>
      <c r="T81" s="564">
        <f>'Sch 141N Lighting Tariff'!N81</f>
        <v>0.16</v>
      </c>
      <c r="U81" s="564"/>
      <c r="W81" s="564">
        <f>'Sch 141R Lighting Tariff'!J81</f>
        <v>0.04</v>
      </c>
      <c r="X81" s="564">
        <f>'Sch 141R Lighting Tariff'!N81</f>
        <v>0.15</v>
      </c>
      <c r="Y81" s="564"/>
      <c r="Z81" s="564"/>
      <c r="AA81" s="564">
        <f>'Sch 141A Lighting Tariff'!J79</f>
        <v>0.01</v>
      </c>
      <c r="AB81" s="564">
        <f>'Sch 141A Lighting Tariff'!N79</f>
        <v>0.01</v>
      </c>
      <c r="AC81" s="564"/>
      <c r="AE81" s="564">
        <f t="shared" ref="AE81:AE90" si="28">K81+O81+S81+W81+AA81</f>
        <v>10.039999999999997</v>
      </c>
      <c r="AF81" s="564">
        <f t="shared" ref="AF81:AF90" si="29">L81+P81+T81+X81+AB81</f>
        <v>10.079999999999998</v>
      </c>
      <c r="AG81" s="564"/>
    </row>
    <row r="82" spans="1:33" x14ac:dyDescent="0.2">
      <c r="A82" s="621">
        <f t="shared" si="25"/>
        <v>72</v>
      </c>
      <c r="B82" s="164" t="str">
        <f>'WP12 Condensed Sch. Level Costs'!A75</f>
        <v>53E - Company Owned</v>
      </c>
      <c r="C82" s="164"/>
      <c r="D82" s="327" t="str">
        <f>'WP12 Condensed Sch. Level Costs'!C75</f>
        <v>Light Emitting Diode</v>
      </c>
      <c r="E82" s="165" t="str">
        <f>'WP12 Condensed Sch. Level Costs'!D75</f>
        <v>LED 030.01-060</v>
      </c>
      <c r="F82" s="328">
        <f>ROUND('Capital Charge'!I80,2)</f>
        <v>8.82</v>
      </c>
      <c r="G82" s="564">
        <f>ROUND('O&amp;M Charge'!I80,2)</f>
        <v>0.45</v>
      </c>
      <c r="H82" s="564">
        <f>ROUND('Customer Charge'!I80,2)</f>
        <v>0.3</v>
      </c>
      <c r="I82" s="564">
        <f>ROUND('Demand Charge'!G80,2)</f>
        <v>0.16</v>
      </c>
      <c r="J82" s="564">
        <f>ROUND('Energy Charge'!I80,2)</f>
        <v>0.86</v>
      </c>
      <c r="K82" s="564">
        <f t="shared" si="26"/>
        <v>10.59</v>
      </c>
      <c r="L82" s="564">
        <f t="shared" si="27"/>
        <v>10.59</v>
      </c>
      <c r="M82" s="564"/>
      <c r="O82" s="564">
        <f>'Sch 141C Lighting Tariff'!J80</f>
        <v>0.01</v>
      </c>
      <c r="P82" s="564">
        <f>'Sch 141C Lighting Tariff'!N80</f>
        <v>0.01</v>
      </c>
      <c r="Q82" s="564"/>
      <c r="S82" s="564">
        <f>'Sch 141N Lighting Tariff'!J82</f>
        <v>0.7</v>
      </c>
      <c r="T82" s="564">
        <f>'Sch 141N Lighting Tariff'!N82</f>
        <v>0.49</v>
      </c>
      <c r="U82" s="564"/>
      <c r="W82" s="564">
        <f>'Sch 141R Lighting Tariff'!J82</f>
        <v>0.13</v>
      </c>
      <c r="X82" s="564">
        <f>'Sch 141R Lighting Tariff'!N82</f>
        <v>0.46</v>
      </c>
      <c r="Y82" s="564"/>
      <c r="Z82" s="564"/>
      <c r="AA82" s="564">
        <f>'Sch 141A Lighting Tariff'!J80</f>
        <v>0.03</v>
      </c>
      <c r="AB82" s="564">
        <f>'Sch 141A Lighting Tariff'!N80</f>
        <v>0.03</v>
      </c>
      <c r="AC82" s="564"/>
      <c r="AE82" s="564">
        <f t="shared" si="28"/>
        <v>11.459999999999999</v>
      </c>
      <c r="AF82" s="564">
        <f t="shared" si="29"/>
        <v>11.58</v>
      </c>
      <c r="AG82" s="564"/>
    </row>
    <row r="83" spans="1:33" x14ac:dyDescent="0.2">
      <c r="A83" s="621">
        <f t="shared" si="25"/>
        <v>73</v>
      </c>
      <c r="B83" s="164" t="str">
        <f>'WP12 Condensed Sch. Level Costs'!A76</f>
        <v>53E - Company Owned</v>
      </c>
      <c r="C83" s="164"/>
      <c r="D83" s="327" t="str">
        <f>'WP12 Condensed Sch. Level Costs'!C76</f>
        <v>Light Emitting Diode</v>
      </c>
      <c r="E83" s="165" t="str">
        <f>'WP12 Condensed Sch. Level Costs'!D76</f>
        <v>LED 060.01-090</v>
      </c>
      <c r="F83" s="328">
        <f>ROUND('Capital Charge'!I81,2)</f>
        <v>8.6300000000000008</v>
      </c>
      <c r="G83" s="564">
        <f>ROUND('O&amp;M Charge'!I81,2)</f>
        <v>0.45</v>
      </c>
      <c r="H83" s="564">
        <f>ROUND('Customer Charge'!I81,2)</f>
        <v>0.5</v>
      </c>
      <c r="I83" s="564">
        <f>ROUND('Demand Charge'!G81,2)</f>
        <v>0.27</v>
      </c>
      <c r="J83" s="564">
        <f>ROUND('Energy Charge'!I81,2)</f>
        <v>1.43</v>
      </c>
      <c r="K83" s="564">
        <f t="shared" si="26"/>
        <v>11.28</v>
      </c>
      <c r="L83" s="564">
        <f t="shared" si="27"/>
        <v>11.28</v>
      </c>
      <c r="M83" s="564"/>
      <c r="O83" s="564">
        <f>'Sch 141C Lighting Tariff'!J81</f>
        <v>0.02</v>
      </c>
      <c r="P83" s="564">
        <f>'Sch 141C Lighting Tariff'!N81</f>
        <v>0.02</v>
      </c>
      <c r="Q83" s="564"/>
      <c r="S83" s="564">
        <f>'Sch 141N Lighting Tariff'!J83</f>
        <v>1.17</v>
      </c>
      <c r="T83" s="564">
        <f>'Sch 141N Lighting Tariff'!N83</f>
        <v>0.81</v>
      </c>
      <c r="U83" s="564"/>
      <c r="W83" s="564">
        <f>'Sch 141R Lighting Tariff'!J83</f>
        <v>0.22</v>
      </c>
      <c r="X83" s="564">
        <f>'Sch 141R Lighting Tariff'!N83</f>
        <v>0.77</v>
      </c>
      <c r="Y83" s="564"/>
      <c r="Z83" s="564"/>
      <c r="AA83" s="564">
        <f>'Sch 141A Lighting Tariff'!J81</f>
        <v>0.05</v>
      </c>
      <c r="AB83" s="564">
        <f>'Sch 141A Lighting Tariff'!N81</f>
        <v>0.05</v>
      </c>
      <c r="AC83" s="564"/>
      <c r="AE83" s="564">
        <f t="shared" si="28"/>
        <v>12.74</v>
      </c>
      <c r="AF83" s="564">
        <f t="shared" si="29"/>
        <v>12.93</v>
      </c>
      <c r="AG83" s="564"/>
    </row>
    <row r="84" spans="1:33" x14ac:dyDescent="0.2">
      <c r="A84" s="621">
        <f t="shared" si="25"/>
        <v>74</v>
      </c>
      <c r="B84" s="164" t="str">
        <f>'WP12 Condensed Sch. Level Costs'!A77</f>
        <v>53E - Company Owned</v>
      </c>
      <c r="C84" s="164"/>
      <c r="D84" s="327" t="str">
        <f>'WP12 Condensed Sch. Level Costs'!C77</f>
        <v>Light Emitting Diode</v>
      </c>
      <c r="E84" s="165" t="str">
        <f>'WP12 Condensed Sch. Level Costs'!D77</f>
        <v>LED 090.01-120</v>
      </c>
      <c r="F84" s="328">
        <f>ROUND('Capital Charge'!I82,2)</f>
        <v>9.23</v>
      </c>
      <c r="G84" s="564">
        <f>ROUND('O&amp;M Charge'!I82,2)</f>
        <v>0.45</v>
      </c>
      <c r="H84" s="564">
        <f>ROUND('Customer Charge'!I82,2)</f>
        <v>0.7</v>
      </c>
      <c r="I84" s="564">
        <f>ROUND('Demand Charge'!G82,2)</f>
        <v>0.38</v>
      </c>
      <c r="J84" s="564">
        <f>ROUND('Energy Charge'!I82,2)</f>
        <v>2</v>
      </c>
      <c r="K84" s="564">
        <f t="shared" si="26"/>
        <v>12.76</v>
      </c>
      <c r="L84" s="564">
        <f t="shared" si="27"/>
        <v>12.76</v>
      </c>
      <c r="M84" s="564"/>
      <c r="O84" s="564">
        <f>'Sch 141C Lighting Tariff'!J82</f>
        <v>0.02</v>
      </c>
      <c r="P84" s="564">
        <f>'Sch 141C Lighting Tariff'!N82</f>
        <v>0.02</v>
      </c>
      <c r="Q84" s="564"/>
      <c r="S84" s="564">
        <f>'Sch 141N Lighting Tariff'!J84</f>
        <v>1.64</v>
      </c>
      <c r="T84" s="564">
        <f>'Sch 141N Lighting Tariff'!N84</f>
        <v>1.1399999999999999</v>
      </c>
      <c r="U84" s="564"/>
      <c r="W84" s="564">
        <f>'Sch 141R Lighting Tariff'!J84</f>
        <v>0.31</v>
      </c>
      <c r="X84" s="564">
        <f>'Sch 141R Lighting Tariff'!N84</f>
        <v>1.08</v>
      </c>
      <c r="Y84" s="564"/>
      <c r="Z84" s="564"/>
      <c r="AA84" s="564">
        <f>'Sch 141A Lighting Tariff'!J82</f>
        <v>7.0000000000000007E-2</v>
      </c>
      <c r="AB84" s="564">
        <f>'Sch 141A Lighting Tariff'!N82</f>
        <v>0.08</v>
      </c>
      <c r="AC84" s="564"/>
      <c r="AE84" s="564">
        <f t="shared" si="28"/>
        <v>14.8</v>
      </c>
      <c r="AF84" s="564">
        <f t="shared" si="29"/>
        <v>15.08</v>
      </c>
      <c r="AG84" s="564"/>
    </row>
    <row r="85" spans="1:33" x14ac:dyDescent="0.2">
      <c r="A85" s="621">
        <f t="shared" si="25"/>
        <v>75</v>
      </c>
      <c r="B85" s="164" t="str">
        <f>'WP12 Condensed Sch. Level Costs'!A78</f>
        <v>53E - Company Owned</v>
      </c>
      <c r="C85" s="164"/>
      <c r="D85" s="327" t="str">
        <f>'WP12 Condensed Sch. Level Costs'!C78</f>
        <v>Light Emitting Diode</v>
      </c>
      <c r="E85" s="165" t="str">
        <f>'WP12 Condensed Sch. Level Costs'!D78</f>
        <v>LED 120.01-150</v>
      </c>
      <c r="F85" s="328">
        <f>ROUND('Capital Charge'!I83,2)</f>
        <v>9.52</v>
      </c>
      <c r="G85" s="564">
        <f>ROUND('O&amp;M Charge'!I83,2)</f>
        <v>0.45</v>
      </c>
      <c r="H85" s="564">
        <f>ROUND('Customer Charge'!I83,2)</f>
        <v>0.9</v>
      </c>
      <c r="I85" s="564">
        <f>ROUND('Demand Charge'!G83,2)</f>
        <v>0.49</v>
      </c>
      <c r="J85" s="564">
        <f>ROUND('Energy Charge'!I83,2)</f>
        <v>2.58</v>
      </c>
      <c r="K85" s="564">
        <f t="shared" si="26"/>
        <v>13.94</v>
      </c>
      <c r="L85" s="564">
        <f t="shared" si="27"/>
        <v>13.94</v>
      </c>
      <c r="M85" s="564"/>
      <c r="O85" s="564">
        <f>'Sch 141C Lighting Tariff'!J83</f>
        <v>0.03</v>
      </c>
      <c r="P85" s="564">
        <f>'Sch 141C Lighting Tariff'!N83</f>
        <v>0.03</v>
      </c>
      <c r="Q85" s="564"/>
      <c r="S85" s="564">
        <f>'Sch 141N Lighting Tariff'!J85</f>
        <v>2.1</v>
      </c>
      <c r="T85" s="564">
        <f>'Sch 141N Lighting Tariff'!N85</f>
        <v>1.46</v>
      </c>
      <c r="U85" s="564"/>
      <c r="W85" s="564">
        <f>'Sch 141R Lighting Tariff'!J85</f>
        <v>0.39</v>
      </c>
      <c r="X85" s="564">
        <f>'Sch 141R Lighting Tariff'!N85</f>
        <v>1.39</v>
      </c>
      <c r="Y85" s="564"/>
      <c r="Z85" s="564"/>
      <c r="AA85" s="564">
        <f>'Sch 141A Lighting Tariff'!J83</f>
        <v>0.09</v>
      </c>
      <c r="AB85" s="564">
        <f>'Sch 141A Lighting Tariff'!N83</f>
        <v>0.1</v>
      </c>
      <c r="AC85" s="564"/>
      <c r="AE85" s="564">
        <f t="shared" si="28"/>
        <v>16.55</v>
      </c>
      <c r="AF85" s="564">
        <f t="shared" si="29"/>
        <v>16.920000000000002</v>
      </c>
      <c r="AG85" s="564"/>
    </row>
    <row r="86" spans="1:33" x14ac:dyDescent="0.2">
      <c r="A86" s="621">
        <f t="shared" si="25"/>
        <v>76</v>
      </c>
      <c r="B86" s="164" t="str">
        <f>'WP12 Condensed Sch. Level Costs'!A79</f>
        <v>53E - Company Owned</v>
      </c>
      <c r="C86" s="164"/>
      <c r="D86" s="327" t="str">
        <f>'WP12 Condensed Sch. Level Costs'!C79</f>
        <v>Light Emitting Diode</v>
      </c>
      <c r="E86" s="165" t="str">
        <f>'WP12 Condensed Sch. Level Costs'!D79</f>
        <v>LED 150.01-180</v>
      </c>
      <c r="F86" s="328">
        <f>ROUND('Capital Charge'!I84,2)</f>
        <v>9.2100000000000009</v>
      </c>
      <c r="G86" s="564">
        <f>ROUND('O&amp;M Charge'!I84,2)</f>
        <v>0.45</v>
      </c>
      <c r="H86" s="564">
        <f>ROUND('Customer Charge'!I84,2)</f>
        <v>1.1000000000000001</v>
      </c>
      <c r="I86" s="564">
        <f>ROUND('Demand Charge'!G84,2)</f>
        <v>0.6</v>
      </c>
      <c r="J86" s="564">
        <f>ROUND('Energy Charge'!I84,2)</f>
        <v>3.15</v>
      </c>
      <c r="K86" s="564">
        <f t="shared" si="26"/>
        <v>14.51</v>
      </c>
      <c r="L86" s="564">
        <f t="shared" si="27"/>
        <v>14.51</v>
      </c>
      <c r="M86" s="564"/>
      <c r="O86" s="564">
        <f>'Sch 141C Lighting Tariff'!J84</f>
        <v>0.03</v>
      </c>
      <c r="P86" s="564">
        <f>'Sch 141C Lighting Tariff'!N84</f>
        <v>0.04</v>
      </c>
      <c r="Q86" s="564"/>
      <c r="S86" s="564">
        <f>'Sch 141N Lighting Tariff'!J86</f>
        <v>2.57</v>
      </c>
      <c r="T86" s="564">
        <f>'Sch 141N Lighting Tariff'!N86</f>
        <v>1.78</v>
      </c>
      <c r="U86" s="564"/>
      <c r="W86" s="564">
        <f>'Sch 141R Lighting Tariff'!J86</f>
        <v>0.48</v>
      </c>
      <c r="X86" s="564">
        <f>'Sch 141R Lighting Tariff'!N86</f>
        <v>1.7</v>
      </c>
      <c r="Y86" s="564"/>
      <c r="Z86" s="564"/>
      <c r="AA86" s="564">
        <f>'Sch 141A Lighting Tariff'!J84</f>
        <v>0.11</v>
      </c>
      <c r="AB86" s="564">
        <f>'Sch 141A Lighting Tariff'!N84</f>
        <v>0.12</v>
      </c>
      <c r="AC86" s="564"/>
      <c r="AE86" s="564">
        <f t="shared" si="28"/>
        <v>17.7</v>
      </c>
      <c r="AF86" s="564">
        <f t="shared" si="29"/>
        <v>18.149999999999999</v>
      </c>
      <c r="AG86" s="564"/>
    </row>
    <row r="87" spans="1:33" x14ac:dyDescent="0.2">
      <c r="A87" s="621">
        <f t="shared" si="25"/>
        <v>77</v>
      </c>
      <c r="B87" s="164" t="str">
        <f>'WP12 Condensed Sch. Level Costs'!A80</f>
        <v>53E - Company Owned</v>
      </c>
      <c r="C87" s="164"/>
      <c r="D87" s="327" t="str">
        <f>'WP12 Condensed Sch. Level Costs'!C80</f>
        <v>Light Emitting Diode</v>
      </c>
      <c r="E87" s="165" t="str">
        <f>'WP12 Condensed Sch. Level Costs'!D80</f>
        <v>LED 180.01-210</v>
      </c>
      <c r="F87" s="328">
        <f>ROUND('Capital Charge'!I85,2)</f>
        <v>9.2100000000000009</v>
      </c>
      <c r="G87" s="564">
        <f>ROUND('O&amp;M Charge'!I85,2)</f>
        <v>0.45</v>
      </c>
      <c r="H87" s="564">
        <f>ROUND('Customer Charge'!I85,2)</f>
        <v>1.31</v>
      </c>
      <c r="I87" s="564">
        <f>ROUND('Demand Charge'!G85,2)</f>
        <v>0.71</v>
      </c>
      <c r="J87" s="564">
        <f>ROUND('Energy Charge'!I85,2)</f>
        <v>3.72</v>
      </c>
      <c r="K87" s="564">
        <f t="shared" si="26"/>
        <v>15.4</v>
      </c>
      <c r="L87" s="564">
        <f t="shared" si="27"/>
        <v>15.4</v>
      </c>
      <c r="M87" s="564"/>
      <c r="O87" s="564">
        <f>'Sch 141C Lighting Tariff'!J85</f>
        <v>0.04</v>
      </c>
      <c r="P87" s="564">
        <f>'Sch 141C Lighting Tariff'!N85</f>
        <v>0.04</v>
      </c>
      <c r="Q87" s="564"/>
      <c r="S87" s="564">
        <f>'Sch 141N Lighting Tariff'!J87</f>
        <v>3.04</v>
      </c>
      <c r="T87" s="564">
        <f>'Sch 141N Lighting Tariff'!N87</f>
        <v>2.11</v>
      </c>
      <c r="U87" s="564"/>
      <c r="W87" s="564">
        <f>'Sch 141R Lighting Tariff'!J87</f>
        <v>0.56999999999999995</v>
      </c>
      <c r="X87" s="564">
        <f>'Sch 141R Lighting Tariff'!N87</f>
        <v>2</v>
      </c>
      <c r="Y87" s="564"/>
      <c r="Z87" s="564"/>
      <c r="AA87" s="564">
        <f>'Sch 141A Lighting Tariff'!J85</f>
        <v>0.14000000000000001</v>
      </c>
      <c r="AB87" s="564">
        <f>'Sch 141A Lighting Tariff'!N85</f>
        <v>0.14000000000000001</v>
      </c>
      <c r="AC87" s="564"/>
      <c r="AE87" s="564">
        <f t="shared" si="28"/>
        <v>19.190000000000001</v>
      </c>
      <c r="AF87" s="564">
        <f t="shared" si="29"/>
        <v>19.690000000000001</v>
      </c>
      <c r="AG87" s="564"/>
    </row>
    <row r="88" spans="1:33" x14ac:dyDescent="0.2">
      <c r="A88" s="621">
        <f t="shared" si="25"/>
        <v>78</v>
      </c>
      <c r="B88" s="164" t="str">
        <f>'WP12 Condensed Sch. Level Costs'!A81</f>
        <v>53E - Company Owned</v>
      </c>
      <c r="C88" s="164"/>
      <c r="D88" s="327" t="str">
        <f>'WP12 Condensed Sch. Level Costs'!C81</f>
        <v>Light Emitting Diode</v>
      </c>
      <c r="E88" s="165" t="str">
        <f>'WP12 Condensed Sch. Level Costs'!D81</f>
        <v>LED 210.01-240</v>
      </c>
      <c r="F88" s="328">
        <f>ROUND('Capital Charge'!I86,2)</f>
        <v>9.26</v>
      </c>
      <c r="G88" s="564">
        <f>ROUND('O&amp;M Charge'!I86,2)</f>
        <v>0.45</v>
      </c>
      <c r="H88" s="564">
        <f>ROUND('Customer Charge'!I86,2)</f>
        <v>1.51</v>
      </c>
      <c r="I88" s="564">
        <f>ROUND('Demand Charge'!G86,2)</f>
        <v>0.82</v>
      </c>
      <c r="J88" s="564">
        <f>ROUND('Energy Charge'!I86,2)</f>
        <v>4.3</v>
      </c>
      <c r="K88" s="564">
        <f t="shared" si="26"/>
        <v>16.34</v>
      </c>
      <c r="L88" s="564">
        <f t="shared" si="27"/>
        <v>16.34</v>
      </c>
      <c r="M88" s="564"/>
      <c r="O88" s="564">
        <f>'Sch 141C Lighting Tariff'!J86</f>
        <v>0.05</v>
      </c>
      <c r="P88" s="564">
        <f>'Sch 141C Lighting Tariff'!N86</f>
        <v>0.05</v>
      </c>
      <c r="Q88" s="564"/>
      <c r="S88" s="564">
        <f>'Sch 141N Lighting Tariff'!J88</f>
        <v>3.51</v>
      </c>
      <c r="T88" s="564">
        <f>'Sch 141N Lighting Tariff'!N88</f>
        <v>2.4300000000000002</v>
      </c>
      <c r="U88" s="564"/>
      <c r="W88" s="564">
        <f>'Sch 141R Lighting Tariff'!J88</f>
        <v>0.66</v>
      </c>
      <c r="X88" s="564">
        <f>'Sch 141R Lighting Tariff'!N88</f>
        <v>2.31</v>
      </c>
      <c r="Y88" s="564"/>
      <c r="Z88" s="564"/>
      <c r="AA88" s="564">
        <f>'Sch 141A Lighting Tariff'!J86</f>
        <v>0.16</v>
      </c>
      <c r="AB88" s="564">
        <f>'Sch 141A Lighting Tariff'!N86</f>
        <v>0.16</v>
      </c>
      <c r="AC88" s="564"/>
      <c r="AE88" s="564">
        <f t="shared" si="28"/>
        <v>20.72</v>
      </c>
      <c r="AF88" s="564">
        <f t="shared" si="29"/>
        <v>21.29</v>
      </c>
      <c r="AG88" s="564"/>
    </row>
    <row r="89" spans="1:33" x14ac:dyDescent="0.2">
      <c r="A89" s="621">
        <f t="shared" si="25"/>
        <v>79</v>
      </c>
      <c r="B89" s="164" t="str">
        <f>'WP12 Condensed Sch. Level Costs'!A82</f>
        <v>53E - Company Owned</v>
      </c>
      <c r="C89" s="164"/>
      <c r="D89" s="327" t="str">
        <f>'WP12 Condensed Sch. Level Costs'!C82</f>
        <v>Light Emitting Diode</v>
      </c>
      <c r="E89" s="165" t="str">
        <f>'WP12 Condensed Sch. Level Costs'!D82</f>
        <v>LED 240.01-270</v>
      </c>
      <c r="F89" s="328">
        <f>ROUND('Capital Charge'!I87,2)</f>
        <v>9.26</v>
      </c>
      <c r="G89" s="564">
        <f>ROUND('O&amp;M Charge'!I87,2)</f>
        <v>0.45</v>
      </c>
      <c r="H89" s="564">
        <f>ROUND('Customer Charge'!I87,2)</f>
        <v>1.71</v>
      </c>
      <c r="I89" s="564">
        <f>ROUND('Demand Charge'!G87,2)</f>
        <v>0.93</v>
      </c>
      <c r="J89" s="564">
        <f>ROUND('Energy Charge'!I87,2)</f>
        <v>4.87</v>
      </c>
      <c r="K89" s="564">
        <f t="shared" si="26"/>
        <v>17.22</v>
      </c>
      <c r="L89" s="564">
        <f t="shared" si="27"/>
        <v>17.22</v>
      </c>
      <c r="M89" s="564"/>
      <c r="O89" s="564">
        <f>'Sch 141C Lighting Tariff'!J87</f>
        <v>0.05</v>
      </c>
      <c r="P89" s="564">
        <f>'Sch 141C Lighting Tariff'!N87</f>
        <v>0.06</v>
      </c>
      <c r="Q89" s="564"/>
      <c r="S89" s="564">
        <f>'Sch 141N Lighting Tariff'!J89</f>
        <v>3.97</v>
      </c>
      <c r="T89" s="564">
        <f>'Sch 141N Lighting Tariff'!N89</f>
        <v>2.76</v>
      </c>
      <c r="U89" s="564"/>
      <c r="W89" s="564">
        <f>'Sch 141R Lighting Tariff'!J89</f>
        <v>0.74</v>
      </c>
      <c r="X89" s="564">
        <f>'Sch 141R Lighting Tariff'!N89</f>
        <v>2.62</v>
      </c>
      <c r="Y89" s="564"/>
      <c r="Z89" s="564"/>
      <c r="AA89" s="564">
        <f>'Sch 141A Lighting Tariff'!J87</f>
        <v>0.18</v>
      </c>
      <c r="AB89" s="564">
        <f>'Sch 141A Lighting Tariff'!N87</f>
        <v>0.18</v>
      </c>
      <c r="AC89" s="564"/>
      <c r="AE89" s="564">
        <f t="shared" si="28"/>
        <v>22.159999999999997</v>
      </c>
      <c r="AF89" s="564">
        <f t="shared" si="29"/>
        <v>22.84</v>
      </c>
      <c r="AG89" s="564"/>
    </row>
    <row r="90" spans="1:33" x14ac:dyDescent="0.2">
      <c r="A90" s="621">
        <f t="shared" si="25"/>
        <v>80</v>
      </c>
      <c r="B90" s="164" t="str">
        <f>'WP12 Condensed Sch. Level Costs'!A83</f>
        <v>53E - Company Owned</v>
      </c>
      <c r="C90" s="164"/>
      <c r="D90" s="327" t="str">
        <f>'WP12 Condensed Sch. Level Costs'!C83</f>
        <v>Light Emitting Diode</v>
      </c>
      <c r="E90" s="165" t="str">
        <f>'WP12 Condensed Sch. Level Costs'!D83</f>
        <v>LED 270.01-300</v>
      </c>
      <c r="F90" s="328">
        <f>ROUND('Capital Charge'!I88,2)</f>
        <v>9.26</v>
      </c>
      <c r="G90" s="564">
        <f>ROUND('O&amp;M Charge'!I88,2)</f>
        <v>0.45</v>
      </c>
      <c r="H90" s="564">
        <f>ROUND('Customer Charge'!I88,2)</f>
        <v>1.91</v>
      </c>
      <c r="I90" s="564">
        <f>ROUND('Demand Charge'!G88,2)</f>
        <v>1.04</v>
      </c>
      <c r="J90" s="564">
        <f>ROUND('Energy Charge'!I88,2)</f>
        <v>5.44</v>
      </c>
      <c r="K90" s="564">
        <f t="shared" si="26"/>
        <v>18.100000000000001</v>
      </c>
      <c r="L90" s="564">
        <f t="shared" si="27"/>
        <v>18.100000000000001</v>
      </c>
      <c r="M90" s="564"/>
      <c r="O90" s="564">
        <f>'Sch 141C Lighting Tariff'!J88</f>
        <v>0.06</v>
      </c>
      <c r="P90" s="564">
        <f>'Sch 141C Lighting Tariff'!N88</f>
        <v>0.06</v>
      </c>
      <c r="Q90" s="564"/>
      <c r="S90" s="564">
        <f>'Sch 141N Lighting Tariff'!J90</f>
        <v>4.4400000000000004</v>
      </c>
      <c r="T90" s="564">
        <f>'Sch 141N Lighting Tariff'!N90</f>
        <v>3.08</v>
      </c>
      <c r="U90" s="564"/>
      <c r="W90" s="564">
        <f>'Sch 141R Lighting Tariff'!J90</f>
        <v>0.83</v>
      </c>
      <c r="X90" s="564">
        <f>'Sch 141R Lighting Tariff'!N90</f>
        <v>2.93</v>
      </c>
      <c r="Y90" s="564"/>
      <c r="Z90" s="564"/>
      <c r="AA90" s="564">
        <f>'Sch 141A Lighting Tariff'!J88</f>
        <v>0.2</v>
      </c>
      <c r="AB90" s="564">
        <f>'Sch 141A Lighting Tariff'!N88</f>
        <v>0.21</v>
      </c>
      <c r="AC90" s="564"/>
      <c r="AE90" s="564">
        <f t="shared" si="28"/>
        <v>23.63</v>
      </c>
      <c r="AF90" s="564">
        <f t="shared" si="29"/>
        <v>24.380000000000003</v>
      </c>
      <c r="AG90" s="564"/>
    </row>
    <row r="91" spans="1:33" x14ac:dyDescent="0.2">
      <c r="A91" s="621">
        <f t="shared" si="25"/>
        <v>81</v>
      </c>
      <c r="B91" s="164"/>
      <c r="C91" s="164"/>
      <c r="D91" s="327"/>
      <c r="E91" s="165"/>
      <c r="F91" s="328"/>
      <c r="G91" s="564"/>
      <c r="H91" s="564"/>
      <c r="I91" s="564"/>
      <c r="J91" s="564"/>
      <c r="K91" s="564"/>
      <c r="L91" s="564"/>
      <c r="M91" s="564"/>
      <c r="O91" s="564"/>
      <c r="P91" s="564"/>
      <c r="Q91" s="564"/>
      <c r="S91" s="564"/>
      <c r="T91" s="564"/>
      <c r="U91" s="564"/>
      <c r="W91" s="564"/>
      <c r="X91" s="564"/>
      <c r="Y91" s="564"/>
      <c r="Z91" s="564"/>
      <c r="AA91" s="564"/>
      <c r="AB91" s="564"/>
      <c r="AC91" s="564"/>
      <c r="AE91" s="564"/>
      <c r="AF91" s="564"/>
      <c r="AG91" s="564"/>
    </row>
    <row r="92" spans="1:33" s="340" customFormat="1" x14ac:dyDescent="0.2">
      <c r="A92" s="621">
        <f t="shared" si="25"/>
        <v>82</v>
      </c>
      <c r="B92" s="336" t="str">
        <f>'WP12 Condensed Sch. Level Costs'!A85</f>
        <v>53E - Company Owned</v>
      </c>
      <c r="C92" s="331" t="s">
        <v>972</v>
      </c>
      <c r="D92" s="337" t="str">
        <f>'WP12 Condensed Sch. Level Costs'!C85</f>
        <v>Light Emitting Diode</v>
      </c>
      <c r="E92" s="338" t="str">
        <f>'WP12 Condensed Sch. Level Costs'!D85</f>
        <v>LED 0-030</v>
      </c>
      <c r="F92" s="339">
        <f>ROUND('Capital Charge'!I90,6)</f>
        <v>1.690429</v>
      </c>
      <c r="G92" s="340">
        <f>ROUND('O&amp;M Charge'!I90,6)</f>
        <v>8.5828000000000002E-2</v>
      </c>
      <c r="H92" s="340">
        <f>ROUND('Customer Charge'!I90,6)</f>
        <v>1.9132E-2</v>
      </c>
      <c r="I92" s="340">
        <f>ROUND('Demand Charge'!G90,6)</f>
        <v>1.0432E-2</v>
      </c>
      <c r="J92" s="340">
        <f>ROUND('Energy Charge'!I90,6)</f>
        <v>5.4556E-2</v>
      </c>
      <c r="K92" s="340">
        <f t="shared" ref="K92:K101" si="30">SUM(F92:J92)</f>
        <v>1.8603769999999999</v>
      </c>
      <c r="L92" s="340">
        <f t="shared" ref="L92:L101" si="31">K92</f>
        <v>1.8603769999999999</v>
      </c>
      <c r="O92" s="340">
        <f>'Sch 141C Lighting Tariff'!H90</f>
        <v>5.8200000000000005E-4</v>
      </c>
      <c r="P92" s="340">
        <f>'Sch 141C Lighting Tariff'!L90</f>
        <v>6.3900000000000003E-4</v>
      </c>
      <c r="S92" s="340">
        <f>'Sch 141N Lighting Tariff'!H92</f>
        <v>4.4534999999999998E-2</v>
      </c>
      <c r="T92" s="340">
        <f>'Sch 141N Lighting Tariff'!L92</f>
        <v>3.0908999999999999E-2</v>
      </c>
      <c r="W92" s="340">
        <f>'Sch 141R Lighting Tariff'!H92</f>
        <v>8.3250000000000008E-3</v>
      </c>
      <c r="X92" s="340">
        <f>'Sch 141R Lighting Tariff'!L92</f>
        <v>2.9375999999999999E-2</v>
      </c>
      <c r="AA92" s="340">
        <f>'Sch 141A Lighting Tariff'!H90</f>
        <v>1.98E-3</v>
      </c>
      <c r="AB92" s="340">
        <f>'Sch 141A Lighting Tariff'!L90</f>
        <v>2.0630000000000002E-3</v>
      </c>
      <c r="AE92" s="340">
        <f t="shared" ref="AE92:AE101" si="32">K92+O92+S92+W92+AA92</f>
        <v>1.915799</v>
      </c>
      <c r="AF92" s="340">
        <f t="shared" ref="AF92:AF101" si="33">L92+P92+T92+X92+AB92</f>
        <v>1.9233640000000001</v>
      </c>
    </row>
    <row r="93" spans="1:33" s="340" customFormat="1" x14ac:dyDescent="0.2">
      <c r="A93" s="621">
        <f t="shared" si="25"/>
        <v>83</v>
      </c>
      <c r="B93" s="336" t="str">
        <f>'WP12 Condensed Sch. Level Costs'!A86</f>
        <v>53E - Company Owned</v>
      </c>
      <c r="C93" s="331" t="s">
        <v>972</v>
      </c>
      <c r="D93" s="337" t="str">
        <f>'WP12 Condensed Sch. Level Costs'!C86</f>
        <v>Light Emitting Diode</v>
      </c>
      <c r="E93" s="338" t="str">
        <f>'WP12 Condensed Sch. Level Costs'!D86</f>
        <v>LED 030.01-060</v>
      </c>
      <c r="F93" s="339">
        <f>ROUND('Capital Charge'!I91,6)</f>
        <v>0.56028500000000003</v>
      </c>
      <c r="G93" s="340">
        <f>ROUND('O&amp;M Charge'!I91,6)</f>
        <v>2.8608999999999999E-2</v>
      </c>
      <c r="H93" s="340">
        <f>ROUND('Customer Charge'!I91,6)</f>
        <v>1.9132E-2</v>
      </c>
      <c r="I93" s="340">
        <f>ROUND('Demand Charge'!G91,6)</f>
        <v>1.0432E-2</v>
      </c>
      <c r="J93" s="340">
        <f>ROUND('Energy Charge'!I91,6)</f>
        <v>5.4556E-2</v>
      </c>
      <c r="K93" s="340">
        <f t="shared" si="30"/>
        <v>0.67301400000000011</v>
      </c>
      <c r="L93" s="340">
        <f t="shared" si="31"/>
        <v>0.67301400000000011</v>
      </c>
      <c r="O93" s="340">
        <f>'Sch 141C Lighting Tariff'!H91</f>
        <v>5.8200000000000005E-4</v>
      </c>
      <c r="P93" s="340">
        <f>'Sch 141C Lighting Tariff'!L91</f>
        <v>6.3900000000000003E-4</v>
      </c>
      <c r="S93" s="340">
        <f>'Sch 141N Lighting Tariff'!H93</f>
        <v>4.4534999999999998E-2</v>
      </c>
      <c r="T93" s="340">
        <f>'Sch 141N Lighting Tariff'!L93</f>
        <v>3.0908999999999999E-2</v>
      </c>
      <c r="W93" s="340">
        <f>'Sch 141R Lighting Tariff'!H93</f>
        <v>8.3250000000000008E-3</v>
      </c>
      <c r="X93" s="340">
        <f>'Sch 141R Lighting Tariff'!L93</f>
        <v>2.9375999999999999E-2</v>
      </c>
      <c r="AA93" s="340">
        <f>'Sch 141A Lighting Tariff'!H91</f>
        <v>1.98E-3</v>
      </c>
      <c r="AB93" s="340">
        <f>'Sch 141A Lighting Tariff'!L91</f>
        <v>2.0630000000000002E-3</v>
      </c>
      <c r="AE93" s="340">
        <f t="shared" si="32"/>
        <v>0.72843600000000008</v>
      </c>
      <c r="AF93" s="340">
        <f t="shared" si="33"/>
        <v>0.73600100000000002</v>
      </c>
    </row>
    <row r="94" spans="1:33" s="340" customFormat="1" x14ac:dyDescent="0.2">
      <c r="A94" s="621">
        <f t="shared" si="25"/>
        <v>84</v>
      </c>
      <c r="B94" s="336" t="str">
        <f>'WP12 Condensed Sch. Level Costs'!A87</f>
        <v>53E - Company Owned</v>
      </c>
      <c r="C94" s="331" t="s">
        <v>972</v>
      </c>
      <c r="D94" s="337" t="str">
        <f>'WP12 Condensed Sch. Level Costs'!C87</f>
        <v>Light Emitting Diode</v>
      </c>
      <c r="E94" s="338" t="str">
        <f>'WP12 Condensed Sch. Level Costs'!D87</f>
        <v>LED 060.01-090</v>
      </c>
      <c r="F94" s="339">
        <f>ROUND('Capital Charge'!I92,6)</f>
        <v>0.32870899999999997</v>
      </c>
      <c r="G94" s="340">
        <f>ROUND('O&amp;M Charge'!I92,6)</f>
        <v>1.7166000000000001E-2</v>
      </c>
      <c r="H94" s="340">
        <f>ROUND('Customer Charge'!I92,6)</f>
        <v>1.9132E-2</v>
      </c>
      <c r="I94" s="340">
        <f>ROUND('Demand Charge'!G92,6)</f>
        <v>1.0432E-2</v>
      </c>
      <c r="J94" s="340">
        <f>ROUND('Energy Charge'!I92,6)</f>
        <v>5.4556E-2</v>
      </c>
      <c r="K94" s="340">
        <f t="shared" si="30"/>
        <v>0.42999499999999996</v>
      </c>
      <c r="L94" s="340">
        <f t="shared" si="31"/>
        <v>0.42999499999999996</v>
      </c>
      <c r="O94" s="340">
        <f>'Sch 141C Lighting Tariff'!H92</f>
        <v>5.8200000000000005E-4</v>
      </c>
      <c r="P94" s="340">
        <f>'Sch 141C Lighting Tariff'!L92</f>
        <v>6.3900000000000003E-4</v>
      </c>
      <c r="S94" s="340">
        <f>'Sch 141N Lighting Tariff'!H94</f>
        <v>4.4534999999999998E-2</v>
      </c>
      <c r="T94" s="340">
        <f>'Sch 141N Lighting Tariff'!L94</f>
        <v>3.0908999999999999E-2</v>
      </c>
      <c r="W94" s="340">
        <f>'Sch 141R Lighting Tariff'!H94</f>
        <v>8.3250000000000008E-3</v>
      </c>
      <c r="X94" s="340">
        <f>'Sch 141R Lighting Tariff'!L94</f>
        <v>2.9375999999999999E-2</v>
      </c>
      <c r="AA94" s="340">
        <f>'Sch 141A Lighting Tariff'!H92</f>
        <v>1.98E-3</v>
      </c>
      <c r="AB94" s="340">
        <f>'Sch 141A Lighting Tariff'!L92</f>
        <v>2.0630000000000002E-3</v>
      </c>
      <c r="AE94" s="340">
        <f t="shared" si="32"/>
        <v>0.48541699999999999</v>
      </c>
      <c r="AF94" s="340">
        <f t="shared" si="33"/>
        <v>0.49298199999999998</v>
      </c>
    </row>
    <row r="95" spans="1:33" s="340" customFormat="1" x14ac:dyDescent="0.2">
      <c r="A95" s="621">
        <f t="shared" si="25"/>
        <v>85</v>
      </c>
      <c r="B95" s="336" t="str">
        <f>'WP12 Condensed Sch. Level Costs'!A88</f>
        <v>53E - Company Owned</v>
      </c>
      <c r="C95" s="331" t="s">
        <v>972</v>
      </c>
      <c r="D95" s="337" t="str">
        <f>'WP12 Condensed Sch. Level Costs'!C88</f>
        <v>Light Emitting Diode</v>
      </c>
      <c r="E95" s="338" t="str">
        <f>'WP12 Condensed Sch. Level Costs'!D88</f>
        <v>LED 090.01-120</v>
      </c>
      <c r="F95" s="339">
        <f>ROUND('Capital Charge'!I93,6)</f>
        <v>0.251114</v>
      </c>
      <c r="G95" s="340">
        <f>ROUND('O&amp;M Charge'!I93,6)</f>
        <v>1.2260999999999999E-2</v>
      </c>
      <c r="H95" s="340">
        <f>ROUND('Customer Charge'!I93,6)</f>
        <v>1.9132E-2</v>
      </c>
      <c r="I95" s="340">
        <f>ROUND('Demand Charge'!G93,6)</f>
        <v>1.0432E-2</v>
      </c>
      <c r="J95" s="340">
        <f>ROUND('Energy Charge'!I93,6)</f>
        <v>5.4556E-2</v>
      </c>
      <c r="K95" s="340">
        <f t="shared" si="30"/>
        <v>0.347495</v>
      </c>
      <c r="L95" s="340">
        <f t="shared" si="31"/>
        <v>0.347495</v>
      </c>
      <c r="O95" s="340">
        <f>'Sch 141C Lighting Tariff'!H93</f>
        <v>5.8200000000000005E-4</v>
      </c>
      <c r="P95" s="340">
        <f>'Sch 141C Lighting Tariff'!L93</f>
        <v>6.3900000000000003E-4</v>
      </c>
      <c r="S95" s="340">
        <f>'Sch 141N Lighting Tariff'!H95</f>
        <v>4.4534999999999998E-2</v>
      </c>
      <c r="T95" s="340">
        <f>'Sch 141N Lighting Tariff'!L95</f>
        <v>3.0908999999999999E-2</v>
      </c>
      <c r="W95" s="340">
        <f>'Sch 141R Lighting Tariff'!H95</f>
        <v>8.3250000000000008E-3</v>
      </c>
      <c r="X95" s="340">
        <f>'Sch 141R Lighting Tariff'!L95</f>
        <v>2.9375999999999999E-2</v>
      </c>
      <c r="AA95" s="340">
        <f>'Sch 141A Lighting Tariff'!H93</f>
        <v>1.98E-3</v>
      </c>
      <c r="AB95" s="340">
        <f>'Sch 141A Lighting Tariff'!L93</f>
        <v>2.0630000000000002E-3</v>
      </c>
      <c r="AE95" s="340">
        <f t="shared" si="32"/>
        <v>0.40291700000000003</v>
      </c>
      <c r="AF95" s="340">
        <f t="shared" si="33"/>
        <v>0.41048200000000001</v>
      </c>
    </row>
    <row r="96" spans="1:33" s="340" customFormat="1" x14ac:dyDescent="0.2">
      <c r="A96" s="621">
        <f t="shared" si="25"/>
        <v>86</v>
      </c>
      <c r="B96" s="336" t="str">
        <f>'WP12 Condensed Sch. Level Costs'!A89</f>
        <v>53E - Company Owned</v>
      </c>
      <c r="C96" s="331" t="s">
        <v>972</v>
      </c>
      <c r="D96" s="337" t="str">
        <f>'WP12 Condensed Sch. Level Costs'!C89</f>
        <v>Light Emitting Diode</v>
      </c>
      <c r="E96" s="338" t="str">
        <f>'WP12 Condensed Sch. Level Costs'!D89</f>
        <v>LED 120.01-150</v>
      </c>
      <c r="F96" s="339">
        <f>ROUND('Capital Charge'!I94,6)</f>
        <v>0.20152200000000001</v>
      </c>
      <c r="G96" s="340">
        <f>ROUND('O&amp;M Charge'!I94,6)</f>
        <v>9.5359999999999993E-3</v>
      </c>
      <c r="H96" s="340">
        <f>ROUND('Customer Charge'!I94,6)</f>
        <v>1.9132E-2</v>
      </c>
      <c r="I96" s="340">
        <f>ROUND('Demand Charge'!G94,6)</f>
        <v>1.0432E-2</v>
      </c>
      <c r="J96" s="340">
        <f>ROUND('Energy Charge'!I94,6)</f>
        <v>5.4556E-2</v>
      </c>
      <c r="K96" s="340">
        <f t="shared" si="30"/>
        <v>0.295178</v>
      </c>
      <c r="L96" s="340">
        <f t="shared" si="31"/>
        <v>0.295178</v>
      </c>
      <c r="O96" s="340">
        <f>'Sch 141C Lighting Tariff'!H94</f>
        <v>5.8200000000000005E-4</v>
      </c>
      <c r="P96" s="340">
        <f>'Sch 141C Lighting Tariff'!L94</f>
        <v>6.3900000000000003E-4</v>
      </c>
      <c r="S96" s="340">
        <f>'Sch 141N Lighting Tariff'!H96</f>
        <v>4.4534999999999998E-2</v>
      </c>
      <c r="T96" s="340">
        <f>'Sch 141N Lighting Tariff'!L96</f>
        <v>3.0908999999999999E-2</v>
      </c>
      <c r="W96" s="340">
        <f>'Sch 141R Lighting Tariff'!H96</f>
        <v>8.3250000000000008E-3</v>
      </c>
      <c r="X96" s="340">
        <f>'Sch 141R Lighting Tariff'!L96</f>
        <v>2.9375999999999999E-2</v>
      </c>
      <c r="AA96" s="340">
        <f>'Sch 141A Lighting Tariff'!H94</f>
        <v>1.98E-3</v>
      </c>
      <c r="AB96" s="340">
        <f>'Sch 141A Lighting Tariff'!L94</f>
        <v>2.0630000000000002E-3</v>
      </c>
      <c r="AE96" s="340">
        <f t="shared" si="32"/>
        <v>0.35060000000000002</v>
      </c>
      <c r="AF96" s="340">
        <f t="shared" si="33"/>
        <v>0.35816500000000001</v>
      </c>
    </row>
    <row r="97" spans="1:33" s="340" customFormat="1" x14ac:dyDescent="0.2">
      <c r="A97" s="621">
        <f t="shared" si="25"/>
        <v>87</v>
      </c>
      <c r="B97" s="336" t="str">
        <f>'WP12 Condensed Sch. Level Costs'!A90</f>
        <v>53E - Company Owned</v>
      </c>
      <c r="C97" s="331" t="s">
        <v>972</v>
      </c>
      <c r="D97" s="337" t="str">
        <f>'WP12 Condensed Sch. Level Costs'!C90</f>
        <v>Light Emitting Diode</v>
      </c>
      <c r="E97" s="338" t="str">
        <f>'WP12 Condensed Sch. Level Costs'!D90</f>
        <v>LED 150.01-180</v>
      </c>
      <c r="F97" s="339">
        <f>ROUND('Capital Charge'!I95,6)</f>
        <v>0.15945699999999999</v>
      </c>
      <c r="G97" s="340">
        <f>ROUND('O&amp;M Charge'!I95,6)</f>
        <v>7.803E-3</v>
      </c>
      <c r="H97" s="340">
        <f>ROUND('Customer Charge'!I95,6)</f>
        <v>1.9132E-2</v>
      </c>
      <c r="I97" s="340">
        <f>ROUND('Demand Charge'!G95,6)</f>
        <v>1.0432E-2</v>
      </c>
      <c r="J97" s="340">
        <f>ROUND('Energy Charge'!I95,6)</f>
        <v>5.4556E-2</v>
      </c>
      <c r="K97" s="340">
        <f t="shared" si="30"/>
        <v>0.25137999999999999</v>
      </c>
      <c r="L97" s="340">
        <f t="shared" si="31"/>
        <v>0.25137999999999999</v>
      </c>
      <c r="O97" s="340">
        <f>'Sch 141C Lighting Tariff'!H95</f>
        <v>5.8200000000000005E-4</v>
      </c>
      <c r="P97" s="340">
        <f>'Sch 141C Lighting Tariff'!L95</f>
        <v>6.3900000000000003E-4</v>
      </c>
      <c r="S97" s="340">
        <f>'Sch 141N Lighting Tariff'!H97</f>
        <v>4.4534999999999998E-2</v>
      </c>
      <c r="T97" s="340">
        <f>'Sch 141N Lighting Tariff'!L97</f>
        <v>3.0908999999999999E-2</v>
      </c>
      <c r="W97" s="340">
        <f>'Sch 141R Lighting Tariff'!H97</f>
        <v>8.3250000000000008E-3</v>
      </c>
      <c r="X97" s="340">
        <f>'Sch 141R Lighting Tariff'!L97</f>
        <v>2.9375999999999999E-2</v>
      </c>
      <c r="AA97" s="340">
        <f>'Sch 141A Lighting Tariff'!H95</f>
        <v>1.98E-3</v>
      </c>
      <c r="AB97" s="340">
        <f>'Sch 141A Lighting Tariff'!L95</f>
        <v>2.0630000000000002E-3</v>
      </c>
      <c r="AE97" s="340">
        <f t="shared" si="32"/>
        <v>0.30680200000000002</v>
      </c>
      <c r="AF97" s="340">
        <f t="shared" si="33"/>
        <v>0.31436700000000001</v>
      </c>
    </row>
    <row r="98" spans="1:33" s="340" customFormat="1" x14ac:dyDescent="0.2">
      <c r="A98" s="621">
        <f t="shared" si="25"/>
        <v>88</v>
      </c>
      <c r="B98" s="336" t="str">
        <f>'WP12 Condensed Sch. Level Costs'!A91</f>
        <v>53E - Company Owned</v>
      </c>
      <c r="C98" s="331" t="s">
        <v>972</v>
      </c>
      <c r="D98" s="337" t="str">
        <f>'WP12 Condensed Sch. Level Costs'!C91</f>
        <v>Light Emitting Diode</v>
      </c>
      <c r="E98" s="338" t="str">
        <f>'WP12 Condensed Sch. Level Costs'!D91</f>
        <v>LED 180.01-210</v>
      </c>
      <c r="F98" s="339">
        <f>ROUND('Capital Charge'!I96,6)</f>
        <v>0.13492599999999999</v>
      </c>
      <c r="G98" s="340">
        <f>ROUND('O&amp;M Charge'!I96,6)</f>
        <v>6.6020000000000002E-3</v>
      </c>
      <c r="H98" s="340">
        <f>ROUND('Customer Charge'!I96,6)</f>
        <v>1.9132E-2</v>
      </c>
      <c r="I98" s="340">
        <f>ROUND('Demand Charge'!G96,6)</f>
        <v>1.0432E-2</v>
      </c>
      <c r="J98" s="340">
        <f>ROUND('Energy Charge'!I96,6)</f>
        <v>5.4556E-2</v>
      </c>
      <c r="K98" s="340">
        <f t="shared" si="30"/>
        <v>0.22564799999999999</v>
      </c>
      <c r="L98" s="340">
        <f t="shared" si="31"/>
        <v>0.22564799999999999</v>
      </c>
      <c r="O98" s="340">
        <f>'Sch 141C Lighting Tariff'!H96</f>
        <v>5.8200000000000005E-4</v>
      </c>
      <c r="P98" s="340">
        <f>'Sch 141C Lighting Tariff'!L96</f>
        <v>6.3900000000000003E-4</v>
      </c>
      <c r="S98" s="340">
        <f>'Sch 141N Lighting Tariff'!H98</f>
        <v>4.4534999999999998E-2</v>
      </c>
      <c r="T98" s="340">
        <f>'Sch 141N Lighting Tariff'!L98</f>
        <v>3.0908999999999999E-2</v>
      </c>
      <c r="W98" s="340">
        <f>'Sch 141R Lighting Tariff'!H98</f>
        <v>8.3250000000000008E-3</v>
      </c>
      <c r="X98" s="340">
        <f>'Sch 141R Lighting Tariff'!L98</f>
        <v>2.9375999999999999E-2</v>
      </c>
      <c r="AA98" s="340">
        <f>'Sch 141A Lighting Tariff'!H96</f>
        <v>1.98E-3</v>
      </c>
      <c r="AB98" s="340">
        <f>'Sch 141A Lighting Tariff'!L96</f>
        <v>2.0630000000000002E-3</v>
      </c>
      <c r="AE98" s="340">
        <f t="shared" si="32"/>
        <v>0.28106999999999999</v>
      </c>
      <c r="AF98" s="340">
        <f t="shared" si="33"/>
        <v>0.28863499999999997</v>
      </c>
    </row>
    <row r="99" spans="1:33" s="340" customFormat="1" x14ac:dyDescent="0.2">
      <c r="A99" s="621">
        <f t="shared" si="25"/>
        <v>89</v>
      </c>
      <c r="B99" s="336" t="str">
        <f>'WP12 Condensed Sch. Level Costs'!A92</f>
        <v>53E - Company Owned</v>
      </c>
      <c r="C99" s="331" t="s">
        <v>972</v>
      </c>
      <c r="D99" s="337" t="str">
        <f>'WP12 Condensed Sch. Level Costs'!C92</f>
        <v>Light Emitting Diode</v>
      </c>
      <c r="E99" s="338" t="str">
        <f>'WP12 Condensed Sch. Level Costs'!D92</f>
        <v>LED 210.01-240</v>
      </c>
      <c r="F99" s="339">
        <f>ROUND('Capital Charge'!I97,6)</f>
        <v>0.117548</v>
      </c>
      <c r="G99" s="340">
        <f>ROUND('O&amp;M Charge'!I97,6)</f>
        <v>5.7219999999999997E-3</v>
      </c>
      <c r="H99" s="340">
        <f>ROUND('Customer Charge'!I97,6)</f>
        <v>1.9132E-2</v>
      </c>
      <c r="I99" s="340">
        <f>ROUND('Demand Charge'!G97,6)</f>
        <v>1.0432E-2</v>
      </c>
      <c r="J99" s="340">
        <f>ROUND('Energy Charge'!I97,6)</f>
        <v>5.4556E-2</v>
      </c>
      <c r="K99" s="340">
        <f t="shared" si="30"/>
        <v>0.20738999999999999</v>
      </c>
      <c r="L99" s="340">
        <f t="shared" si="31"/>
        <v>0.20738999999999999</v>
      </c>
      <c r="O99" s="340">
        <f>'Sch 141C Lighting Tariff'!H97</f>
        <v>5.8200000000000005E-4</v>
      </c>
      <c r="P99" s="340">
        <f>'Sch 141C Lighting Tariff'!L97</f>
        <v>6.3900000000000003E-4</v>
      </c>
      <c r="S99" s="340">
        <f>'Sch 141N Lighting Tariff'!H99</f>
        <v>4.4534999999999998E-2</v>
      </c>
      <c r="T99" s="340">
        <f>'Sch 141N Lighting Tariff'!L99</f>
        <v>3.0908999999999999E-2</v>
      </c>
      <c r="W99" s="340">
        <f>'Sch 141R Lighting Tariff'!H99</f>
        <v>8.3250000000000008E-3</v>
      </c>
      <c r="X99" s="340">
        <f>'Sch 141R Lighting Tariff'!L99</f>
        <v>2.9375999999999999E-2</v>
      </c>
      <c r="AA99" s="340">
        <f>'Sch 141A Lighting Tariff'!H97</f>
        <v>1.98E-3</v>
      </c>
      <c r="AB99" s="340">
        <f>'Sch 141A Lighting Tariff'!L97</f>
        <v>2.0630000000000002E-3</v>
      </c>
      <c r="AE99" s="340">
        <f t="shared" si="32"/>
        <v>0.26281199999999999</v>
      </c>
      <c r="AF99" s="340">
        <f t="shared" si="33"/>
        <v>0.27037699999999998</v>
      </c>
    </row>
    <row r="100" spans="1:33" s="340" customFormat="1" x14ac:dyDescent="0.2">
      <c r="A100" s="621">
        <f t="shared" si="25"/>
        <v>90</v>
      </c>
      <c r="B100" s="336" t="str">
        <f>'WP12 Condensed Sch. Level Costs'!A93</f>
        <v>53E - Company Owned</v>
      </c>
      <c r="C100" s="331" t="s">
        <v>972</v>
      </c>
      <c r="D100" s="337" t="str">
        <f>'WP12 Condensed Sch. Level Costs'!C93</f>
        <v>Light Emitting Diode</v>
      </c>
      <c r="E100" s="338" t="str">
        <f>'WP12 Condensed Sch. Level Costs'!D93</f>
        <v>LED 240.01-270</v>
      </c>
      <c r="F100" s="339">
        <f>ROUND('Capital Charge'!I98,6)</f>
        <v>0.10371900000000001</v>
      </c>
      <c r="G100" s="340">
        <f>ROUND('O&amp;M Charge'!I98,6)</f>
        <v>5.0489999999999997E-3</v>
      </c>
      <c r="H100" s="340">
        <f>ROUND('Customer Charge'!I98,6)</f>
        <v>1.9132E-2</v>
      </c>
      <c r="I100" s="340">
        <f>ROUND('Demand Charge'!G98,6)</f>
        <v>1.0432E-2</v>
      </c>
      <c r="J100" s="340">
        <f>ROUND('Energy Charge'!I98,6)</f>
        <v>5.4556E-2</v>
      </c>
      <c r="K100" s="340">
        <f t="shared" si="30"/>
        <v>0.192888</v>
      </c>
      <c r="L100" s="340">
        <f t="shared" si="31"/>
        <v>0.192888</v>
      </c>
      <c r="O100" s="340">
        <f>'Sch 141C Lighting Tariff'!H98</f>
        <v>5.8200000000000005E-4</v>
      </c>
      <c r="P100" s="340">
        <f>'Sch 141C Lighting Tariff'!L98</f>
        <v>6.3900000000000003E-4</v>
      </c>
      <c r="S100" s="340">
        <f>'Sch 141N Lighting Tariff'!H100</f>
        <v>4.4534999999999998E-2</v>
      </c>
      <c r="T100" s="340">
        <f>'Sch 141N Lighting Tariff'!L100</f>
        <v>3.0908999999999999E-2</v>
      </c>
      <c r="W100" s="340">
        <f>'Sch 141R Lighting Tariff'!H100</f>
        <v>8.3250000000000008E-3</v>
      </c>
      <c r="X100" s="340">
        <f>'Sch 141R Lighting Tariff'!L100</f>
        <v>2.9375999999999999E-2</v>
      </c>
      <c r="AA100" s="340">
        <f>'Sch 141A Lighting Tariff'!H98</f>
        <v>1.98E-3</v>
      </c>
      <c r="AB100" s="340">
        <f>'Sch 141A Lighting Tariff'!L98</f>
        <v>2.0630000000000002E-3</v>
      </c>
      <c r="AE100" s="340">
        <f t="shared" si="32"/>
        <v>0.24831</v>
      </c>
      <c r="AF100" s="340">
        <f t="shared" si="33"/>
        <v>0.25587499999999996</v>
      </c>
    </row>
    <row r="101" spans="1:33" s="340" customFormat="1" x14ac:dyDescent="0.2">
      <c r="A101" s="621">
        <f t="shared" si="25"/>
        <v>91</v>
      </c>
      <c r="B101" s="336" t="str">
        <f>'WP12 Condensed Sch. Level Costs'!A94</f>
        <v>53E - Company Owned</v>
      </c>
      <c r="C101" s="331" t="s">
        <v>972</v>
      </c>
      <c r="D101" s="337" t="str">
        <f>'WP12 Condensed Sch. Level Costs'!C94</f>
        <v>Light Emitting Diode</v>
      </c>
      <c r="E101" s="338" t="str">
        <f>'WP12 Condensed Sch. Level Costs'!D94</f>
        <v>LED 270.01-300</v>
      </c>
      <c r="F101" s="339">
        <f>ROUND('Capital Charge'!I99,6)</f>
        <v>9.2800999999999995E-2</v>
      </c>
      <c r="G101" s="340">
        <f>ROUND('O&amp;M Charge'!I99,6)</f>
        <v>4.5170000000000002E-3</v>
      </c>
      <c r="H101" s="340">
        <f>ROUND('Customer Charge'!I99,6)</f>
        <v>1.9132E-2</v>
      </c>
      <c r="I101" s="340">
        <f>ROUND('Demand Charge'!G99,6)</f>
        <v>1.0432E-2</v>
      </c>
      <c r="J101" s="340">
        <f>ROUND('Energy Charge'!I99,6)</f>
        <v>5.4556E-2</v>
      </c>
      <c r="K101" s="340">
        <f t="shared" si="30"/>
        <v>0.18143799999999999</v>
      </c>
      <c r="L101" s="340">
        <f t="shared" si="31"/>
        <v>0.18143799999999999</v>
      </c>
      <c r="O101" s="340">
        <f>'Sch 141C Lighting Tariff'!H99</f>
        <v>5.8200000000000005E-4</v>
      </c>
      <c r="P101" s="340">
        <f>'Sch 141C Lighting Tariff'!L99</f>
        <v>6.3900000000000003E-4</v>
      </c>
      <c r="S101" s="340">
        <f>'Sch 141N Lighting Tariff'!H101</f>
        <v>4.4534999999999998E-2</v>
      </c>
      <c r="T101" s="340">
        <f>'Sch 141N Lighting Tariff'!L101</f>
        <v>3.0908999999999999E-2</v>
      </c>
      <c r="W101" s="340">
        <f>'Sch 141R Lighting Tariff'!H101</f>
        <v>8.3250000000000008E-3</v>
      </c>
      <c r="X101" s="340">
        <f>'Sch 141R Lighting Tariff'!L101</f>
        <v>2.9375999999999999E-2</v>
      </c>
      <c r="AA101" s="340">
        <f>'Sch 141A Lighting Tariff'!H99</f>
        <v>1.98E-3</v>
      </c>
      <c r="AB101" s="340">
        <f>'Sch 141A Lighting Tariff'!L99</f>
        <v>2.0630000000000002E-3</v>
      </c>
      <c r="AE101" s="340">
        <f t="shared" si="32"/>
        <v>0.23685999999999999</v>
      </c>
      <c r="AF101" s="340">
        <f t="shared" si="33"/>
        <v>0.24442499999999998</v>
      </c>
    </row>
    <row r="102" spans="1:33" x14ac:dyDescent="0.2">
      <c r="A102" s="621">
        <f t="shared" si="25"/>
        <v>92</v>
      </c>
      <c r="B102" s="164"/>
      <c r="C102" s="164"/>
      <c r="D102" s="327"/>
      <c r="E102" s="165"/>
      <c r="F102" s="328"/>
      <c r="G102" s="564"/>
      <c r="H102" s="564"/>
      <c r="I102" s="564"/>
      <c r="J102" s="564"/>
      <c r="K102" s="564"/>
      <c r="O102" s="564"/>
      <c r="S102" s="564"/>
      <c r="W102" s="564"/>
      <c r="AA102" s="564"/>
      <c r="AE102" s="564"/>
    </row>
    <row r="103" spans="1:33" x14ac:dyDescent="0.2">
      <c r="A103" s="621">
        <f t="shared" si="25"/>
        <v>93</v>
      </c>
      <c r="B103" s="164" t="str">
        <f>'WP12 Condensed Sch. Level Costs'!A96</f>
        <v>53E - Customer Owned</v>
      </c>
      <c r="C103" s="164"/>
      <c r="D103" s="327" t="str">
        <f>'WP12 Condensed Sch. Level Costs'!C96</f>
        <v>Sodium Vapor</v>
      </c>
      <c r="E103" s="165" t="str">
        <f>'WP12 Condensed Sch. Level Costs'!D96</f>
        <v>SV 050</v>
      </c>
      <c r="F103" s="328">
        <f>ROUND('Capital Charge'!I101,2)</f>
        <v>0</v>
      </c>
      <c r="G103" s="564">
        <f>ROUND('O&amp;M Charge'!I101,2)</f>
        <v>2.25</v>
      </c>
      <c r="H103" s="564">
        <f>ROUND('Customer Charge'!I101,2)</f>
        <v>0.33</v>
      </c>
      <c r="I103" s="564">
        <f>ROUND('Demand Charge'!G101,2)</f>
        <v>0.18</v>
      </c>
      <c r="J103" s="564">
        <f>ROUND('Energy Charge'!I101,2)</f>
        <v>0.95</v>
      </c>
      <c r="K103" s="564">
        <f t="shared" ref="K103:K111" si="34">SUM(F103:J103)</f>
        <v>3.71</v>
      </c>
      <c r="L103" s="564">
        <f t="shared" ref="L103:L111" si="35">K103</f>
        <v>3.71</v>
      </c>
      <c r="M103" s="564"/>
      <c r="O103" s="564">
        <f>'Sch 141C Lighting Tariff'!J101</f>
        <v>0.01</v>
      </c>
      <c r="P103" s="564">
        <f>'Sch 141C Lighting Tariff'!N101</f>
        <v>0.01</v>
      </c>
      <c r="Q103" s="564"/>
      <c r="S103" s="564">
        <f>'Sch 141N Lighting Tariff'!J103</f>
        <v>0.78</v>
      </c>
      <c r="T103" s="564">
        <f>'Sch 141N Lighting Tariff'!N103</f>
        <v>0.54</v>
      </c>
      <c r="U103" s="564"/>
      <c r="W103" s="564">
        <f>'Sch 141R Lighting Tariff'!J103</f>
        <v>0.15</v>
      </c>
      <c r="X103" s="564">
        <f>'Sch 141R Lighting Tariff'!N103</f>
        <v>0.51</v>
      </c>
      <c r="Y103" s="564"/>
      <c r="Z103" s="564"/>
      <c r="AA103" s="564">
        <f>'Sch 141A Lighting Tariff'!J101</f>
        <v>0.03</v>
      </c>
      <c r="AB103" s="564">
        <f>'Sch 141A Lighting Tariff'!N101</f>
        <v>0.04</v>
      </c>
      <c r="AC103" s="564"/>
      <c r="AE103" s="564">
        <f t="shared" ref="AE103:AE111" si="36">K103+O103+S103+W103+AA103</f>
        <v>4.6800000000000006</v>
      </c>
      <c r="AF103" s="564">
        <f t="shared" ref="AF103:AF111" si="37">L103+P103+T103+X103+AB103</f>
        <v>4.8099999999999996</v>
      </c>
      <c r="AG103" s="564"/>
    </row>
    <row r="104" spans="1:33" x14ac:dyDescent="0.2">
      <c r="A104" s="621">
        <f t="shared" si="25"/>
        <v>94</v>
      </c>
      <c r="B104" s="164" t="str">
        <f>'WP12 Condensed Sch. Level Costs'!A97</f>
        <v>53E - Customer Owned</v>
      </c>
      <c r="C104" s="164"/>
      <c r="D104" s="327" t="str">
        <f>'WP12 Condensed Sch. Level Costs'!C97</f>
        <v>Sodium Vapor</v>
      </c>
      <c r="E104" s="165" t="str">
        <f>'WP12 Condensed Sch. Level Costs'!D97</f>
        <v>SV 070</v>
      </c>
      <c r="F104" s="328">
        <f>ROUND('Capital Charge'!I102,2)</f>
        <v>0</v>
      </c>
      <c r="G104" s="564">
        <f>ROUND('O&amp;M Charge'!I102,2)</f>
        <v>2.25</v>
      </c>
      <c r="H104" s="564">
        <f>ROUND('Customer Charge'!I102,2)</f>
        <v>0.47</v>
      </c>
      <c r="I104" s="564">
        <f>ROUND('Demand Charge'!G102,2)</f>
        <v>0.26</v>
      </c>
      <c r="J104" s="564">
        <f>ROUND('Energy Charge'!I102,2)</f>
        <v>1.34</v>
      </c>
      <c r="K104" s="564">
        <f t="shared" si="34"/>
        <v>4.3199999999999994</v>
      </c>
      <c r="L104" s="564">
        <f t="shared" si="35"/>
        <v>4.3199999999999994</v>
      </c>
      <c r="M104" s="564"/>
      <c r="O104" s="564">
        <f>'Sch 141C Lighting Tariff'!J102</f>
        <v>0.01</v>
      </c>
      <c r="P104" s="564">
        <f>'Sch 141C Lighting Tariff'!N102</f>
        <v>0.02</v>
      </c>
      <c r="Q104" s="564"/>
      <c r="S104" s="564">
        <f>'Sch 141N Lighting Tariff'!J104</f>
        <v>1.0900000000000001</v>
      </c>
      <c r="T104" s="564">
        <f>'Sch 141N Lighting Tariff'!N104</f>
        <v>0.76</v>
      </c>
      <c r="U104" s="564"/>
      <c r="W104" s="564">
        <f>'Sch 141R Lighting Tariff'!J104</f>
        <v>0.2</v>
      </c>
      <c r="X104" s="564">
        <f>'Sch 141R Lighting Tariff'!N104</f>
        <v>0.72</v>
      </c>
      <c r="Y104" s="564"/>
      <c r="Z104" s="564"/>
      <c r="AA104" s="564">
        <f>'Sch 141A Lighting Tariff'!J102</f>
        <v>0.05</v>
      </c>
      <c r="AB104" s="564">
        <f>'Sch 141A Lighting Tariff'!N102</f>
        <v>0.05</v>
      </c>
      <c r="AC104" s="564"/>
      <c r="AE104" s="564">
        <f t="shared" si="36"/>
        <v>5.669999999999999</v>
      </c>
      <c r="AF104" s="564">
        <f t="shared" si="37"/>
        <v>5.8699999999999983</v>
      </c>
      <c r="AG104" s="564"/>
    </row>
    <row r="105" spans="1:33" x14ac:dyDescent="0.2">
      <c r="A105" s="621">
        <f t="shared" si="25"/>
        <v>95</v>
      </c>
      <c r="B105" s="164" t="str">
        <f>'WP12 Condensed Sch. Level Costs'!A98</f>
        <v>53E - Customer Owned</v>
      </c>
      <c r="C105" s="164"/>
      <c r="D105" s="327" t="str">
        <f>'WP12 Condensed Sch. Level Costs'!C98</f>
        <v>Sodium Vapor</v>
      </c>
      <c r="E105" s="165" t="str">
        <f>'WP12 Condensed Sch. Level Costs'!D98</f>
        <v>SV 100</v>
      </c>
      <c r="F105" s="328">
        <f>ROUND('Capital Charge'!I103,2)</f>
        <v>0</v>
      </c>
      <c r="G105" s="564">
        <f>ROUND('O&amp;M Charge'!I103,2)</f>
        <v>2.25</v>
      </c>
      <c r="H105" s="564">
        <f>ROUND('Customer Charge'!I103,2)</f>
        <v>0.67</v>
      </c>
      <c r="I105" s="564">
        <f>ROUND('Demand Charge'!G103,2)</f>
        <v>0.37</v>
      </c>
      <c r="J105" s="564">
        <f>ROUND('Energy Charge'!I103,2)</f>
        <v>1.91</v>
      </c>
      <c r="K105" s="564">
        <f t="shared" si="34"/>
        <v>5.2</v>
      </c>
      <c r="L105" s="564">
        <f t="shared" si="35"/>
        <v>5.2</v>
      </c>
      <c r="M105" s="564"/>
      <c r="O105" s="564">
        <f>'Sch 141C Lighting Tariff'!J103</f>
        <v>0.02</v>
      </c>
      <c r="P105" s="564">
        <f>'Sch 141C Lighting Tariff'!N103</f>
        <v>0.02</v>
      </c>
      <c r="Q105" s="564"/>
      <c r="S105" s="564">
        <f>'Sch 141N Lighting Tariff'!J105</f>
        <v>1.56</v>
      </c>
      <c r="T105" s="564">
        <f>'Sch 141N Lighting Tariff'!N105</f>
        <v>1.08</v>
      </c>
      <c r="U105" s="564"/>
      <c r="W105" s="564">
        <f>'Sch 141R Lighting Tariff'!J105</f>
        <v>0.28999999999999998</v>
      </c>
      <c r="X105" s="564">
        <f>'Sch 141R Lighting Tariff'!N105</f>
        <v>1.03</v>
      </c>
      <c r="Y105" s="564"/>
      <c r="Z105" s="564"/>
      <c r="AA105" s="564">
        <f>'Sch 141A Lighting Tariff'!J103</f>
        <v>7.0000000000000007E-2</v>
      </c>
      <c r="AB105" s="564">
        <f>'Sch 141A Lighting Tariff'!N103</f>
        <v>7.0000000000000007E-2</v>
      </c>
      <c r="AC105" s="564"/>
      <c r="AE105" s="564">
        <f t="shared" si="36"/>
        <v>7.14</v>
      </c>
      <c r="AF105" s="564">
        <f t="shared" si="37"/>
        <v>7.4</v>
      </c>
      <c r="AG105" s="564"/>
    </row>
    <row r="106" spans="1:33" x14ac:dyDescent="0.2">
      <c r="A106" s="621">
        <f t="shared" si="25"/>
        <v>96</v>
      </c>
      <c r="B106" s="164" t="str">
        <f>'WP12 Condensed Sch. Level Costs'!A99</f>
        <v>53E - Customer Owned</v>
      </c>
      <c r="C106" s="164"/>
      <c r="D106" s="327" t="str">
        <f>'WP12 Condensed Sch. Level Costs'!C99</f>
        <v>Sodium Vapor</v>
      </c>
      <c r="E106" s="165" t="str">
        <f>'WP12 Condensed Sch. Level Costs'!D99</f>
        <v>SV 150</v>
      </c>
      <c r="F106" s="328">
        <f>ROUND('Capital Charge'!I104,2)</f>
        <v>0</v>
      </c>
      <c r="G106" s="564">
        <f>ROUND('O&amp;M Charge'!I104,2)</f>
        <v>2.25</v>
      </c>
      <c r="H106" s="564">
        <f>ROUND('Customer Charge'!I104,2)</f>
        <v>1</v>
      </c>
      <c r="I106" s="564">
        <f>ROUND('Demand Charge'!G104,2)</f>
        <v>0.55000000000000004</v>
      </c>
      <c r="J106" s="564">
        <f>ROUND('Energy Charge'!I104,2)</f>
        <v>2.86</v>
      </c>
      <c r="K106" s="564">
        <f t="shared" si="34"/>
        <v>6.66</v>
      </c>
      <c r="L106" s="564">
        <f t="shared" si="35"/>
        <v>6.66</v>
      </c>
      <c r="M106" s="564"/>
      <c r="O106" s="564">
        <f>'Sch 141C Lighting Tariff'!J104</f>
        <v>0.03</v>
      </c>
      <c r="P106" s="564">
        <f>'Sch 141C Lighting Tariff'!N104</f>
        <v>0.03</v>
      </c>
      <c r="Q106" s="564"/>
      <c r="S106" s="564">
        <f>'Sch 141N Lighting Tariff'!J106</f>
        <v>2.34</v>
      </c>
      <c r="T106" s="564">
        <f>'Sch 141N Lighting Tariff'!N106</f>
        <v>1.62</v>
      </c>
      <c r="U106" s="564"/>
      <c r="W106" s="564">
        <f>'Sch 141R Lighting Tariff'!J106</f>
        <v>0.44</v>
      </c>
      <c r="X106" s="564">
        <f>'Sch 141R Lighting Tariff'!N106</f>
        <v>1.54</v>
      </c>
      <c r="Y106" s="564"/>
      <c r="Z106" s="564"/>
      <c r="AA106" s="564">
        <f>'Sch 141A Lighting Tariff'!J104</f>
        <v>0.1</v>
      </c>
      <c r="AB106" s="564">
        <f>'Sch 141A Lighting Tariff'!N104</f>
        <v>0.11</v>
      </c>
      <c r="AC106" s="564"/>
      <c r="AE106" s="564">
        <f t="shared" si="36"/>
        <v>9.57</v>
      </c>
      <c r="AF106" s="564">
        <f t="shared" si="37"/>
        <v>9.9600000000000009</v>
      </c>
      <c r="AG106" s="564"/>
    </row>
    <row r="107" spans="1:33" x14ac:dyDescent="0.2">
      <c r="A107" s="621">
        <f t="shared" si="25"/>
        <v>97</v>
      </c>
      <c r="B107" s="164" t="str">
        <f>'WP12 Condensed Sch. Level Costs'!A100</f>
        <v>53E - Customer Owned</v>
      </c>
      <c r="C107" s="164"/>
      <c r="D107" s="327" t="str">
        <f>'WP12 Condensed Sch. Level Costs'!C100</f>
        <v>Sodium Vapor</v>
      </c>
      <c r="E107" s="165" t="str">
        <f>'WP12 Condensed Sch. Level Costs'!D100</f>
        <v>SV 200</v>
      </c>
      <c r="F107" s="328">
        <f>ROUND('Capital Charge'!I105,2)</f>
        <v>0</v>
      </c>
      <c r="G107" s="564">
        <f>ROUND('O&amp;M Charge'!I105,2)</f>
        <v>2.25</v>
      </c>
      <c r="H107" s="564">
        <f>ROUND('Customer Charge'!I105,2)</f>
        <v>1.34</v>
      </c>
      <c r="I107" s="564">
        <f>ROUND('Demand Charge'!G105,2)</f>
        <v>0.73</v>
      </c>
      <c r="J107" s="564">
        <f>ROUND('Energy Charge'!I105,2)</f>
        <v>3.82</v>
      </c>
      <c r="K107" s="564">
        <f t="shared" si="34"/>
        <v>8.14</v>
      </c>
      <c r="L107" s="564">
        <f t="shared" si="35"/>
        <v>8.14</v>
      </c>
      <c r="M107" s="564"/>
      <c r="O107" s="564">
        <f>'Sch 141C Lighting Tariff'!J105</f>
        <v>0.04</v>
      </c>
      <c r="P107" s="564">
        <f>'Sch 141C Lighting Tariff'!N105</f>
        <v>0.04</v>
      </c>
      <c r="Q107" s="564"/>
      <c r="S107" s="564">
        <f>'Sch 141N Lighting Tariff'!J107</f>
        <v>3.12</v>
      </c>
      <c r="T107" s="564">
        <f>'Sch 141N Lighting Tariff'!N107</f>
        <v>2.16</v>
      </c>
      <c r="U107" s="564"/>
      <c r="W107" s="564">
        <f>'Sch 141R Lighting Tariff'!J107</f>
        <v>0.57999999999999996</v>
      </c>
      <c r="X107" s="564">
        <f>'Sch 141R Lighting Tariff'!N107</f>
        <v>2.06</v>
      </c>
      <c r="Y107" s="564"/>
      <c r="Z107" s="564"/>
      <c r="AA107" s="564">
        <f>'Sch 141A Lighting Tariff'!J105</f>
        <v>0.14000000000000001</v>
      </c>
      <c r="AB107" s="564">
        <f>'Sch 141A Lighting Tariff'!N105</f>
        <v>0.14000000000000001</v>
      </c>
      <c r="AC107" s="564"/>
      <c r="AE107" s="564">
        <f t="shared" si="36"/>
        <v>12.020000000000001</v>
      </c>
      <c r="AF107" s="564">
        <f t="shared" si="37"/>
        <v>12.540000000000001</v>
      </c>
      <c r="AG107" s="564"/>
    </row>
    <row r="108" spans="1:33" x14ac:dyDescent="0.2">
      <c r="A108" s="621">
        <f t="shared" si="25"/>
        <v>98</v>
      </c>
      <c r="B108" s="164" t="str">
        <f>'WP12 Condensed Sch. Level Costs'!A101</f>
        <v>53E - Customer Owned</v>
      </c>
      <c r="C108" s="164"/>
      <c r="D108" s="327" t="str">
        <f>'WP12 Condensed Sch. Level Costs'!C101</f>
        <v>Sodium Vapor</v>
      </c>
      <c r="E108" s="165" t="str">
        <f>'WP12 Condensed Sch. Level Costs'!D101</f>
        <v>SV 250</v>
      </c>
      <c r="F108" s="328">
        <f>ROUND('Capital Charge'!I106,2)</f>
        <v>0</v>
      </c>
      <c r="G108" s="564">
        <f>ROUND('O&amp;M Charge'!I106,2)</f>
        <v>2.25</v>
      </c>
      <c r="H108" s="564">
        <f>ROUND('Customer Charge'!I106,2)</f>
        <v>1.67</v>
      </c>
      <c r="I108" s="564">
        <f>ROUND('Demand Charge'!G106,2)</f>
        <v>0.91</v>
      </c>
      <c r="J108" s="564">
        <f>ROUND('Energy Charge'!I106,2)</f>
        <v>4.7699999999999996</v>
      </c>
      <c r="K108" s="564">
        <f t="shared" si="34"/>
        <v>9.6</v>
      </c>
      <c r="L108" s="564">
        <f t="shared" si="35"/>
        <v>9.6</v>
      </c>
      <c r="M108" s="564"/>
      <c r="O108" s="564">
        <f>'Sch 141C Lighting Tariff'!J106</f>
        <v>0.05</v>
      </c>
      <c r="P108" s="564">
        <f>'Sch 141C Lighting Tariff'!N106</f>
        <v>0.06</v>
      </c>
      <c r="Q108" s="564"/>
      <c r="S108" s="564">
        <f>'Sch 141N Lighting Tariff'!J108</f>
        <v>3.9</v>
      </c>
      <c r="T108" s="564">
        <f>'Sch 141N Lighting Tariff'!N108</f>
        <v>2.7</v>
      </c>
      <c r="U108" s="564"/>
      <c r="W108" s="564">
        <f>'Sch 141R Lighting Tariff'!J108</f>
        <v>0.73</v>
      </c>
      <c r="X108" s="564">
        <f>'Sch 141R Lighting Tariff'!N108</f>
        <v>2.57</v>
      </c>
      <c r="Y108" s="564"/>
      <c r="Z108" s="564"/>
      <c r="AA108" s="564">
        <f>'Sch 141A Lighting Tariff'!J106</f>
        <v>0.17</v>
      </c>
      <c r="AB108" s="564">
        <f>'Sch 141A Lighting Tariff'!N106</f>
        <v>0.18</v>
      </c>
      <c r="AC108" s="564"/>
      <c r="AE108" s="564">
        <f t="shared" si="36"/>
        <v>14.450000000000001</v>
      </c>
      <c r="AF108" s="564">
        <f t="shared" si="37"/>
        <v>15.11</v>
      </c>
      <c r="AG108" s="564"/>
    </row>
    <row r="109" spans="1:33" x14ac:dyDescent="0.2">
      <c r="A109" s="621">
        <f t="shared" si="25"/>
        <v>99</v>
      </c>
      <c r="B109" s="164" t="str">
        <f>'WP12 Condensed Sch. Level Costs'!A102</f>
        <v>53E - Customer Owned</v>
      </c>
      <c r="C109" s="164"/>
      <c r="D109" s="327" t="str">
        <f>'WP12 Condensed Sch. Level Costs'!C102</f>
        <v>Sodium Vapor</v>
      </c>
      <c r="E109" s="165" t="str">
        <f>'WP12 Condensed Sch. Level Costs'!D102</f>
        <v>SV 310</v>
      </c>
      <c r="F109" s="328">
        <f>ROUND('Capital Charge'!I107,2)</f>
        <v>0</v>
      </c>
      <c r="G109" s="564">
        <f>ROUND('O&amp;M Charge'!I107,2)</f>
        <v>2.25</v>
      </c>
      <c r="H109" s="564">
        <f>ROUND('Customer Charge'!I107,2)</f>
        <v>2.08</v>
      </c>
      <c r="I109" s="564">
        <f>ROUND('Demand Charge'!G107,2)</f>
        <v>1.1299999999999999</v>
      </c>
      <c r="J109" s="564">
        <f>ROUND('Energy Charge'!I107,2)</f>
        <v>5.92</v>
      </c>
      <c r="K109" s="564">
        <f t="shared" si="34"/>
        <v>11.379999999999999</v>
      </c>
      <c r="L109" s="564">
        <f t="shared" si="35"/>
        <v>11.379999999999999</v>
      </c>
      <c r="M109" s="564"/>
      <c r="O109" s="564">
        <f>'Sch 141C Lighting Tariff'!J107</f>
        <v>0.06</v>
      </c>
      <c r="P109" s="564">
        <f>'Sch 141C Lighting Tariff'!N107</f>
        <v>7.0000000000000007E-2</v>
      </c>
      <c r="Q109" s="564"/>
      <c r="S109" s="564">
        <f>'Sch 141N Lighting Tariff'!J109</f>
        <v>4.83</v>
      </c>
      <c r="T109" s="564">
        <f>'Sch 141N Lighting Tariff'!N109</f>
        <v>3.35</v>
      </c>
      <c r="U109" s="564"/>
      <c r="W109" s="564">
        <f>'Sch 141R Lighting Tariff'!J109</f>
        <v>0.9</v>
      </c>
      <c r="X109" s="564">
        <f>'Sch 141R Lighting Tariff'!N109</f>
        <v>3.19</v>
      </c>
      <c r="Y109" s="564"/>
      <c r="Z109" s="564"/>
      <c r="AA109" s="564">
        <f>'Sch 141A Lighting Tariff'!J107</f>
        <v>0.21</v>
      </c>
      <c r="AB109" s="564">
        <f>'Sch 141A Lighting Tariff'!N107</f>
        <v>0.22</v>
      </c>
      <c r="AC109" s="564"/>
      <c r="AE109" s="564">
        <f t="shared" si="36"/>
        <v>17.38</v>
      </c>
      <c r="AF109" s="564">
        <f t="shared" si="37"/>
        <v>18.209999999999997</v>
      </c>
      <c r="AG109" s="564"/>
    </row>
    <row r="110" spans="1:33" x14ac:dyDescent="0.2">
      <c r="A110" s="621">
        <f t="shared" si="25"/>
        <v>100</v>
      </c>
      <c r="B110" s="164" t="str">
        <f>'WP12 Condensed Sch. Level Costs'!A103</f>
        <v>53E - Customer Owned</v>
      </c>
      <c r="C110" s="164"/>
      <c r="D110" s="327" t="str">
        <f>'WP12 Condensed Sch. Level Costs'!C103</f>
        <v>Sodium Vapor</v>
      </c>
      <c r="E110" s="165" t="str">
        <f>'WP12 Condensed Sch. Level Costs'!D103</f>
        <v>SV 400</v>
      </c>
      <c r="F110" s="328">
        <f>ROUND('Capital Charge'!I108,2)</f>
        <v>0</v>
      </c>
      <c r="G110" s="564">
        <f>ROUND('O&amp;M Charge'!I108,2)</f>
        <v>2.25</v>
      </c>
      <c r="H110" s="564">
        <f>ROUND('Customer Charge'!I108,2)</f>
        <v>2.68</v>
      </c>
      <c r="I110" s="564">
        <f>ROUND('Demand Charge'!G108,2)</f>
        <v>1.46</v>
      </c>
      <c r="J110" s="564">
        <f>ROUND('Energy Charge'!I108,2)</f>
        <v>7.64</v>
      </c>
      <c r="K110" s="564">
        <f t="shared" si="34"/>
        <v>14.03</v>
      </c>
      <c r="L110" s="564">
        <f t="shared" si="35"/>
        <v>14.03</v>
      </c>
      <c r="M110" s="564"/>
      <c r="O110" s="564">
        <f>'Sch 141C Lighting Tariff'!J108</f>
        <v>0.08</v>
      </c>
      <c r="P110" s="564">
        <f>'Sch 141C Lighting Tariff'!N108</f>
        <v>0.09</v>
      </c>
      <c r="Q110" s="564"/>
      <c r="S110" s="564">
        <f>'Sch 141N Lighting Tariff'!J110</f>
        <v>6.23</v>
      </c>
      <c r="T110" s="564">
        <f>'Sch 141N Lighting Tariff'!N110</f>
        <v>4.33</v>
      </c>
      <c r="U110" s="564"/>
      <c r="W110" s="564">
        <f>'Sch 141R Lighting Tariff'!J110</f>
        <v>1.17</v>
      </c>
      <c r="X110" s="564">
        <f>'Sch 141R Lighting Tariff'!N110</f>
        <v>4.1100000000000003</v>
      </c>
      <c r="Y110" s="564"/>
      <c r="Z110" s="564"/>
      <c r="AA110" s="564">
        <f>'Sch 141A Lighting Tariff'!J108</f>
        <v>0.28000000000000003</v>
      </c>
      <c r="AB110" s="564">
        <f>'Sch 141A Lighting Tariff'!N108</f>
        <v>0.28999999999999998</v>
      </c>
      <c r="AC110" s="564"/>
      <c r="AE110" s="564">
        <f t="shared" si="36"/>
        <v>21.79</v>
      </c>
      <c r="AF110" s="564">
        <f t="shared" si="37"/>
        <v>22.849999999999998</v>
      </c>
      <c r="AG110" s="564"/>
    </row>
    <row r="111" spans="1:33" x14ac:dyDescent="0.2">
      <c r="A111" s="621">
        <f t="shared" si="25"/>
        <v>101</v>
      </c>
      <c r="B111" s="164" t="str">
        <f>'WP12 Condensed Sch. Level Costs'!A104</f>
        <v>53E - Customer Owned</v>
      </c>
      <c r="C111" s="164"/>
      <c r="D111" s="327" t="str">
        <f>'WP12 Condensed Sch. Level Costs'!C104</f>
        <v>Sodium Vapor</v>
      </c>
      <c r="E111" s="165" t="str">
        <f>'WP12 Condensed Sch. Level Costs'!D104</f>
        <v>SV 1000</v>
      </c>
      <c r="F111" s="328">
        <f>ROUND('Capital Charge'!I109,2)</f>
        <v>0</v>
      </c>
      <c r="G111" s="564">
        <f>ROUND('O&amp;M Charge'!I109,2)</f>
        <v>2.25</v>
      </c>
      <c r="H111" s="564">
        <f>ROUND('Customer Charge'!I109,2)</f>
        <v>6.7</v>
      </c>
      <c r="I111" s="564">
        <f>ROUND('Demand Charge'!G109,2)</f>
        <v>3.65</v>
      </c>
      <c r="J111" s="564">
        <f>ROUND('Energy Charge'!I109,2)</f>
        <v>19.09</v>
      </c>
      <c r="K111" s="564">
        <f t="shared" si="34"/>
        <v>31.689999999999998</v>
      </c>
      <c r="L111" s="564">
        <f t="shared" si="35"/>
        <v>31.689999999999998</v>
      </c>
      <c r="M111" s="564"/>
      <c r="O111" s="564">
        <f>'Sch 141C Lighting Tariff'!J109</f>
        <v>0.2</v>
      </c>
      <c r="P111" s="564">
        <f>'Sch 141C Lighting Tariff'!N109</f>
        <v>0.22</v>
      </c>
      <c r="Q111" s="564"/>
      <c r="S111" s="564">
        <f>'Sch 141N Lighting Tariff'!J111</f>
        <v>15.59</v>
      </c>
      <c r="T111" s="564">
        <f>'Sch 141N Lighting Tariff'!N111</f>
        <v>10.82</v>
      </c>
      <c r="U111" s="564"/>
      <c r="W111" s="564">
        <f>'Sch 141R Lighting Tariff'!J111</f>
        <v>2.91</v>
      </c>
      <c r="X111" s="564">
        <f>'Sch 141R Lighting Tariff'!N111</f>
        <v>10.28</v>
      </c>
      <c r="Y111" s="564"/>
      <c r="Z111" s="564"/>
      <c r="AA111" s="564">
        <f>'Sch 141A Lighting Tariff'!J109</f>
        <v>0.69</v>
      </c>
      <c r="AB111" s="564">
        <f>'Sch 141A Lighting Tariff'!N109</f>
        <v>0.72</v>
      </c>
      <c r="AC111" s="564"/>
      <c r="AE111" s="564">
        <f t="shared" si="36"/>
        <v>51.08</v>
      </c>
      <c r="AF111" s="564">
        <f t="shared" si="37"/>
        <v>53.73</v>
      </c>
      <c r="AG111" s="564"/>
    </row>
    <row r="112" spans="1:33" x14ac:dyDescent="0.2">
      <c r="A112" s="621">
        <f t="shared" si="25"/>
        <v>102</v>
      </c>
      <c r="B112" s="164"/>
      <c r="C112" s="164"/>
      <c r="D112" s="327"/>
      <c r="E112" s="165"/>
      <c r="F112" s="328"/>
      <c r="G112" s="564"/>
      <c r="H112" s="564"/>
      <c r="I112" s="564"/>
      <c r="J112" s="564"/>
      <c r="K112" s="564"/>
      <c r="O112" s="564"/>
      <c r="S112" s="564"/>
      <c r="W112" s="564"/>
      <c r="AA112" s="564"/>
      <c r="AE112" s="564"/>
    </row>
    <row r="113" spans="1:33" x14ac:dyDescent="0.2">
      <c r="A113" s="621">
        <f t="shared" si="25"/>
        <v>103</v>
      </c>
      <c r="B113" s="164" t="str">
        <f>'WP12 Condensed Sch. Level Costs'!A106</f>
        <v>53E - Customer Owned</v>
      </c>
      <c r="C113" s="164"/>
      <c r="D113" s="327" t="str">
        <f>'WP12 Condensed Sch. Level Costs'!C106</f>
        <v>Metal Halide</v>
      </c>
      <c r="E113" s="165" t="str">
        <f>'WP12 Condensed Sch. Level Costs'!D106</f>
        <v>MH 70</v>
      </c>
      <c r="F113" s="328">
        <f>ROUND('Capital Charge'!I111,2)</f>
        <v>0</v>
      </c>
      <c r="G113" s="564">
        <f>ROUND('O&amp;M Charge'!I111,2)</f>
        <v>4.51</v>
      </c>
      <c r="H113" s="564">
        <f>ROUND('Customer Charge'!I111,2)</f>
        <v>0.47</v>
      </c>
      <c r="I113" s="564">
        <f>ROUND('Demand Charge'!G111,2)</f>
        <v>0.26</v>
      </c>
      <c r="J113" s="564">
        <f>ROUND('Energy Charge'!I111,2)</f>
        <v>1.34</v>
      </c>
      <c r="K113" s="564">
        <f t="shared" ref="K113:K118" si="38">SUM(F113:J113)</f>
        <v>6.5799999999999992</v>
      </c>
      <c r="L113" s="564">
        <f t="shared" ref="L113:L118" si="39">K113</f>
        <v>6.5799999999999992</v>
      </c>
      <c r="M113" s="564"/>
      <c r="O113" s="564">
        <f>'Sch 141C Lighting Tariff'!J111</f>
        <v>0.01</v>
      </c>
      <c r="P113" s="564">
        <f>'Sch 141C Lighting Tariff'!N111</f>
        <v>0.02</v>
      </c>
      <c r="Q113" s="564"/>
      <c r="S113" s="564">
        <f>'Sch 141N Lighting Tariff'!J113</f>
        <v>1.0900000000000001</v>
      </c>
      <c r="T113" s="564">
        <f>'Sch 141N Lighting Tariff'!N113</f>
        <v>0.76</v>
      </c>
      <c r="U113" s="564"/>
      <c r="W113" s="564">
        <f>'Sch 141R Lighting Tariff'!J113</f>
        <v>0.2</v>
      </c>
      <c r="X113" s="564">
        <f>'Sch 141R Lighting Tariff'!N113</f>
        <v>0.72</v>
      </c>
      <c r="Y113" s="564"/>
      <c r="Z113" s="564"/>
      <c r="AA113" s="564">
        <f>'Sch 141A Lighting Tariff'!J111</f>
        <v>0.05</v>
      </c>
      <c r="AB113" s="564">
        <f>'Sch 141A Lighting Tariff'!N111</f>
        <v>0.05</v>
      </c>
      <c r="AC113" s="564"/>
      <c r="AE113" s="564">
        <f t="shared" ref="AE113:AF118" si="40">K113+O113+S113+W113+AA113</f>
        <v>7.9299999999999988</v>
      </c>
      <c r="AF113" s="564">
        <f t="shared" si="40"/>
        <v>8.129999999999999</v>
      </c>
      <c r="AG113" s="564"/>
    </row>
    <row r="114" spans="1:33" x14ac:dyDescent="0.2">
      <c r="A114" s="621">
        <f t="shared" si="25"/>
        <v>104</v>
      </c>
      <c r="B114" s="164" t="str">
        <f>'WP12 Condensed Sch. Level Costs'!A107</f>
        <v>53E - Customer Owned</v>
      </c>
      <c r="C114" s="164"/>
      <c r="D114" s="327" t="str">
        <f>'WP12 Condensed Sch. Level Costs'!C107</f>
        <v>Metal Halide</v>
      </c>
      <c r="E114" s="165" t="str">
        <f>'WP12 Condensed Sch. Level Costs'!D107</f>
        <v>MH 100</v>
      </c>
      <c r="F114" s="328">
        <f>ROUND('Capital Charge'!I112,2)</f>
        <v>0</v>
      </c>
      <c r="G114" s="564">
        <f>ROUND('O&amp;M Charge'!I112,2)</f>
        <v>4.51</v>
      </c>
      <c r="H114" s="564">
        <f>ROUND('Customer Charge'!I112,2)</f>
        <v>0.67</v>
      </c>
      <c r="I114" s="564">
        <f>ROUND('Demand Charge'!G112,2)</f>
        <v>0.37</v>
      </c>
      <c r="J114" s="564">
        <f>ROUND('Energy Charge'!I112,2)</f>
        <v>1.91</v>
      </c>
      <c r="K114" s="564">
        <f t="shared" si="38"/>
        <v>7.46</v>
      </c>
      <c r="L114" s="564">
        <f t="shared" si="39"/>
        <v>7.46</v>
      </c>
      <c r="M114" s="564"/>
      <c r="O114" s="564">
        <f>'Sch 141C Lighting Tariff'!J112</f>
        <v>0.02</v>
      </c>
      <c r="P114" s="564">
        <f>'Sch 141C Lighting Tariff'!N112</f>
        <v>0.02</v>
      </c>
      <c r="Q114" s="564"/>
      <c r="S114" s="564">
        <f>'Sch 141N Lighting Tariff'!J114</f>
        <v>1.56</v>
      </c>
      <c r="T114" s="564">
        <f>'Sch 141N Lighting Tariff'!N114</f>
        <v>1.08</v>
      </c>
      <c r="U114" s="564"/>
      <c r="W114" s="564">
        <f>'Sch 141R Lighting Tariff'!J114</f>
        <v>0.28999999999999998</v>
      </c>
      <c r="X114" s="564">
        <f>'Sch 141R Lighting Tariff'!N114</f>
        <v>1.03</v>
      </c>
      <c r="Y114" s="564"/>
      <c r="Z114" s="564"/>
      <c r="AA114" s="564">
        <f>'Sch 141A Lighting Tariff'!J112</f>
        <v>7.0000000000000007E-2</v>
      </c>
      <c r="AB114" s="564">
        <f>'Sch 141A Lighting Tariff'!N112</f>
        <v>7.0000000000000007E-2</v>
      </c>
      <c r="AC114" s="564"/>
      <c r="AE114" s="564">
        <f t="shared" si="40"/>
        <v>9.3999999999999986</v>
      </c>
      <c r="AF114" s="564">
        <f t="shared" si="40"/>
        <v>9.6599999999999984</v>
      </c>
      <c r="AG114" s="564"/>
    </row>
    <row r="115" spans="1:33" x14ac:dyDescent="0.2">
      <c r="A115" s="621">
        <f t="shared" si="25"/>
        <v>105</v>
      </c>
      <c r="B115" s="164" t="str">
        <f>'WP12 Condensed Sch. Level Costs'!A108</f>
        <v>53E - Customer Owned</v>
      </c>
      <c r="C115" s="164"/>
      <c r="D115" s="327" t="str">
        <f>'WP12 Condensed Sch. Level Costs'!C108</f>
        <v>Metal Halide</v>
      </c>
      <c r="E115" s="165" t="str">
        <f>'WP12 Condensed Sch. Level Costs'!D108</f>
        <v>MH 150</v>
      </c>
      <c r="F115" s="328">
        <f>ROUND('Capital Charge'!I113,2)</f>
        <v>0</v>
      </c>
      <c r="G115" s="564">
        <f>ROUND('O&amp;M Charge'!I113,2)</f>
        <v>4.51</v>
      </c>
      <c r="H115" s="564">
        <f>ROUND('Customer Charge'!I113,2)</f>
        <v>1</v>
      </c>
      <c r="I115" s="564">
        <f>ROUND('Demand Charge'!G113,2)</f>
        <v>0.55000000000000004</v>
      </c>
      <c r="J115" s="564">
        <f>ROUND('Energy Charge'!I113,2)</f>
        <v>2.86</v>
      </c>
      <c r="K115" s="564">
        <f t="shared" si="38"/>
        <v>8.92</v>
      </c>
      <c r="L115" s="564">
        <f t="shared" si="39"/>
        <v>8.92</v>
      </c>
      <c r="M115" s="564"/>
      <c r="O115" s="564">
        <f>'Sch 141C Lighting Tariff'!J113</f>
        <v>0.03</v>
      </c>
      <c r="P115" s="564">
        <f>'Sch 141C Lighting Tariff'!N113</f>
        <v>0.03</v>
      </c>
      <c r="Q115" s="564"/>
      <c r="S115" s="564">
        <f>'Sch 141N Lighting Tariff'!J115</f>
        <v>2.34</v>
      </c>
      <c r="T115" s="564">
        <f>'Sch 141N Lighting Tariff'!N115</f>
        <v>1.62</v>
      </c>
      <c r="U115" s="564"/>
      <c r="W115" s="564">
        <f>'Sch 141R Lighting Tariff'!J115</f>
        <v>0.44</v>
      </c>
      <c r="X115" s="564">
        <f>'Sch 141R Lighting Tariff'!N115</f>
        <v>1.54</v>
      </c>
      <c r="Y115" s="564"/>
      <c r="Z115" s="564"/>
      <c r="AA115" s="564">
        <f>'Sch 141A Lighting Tariff'!J113</f>
        <v>0.1</v>
      </c>
      <c r="AB115" s="564">
        <f>'Sch 141A Lighting Tariff'!N113</f>
        <v>0.11</v>
      </c>
      <c r="AC115" s="564"/>
      <c r="AE115" s="564">
        <f t="shared" si="40"/>
        <v>11.829999999999998</v>
      </c>
      <c r="AF115" s="564">
        <f t="shared" si="40"/>
        <v>12.219999999999999</v>
      </c>
      <c r="AG115" s="564"/>
    </row>
    <row r="116" spans="1:33" x14ac:dyDescent="0.2">
      <c r="A116" s="621">
        <f t="shared" si="25"/>
        <v>106</v>
      </c>
      <c r="B116" s="164" t="str">
        <f>'WP12 Condensed Sch. Level Costs'!A109</f>
        <v>53E - Customer Owned</v>
      </c>
      <c r="C116" s="164"/>
      <c r="D116" s="327" t="str">
        <f>'WP12 Condensed Sch. Level Costs'!C109</f>
        <v>Metal Halide</v>
      </c>
      <c r="E116" s="165" t="str">
        <f>'WP12 Condensed Sch. Level Costs'!D109</f>
        <v>MH 175</v>
      </c>
      <c r="F116" s="328">
        <f>ROUND('Capital Charge'!I114,2)</f>
        <v>0</v>
      </c>
      <c r="G116" s="564">
        <f>ROUND('O&amp;M Charge'!I114,2)</f>
        <v>4.51</v>
      </c>
      <c r="H116" s="564">
        <f>ROUND('Customer Charge'!I114,2)</f>
        <v>1.17</v>
      </c>
      <c r="I116" s="564">
        <f>ROUND('Demand Charge'!G114,2)</f>
        <v>0.64</v>
      </c>
      <c r="J116" s="564">
        <f>ROUND('Energy Charge'!I114,2)</f>
        <v>3.34</v>
      </c>
      <c r="K116" s="564">
        <f t="shared" si="38"/>
        <v>9.66</v>
      </c>
      <c r="L116" s="564">
        <f t="shared" si="39"/>
        <v>9.66</v>
      </c>
      <c r="M116" s="564"/>
      <c r="O116" s="564">
        <f>'Sch 141C Lighting Tariff'!J114</f>
        <v>0.04</v>
      </c>
      <c r="P116" s="564">
        <f>'Sch 141C Lighting Tariff'!N114</f>
        <v>0.04</v>
      </c>
      <c r="Q116" s="564"/>
      <c r="S116" s="564">
        <f>'Sch 141N Lighting Tariff'!J116</f>
        <v>2.73</v>
      </c>
      <c r="T116" s="564">
        <f>'Sch 141N Lighting Tariff'!N116</f>
        <v>1.89</v>
      </c>
      <c r="U116" s="564"/>
      <c r="W116" s="564">
        <f>'Sch 141R Lighting Tariff'!J116</f>
        <v>0.51</v>
      </c>
      <c r="X116" s="564">
        <f>'Sch 141R Lighting Tariff'!N116</f>
        <v>1.8</v>
      </c>
      <c r="Y116" s="564"/>
      <c r="Z116" s="564"/>
      <c r="AA116" s="564">
        <f>'Sch 141A Lighting Tariff'!J114</f>
        <v>0.12</v>
      </c>
      <c r="AB116" s="564">
        <f>'Sch 141A Lighting Tariff'!N114</f>
        <v>0.13</v>
      </c>
      <c r="AC116" s="564"/>
      <c r="AE116" s="564">
        <f t="shared" si="40"/>
        <v>13.059999999999999</v>
      </c>
      <c r="AF116" s="564">
        <f t="shared" si="40"/>
        <v>13.520000000000001</v>
      </c>
      <c r="AG116" s="564"/>
    </row>
    <row r="117" spans="1:33" x14ac:dyDescent="0.2">
      <c r="A117" s="621">
        <f t="shared" si="25"/>
        <v>107</v>
      </c>
      <c r="B117" s="164" t="str">
        <f>'WP12 Condensed Sch. Level Costs'!A110</f>
        <v>53E - Customer Owned</v>
      </c>
      <c r="C117" s="164"/>
      <c r="D117" s="327" t="str">
        <f>'WP12 Condensed Sch. Level Costs'!C110</f>
        <v>Metal Halide</v>
      </c>
      <c r="E117" s="165" t="str">
        <f>'WP12 Condensed Sch. Level Costs'!D110</f>
        <v>MH 250</v>
      </c>
      <c r="F117" s="328">
        <f>ROUND('Capital Charge'!I115,2)</f>
        <v>0</v>
      </c>
      <c r="G117" s="564">
        <f>ROUND('O&amp;M Charge'!I115,2)</f>
        <v>4.51</v>
      </c>
      <c r="H117" s="564">
        <f>ROUND('Customer Charge'!I115,2)</f>
        <v>1.67</v>
      </c>
      <c r="I117" s="564">
        <f>ROUND('Demand Charge'!G115,2)</f>
        <v>0.91</v>
      </c>
      <c r="J117" s="564">
        <f>ROUND('Energy Charge'!I115,2)</f>
        <v>4.7699999999999996</v>
      </c>
      <c r="K117" s="564">
        <f t="shared" si="38"/>
        <v>11.86</v>
      </c>
      <c r="L117" s="564">
        <f t="shared" si="39"/>
        <v>11.86</v>
      </c>
      <c r="M117" s="564"/>
      <c r="O117" s="564">
        <f>'Sch 141C Lighting Tariff'!J115</f>
        <v>0.05</v>
      </c>
      <c r="P117" s="564">
        <f>'Sch 141C Lighting Tariff'!N115</f>
        <v>0.06</v>
      </c>
      <c r="Q117" s="564"/>
      <c r="S117" s="564">
        <f>'Sch 141N Lighting Tariff'!J117</f>
        <v>3.9</v>
      </c>
      <c r="T117" s="564">
        <f>'Sch 141N Lighting Tariff'!N117</f>
        <v>2.7</v>
      </c>
      <c r="U117" s="564"/>
      <c r="W117" s="564">
        <f>'Sch 141R Lighting Tariff'!J117</f>
        <v>0.73</v>
      </c>
      <c r="X117" s="564">
        <f>'Sch 141R Lighting Tariff'!N117</f>
        <v>2.57</v>
      </c>
      <c r="Y117" s="564"/>
      <c r="Z117" s="564"/>
      <c r="AA117" s="564">
        <f>'Sch 141A Lighting Tariff'!J115</f>
        <v>0.17</v>
      </c>
      <c r="AB117" s="564">
        <f>'Sch 141A Lighting Tariff'!N115</f>
        <v>0.18</v>
      </c>
      <c r="AC117" s="564"/>
      <c r="AE117" s="564">
        <f t="shared" si="40"/>
        <v>16.71</v>
      </c>
      <c r="AF117" s="564">
        <f t="shared" si="40"/>
        <v>17.37</v>
      </c>
      <c r="AG117" s="564"/>
    </row>
    <row r="118" spans="1:33" x14ac:dyDescent="0.2">
      <c r="A118" s="621">
        <f t="shared" si="25"/>
        <v>108</v>
      </c>
      <c r="B118" s="164" t="str">
        <f>'WP12 Condensed Sch. Level Costs'!A111</f>
        <v>53E - Customer Owned</v>
      </c>
      <c r="C118" s="164"/>
      <c r="D118" s="327" t="str">
        <f>'WP12 Condensed Sch. Level Costs'!C111</f>
        <v>Metal Halide</v>
      </c>
      <c r="E118" s="165" t="str">
        <f>'WP12 Condensed Sch. Level Costs'!D111</f>
        <v>MH 400</v>
      </c>
      <c r="F118" s="328">
        <f>ROUND('Capital Charge'!I116,2)</f>
        <v>0</v>
      </c>
      <c r="G118" s="564">
        <f>ROUND('O&amp;M Charge'!I116,2)</f>
        <v>4.51</v>
      </c>
      <c r="H118" s="564">
        <f>ROUND('Customer Charge'!I116,2)</f>
        <v>2.68</v>
      </c>
      <c r="I118" s="564">
        <f>ROUND('Demand Charge'!G116,2)</f>
        <v>1.46</v>
      </c>
      <c r="J118" s="564">
        <f>ROUND('Energy Charge'!I116,2)</f>
        <v>7.64</v>
      </c>
      <c r="K118" s="564">
        <f t="shared" si="38"/>
        <v>16.29</v>
      </c>
      <c r="L118" s="564">
        <f t="shared" si="39"/>
        <v>16.29</v>
      </c>
      <c r="M118" s="564"/>
      <c r="O118" s="564">
        <f>'Sch 141C Lighting Tariff'!J116</f>
        <v>0.08</v>
      </c>
      <c r="P118" s="564">
        <f>'Sch 141C Lighting Tariff'!N116</f>
        <v>0.09</v>
      </c>
      <c r="Q118" s="564"/>
      <c r="S118" s="564">
        <f>'Sch 141N Lighting Tariff'!J118</f>
        <v>6.23</v>
      </c>
      <c r="T118" s="564">
        <f>'Sch 141N Lighting Tariff'!N118</f>
        <v>4.33</v>
      </c>
      <c r="U118" s="564"/>
      <c r="W118" s="564">
        <f>'Sch 141R Lighting Tariff'!J118</f>
        <v>1.17</v>
      </c>
      <c r="X118" s="564">
        <f>'Sch 141R Lighting Tariff'!N118</f>
        <v>4.1100000000000003</v>
      </c>
      <c r="Y118" s="564"/>
      <c r="Z118" s="564"/>
      <c r="AA118" s="564">
        <f>'Sch 141A Lighting Tariff'!J116</f>
        <v>0.28000000000000003</v>
      </c>
      <c r="AB118" s="564">
        <f>'Sch 141A Lighting Tariff'!N116</f>
        <v>0.28999999999999998</v>
      </c>
      <c r="AC118" s="564"/>
      <c r="AE118" s="564">
        <f t="shared" si="40"/>
        <v>24.049999999999997</v>
      </c>
      <c r="AF118" s="564">
        <f t="shared" si="40"/>
        <v>25.11</v>
      </c>
      <c r="AG118" s="564"/>
    </row>
    <row r="119" spans="1:33" x14ac:dyDescent="0.2">
      <c r="A119" s="621">
        <f t="shared" si="25"/>
        <v>109</v>
      </c>
      <c r="B119" s="164"/>
      <c r="C119" s="164"/>
      <c r="D119" s="327"/>
      <c r="E119" s="165"/>
      <c r="F119" s="328"/>
      <c r="G119" s="564"/>
      <c r="H119" s="564"/>
      <c r="I119" s="564"/>
      <c r="J119" s="564"/>
      <c r="K119" s="564"/>
      <c r="O119" s="564"/>
      <c r="S119" s="564"/>
      <c r="W119" s="564"/>
      <c r="AA119" s="564"/>
      <c r="AE119" s="564"/>
    </row>
    <row r="120" spans="1:33" x14ac:dyDescent="0.2">
      <c r="A120" s="621">
        <f t="shared" si="25"/>
        <v>110</v>
      </c>
      <c r="B120" s="164" t="str">
        <f>'WP12 Condensed Sch. Level Costs'!A113</f>
        <v>53E - Customer Owned</v>
      </c>
      <c r="C120" s="164"/>
      <c r="D120" s="327" t="str">
        <f>'WP12 Condensed Sch. Level Costs'!C113</f>
        <v>Light Emitting Diode</v>
      </c>
      <c r="E120" s="165" t="str">
        <f>'WP12 Condensed Sch. Level Costs'!D113</f>
        <v>LED 0-030</v>
      </c>
      <c r="F120" s="328">
        <f>ROUND('Capital Charge'!I118,2)</f>
        <v>0</v>
      </c>
      <c r="G120" s="564">
        <f>ROUND('O&amp;M Charge'!I118,2)</f>
        <v>0.45</v>
      </c>
      <c r="H120" s="564">
        <f>ROUND('Customer Charge'!I118,2)</f>
        <v>0.1</v>
      </c>
      <c r="I120" s="564">
        <f>ROUND('Demand Charge'!G118,2)</f>
        <v>0.05</v>
      </c>
      <c r="J120" s="564">
        <f>ROUND('Energy Charge'!I118,2)</f>
        <v>0.28999999999999998</v>
      </c>
      <c r="K120" s="564">
        <f t="shared" ref="K120:K129" si="41">SUM(F120:J120)</f>
        <v>0.89000000000000012</v>
      </c>
      <c r="L120" s="564">
        <f t="shared" ref="L120:L129" si="42">K120</f>
        <v>0.89000000000000012</v>
      </c>
      <c r="M120" s="564"/>
      <c r="O120" s="564">
        <f>'Sch 141C Lighting Tariff'!J118</f>
        <v>0</v>
      </c>
      <c r="P120" s="564">
        <f>'Sch 141C Lighting Tariff'!N118</f>
        <v>0</v>
      </c>
      <c r="Q120" s="564"/>
      <c r="S120" s="564">
        <f>'Sch 141N Lighting Tariff'!J120</f>
        <v>0.23</v>
      </c>
      <c r="T120" s="564">
        <f>'Sch 141N Lighting Tariff'!N120</f>
        <v>0.16</v>
      </c>
      <c r="U120" s="564"/>
      <c r="W120" s="564">
        <f>'Sch 141R Lighting Tariff'!J120</f>
        <v>0.04</v>
      </c>
      <c r="X120" s="564">
        <f>'Sch 141R Lighting Tariff'!N120</f>
        <v>0.15</v>
      </c>
      <c r="Y120" s="564"/>
      <c r="Z120" s="564"/>
      <c r="AA120" s="564">
        <f>'Sch 141A Lighting Tariff'!J118</f>
        <v>0.01</v>
      </c>
      <c r="AB120" s="564">
        <f>'Sch 141A Lighting Tariff'!N118</f>
        <v>0.01</v>
      </c>
      <c r="AC120" s="564"/>
      <c r="AE120" s="564">
        <f t="shared" ref="AE120:AE129" si="43">K120+O120+S120+W120+AA120</f>
        <v>1.1700000000000002</v>
      </c>
      <c r="AF120" s="564">
        <f t="shared" ref="AF120:AF129" si="44">L120+P120+T120+X120+AB120</f>
        <v>1.21</v>
      </c>
      <c r="AG120" s="564"/>
    </row>
    <row r="121" spans="1:33" x14ac:dyDescent="0.2">
      <c r="A121" s="621">
        <f t="shared" si="25"/>
        <v>111</v>
      </c>
      <c r="B121" s="164" t="str">
        <f>'WP12 Condensed Sch. Level Costs'!A114</f>
        <v>53E - Customer Owned</v>
      </c>
      <c r="C121" s="164"/>
      <c r="D121" s="327" t="str">
        <f>'WP12 Condensed Sch. Level Costs'!C114</f>
        <v>Light Emitting Diode</v>
      </c>
      <c r="E121" s="165" t="str">
        <f>'WP12 Condensed Sch. Level Costs'!D114</f>
        <v>LED 030.01-060</v>
      </c>
      <c r="F121" s="328">
        <f>ROUND('Capital Charge'!I119,2)</f>
        <v>0</v>
      </c>
      <c r="G121" s="564">
        <f>ROUND('O&amp;M Charge'!I119,2)</f>
        <v>0.45</v>
      </c>
      <c r="H121" s="564">
        <f>ROUND('Customer Charge'!I119,2)</f>
        <v>0.3</v>
      </c>
      <c r="I121" s="564">
        <f>ROUND('Demand Charge'!G119,2)</f>
        <v>0.16</v>
      </c>
      <c r="J121" s="564">
        <f>ROUND('Energy Charge'!I119,2)</f>
        <v>0.86</v>
      </c>
      <c r="K121" s="564">
        <f t="shared" si="41"/>
        <v>1.77</v>
      </c>
      <c r="L121" s="564">
        <f t="shared" si="42"/>
        <v>1.77</v>
      </c>
      <c r="M121" s="564"/>
      <c r="O121" s="564">
        <f>'Sch 141C Lighting Tariff'!J119</f>
        <v>0.01</v>
      </c>
      <c r="P121" s="564">
        <f>'Sch 141C Lighting Tariff'!N119</f>
        <v>0.01</v>
      </c>
      <c r="Q121" s="564"/>
      <c r="S121" s="564">
        <f>'Sch 141N Lighting Tariff'!J121</f>
        <v>0.7</v>
      </c>
      <c r="T121" s="564">
        <f>'Sch 141N Lighting Tariff'!N121</f>
        <v>0.49</v>
      </c>
      <c r="U121" s="564"/>
      <c r="W121" s="564">
        <f>'Sch 141R Lighting Tariff'!J121</f>
        <v>0.13</v>
      </c>
      <c r="X121" s="564">
        <f>'Sch 141R Lighting Tariff'!N121</f>
        <v>0.46</v>
      </c>
      <c r="Y121" s="564"/>
      <c r="Z121" s="564"/>
      <c r="AA121" s="564">
        <f>'Sch 141A Lighting Tariff'!J119</f>
        <v>0.03</v>
      </c>
      <c r="AB121" s="564">
        <f>'Sch 141A Lighting Tariff'!N119</f>
        <v>0.03</v>
      </c>
      <c r="AC121" s="564"/>
      <c r="AE121" s="564">
        <f t="shared" si="43"/>
        <v>2.6399999999999997</v>
      </c>
      <c r="AF121" s="564">
        <f t="shared" si="44"/>
        <v>2.76</v>
      </c>
      <c r="AG121" s="564"/>
    </row>
    <row r="122" spans="1:33" x14ac:dyDescent="0.2">
      <c r="A122" s="621">
        <f t="shared" si="25"/>
        <v>112</v>
      </c>
      <c r="B122" s="164" t="str">
        <f>'WP12 Condensed Sch. Level Costs'!A115</f>
        <v>53E - Customer Owned</v>
      </c>
      <c r="C122" s="164"/>
      <c r="D122" s="327" t="str">
        <f>'WP12 Condensed Sch. Level Costs'!C115</f>
        <v>Light Emitting Diode</v>
      </c>
      <c r="E122" s="165" t="str">
        <f>'WP12 Condensed Sch. Level Costs'!D115</f>
        <v>LED 060.01-090</v>
      </c>
      <c r="F122" s="328">
        <f>ROUND('Capital Charge'!I120,2)</f>
        <v>0</v>
      </c>
      <c r="G122" s="564">
        <f>ROUND('O&amp;M Charge'!I120,2)</f>
        <v>0.45</v>
      </c>
      <c r="H122" s="564">
        <f>ROUND('Customer Charge'!I120,2)</f>
        <v>0.5</v>
      </c>
      <c r="I122" s="564">
        <f>ROUND('Demand Charge'!G120,2)</f>
        <v>0.27</v>
      </c>
      <c r="J122" s="564">
        <f>ROUND('Energy Charge'!I120,2)</f>
        <v>1.43</v>
      </c>
      <c r="K122" s="564">
        <f t="shared" si="41"/>
        <v>2.65</v>
      </c>
      <c r="L122" s="564">
        <f t="shared" si="42"/>
        <v>2.65</v>
      </c>
      <c r="M122" s="564"/>
      <c r="O122" s="564">
        <f>'Sch 141C Lighting Tariff'!J120</f>
        <v>0.02</v>
      </c>
      <c r="P122" s="564">
        <f>'Sch 141C Lighting Tariff'!N120</f>
        <v>0.02</v>
      </c>
      <c r="Q122" s="564"/>
      <c r="S122" s="564">
        <f>'Sch 141N Lighting Tariff'!J122</f>
        <v>1.17</v>
      </c>
      <c r="T122" s="564">
        <f>'Sch 141N Lighting Tariff'!N122</f>
        <v>0.81</v>
      </c>
      <c r="U122" s="564"/>
      <c r="W122" s="564">
        <f>'Sch 141R Lighting Tariff'!J122</f>
        <v>0.22</v>
      </c>
      <c r="X122" s="564">
        <f>'Sch 141R Lighting Tariff'!N122</f>
        <v>0.77</v>
      </c>
      <c r="Y122" s="564"/>
      <c r="Z122" s="564"/>
      <c r="AA122" s="564">
        <f>'Sch 141A Lighting Tariff'!J120</f>
        <v>0.05</v>
      </c>
      <c r="AB122" s="564">
        <f>'Sch 141A Lighting Tariff'!N120</f>
        <v>0.05</v>
      </c>
      <c r="AC122" s="564"/>
      <c r="AE122" s="564">
        <f t="shared" si="43"/>
        <v>4.1099999999999994</v>
      </c>
      <c r="AF122" s="564">
        <f t="shared" si="44"/>
        <v>4.3</v>
      </c>
      <c r="AG122" s="564"/>
    </row>
    <row r="123" spans="1:33" x14ac:dyDescent="0.2">
      <c r="A123" s="621">
        <f t="shared" si="25"/>
        <v>113</v>
      </c>
      <c r="B123" s="164" t="str">
        <f>'WP12 Condensed Sch. Level Costs'!A116</f>
        <v>53E - Customer Owned</v>
      </c>
      <c r="C123" s="164"/>
      <c r="D123" s="327" t="str">
        <f>'WP12 Condensed Sch. Level Costs'!C116</f>
        <v>Light Emitting Diode</v>
      </c>
      <c r="E123" s="165" t="str">
        <f>'WP12 Condensed Sch. Level Costs'!D116</f>
        <v>LED 090.01-120</v>
      </c>
      <c r="F123" s="328">
        <f>ROUND('Capital Charge'!I121,2)</f>
        <v>0</v>
      </c>
      <c r="G123" s="564">
        <f>ROUND('O&amp;M Charge'!I121,2)</f>
        <v>0.45</v>
      </c>
      <c r="H123" s="564">
        <f>ROUND('Customer Charge'!I121,2)</f>
        <v>0.7</v>
      </c>
      <c r="I123" s="564">
        <f>ROUND('Demand Charge'!G121,2)</f>
        <v>0.38</v>
      </c>
      <c r="J123" s="564">
        <f>ROUND('Energy Charge'!I121,2)</f>
        <v>2</v>
      </c>
      <c r="K123" s="564">
        <f t="shared" si="41"/>
        <v>3.53</v>
      </c>
      <c r="L123" s="564">
        <f t="shared" si="42"/>
        <v>3.53</v>
      </c>
      <c r="M123" s="564"/>
      <c r="O123" s="564">
        <f>'Sch 141C Lighting Tariff'!J121</f>
        <v>0.02</v>
      </c>
      <c r="P123" s="564">
        <f>'Sch 141C Lighting Tariff'!N121</f>
        <v>0.02</v>
      </c>
      <c r="Q123" s="564"/>
      <c r="S123" s="564">
        <f>'Sch 141N Lighting Tariff'!J123</f>
        <v>1.64</v>
      </c>
      <c r="T123" s="564">
        <f>'Sch 141N Lighting Tariff'!N123</f>
        <v>1.1399999999999999</v>
      </c>
      <c r="U123" s="564"/>
      <c r="W123" s="564">
        <f>'Sch 141R Lighting Tariff'!J123</f>
        <v>0.31</v>
      </c>
      <c r="X123" s="564">
        <f>'Sch 141R Lighting Tariff'!N123</f>
        <v>1.08</v>
      </c>
      <c r="Y123" s="564"/>
      <c r="Z123" s="564"/>
      <c r="AA123" s="564">
        <f>'Sch 141A Lighting Tariff'!J121</f>
        <v>7.0000000000000007E-2</v>
      </c>
      <c r="AB123" s="564">
        <f>'Sch 141A Lighting Tariff'!N121</f>
        <v>0.08</v>
      </c>
      <c r="AC123" s="564"/>
      <c r="AE123" s="564">
        <f t="shared" si="43"/>
        <v>5.5699999999999994</v>
      </c>
      <c r="AF123" s="564">
        <f t="shared" si="44"/>
        <v>5.85</v>
      </c>
      <c r="AG123" s="564"/>
    </row>
    <row r="124" spans="1:33" x14ac:dyDescent="0.2">
      <c r="A124" s="621">
        <f t="shared" si="25"/>
        <v>114</v>
      </c>
      <c r="B124" s="164" t="str">
        <f>'WP12 Condensed Sch. Level Costs'!A117</f>
        <v>53E - Customer Owned</v>
      </c>
      <c r="C124" s="164"/>
      <c r="D124" s="327" t="str">
        <f>'WP12 Condensed Sch. Level Costs'!C117</f>
        <v>Light Emitting Diode</v>
      </c>
      <c r="E124" s="165" t="str">
        <f>'WP12 Condensed Sch. Level Costs'!D117</f>
        <v>LED 120.01-150</v>
      </c>
      <c r="F124" s="328">
        <f>ROUND('Capital Charge'!I122,2)</f>
        <v>0</v>
      </c>
      <c r="G124" s="564">
        <f>ROUND('O&amp;M Charge'!I122,2)</f>
        <v>0.45</v>
      </c>
      <c r="H124" s="564">
        <f>ROUND('Customer Charge'!I122,2)</f>
        <v>0.9</v>
      </c>
      <c r="I124" s="564">
        <f>ROUND('Demand Charge'!G122,2)</f>
        <v>0.49</v>
      </c>
      <c r="J124" s="564">
        <f>ROUND('Energy Charge'!I122,2)</f>
        <v>2.58</v>
      </c>
      <c r="K124" s="564">
        <f t="shared" si="41"/>
        <v>4.42</v>
      </c>
      <c r="L124" s="564">
        <f t="shared" si="42"/>
        <v>4.42</v>
      </c>
      <c r="M124" s="564"/>
      <c r="O124" s="564">
        <f>'Sch 141C Lighting Tariff'!J122</f>
        <v>0.03</v>
      </c>
      <c r="P124" s="564">
        <f>'Sch 141C Lighting Tariff'!N122</f>
        <v>0.03</v>
      </c>
      <c r="Q124" s="564"/>
      <c r="S124" s="564">
        <f>'Sch 141N Lighting Tariff'!J124</f>
        <v>2.1</v>
      </c>
      <c r="T124" s="564">
        <f>'Sch 141N Lighting Tariff'!N124</f>
        <v>1.46</v>
      </c>
      <c r="U124" s="564"/>
      <c r="W124" s="564">
        <f>'Sch 141R Lighting Tariff'!J124</f>
        <v>0.39</v>
      </c>
      <c r="X124" s="564">
        <f>'Sch 141R Lighting Tariff'!N124</f>
        <v>1.39</v>
      </c>
      <c r="Y124" s="564"/>
      <c r="Z124" s="564"/>
      <c r="AA124" s="564">
        <f>'Sch 141A Lighting Tariff'!J122</f>
        <v>0.09</v>
      </c>
      <c r="AB124" s="564">
        <f>'Sch 141A Lighting Tariff'!N122</f>
        <v>0.1</v>
      </c>
      <c r="AC124" s="564"/>
      <c r="AE124" s="564">
        <f t="shared" si="43"/>
        <v>7.03</v>
      </c>
      <c r="AF124" s="564">
        <f t="shared" si="44"/>
        <v>7.3999999999999995</v>
      </c>
      <c r="AG124" s="564"/>
    </row>
    <row r="125" spans="1:33" x14ac:dyDescent="0.2">
      <c r="A125" s="621">
        <f t="shared" si="25"/>
        <v>115</v>
      </c>
      <c r="B125" s="164" t="str">
        <f>'WP12 Condensed Sch. Level Costs'!A118</f>
        <v>53E - Customer Owned</v>
      </c>
      <c r="C125" s="164"/>
      <c r="D125" s="327" t="str">
        <f>'WP12 Condensed Sch. Level Costs'!C118</f>
        <v>Light Emitting Diode</v>
      </c>
      <c r="E125" s="165" t="str">
        <f>'WP12 Condensed Sch. Level Costs'!D118</f>
        <v>LED 150.01-180</v>
      </c>
      <c r="F125" s="328">
        <f>ROUND('Capital Charge'!I123,2)</f>
        <v>0</v>
      </c>
      <c r="G125" s="564">
        <f>ROUND('O&amp;M Charge'!I123,2)</f>
        <v>0.45</v>
      </c>
      <c r="H125" s="564">
        <f>ROUND('Customer Charge'!I123,2)</f>
        <v>1.1000000000000001</v>
      </c>
      <c r="I125" s="564">
        <f>ROUND('Demand Charge'!G123,2)</f>
        <v>0.6</v>
      </c>
      <c r="J125" s="564">
        <f>ROUND('Energy Charge'!I123,2)</f>
        <v>3.15</v>
      </c>
      <c r="K125" s="564">
        <f t="shared" si="41"/>
        <v>5.3</v>
      </c>
      <c r="L125" s="564">
        <f t="shared" si="42"/>
        <v>5.3</v>
      </c>
      <c r="M125" s="564"/>
      <c r="O125" s="564">
        <f>'Sch 141C Lighting Tariff'!J123</f>
        <v>0.03</v>
      </c>
      <c r="P125" s="564">
        <f>'Sch 141C Lighting Tariff'!N123</f>
        <v>0.04</v>
      </c>
      <c r="Q125" s="564"/>
      <c r="S125" s="564">
        <f>'Sch 141N Lighting Tariff'!J125</f>
        <v>2.57</v>
      </c>
      <c r="T125" s="564">
        <f>'Sch 141N Lighting Tariff'!N125</f>
        <v>1.78</v>
      </c>
      <c r="U125" s="564"/>
      <c r="W125" s="564">
        <f>'Sch 141R Lighting Tariff'!J125</f>
        <v>0.48</v>
      </c>
      <c r="X125" s="564">
        <f>'Sch 141R Lighting Tariff'!N125</f>
        <v>1.7</v>
      </c>
      <c r="Y125" s="564"/>
      <c r="Z125" s="564"/>
      <c r="AA125" s="564">
        <f>'Sch 141A Lighting Tariff'!J123</f>
        <v>0.11</v>
      </c>
      <c r="AB125" s="564">
        <f>'Sch 141A Lighting Tariff'!N123</f>
        <v>0.12</v>
      </c>
      <c r="AC125" s="564"/>
      <c r="AE125" s="564">
        <f t="shared" si="43"/>
        <v>8.49</v>
      </c>
      <c r="AF125" s="564">
        <f t="shared" si="44"/>
        <v>8.94</v>
      </c>
      <c r="AG125" s="564"/>
    </row>
    <row r="126" spans="1:33" x14ac:dyDescent="0.2">
      <c r="A126" s="621">
        <f t="shared" si="25"/>
        <v>116</v>
      </c>
      <c r="B126" s="164" t="str">
        <f>'WP12 Condensed Sch. Level Costs'!A119</f>
        <v>53E - Customer Owned</v>
      </c>
      <c r="C126" s="164"/>
      <c r="D126" s="327" t="str">
        <f>'WP12 Condensed Sch. Level Costs'!C119</f>
        <v>Light Emitting Diode</v>
      </c>
      <c r="E126" s="165" t="str">
        <f>'WP12 Condensed Sch. Level Costs'!D119</f>
        <v>LED 180.01-210</v>
      </c>
      <c r="F126" s="328">
        <f>ROUND('Capital Charge'!I124,2)</f>
        <v>0</v>
      </c>
      <c r="G126" s="564">
        <f>ROUND('O&amp;M Charge'!I124,2)</f>
        <v>0.45</v>
      </c>
      <c r="H126" s="564">
        <f>ROUND('Customer Charge'!I124,2)</f>
        <v>1.31</v>
      </c>
      <c r="I126" s="564">
        <f>ROUND('Demand Charge'!G124,2)</f>
        <v>0.71</v>
      </c>
      <c r="J126" s="564">
        <f>ROUND('Energy Charge'!I124,2)</f>
        <v>3.72</v>
      </c>
      <c r="K126" s="564">
        <f t="shared" si="41"/>
        <v>6.1899999999999995</v>
      </c>
      <c r="L126" s="564">
        <f t="shared" si="42"/>
        <v>6.1899999999999995</v>
      </c>
      <c r="M126" s="564"/>
      <c r="O126" s="564">
        <f>'Sch 141C Lighting Tariff'!J124</f>
        <v>0.04</v>
      </c>
      <c r="P126" s="564">
        <f>'Sch 141C Lighting Tariff'!N124</f>
        <v>0.04</v>
      </c>
      <c r="Q126" s="564"/>
      <c r="S126" s="564">
        <f>'Sch 141N Lighting Tariff'!J126</f>
        <v>3.04</v>
      </c>
      <c r="T126" s="564">
        <f>'Sch 141N Lighting Tariff'!N126</f>
        <v>2.11</v>
      </c>
      <c r="U126" s="564"/>
      <c r="W126" s="564">
        <f>'Sch 141R Lighting Tariff'!J126</f>
        <v>0.56999999999999995</v>
      </c>
      <c r="X126" s="564">
        <f>'Sch 141R Lighting Tariff'!N126</f>
        <v>2</v>
      </c>
      <c r="Y126" s="564"/>
      <c r="Z126" s="564"/>
      <c r="AA126" s="564">
        <f>'Sch 141A Lighting Tariff'!J124</f>
        <v>0.14000000000000001</v>
      </c>
      <c r="AB126" s="564">
        <f>'Sch 141A Lighting Tariff'!N124</f>
        <v>0.14000000000000001</v>
      </c>
      <c r="AC126" s="564"/>
      <c r="AE126" s="564">
        <f t="shared" si="43"/>
        <v>9.98</v>
      </c>
      <c r="AF126" s="564">
        <f t="shared" si="44"/>
        <v>10.48</v>
      </c>
      <c r="AG126" s="564"/>
    </row>
    <row r="127" spans="1:33" x14ac:dyDescent="0.2">
      <c r="A127" s="621">
        <f t="shared" si="25"/>
        <v>117</v>
      </c>
      <c r="B127" s="164" t="str">
        <f>'WP12 Condensed Sch. Level Costs'!A120</f>
        <v>53E - Customer Owned</v>
      </c>
      <c r="C127" s="164"/>
      <c r="D127" s="327" t="str">
        <f>'WP12 Condensed Sch. Level Costs'!C120</f>
        <v>Light Emitting Diode</v>
      </c>
      <c r="E127" s="165" t="str">
        <f>'WP12 Condensed Sch. Level Costs'!D120</f>
        <v>LED 210.01-240</v>
      </c>
      <c r="F127" s="328">
        <f>ROUND('Capital Charge'!I125,2)</f>
        <v>0</v>
      </c>
      <c r="G127" s="564">
        <f>ROUND('O&amp;M Charge'!I125,2)</f>
        <v>0.45</v>
      </c>
      <c r="H127" s="564">
        <f>ROUND('Customer Charge'!I125,2)</f>
        <v>1.51</v>
      </c>
      <c r="I127" s="564">
        <f>ROUND('Demand Charge'!G125,2)</f>
        <v>0.82</v>
      </c>
      <c r="J127" s="564">
        <f>ROUND('Energy Charge'!I125,2)</f>
        <v>4.3</v>
      </c>
      <c r="K127" s="564">
        <f t="shared" si="41"/>
        <v>7.08</v>
      </c>
      <c r="L127" s="564">
        <f t="shared" si="42"/>
        <v>7.08</v>
      </c>
      <c r="M127" s="564"/>
      <c r="O127" s="564">
        <f>'Sch 141C Lighting Tariff'!J125</f>
        <v>0.05</v>
      </c>
      <c r="P127" s="564">
        <f>'Sch 141C Lighting Tariff'!N125</f>
        <v>0.05</v>
      </c>
      <c r="Q127" s="564"/>
      <c r="S127" s="564">
        <f>'Sch 141N Lighting Tariff'!J127</f>
        <v>3.51</v>
      </c>
      <c r="T127" s="564">
        <f>'Sch 141N Lighting Tariff'!N127</f>
        <v>2.4300000000000002</v>
      </c>
      <c r="U127" s="564"/>
      <c r="W127" s="564">
        <f>'Sch 141R Lighting Tariff'!J127</f>
        <v>0.66</v>
      </c>
      <c r="X127" s="564">
        <f>'Sch 141R Lighting Tariff'!N127</f>
        <v>2.31</v>
      </c>
      <c r="Y127" s="564"/>
      <c r="Z127" s="564"/>
      <c r="AA127" s="564">
        <f>'Sch 141A Lighting Tariff'!J125</f>
        <v>0.16</v>
      </c>
      <c r="AB127" s="564">
        <f>'Sch 141A Lighting Tariff'!N125</f>
        <v>0.16</v>
      </c>
      <c r="AC127" s="564"/>
      <c r="AE127" s="564">
        <f t="shared" si="43"/>
        <v>11.46</v>
      </c>
      <c r="AF127" s="564">
        <f t="shared" si="44"/>
        <v>12.030000000000001</v>
      </c>
      <c r="AG127" s="564"/>
    </row>
    <row r="128" spans="1:33" x14ac:dyDescent="0.2">
      <c r="A128" s="621">
        <f t="shared" si="25"/>
        <v>118</v>
      </c>
      <c r="B128" s="164" t="str">
        <f>'WP12 Condensed Sch. Level Costs'!A121</f>
        <v>53E - Customer Owned</v>
      </c>
      <c r="C128" s="164"/>
      <c r="D128" s="327" t="str">
        <f>'WP12 Condensed Sch. Level Costs'!C121</f>
        <v>Light Emitting Diode</v>
      </c>
      <c r="E128" s="165" t="str">
        <f>'WP12 Condensed Sch. Level Costs'!D121</f>
        <v>LED 240.01-270</v>
      </c>
      <c r="F128" s="328">
        <f>ROUND('Capital Charge'!I126,2)</f>
        <v>0</v>
      </c>
      <c r="G128" s="564">
        <f>ROUND('O&amp;M Charge'!I126,2)</f>
        <v>0.45</v>
      </c>
      <c r="H128" s="564">
        <f>ROUND('Customer Charge'!I126,2)</f>
        <v>1.71</v>
      </c>
      <c r="I128" s="564">
        <f>ROUND('Demand Charge'!G126,2)</f>
        <v>0.93</v>
      </c>
      <c r="J128" s="564">
        <f>ROUND('Energy Charge'!I126,2)</f>
        <v>4.87</v>
      </c>
      <c r="K128" s="564">
        <f t="shared" si="41"/>
        <v>7.9600000000000009</v>
      </c>
      <c r="L128" s="564">
        <f t="shared" si="42"/>
        <v>7.9600000000000009</v>
      </c>
      <c r="M128" s="564"/>
      <c r="O128" s="564">
        <f>'Sch 141C Lighting Tariff'!J126</f>
        <v>0.05</v>
      </c>
      <c r="P128" s="564">
        <f>'Sch 141C Lighting Tariff'!N126</f>
        <v>0.06</v>
      </c>
      <c r="Q128" s="564"/>
      <c r="S128" s="564">
        <f>'Sch 141N Lighting Tariff'!J128</f>
        <v>3.97</v>
      </c>
      <c r="T128" s="564">
        <f>'Sch 141N Lighting Tariff'!N128</f>
        <v>2.76</v>
      </c>
      <c r="U128" s="564"/>
      <c r="W128" s="564">
        <f>'Sch 141R Lighting Tariff'!J128</f>
        <v>0.74</v>
      </c>
      <c r="X128" s="564">
        <f>'Sch 141R Lighting Tariff'!N128</f>
        <v>2.62</v>
      </c>
      <c r="Y128" s="564"/>
      <c r="Z128" s="564"/>
      <c r="AA128" s="564">
        <f>'Sch 141A Lighting Tariff'!J126</f>
        <v>0.18</v>
      </c>
      <c r="AB128" s="564">
        <f>'Sch 141A Lighting Tariff'!N126</f>
        <v>0.18</v>
      </c>
      <c r="AC128" s="564"/>
      <c r="AE128" s="564">
        <f t="shared" si="43"/>
        <v>12.900000000000002</v>
      </c>
      <c r="AF128" s="564">
        <f t="shared" si="44"/>
        <v>13.580000000000002</v>
      </c>
      <c r="AG128" s="564"/>
    </row>
    <row r="129" spans="1:33" x14ac:dyDescent="0.2">
      <c r="A129" s="621">
        <f t="shared" si="25"/>
        <v>119</v>
      </c>
      <c r="B129" s="164" t="str">
        <f>'WP12 Condensed Sch. Level Costs'!A122</f>
        <v>53E - Customer Owned</v>
      </c>
      <c r="C129" s="164"/>
      <c r="D129" s="327" t="str">
        <f>'WP12 Condensed Sch. Level Costs'!C122</f>
        <v>Light Emitting Diode</v>
      </c>
      <c r="E129" s="165" t="str">
        <f>'WP12 Condensed Sch. Level Costs'!D122</f>
        <v>LED 270.01-300</v>
      </c>
      <c r="F129" s="328">
        <f>ROUND('Capital Charge'!I127,2)</f>
        <v>0</v>
      </c>
      <c r="G129" s="564">
        <f>ROUND('O&amp;M Charge'!I127,2)</f>
        <v>0.45</v>
      </c>
      <c r="H129" s="564">
        <f>ROUND('Customer Charge'!I127,2)</f>
        <v>1.91</v>
      </c>
      <c r="I129" s="564">
        <f>ROUND('Demand Charge'!G127,2)</f>
        <v>1.04</v>
      </c>
      <c r="J129" s="564">
        <f>ROUND('Energy Charge'!I127,2)</f>
        <v>5.44</v>
      </c>
      <c r="K129" s="564">
        <f t="shared" si="41"/>
        <v>8.84</v>
      </c>
      <c r="L129" s="564">
        <f t="shared" si="42"/>
        <v>8.84</v>
      </c>
      <c r="M129" s="564"/>
      <c r="O129" s="564">
        <f>'Sch 141C Lighting Tariff'!J127</f>
        <v>0.06</v>
      </c>
      <c r="P129" s="564">
        <f>'Sch 141C Lighting Tariff'!N127</f>
        <v>0.06</v>
      </c>
      <c r="Q129" s="564"/>
      <c r="S129" s="564">
        <f>'Sch 141N Lighting Tariff'!J129</f>
        <v>4.4400000000000004</v>
      </c>
      <c r="T129" s="564">
        <f>'Sch 141N Lighting Tariff'!N129</f>
        <v>3.08</v>
      </c>
      <c r="U129" s="564"/>
      <c r="W129" s="564">
        <f>'Sch 141R Lighting Tariff'!J129</f>
        <v>0.83</v>
      </c>
      <c r="X129" s="564">
        <f>'Sch 141R Lighting Tariff'!N129</f>
        <v>2.93</v>
      </c>
      <c r="Y129" s="564"/>
      <c r="Z129" s="564"/>
      <c r="AA129" s="564">
        <f>'Sch 141A Lighting Tariff'!J127</f>
        <v>0.2</v>
      </c>
      <c r="AB129" s="564">
        <f>'Sch 141A Lighting Tariff'!N127</f>
        <v>0.21</v>
      </c>
      <c r="AC129" s="564"/>
      <c r="AE129" s="564">
        <f t="shared" si="43"/>
        <v>14.37</v>
      </c>
      <c r="AF129" s="564">
        <f t="shared" si="44"/>
        <v>15.120000000000001</v>
      </c>
      <c r="AG129" s="564"/>
    </row>
    <row r="130" spans="1:33" x14ac:dyDescent="0.2">
      <c r="A130" s="621">
        <f t="shared" si="25"/>
        <v>120</v>
      </c>
      <c r="B130" s="164"/>
      <c r="C130" s="164"/>
      <c r="D130" s="327"/>
      <c r="E130" s="165"/>
      <c r="F130" s="328"/>
      <c r="G130" s="564"/>
      <c r="H130" s="564"/>
      <c r="I130" s="564"/>
      <c r="J130" s="564"/>
      <c r="K130" s="564"/>
      <c r="O130" s="564"/>
      <c r="S130" s="564"/>
      <c r="W130" s="564"/>
      <c r="AA130" s="564"/>
      <c r="AE130" s="564"/>
    </row>
    <row r="131" spans="1:33" x14ac:dyDescent="0.2">
      <c r="A131" s="621">
        <f t="shared" si="25"/>
        <v>121</v>
      </c>
      <c r="B131" s="164" t="str">
        <f>'WP12 Condensed Sch. Level Costs'!A123</f>
        <v>Sch 54E</v>
      </c>
      <c r="C131" s="164"/>
      <c r="D131" s="327"/>
      <c r="E131" s="165"/>
      <c r="F131" s="328"/>
      <c r="G131" s="564"/>
      <c r="H131" s="564"/>
      <c r="I131" s="564"/>
      <c r="J131" s="564"/>
      <c r="K131" s="564"/>
      <c r="O131" s="564"/>
      <c r="S131" s="564"/>
      <c r="W131" s="564"/>
      <c r="AA131" s="564"/>
      <c r="AE131" s="564"/>
    </row>
    <row r="132" spans="1:33" x14ac:dyDescent="0.2">
      <c r="A132" s="621">
        <f t="shared" si="25"/>
        <v>122</v>
      </c>
      <c r="B132" s="164" t="str">
        <f>'WP12 Condensed Sch. Level Costs'!A124</f>
        <v>54E</v>
      </c>
      <c r="C132" s="164"/>
      <c r="D132" s="327" t="str">
        <f>'WP12 Condensed Sch. Level Costs'!C124</f>
        <v>Sodium Vapor</v>
      </c>
      <c r="E132" s="165" t="str">
        <f>'WP12 Condensed Sch. Level Costs'!D124</f>
        <v>SV 050</v>
      </c>
      <c r="F132" s="328">
        <f>ROUND('Capital Charge'!I130,2)</f>
        <v>0</v>
      </c>
      <c r="G132" s="564">
        <f>ROUND('O&amp;M Charge'!I130,2)</f>
        <v>0</v>
      </c>
      <c r="H132" s="564">
        <f>ROUND('Customer Charge'!I130,2)</f>
        <v>0.33</v>
      </c>
      <c r="I132" s="564">
        <f>ROUND('Demand Charge'!G130,2)</f>
        <v>0.18</v>
      </c>
      <c r="J132" s="564">
        <f>ROUND('Energy Charge'!I130,2)</f>
        <v>0.95</v>
      </c>
      <c r="K132" s="564">
        <f t="shared" ref="K132:K140" si="45">SUM(F132:J132)</f>
        <v>1.46</v>
      </c>
      <c r="L132" s="564">
        <f t="shared" ref="L132:L140" si="46">K132</f>
        <v>1.46</v>
      </c>
      <c r="M132" s="564"/>
      <c r="O132" s="564">
        <f>'Sch 141C Lighting Tariff'!J130</f>
        <v>0.01</v>
      </c>
      <c r="P132" s="564">
        <f>'Sch 141C Lighting Tariff'!N130</f>
        <v>0.01</v>
      </c>
      <c r="Q132" s="564"/>
      <c r="S132" s="564">
        <f>'Sch 141N Lighting Tariff'!J132</f>
        <v>0.78</v>
      </c>
      <c r="T132" s="564">
        <f>'Sch 141N Lighting Tariff'!N132</f>
        <v>0.54</v>
      </c>
      <c r="U132" s="564"/>
      <c r="W132" s="564">
        <f>'Sch 141R Lighting Tariff'!J132</f>
        <v>0.15</v>
      </c>
      <c r="X132" s="564">
        <f>'Sch 141R Lighting Tariff'!N132</f>
        <v>0.51</v>
      </c>
      <c r="Y132" s="564"/>
      <c r="Z132" s="564"/>
      <c r="AA132" s="564">
        <f>'Sch 141A Lighting Tariff'!J130</f>
        <v>0.03</v>
      </c>
      <c r="AB132" s="564">
        <f>'Sch 141A Lighting Tariff'!N130</f>
        <v>0.04</v>
      </c>
      <c r="AC132" s="564"/>
      <c r="AE132" s="564">
        <f t="shared" ref="AE132:AE140" si="47">K132+O132+S132+W132+AA132</f>
        <v>2.4299999999999997</v>
      </c>
      <c r="AF132" s="564">
        <f t="shared" ref="AF132:AF140" si="48">L132+P132+T132+X132+AB132</f>
        <v>2.5599999999999996</v>
      </c>
      <c r="AG132" s="564"/>
    </row>
    <row r="133" spans="1:33" x14ac:dyDescent="0.2">
      <c r="A133" s="621">
        <f t="shared" si="25"/>
        <v>123</v>
      </c>
      <c r="B133" s="164" t="str">
        <f>'WP12 Condensed Sch. Level Costs'!A125</f>
        <v>54E</v>
      </c>
      <c r="C133" s="164"/>
      <c r="D133" s="327" t="str">
        <f>'WP12 Condensed Sch. Level Costs'!C125</f>
        <v>Sodium Vapor</v>
      </c>
      <c r="E133" s="165" t="str">
        <f>'WP12 Condensed Sch. Level Costs'!D125</f>
        <v>SV 070</v>
      </c>
      <c r="F133" s="328">
        <f>ROUND('Capital Charge'!I131,2)</f>
        <v>0</v>
      </c>
      <c r="G133" s="564">
        <f>ROUND('O&amp;M Charge'!I131,2)</f>
        <v>0</v>
      </c>
      <c r="H133" s="564">
        <f>ROUND('Customer Charge'!I131,2)</f>
        <v>0.47</v>
      </c>
      <c r="I133" s="564">
        <f>ROUND('Demand Charge'!G131,2)</f>
        <v>0.26</v>
      </c>
      <c r="J133" s="564">
        <f>ROUND('Energy Charge'!I131,2)</f>
        <v>1.34</v>
      </c>
      <c r="K133" s="564">
        <f t="shared" si="45"/>
        <v>2.0700000000000003</v>
      </c>
      <c r="L133" s="564">
        <f t="shared" si="46"/>
        <v>2.0700000000000003</v>
      </c>
      <c r="M133" s="564"/>
      <c r="O133" s="564">
        <f>'Sch 141C Lighting Tariff'!J131</f>
        <v>0.01</v>
      </c>
      <c r="P133" s="564">
        <f>'Sch 141C Lighting Tariff'!N131</f>
        <v>0.02</v>
      </c>
      <c r="Q133" s="564"/>
      <c r="S133" s="564">
        <f>'Sch 141N Lighting Tariff'!J133</f>
        <v>1.0900000000000001</v>
      </c>
      <c r="T133" s="564">
        <f>'Sch 141N Lighting Tariff'!N133</f>
        <v>0.76</v>
      </c>
      <c r="U133" s="564"/>
      <c r="W133" s="564">
        <f>'Sch 141R Lighting Tariff'!J133</f>
        <v>0.2</v>
      </c>
      <c r="X133" s="564">
        <f>'Sch 141R Lighting Tariff'!N133</f>
        <v>0.72</v>
      </c>
      <c r="Y133" s="564"/>
      <c r="Z133" s="564"/>
      <c r="AA133" s="564">
        <f>'Sch 141A Lighting Tariff'!J131</f>
        <v>0.05</v>
      </c>
      <c r="AB133" s="564">
        <f>'Sch 141A Lighting Tariff'!N131</f>
        <v>0.05</v>
      </c>
      <c r="AC133" s="564"/>
      <c r="AE133" s="564">
        <f t="shared" si="47"/>
        <v>3.42</v>
      </c>
      <c r="AF133" s="564">
        <f t="shared" si="48"/>
        <v>3.62</v>
      </c>
      <c r="AG133" s="564"/>
    </row>
    <row r="134" spans="1:33" x14ac:dyDescent="0.2">
      <c r="A134" s="621">
        <f t="shared" si="25"/>
        <v>124</v>
      </c>
      <c r="B134" s="164" t="str">
        <f>'WP12 Condensed Sch. Level Costs'!A126</f>
        <v>54E</v>
      </c>
      <c r="C134" s="164"/>
      <c r="D134" s="327" t="str">
        <f>'WP12 Condensed Sch. Level Costs'!C126</f>
        <v>Sodium Vapor</v>
      </c>
      <c r="E134" s="165" t="str">
        <f>'WP12 Condensed Sch. Level Costs'!D126</f>
        <v>SV 100</v>
      </c>
      <c r="F134" s="328">
        <f>ROUND('Capital Charge'!I132,2)</f>
        <v>0</v>
      </c>
      <c r="G134" s="564">
        <f>ROUND('O&amp;M Charge'!I132,2)</f>
        <v>0</v>
      </c>
      <c r="H134" s="564">
        <f>ROUND('Customer Charge'!I132,2)</f>
        <v>0.67</v>
      </c>
      <c r="I134" s="564">
        <f>ROUND('Demand Charge'!G132,2)</f>
        <v>0.37</v>
      </c>
      <c r="J134" s="564">
        <f>ROUND('Energy Charge'!I132,2)</f>
        <v>1.91</v>
      </c>
      <c r="K134" s="564">
        <f t="shared" si="45"/>
        <v>2.95</v>
      </c>
      <c r="L134" s="564">
        <f t="shared" si="46"/>
        <v>2.95</v>
      </c>
      <c r="M134" s="564"/>
      <c r="O134" s="564">
        <f>'Sch 141C Lighting Tariff'!J132</f>
        <v>0.02</v>
      </c>
      <c r="P134" s="564">
        <f>'Sch 141C Lighting Tariff'!N132</f>
        <v>0.02</v>
      </c>
      <c r="Q134" s="564"/>
      <c r="S134" s="564">
        <f>'Sch 141N Lighting Tariff'!J134</f>
        <v>1.56</v>
      </c>
      <c r="T134" s="564">
        <f>'Sch 141N Lighting Tariff'!N134</f>
        <v>1.08</v>
      </c>
      <c r="U134" s="564"/>
      <c r="W134" s="564">
        <f>'Sch 141R Lighting Tariff'!J134</f>
        <v>0.28999999999999998</v>
      </c>
      <c r="X134" s="564">
        <f>'Sch 141R Lighting Tariff'!N134</f>
        <v>1.03</v>
      </c>
      <c r="Y134" s="564"/>
      <c r="Z134" s="564"/>
      <c r="AA134" s="564">
        <f>'Sch 141A Lighting Tariff'!J132</f>
        <v>7.0000000000000007E-2</v>
      </c>
      <c r="AB134" s="564">
        <f>'Sch 141A Lighting Tariff'!N132</f>
        <v>7.0000000000000007E-2</v>
      </c>
      <c r="AC134" s="564"/>
      <c r="AE134" s="564">
        <f t="shared" si="47"/>
        <v>4.8900000000000006</v>
      </c>
      <c r="AF134" s="564">
        <f t="shared" si="48"/>
        <v>5.1500000000000012</v>
      </c>
      <c r="AG134" s="564"/>
    </row>
    <row r="135" spans="1:33" x14ac:dyDescent="0.2">
      <c r="A135" s="621">
        <f t="shared" si="25"/>
        <v>125</v>
      </c>
      <c r="B135" s="164" t="str">
        <f>'WP12 Condensed Sch. Level Costs'!A127</f>
        <v>54E</v>
      </c>
      <c r="C135" s="164"/>
      <c r="D135" s="327" t="str">
        <f>'WP12 Condensed Sch. Level Costs'!C127</f>
        <v>Sodium Vapor</v>
      </c>
      <c r="E135" s="165" t="str">
        <f>'WP12 Condensed Sch. Level Costs'!D127</f>
        <v>SV 150</v>
      </c>
      <c r="F135" s="328">
        <f>ROUND('Capital Charge'!I133,2)</f>
        <v>0</v>
      </c>
      <c r="G135" s="564">
        <f>ROUND('O&amp;M Charge'!I133,2)</f>
        <v>0</v>
      </c>
      <c r="H135" s="564">
        <f>ROUND('Customer Charge'!I133,2)</f>
        <v>1</v>
      </c>
      <c r="I135" s="564">
        <f>ROUND('Demand Charge'!G133,2)</f>
        <v>0.55000000000000004</v>
      </c>
      <c r="J135" s="564">
        <f>ROUND('Energy Charge'!I133,2)</f>
        <v>2.86</v>
      </c>
      <c r="K135" s="564">
        <f t="shared" si="45"/>
        <v>4.41</v>
      </c>
      <c r="L135" s="564">
        <f t="shared" si="46"/>
        <v>4.41</v>
      </c>
      <c r="M135" s="564"/>
      <c r="O135" s="564">
        <f>'Sch 141C Lighting Tariff'!J133</f>
        <v>0.03</v>
      </c>
      <c r="P135" s="564">
        <f>'Sch 141C Lighting Tariff'!N133</f>
        <v>0.03</v>
      </c>
      <c r="Q135" s="564"/>
      <c r="S135" s="564">
        <f>'Sch 141N Lighting Tariff'!J135</f>
        <v>2.34</v>
      </c>
      <c r="T135" s="564">
        <f>'Sch 141N Lighting Tariff'!N135</f>
        <v>1.62</v>
      </c>
      <c r="U135" s="564"/>
      <c r="W135" s="564">
        <f>'Sch 141R Lighting Tariff'!J135</f>
        <v>0.44</v>
      </c>
      <c r="X135" s="564">
        <f>'Sch 141R Lighting Tariff'!N135</f>
        <v>1.54</v>
      </c>
      <c r="Y135" s="564"/>
      <c r="Z135" s="564"/>
      <c r="AA135" s="564">
        <f>'Sch 141A Lighting Tariff'!J133</f>
        <v>0.1</v>
      </c>
      <c r="AB135" s="564">
        <f>'Sch 141A Lighting Tariff'!N133</f>
        <v>0.11</v>
      </c>
      <c r="AC135" s="564"/>
      <c r="AE135" s="564">
        <f t="shared" si="47"/>
        <v>7.32</v>
      </c>
      <c r="AF135" s="564">
        <f t="shared" si="48"/>
        <v>7.7100000000000009</v>
      </c>
      <c r="AG135" s="564"/>
    </row>
    <row r="136" spans="1:33" x14ac:dyDescent="0.2">
      <c r="A136" s="621">
        <f t="shared" si="25"/>
        <v>126</v>
      </c>
      <c r="B136" s="164" t="str">
        <f>'WP12 Condensed Sch. Level Costs'!A128</f>
        <v>54E</v>
      </c>
      <c r="C136" s="164"/>
      <c r="D136" s="327" t="str">
        <f>'WP12 Condensed Sch. Level Costs'!C128</f>
        <v>Sodium Vapor</v>
      </c>
      <c r="E136" s="165" t="str">
        <f>'WP12 Condensed Sch. Level Costs'!D128</f>
        <v>SV 200</v>
      </c>
      <c r="F136" s="328">
        <f>ROUND('Capital Charge'!I134,2)</f>
        <v>0</v>
      </c>
      <c r="G136" s="564">
        <f>ROUND('O&amp;M Charge'!I134,2)</f>
        <v>0</v>
      </c>
      <c r="H136" s="564">
        <f>ROUND('Customer Charge'!I134,2)</f>
        <v>1.34</v>
      </c>
      <c r="I136" s="564">
        <f>ROUND('Demand Charge'!G134,2)</f>
        <v>0.73</v>
      </c>
      <c r="J136" s="564">
        <f>ROUND('Energy Charge'!I134,2)</f>
        <v>3.82</v>
      </c>
      <c r="K136" s="564">
        <f t="shared" si="45"/>
        <v>5.8900000000000006</v>
      </c>
      <c r="L136" s="564">
        <f t="shared" si="46"/>
        <v>5.8900000000000006</v>
      </c>
      <c r="M136" s="564"/>
      <c r="O136" s="564">
        <f>'Sch 141C Lighting Tariff'!J134</f>
        <v>0.04</v>
      </c>
      <c r="P136" s="564">
        <f>'Sch 141C Lighting Tariff'!N134</f>
        <v>0.04</v>
      </c>
      <c r="Q136" s="564"/>
      <c r="S136" s="564">
        <f>'Sch 141N Lighting Tariff'!J136</f>
        <v>3.12</v>
      </c>
      <c r="T136" s="564">
        <f>'Sch 141N Lighting Tariff'!N136</f>
        <v>2.16</v>
      </c>
      <c r="U136" s="564"/>
      <c r="W136" s="564">
        <f>'Sch 141R Lighting Tariff'!J136</f>
        <v>0.57999999999999996</v>
      </c>
      <c r="X136" s="564">
        <f>'Sch 141R Lighting Tariff'!N136</f>
        <v>2.06</v>
      </c>
      <c r="Y136" s="564"/>
      <c r="Z136" s="564"/>
      <c r="AA136" s="564">
        <f>'Sch 141A Lighting Tariff'!J134</f>
        <v>0.14000000000000001</v>
      </c>
      <c r="AB136" s="564">
        <f>'Sch 141A Lighting Tariff'!N134</f>
        <v>0.14000000000000001</v>
      </c>
      <c r="AC136" s="564"/>
      <c r="AE136" s="564">
        <f t="shared" si="47"/>
        <v>9.7700000000000014</v>
      </c>
      <c r="AF136" s="564">
        <f t="shared" si="48"/>
        <v>10.290000000000001</v>
      </c>
      <c r="AG136" s="564"/>
    </row>
    <row r="137" spans="1:33" x14ac:dyDescent="0.2">
      <c r="A137" s="621">
        <f t="shared" si="25"/>
        <v>127</v>
      </c>
      <c r="B137" s="164" t="str">
        <f>'WP12 Condensed Sch. Level Costs'!A129</f>
        <v>54E</v>
      </c>
      <c r="C137" s="164"/>
      <c r="D137" s="327" t="str">
        <f>'WP12 Condensed Sch. Level Costs'!C129</f>
        <v>Sodium Vapor</v>
      </c>
      <c r="E137" s="165" t="str">
        <f>'WP12 Condensed Sch. Level Costs'!D129</f>
        <v>SV 250</v>
      </c>
      <c r="F137" s="328">
        <f>ROUND('Capital Charge'!I135,2)</f>
        <v>0</v>
      </c>
      <c r="G137" s="564">
        <f>ROUND('O&amp;M Charge'!I135,2)</f>
        <v>0</v>
      </c>
      <c r="H137" s="564">
        <f>ROUND('Customer Charge'!I135,2)</f>
        <v>1.67</v>
      </c>
      <c r="I137" s="564">
        <f>ROUND('Demand Charge'!G135,2)</f>
        <v>0.91</v>
      </c>
      <c r="J137" s="564">
        <f>ROUND('Energy Charge'!I135,2)</f>
        <v>4.7699999999999996</v>
      </c>
      <c r="K137" s="564">
        <f t="shared" si="45"/>
        <v>7.35</v>
      </c>
      <c r="L137" s="564">
        <f t="shared" si="46"/>
        <v>7.35</v>
      </c>
      <c r="M137" s="564"/>
      <c r="O137" s="564">
        <f>'Sch 141C Lighting Tariff'!J135</f>
        <v>0.05</v>
      </c>
      <c r="P137" s="564">
        <f>'Sch 141C Lighting Tariff'!N135</f>
        <v>0.06</v>
      </c>
      <c r="Q137" s="564"/>
      <c r="S137" s="564">
        <f>'Sch 141N Lighting Tariff'!J137</f>
        <v>3.9</v>
      </c>
      <c r="T137" s="564">
        <f>'Sch 141N Lighting Tariff'!N137</f>
        <v>2.7</v>
      </c>
      <c r="U137" s="564"/>
      <c r="W137" s="564">
        <f>'Sch 141R Lighting Tariff'!J137</f>
        <v>0.73</v>
      </c>
      <c r="X137" s="564">
        <f>'Sch 141R Lighting Tariff'!N137</f>
        <v>2.57</v>
      </c>
      <c r="Y137" s="564"/>
      <c r="Z137" s="564"/>
      <c r="AA137" s="564">
        <f>'Sch 141A Lighting Tariff'!J135</f>
        <v>0.17</v>
      </c>
      <c r="AB137" s="564">
        <f>'Sch 141A Lighting Tariff'!N135</f>
        <v>0.18</v>
      </c>
      <c r="AC137" s="564"/>
      <c r="AE137" s="564">
        <f t="shared" si="47"/>
        <v>12.2</v>
      </c>
      <c r="AF137" s="564">
        <f t="shared" si="48"/>
        <v>12.86</v>
      </c>
      <c r="AG137" s="564"/>
    </row>
    <row r="138" spans="1:33" x14ac:dyDescent="0.2">
      <c r="A138" s="621">
        <f t="shared" si="25"/>
        <v>128</v>
      </c>
      <c r="B138" s="164" t="str">
        <f>'WP12 Condensed Sch. Level Costs'!A130</f>
        <v>54E</v>
      </c>
      <c r="C138" s="164"/>
      <c r="D138" s="327" t="str">
        <f>'WP12 Condensed Sch. Level Costs'!C130</f>
        <v>Sodium Vapor</v>
      </c>
      <c r="E138" s="165" t="str">
        <f>'WP12 Condensed Sch. Level Costs'!D130</f>
        <v>SV 310</v>
      </c>
      <c r="F138" s="328">
        <f>ROUND('Capital Charge'!I136,2)</f>
        <v>0</v>
      </c>
      <c r="G138" s="564">
        <f>ROUND('O&amp;M Charge'!I136,2)</f>
        <v>0</v>
      </c>
      <c r="H138" s="564">
        <f>ROUND('Customer Charge'!I136,2)</f>
        <v>2.08</v>
      </c>
      <c r="I138" s="564">
        <f>ROUND('Demand Charge'!G136,2)</f>
        <v>1.1299999999999999</v>
      </c>
      <c r="J138" s="564">
        <f>ROUND('Energy Charge'!I136,2)</f>
        <v>5.92</v>
      </c>
      <c r="K138" s="564">
        <f t="shared" si="45"/>
        <v>9.129999999999999</v>
      </c>
      <c r="L138" s="564">
        <f t="shared" si="46"/>
        <v>9.129999999999999</v>
      </c>
      <c r="M138" s="564"/>
      <c r="O138" s="564">
        <f>'Sch 141C Lighting Tariff'!J136</f>
        <v>0.06</v>
      </c>
      <c r="P138" s="564">
        <f>'Sch 141C Lighting Tariff'!N136</f>
        <v>7.0000000000000007E-2</v>
      </c>
      <c r="Q138" s="564"/>
      <c r="S138" s="564">
        <f>'Sch 141N Lighting Tariff'!J138</f>
        <v>4.83</v>
      </c>
      <c r="T138" s="564">
        <f>'Sch 141N Lighting Tariff'!N138</f>
        <v>3.35</v>
      </c>
      <c r="U138" s="564"/>
      <c r="W138" s="564">
        <f>'Sch 141R Lighting Tariff'!J138</f>
        <v>0.9</v>
      </c>
      <c r="X138" s="564">
        <f>'Sch 141R Lighting Tariff'!N138</f>
        <v>3.19</v>
      </c>
      <c r="Y138" s="564"/>
      <c r="Z138" s="564"/>
      <c r="AA138" s="564">
        <f>'Sch 141A Lighting Tariff'!J136</f>
        <v>0.21</v>
      </c>
      <c r="AB138" s="564">
        <f>'Sch 141A Lighting Tariff'!N136</f>
        <v>0.22</v>
      </c>
      <c r="AC138" s="564"/>
      <c r="AE138" s="564">
        <f t="shared" si="47"/>
        <v>15.13</v>
      </c>
      <c r="AF138" s="564">
        <f t="shared" si="48"/>
        <v>15.959999999999999</v>
      </c>
      <c r="AG138" s="564"/>
    </row>
    <row r="139" spans="1:33" x14ac:dyDescent="0.2">
      <c r="A139" s="621">
        <f t="shared" si="25"/>
        <v>129</v>
      </c>
      <c r="B139" s="164" t="str">
        <f>'WP12 Condensed Sch. Level Costs'!A131</f>
        <v>54E</v>
      </c>
      <c r="C139" s="164"/>
      <c r="D139" s="327" t="str">
        <f>'WP12 Condensed Sch. Level Costs'!C131</f>
        <v>Sodium Vapor</v>
      </c>
      <c r="E139" s="165" t="str">
        <f>'WP12 Condensed Sch. Level Costs'!D131</f>
        <v>SV 400</v>
      </c>
      <c r="F139" s="328">
        <f>ROUND('Capital Charge'!I137,2)</f>
        <v>0</v>
      </c>
      <c r="G139" s="564">
        <f>ROUND('O&amp;M Charge'!I137,2)</f>
        <v>0</v>
      </c>
      <c r="H139" s="564">
        <f>ROUND('Customer Charge'!I137,2)</f>
        <v>2.68</v>
      </c>
      <c r="I139" s="564">
        <f>ROUND('Demand Charge'!G137,2)</f>
        <v>1.46</v>
      </c>
      <c r="J139" s="564">
        <f>ROUND('Energy Charge'!I137,2)</f>
        <v>7.64</v>
      </c>
      <c r="K139" s="564">
        <f t="shared" si="45"/>
        <v>11.780000000000001</v>
      </c>
      <c r="L139" s="564">
        <f t="shared" si="46"/>
        <v>11.780000000000001</v>
      </c>
      <c r="M139" s="564"/>
      <c r="O139" s="564">
        <f>'Sch 141C Lighting Tariff'!J137</f>
        <v>0.08</v>
      </c>
      <c r="P139" s="564">
        <f>'Sch 141C Lighting Tariff'!N137</f>
        <v>0.09</v>
      </c>
      <c r="Q139" s="564"/>
      <c r="S139" s="564">
        <f>'Sch 141N Lighting Tariff'!J139</f>
        <v>6.23</v>
      </c>
      <c r="T139" s="564">
        <f>'Sch 141N Lighting Tariff'!N139</f>
        <v>4.33</v>
      </c>
      <c r="U139" s="564"/>
      <c r="W139" s="564">
        <f>'Sch 141R Lighting Tariff'!J139</f>
        <v>1.17</v>
      </c>
      <c r="X139" s="564">
        <f>'Sch 141R Lighting Tariff'!N139</f>
        <v>4.1100000000000003</v>
      </c>
      <c r="Y139" s="564"/>
      <c r="Z139" s="564"/>
      <c r="AA139" s="564">
        <f>'Sch 141A Lighting Tariff'!J137</f>
        <v>0.28000000000000003</v>
      </c>
      <c r="AB139" s="564">
        <f>'Sch 141A Lighting Tariff'!N137</f>
        <v>0.28999999999999998</v>
      </c>
      <c r="AC139" s="564"/>
      <c r="AE139" s="564">
        <f t="shared" si="47"/>
        <v>19.540000000000006</v>
      </c>
      <c r="AF139" s="564">
        <f t="shared" si="48"/>
        <v>20.6</v>
      </c>
      <c r="AG139" s="564"/>
    </row>
    <row r="140" spans="1:33" x14ac:dyDescent="0.2">
      <c r="A140" s="621">
        <f t="shared" ref="A140:A203" si="49">A139+1</f>
        <v>130</v>
      </c>
      <c r="B140" s="164" t="str">
        <f>'WP12 Condensed Sch. Level Costs'!A132</f>
        <v>54E</v>
      </c>
      <c r="C140" s="164"/>
      <c r="D140" s="327" t="str">
        <f>'WP12 Condensed Sch. Level Costs'!C132</f>
        <v>Sodium Vapor</v>
      </c>
      <c r="E140" s="165" t="str">
        <f>'WP12 Condensed Sch. Level Costs'!D132</f>
        <v>SV 1000</v>
      </c>
      <c r="F140" s="328">
        <f>ROUND('Capital Charge'!I138,2)</f>
        <v>0</v>
      </c>
      <c r="G140" s="564">
        <f>ROUND('O&amp;M Charge'!I138,2)</f>
        <v>0</v>
      </c>
      <c r="H140" s="564">
        <f>ROUND('Customer Charge'!I138,2)</f>
        <v>6.7</v>
      </c>
      <c r="I140" s="564">
        <f>ROUND('Demand Charge'!G138,2)</f>
        <v>3.65</v>
      </c>
      <c r="J140" s="564">
        <f>ROUND('Energy Charge'!I138,2)</f>
        <v>19.09</v>
      </c>
      <c r="K140" s="564">
        <f t="shared" si="45"/>
        <v>29.439999999999998</v>
      </c>
      <c r="L140" s="564">
        <f t="shared" si="46"/>
        <v>29.439999999999998</v>
      </c>
      <c r="M140" s="564"/>
      <c r="O140" s="564">
        <f>'Sch 141C Lighting Tariff'!J138</f>
        <v>0.2</v>
      </c>
      <c r="P140" s="564">
        <f>'Sch 141C Lighting Tariff'!N138</f>
        <v>0.22</v>
      </c>
      <c r="Q140" s="564"/>
      <c r="S140" s="564">
        <f>'Sch 141N Lighting Tariff'!J140</f>
        <v>15.59</v>
      </c>
      <c r="T140" s="564">
        <f>'Sch 141N Lighting Tariff'!N140</f>
        <v>10.82</v>
      </c>
      <c r="U140" s="564"/>
      <c r="W140" s="564">
        <f>'Sch 141R Lighting Tariff'!J140</f>
        <v>2.91</v>
      </c>
      <c r="X140" s="564">
        <f>'Sch 141R Lighting Tariff'!N140</f>
        <v>10.28</v>
      </c>
      <c r="Y140" s="564"/>
      <c r="Z140" s="564"/>
      <c r="AA140" s="564">
        <f>'Sch 141A Lighting Tariff'!J138</f>
        <v>0.69</v>
      </c>
      <c r="AB140" s="564">
        <f>'Sch 141A Lighting Tariff'!N138</f>
        <v>0.72</v>
      </c>
      <c r="AC140" s="564"/>
      <c r="AE140" s="564">
        <f t="shared" si="47"/>
        <v>48.83</v>
      </c>
      <c r="AF140" s="564">
        <f t="shared" si="48"/>
        <v>51.48</v>
      </c>
      <c r="AG140" s="564"/>
    </row>
    <row r="141" spans="1:33" x14ac:dyDescent="0.2">
      <c r="A141" s="621">
        <f t="shared" si="49"/>
        <v>131</v>
      </c>
      <c r="B141" s="164"/>
      <c r="C141" s="164"/>
      <c r="D141" s="327"/>
      <c r="E141" s="165"/>
      <c r="F141" s="328"/>
      <c r="G141" s="564"/>
      <c r="H141" s="564"/>
      <c r="I141" s="564"/>
      <c r="J141" s="564"/>
      <c r="K141" s="564"/>
      <c r="O141" s="564"/>
      <c r="S141" s="564"/>
      <c r="W141" s="564"/>
      <c r="AA141" s="564"/>
      <c r="AE141" s="564"/>
    </row>
    <row r="142" spans="1:33" x14ac:dyDescent="0.2">
      <c r="A142" s="621">
        <f t="shared" si="49"/>
        <v>132</v>
      </c>
      <c r="B142" s="164" t="str">
        <f>'WP12 Condensed Sch. Level Costs'!A134</f>
        <v>54E</v>
      </c>
      <c r="C142" s="164"/>
      <c r="D142" s="327" t="str">
        <f>'WP12 Condensed Sch. Level Costs'!C134</f>
        <v>Light Emitting Diode</v>
      </c>
      <c r="E142" s="165" t="str">
        <f>'WP12 Condensed Sch. Level Costs'!D134</f>
        <v>LED 0-030</v>
      </c>
      <c r="F142" s="328">
        <f>ROUND('Capital Charge'!I140,2)</f>
        <v>0</v>
      </c>
      <c r="G142" s="564">
        <f>ROUND('O&amp;M Charge'!I140,2)</f>
        <v>0</v>
      </c>
      <c r="H142" s="564">
        <f>ROUND('Customer Charge'!I140,2)</f>
        <v>0.1</v>
      </c>
      <c r="I142" s="564">
        <f>ROUND('Demand Charge'!G140,2)</f>
        <v>0.05</v>
      </c>
      <c r="J142" s="564">
        <f>ROUND('Energy Charge'!I140,2)</f>
        <v>0.28999999999999998</v>
      </c>
      <c r="K142" s="564">
        <f t="shared" ref="K142:K151" si="50">SUM(F142:J142)</f>
        <v>0.44</v>
      </c>
      <c r="L142" s="564">
        <f t="shared" ref="L142:L151" si="51">K142</f>
        <v>0.44</v>
      </c>
      <c r="M142" s="564"/>
      <c r="O142" s="564">
        <f>'Sch 141C Lighting Tariff'!J140</f>
        <v>0</v>
      </c>
      <c r="P142" s="564">
        <f>'Sch 141C Lighting Tariff'!N140</f>
        <v>0</v>
      </c>
      <c r="Q142" s="564"/>
      <c r="S142" s="564">
        <f>'Sch 141N Lighting Tariff'!J142</f>
        <v>0.23</v>
      </c>
      <c r="T142" s="564">
        <f>'Sch 141N Lighting Tariff'!N142</f>
        <v>0.16</v>
      </c>
      <c r="U142" s="564"/>
      <c r="W142" s="564">
        <f>'Sch 141R Lighting Tariff'!J142</f>
        <v>0.04</v>
      </c>
      <c r="X142" s="564">
        <f>'Sch 141R Lighting Tariff'!N142</f>
        <v>0.15</v>
      </c>
      <c r="Y142" s="564"/>
      <c r="Z142" s="564"/>
      <c r="AA142" s="564">
        <f>'Sch 141A Lighting Tariff'!J140</f>
        <v>0.01</v>
      </c>
      <c r="AB142" s="564">
        <f>'Sch 141A Lighting Tariff'!N140</f>
        <v>0.01</v>
      </c>
      <c r="AC142" s="564"/>
      <c r="AE142" s="564">
        <f t="shared" ref="AE142:AE151" si="52">K142+O142+S142+W142+AA142</f>
        <v>0.72000000000000008</v>
      </c>
      <c r="AF142" s="564">
        <f t="shared" ref="AF142:AF151" si="53">L142+P142+T142+X142+AB142</f>
        <v>0.76</v>
      </c>
      <c r="AG142" s="564"/>
    </row>
    <row r="143" spans="1:33" x14ac:dyDescent="0.2">
      <c r="A143" s="621">
        <f t="shared" si="49"/>
        <v>133</v>
      </c>
      <c r="B143" s="164" t="str">
        <f>'WP12 Condensed Sch. Level Costs'!A135</f>
        <v>54E</v>
      </c>
      <c r="C143" s="164"/>
      <c r="D143" s="327" t="str">
        <f>'WP12 Condensed Sch. Level Costs'!C135</f>
        <v>Light Emitting Diode</v>
      </c>
      <c r="E143" s="165" t="str">
        <f>'WP12 Condensed Sch. Level Costs'!D135</f>
        <v>LED 030.01-060</v>
      </c>
      <c r="F143" s="328">
        <f>ROUND('Capital Charge'!I141,2)</f>
        <v>0</v>
      </c>
      <c r="G143" s="564">
        <f>ROUND('O&amp;M Charge'!I141,2)</f>
        <v>0</v>
      </c>
      <c r="H143" s="564">
        <f>ROUND('Customer Charge'!I141,2)</f>
        <v>0.3</v>
      </c>
      <c r="I143" s="564">
        <f>ROUND('Demand Charge'!G141,2)</f>
        <v>0.16</v>
      </c>
      <c r="J143" s="564">
        <f>ROUND('Energy Charge'!I141,2)</f>
        <v>0.86</v>
      </c>
      <c r="K143" s="564">
        <f t="shared" si="50"/>
        <v>1.3199999999999998</v>
      </c>
      <c r="L143" s="564">
        <f t="shared" si="51"/>
        <v>1.3199999999999998</v>
      </c>
      <c r="M143" s="564"/>
      <c r="O143" s="564">
        <f>'Sch 141C Lighting Tariff'!J141</f>
        <v>0.01</v>
      </c>
      <c r="P143" s="564">
        <f>'Sch 141C Lighting Tariff'!N141</f>
        <v>0.01</v>
      </c>
      <c r="Q143" s="564"/>
      <c r="S143" s="564">
        <f>'Sch 141N Lighting Tariff'!J143</f>
        <v>0.7</v>
      </c>
      <c r="T143" s="564">
        <f>'Sch 141N Lighting Tariff'!N143</f>
        <v>0.49</v>
      </c>
      <c r="U143" s="564"/>
      <c r="W143" s="564">
        <f>'Sch 141R Lighting Tariff'!J143</f>
        <v>0.13</v>
      </c>
      <c r="X143" s="564">
        <f>'Sch 141R Lighting Tariff'!N143</f>
        <v>0.46</v>
      </c>
      <c r="Y143" s="564"/>
      <c r="Z143" s="564"/>
      <c r="AA143" s="564">
        <f>'Sch 141A Lighting Tariff'!J141</f>
        <v>0.03</v>
      </c>
      <c r="AB143" s="564">
        <f>'Sch 141A Lighting Tariff'!N141</f>
        <v>0.03</v>
      </c>
      <c r="AC143" s="564"/>
      <c r="AE143" s="564">
        <f t="shared" si="52"/>
        <v>2.1899999999999995</v>
      </c>
      <c r="AF143" s="564">
        <f t="shared" si="53"/>
        <v>2.3099999999999996</v>
      </c>
      <c r="AG143" s="564"/>
    </row>
    <row r="144" spans="1:33" x14ac:dyDescent="0.2">
      <c r="A144" s="621">
        <f t="shared" si="49"/>
        <v>134</v>
      </c>
      <c r="B144" s="164" t="str">
        <f>'WP12 Condensed Sch. Level Costs'!A136</f>
        <v>54E</v>
      </c>
      <c r="C144" s="164"/>
      <c r="D144" s="327" t="str">
        <f>'WP12 Condensed Sch. Level Costs'!C136</f>
        <v>Light Emitting Diode</v>
      </c>
      <c r="E144" s="165" t="str">
        <f>'WP12 Condensed Sch. Level Costs'!D136</f>
        <v>LED 060.01-090</v>
      </c>
      <c r="F144" s="328">
        <f>ROUND('Capital Charge'!I142,2)</f>
        <v>0</v>
      </c>
      <c r="G144" s="564">
        <f>ROUND('O&amp;M Charge'!I142,2)</f>
        <v>0</v>
      </c>
      <c r="H144" s="564">
        <f>ROUND('Customer Charge'!I142,2)</f>
        <v>0.5</v>
      </c>
      <c r="I144" s="564">
        <f>ROUND('Demand Charge'!G142,2)</f>
        <v>0.27</v>
      </c>
      <c r="J144" s="564">
        <f>ROUND('Energy Charge'!I142,2)</f>
        <v>1.43</v>
      </c>
      <c r="K144" s="564">
        <f t="shared" si="50"/>
        <v>2.2000000000000002</v>
      </c>
      <c r="L144" s="564">
        <f t="shared" si="51"/>
        <v>2.2000000000000002</v>
      </c>
      <c r="M144" s="564"/>
      <c r="O144" s="564">
        <f>'Sch 141C Lighting Tariff'!J142</f>
        <v>0.02</v>
      </c>
      <c r="P144" s="564">
        <f>'Sch 141C Lighting Tariff'!N142</f>
        <v>0.02</v>
      </c>
      <c r="Q144" s="564"/>
      <c r="S144" s="564">
        <f>'Sch 141N Lighting Tariff'!J144</f>
        <v>1.17</v>
      </c>
      <c r="T144" s="564">
        <f>'Sch 141N Lighting Tariff'!N144</f>
        <v>0.81</v>
      </c>
      <c r="U144" s="564"/>
      <c r="W144" s="564">
        <f>'Sch 141R Lighting Tariff'!J144</f>
        <v>0.22</v>
      </c>
      <c r="X144" s="564">
        <f>'Sch 141R Lighting Tariff'!N144</f>
        <v>0.77</v>
      </c>
      <c r="Y144" s="564"/>
      <c r="Z144" s="564"/>
      <c r="AA144" s="564">
        <f>'Sch 141A Lighting Tariff'!J142</f>
        <v>0.05</v>
      </c>
      <c r="AB144" s="564">
        <f>'Sch 141A Lighting Tariff'!N142</f>
        <v>0.05</v>
      </c>
      <c r="AC144" s="564"/>
      <c r="AE144" s="564">
        <f t="shared" si="52"/>
        <v>3.66</v>
      </c>
      <c r="AF144" s="564">
        <f t="shared" si="53"/>
        <v>3.85</v>
      </c>
      <c r="AG144" s="564"/>
    </row>
    <row r="145" spans="1:33" x14ac:dyDescent="0.2">
      <c r="A145" s="621">
        <f t="shared" si="49"/>
        <v>135</v>
      </c>
      <c r="B145" s="164" t="str">
        <f>'WP12 Condensed Sch. Level Costs'!A137</f>
        <v>54E</v>
      </c>
      <c r="C145" s="164"/>
      <c r="D145" s="327" t="str">
        <f>'WP12 Condensed Sch. Level Costs'!C137</f>
        <v>Light Emitting Diode</v>
      </c>
      <c r="E145" s="165" t="str">
        <f>'WP12 Condensed Sch. Level Costs'!D137</f>
        <v>LED 090.01-120</v>
      </c>
      <c r="F145" s="328">
        <f>ROUND('Capital Charge'!I143,2)</f>
        <v>0</v>
      </c>
      <c r="G145" s="564">
        <f>ROUND('O&amp;M Charge'!I143,2)</f>
        <v>0</v>
      </c>
      <c r="H145" s="564">
        <f>ROUND('Customer Charge'!I143,2)</f>
        <v>0.7</v>
      </c>
      <c r="I145" s="564">
        <f>ROUND('Demand Charge'!G143,2)</f>
        <v>0.38</v>
      </c>
      <c r="J145" s="564">
        <f>ROUND('Energy Charge'!I143,2)</f>
        <v>2</v>
      </c>
      <c r="K145" s="564">
        <f t="shared" si="50"/>
        <v>3.08</v>
      </c>
      <c r="L145" s="564">
        <f t="shared" si="51"/>
        <v>3.08</v>
      </c>
      <c r="M145" s="564"/>
      <c r="O145" s="564">
        <f>'Sch 141C Lighting Tariff'!J143</f>
        <v>0.02</v>
      </c>
      <c r="P145" s="564">
        <f>'Sch 141C Lighting Tariff'!N143</f>
        <v>0.02</v>
      </c>
      <c r="Q145" s="564"/>
      <c r="S145" s="564">
        <f>'Sch 141N Lighting Tariff'!J145</f>
        <v>1.64</v>
      </c>
      <c r="T145" s="564">
        <f>'Sch 141N Lighting Tariff'!N145</f>
        <v>1.1399999999999999</v>
      </c>
      <c r="U145" s="564"/>
      <c r="W145" s="564">
        <f>'Sch 141R Lighting Tariff'!J145</f>
        <v>0.31</v>
      </c>
      <c r="X145" s="564">
        <f>'Sch 141R Lighting Tariff'!N145</f>
        <v>1.08</v>
      </c>
      <c r="Y145" s="564"/>
      <c r="Z145" s="564"/>
      <c r="AA145" s="564">
        <f>'Sch 141A Lighting Tariff'!J143</f>
        <v>7.0000000000000007E-2</v>
      </c>
      <c r="AB145" s="564">
        <f>'Sch 141A Lighting Tariff'!N143</f>
        <v>0.08</v>
      </c>
      <c r="AC145" s="564"/>
      <c r="AE145" s="564">
        <f t="shared" si="52"/>
        <v>5.12</v>
      </c>
      <c r="AF145" s="564">
        <f t="shared" si="53"/>
        <v>5.4</v>
      </c>
      <c r="AG145" s="564"/>
    </row>
    <row r="146" spans="1:33" x14ac:dyDescent="0.2">
      <c r="A146" s="621">
        <f t="shared" si="49"/>
        <v>136</v>
      </c>
      <c r="B146" s="164" t="str">
        <f>'WP12 Condensed Sch. Level Costs'!A138</f>
        <v>54E</v>
      </c>
      <c r="C146" s="164"/>
      <c r="D146" s="327" t="str">
        <f>'WP12 Condensed Sch. Level Costs'!C138</f>
        <v>Light Emitting Diode</v>
      </c>
      <c r="E146" s="165" t="str">
        <f>'WP12 Condensed Sch. Level Costs'!D138</f>
        <v>LED 120.01-150</v>
      </c>
      <c r="F146" s="328">
        <f>ROUND('Capital Charge'!I144,2)</f>
        <v>0</v>
      </c>
      <c r="G146" s="564">
        <f>ROUND('O&amp;M Charge'!I144,2)</f>
        <v>0</v>
      </c>
      <c r="H146" s="564">
        <f>ROUND('Customer Charge'!I144,2)</f>
        <v>0.9</v>
      </c>
      <c r="I146" s="564">
        <f>ROUND('Demand Charge'!G144,2)</f>
        <v>0.49</v>
      </c>
      <c r="J146" s="564">
        <f>ROUND('Energy Charge'!I144,2)</f>
        <v>2.58</v>
      </c>
      <c r="K146" s="564">
        <f t="shared" si="50"/>
        <v>3.97</v>
      </c>
      <c r="L146" s="564">
        <f t="shared" si="51"/>
        <v>3.97</v>
      </c>
      <c r="M146" s="564"/>
      <c r="O146" s="564">
        <f>'Sch 141C Lighting Tariff'!J144</f>
        <v>0.03</v>
      </c>
      <c r="P146" s="564">
        <f>'Sch 141C Lighting Tariff'!N144</f>
        <v>0.03</v>
      </c>
      <c r="Q146" s="564"/>
      <c r="S146" s="564">
        <f>'Sch 141N Lighting Tariff'!J146</f>
        <v>2.1</v>
      </c>
      <c r="T146" s="564">
        <f>'Sch 141N Lighting Tariff'!N146</f>
        <v>1.46</v>
      </c>
      <c r="U146" s="564"/>
      <c r="W146" s="564">
        <f>'Sch 141R Lighting Tariff'!J146</f>
        <v>0.39</v>
      </c>
      <c r="X146" s="564">
        <f>'Sch 141R Lighting Tariff'!N146</f>
        <v>1.39</v>
      </c>
      <c r="Y146" s="564"/>
      <c r="Z146" s="564"/>
      <c r="AA146" s="564">
        <f>'Sch 141A Lighting Tariff'!J144</f>
        <v>0.09</v>
      </c>
      <c r="AB146" s="564">
        <f>'Sch 141A Lighting Tariff'!N144</f>
        <v>0.1</v>
      </c>
      <c r="AC146" s="564"/>
      <c r="AE146" s="564">
        <f t="shared" si="52"/>
        <v>6.5799999999999992</v>
      </c>
      <c r="AF146" s="564">
        <f t="shared" si="53"/>
        <v>6.9499999999999993</v>
      </c>
      <c r="AG146" s="564"/>
    </row>
    <row r="147" spans="1:33" x14ac:dyDescent="0.2">
      <c r="A147" s="621">
        <f t="shared" si="49"/>
        <v>137</v>
      </c>
      <c r="B147" s="164" t="str">
        <f>'WP12 Condensed Sch. Level Costs'!A139</f>
        <v>54E</v>
      </c>
      <c r="C147" s="164"/>
      <c r="D147" s="327" t="str">
        <f>'WP12 Condensed Sch. Level Costs'!C139</f>
        <v>Light Emitting Diode</v>
      </c>
      <c r="E147" s="165" t="str">
        <f>'WP12 Condensed Sch. Level Costs'!D139</f>
        <v>LED 150.01-180</v>
      </c>
      <c r="F147" s="328">
        <f>ROUND('Capital Charge'!I145,2)</f>
        <v>0</v>
      </c>
      <c r="G147" s="564">
        <f>ROUND('O&amp;M Charge'!I145,2)</f>
        <v>0</v>
      </c>
      <c r="H147" s="564">
        <f>ROUND('Customer Charge'!I145,2)</f>
        <v>1.1000000000000001</v>
      </c>
      <c r="I147" s="564">
        <f>ROUND('Demand Charge'!G145,2)</f>
        <v>0.6</v>
      </c>
      <c r="J147" s="564">
        <f>ROUND('Energy Charge'!I145,2)</f>
        <v>3.15</v>
      </c>
      <c r="K147" s="564">
        <f t="shared" si="50"/>
        <v>4.8499999999999996</v>
      </c>
      <c r="L147" s="564">
        <f t="shared" si="51"/>
        <v>4.8499999999999996</v>
      </c>
      <c r="M147" s="564"/>
      <c r="O147" s="564">
        <f>'Sch 141C Lighting Tariff'!J145</f>
        <v>0.03</v>
      </c>
      <c r="P147" s="564">
        <f>'Sch 141C Lighting Tariff'!N145</f>
        <v>0.04</v>
      </c>
      <c r="Q147" s="564"/>
      <c r="S147" s="564">
        <f>'Sch 141N Lighting Tariff'!J147</f>
        <v>2.57</v>
      </c>
      <c r="T147" s="564">
        <f>'Sch 141N Lighting Tariff'!N147</f>
        <v>1.78</v>
      </c>
      <c r="U147" s="564"/>
      <c r="W147" s="564">
        <f>'Sch 141R Lighting Tariff'!J147</f>
        <v>0.48</v>
      </c>
      <c r="X147" s="564">
        <f>'Sch 141R Lighting Tariff'!N147</f>
        <v>1.7</v>
      </c>
      <c r="Y147" s="564"/>
      <c r="Z147" s="564"/>
      <c r="AA147" s="564">
        <f>'Sch 141A Lighting Tariff'!J145</f>
        <v>0.11</v>
      </c>
      <c r="AB147" s="564">
        <f>'Sch 141A Lighting Tariff'!N145</f>
        <v>0.12</v>
      </c>
      <c r="AC147" s="564"/>
      <c r="AE147" s="564">
        <f t="shared" si="52"/>
        <v>8.0399999999999991</v>
      </c>
      <c r="AF147" s="564">
        <f t="shared" si="53"/>
        <v>8.4899999999999984</v>
      </c>
      <c r="AG147" s="564"/>
    </row>
    <row r="148" spans="1:33" x14ac:dyDescent="0.2">
      <c r="A148" s="621">
        <f t="shared" si="49"/>
        <v>138</v>
      </c>
      <c r="B148" s="164" t="str">
        <f>'WP12 Condensed Sch. Level Costs'!A140</f>
        <v>54E</v>
      </c>
      <c r="C148" s="164"/>
      <c r="D148" s="327" t="str">
        <f>'WP12 Condensed Sch. Level Costs'!C140</f>
        <v>Light Emitting Diode</v>
      </c>
      <c r="E148" s="165" t="str">
        <f>'WP12 Condensed Sch. Level Costs'!D140</f>
        <v>LED 180.01-210</v>
      </c>
      <c r="F148" s="328">
        <f>ROUND('Capital Charge'!I146,2)</f>
        <v>0</v>
      </c>
      <c r="G148" s="564">
        <f>ROUND('O&amp;M Charge'!I146,2)</f>
        <v>0</v>
      </c>
      <c r="H148" s="564">
        <f>ROUND('Customer Charge'!I146,2)</f>
        <v>1.31</v>
      </c>
      <c r="I148" s="564">
        <f>ROUND('Demand Charge'!G146,2)</f>
        <v>0.71</v>
      </c>
      <c r="J148" s="564">
        <f>ROUND('Energy Charge'!I146,2)</f>
        <v>3.72</v>
      </c>
      <c r="K148" s="564">
        <f t="shared" si="50"/>
        <v>5.74</v>
      </c>
      <c r="L148" s="564">
        <f t="shared" si="51"/>
        <v>5.74</v>
      </c>
      <c r="M148" s="564"/>
      <c r="O148" s="564">
        <f>'Sch 141C Lighting Tariff'!J146</f>
        <v>0.04</v>
      </c>
      <c r="P148" s="564">
        <f>'Sch 141C Lighting Tariff'!N146</f>
        <v>0.04</v>
      </c>
      <c r="Q148" s="564"/>
      <c r="S148" s="564">
        <f>'Sch 141N Lighting Tariff'!J148</f>
        <v>3.04</v>
      </c>
      <c r="T148" s="564">
        <f>'Sch 141N Lighting Tariff'!N148</f>
        <v>2.11</v>
      </c>
      <c r="U148" s="564"/>
      <c r="W148" s="564">
        <f>'Sch 141R Lighting Tariff'!J148</f>
        <v>0.56999999999999995</v>
      </c>
      <c r="X148" s="564">
        <f>'Sch 141R Lighting Tariff'!N148</f>
        <v>2</v>
      </c>
      <c r="Y148" s="564"/>
      <c r="Z148" s="564"/>
      <c r="AA148" s="564">
        <f>'Sch 141A Lighting Tariff'!J146</f>
        <v>0.14000000000000001</v>
      </c>
      <c r="AB148" s="564">
        <f>'Sch 141A Lighting Tariff'!N146</f>
        <v>0.14000000000000001</v>
      </c>
      <c r="AC148" s="564"/>
      <c r="AE148" s="564">
        <f t="shared" si="52"/>
        <v>9.5300000000000011</v>
      </c>
      <c r="AF148" s="564">
        <f t="shared" si="53"/>
        <v>10.030000000000001</v>
      </c>
      <c r="AG148" s="564"/>
    </row>
    <row r="149" spans="1:33" x14ac:dyDescent="0.2">
      <c r="A149" s="621">
        <f t="shared" si="49"/>
        <v>139</v>
      </c>
      <c r="B149" s="164" t="str">
        <f>'WP12 Condensed Sch. Level Costs'!A141</f>
        <v>54E</v>
      </c>
      <c r="C149" s="164"/>
      <c r="D149" s="327" t="str">
        <f>'WP12 Condensed Sch. Level Costs'!C141</f>
        <v>Light Emitting Diode</v>
      </c>
      <c r="E149" s="165" t="str">
        <f>'WP12 Condensed Sch. Level Costs'!D141</f>
        <v>LED 210.01-240</v>
      </c>
      <c r="F149" s="328">
        <f>ROUND('Capital Charge'!I147,2)</f>
        <v>0</v>
      </c>
      <c r="G149" s="564">
        <f>ROUND('O&amp;M Charge'!I147,2)</f>
        <v>0</v>
      </c>
      <c r="H149" s="564">
        <f>ROUND('Customer Charge'!I147,2)</f>
        <v>1.51</v>
      </c>
      <c r="I149" s="564">
        <f>ROUND('Demand Charge'!G147,2)</f>
        <v>0.82</v>
      </c>
      <c r="J149" s="564">
        <f>ROUND('Energy Charge'!I147,2)</f>
        <v>4.3</v>
      </c>
      <c r="K149" s="564">
        <f t="shared" si="50"/>
        <v>6.63</v>
      </c>
      <c r="L149" s="564">
        <f t="shared" si="51"/>
        <v>6.63</v>
      </c>
      <c r="M149" s="564"/>
      <c r="O149" s="564">
        <f>'Sch 141C Lighting Tariff'!J147</f>
        <v>0.05</v>
      </c>
      <c r="P149" s="564">
        <f>'Sch 141C Lighting Tariff'!N147</f>
        <v>0.05</v>
      </c>
      <c r="Q149" s="564"/>
      <c r="S149" s="564">
        <f>'Sch 141N Lighting Tariff'!J149</f>
        <v>3.51</v>
      </c>
      <c r="T149" s="564">
        <f>'Sch 141N Lighting Tariff'!N149</f>
        <v>2.4300000000000002</v>
      </c>
      <c r="U149" s="564"/>
      <c r="W149" s="564">
        <f>'Sch 141R Lighting Tariff'!J149</f>
        <v>0.66</v>
      </c>
      <c r="X149" s="564">
        <f>'Sch 141R Lighting Tariff'!N149</f>
        <v>2.31</v>
      </c>
      <c r="Y149" s="564"/>
      <c r="Z149" s="564"/>
      <c r="AA149" s="564">
        <f>'Sch 141A Lighting Tariff'!J147</f>
        <v>0.16</v>
      </c>
      <c r="AB149" s="564">
        <f>'Sch 141A Lighting Tariff'!N147</f>
        <v>0.16</v>
      </c>
      <c r="AC149" s="564"/>
      <c r="AE149" s="564">
        <f t="shared" si="52"/>
        <v>11.01</v>
      </c>
      <c r="AF149" s="564">
        <f t="shared" si="53"/>
        <v>11.58</v>
      </c>
      <c r="AG149" s="564"/>
    </row>
    <row r="150" spans="1:33" x14ac:dyDescent="0.2">
      <c r="A150" s="621">
        <f t="shared" si="49"/>
        <v>140</v>
      </c>
      <c r="B150" s="164" t="str">
        <f>'WP12 Condensed Sch. Level Costs'!A142</f>
        <v>54E</v>
      </c>
      <c r="C150" s="164"/>
      <c r="D150" s="327" t="str">
        <f>'WP12 Condensed Sch. Level Costs'!C142</f>
        <v>Light Emitting Diode</v>
      </c>
      <c r="E150" s="165" t="str">
        <f>'WP12 Condensed Sch. Level Costs'!D142</f>
        <v>LED 240.01-270</v>
      </c>
      <c r="F150" s="328">
        <f>ROUND('Capital Charge'!I148,2)</f>
        <v>0</v>
      </c>
      <c r="G150" s="564">
        <f>ROUND('O&amp;M Charge'!I148,2)</f>
        <v>0</v>
      </c>
      <c r="H150" s="564">
        <f>ROUND('Customer Charge'!I148,2)</f>
        <v>1.71</v>
      </c>
      <c r="I150" s="564">
        <f>ROUND('Demand Charge'!G148,2)</f>
        <v>0.93</v>
      </c>
      <c r="J150" s="564">
        <f>ROUND('Energy Charge'!I148,2)</f>
        <v>4.87</v>
      </c>
      <c r="K150" s="564">
        <f t="shared" si="50"/>
        <v>7.51</v>
      </c>
      <c r="L150" s="564">
        <f t="shared" si="51"/>
        <v>7.51</v>
      </c>
      <c r="M150" s="564"/>
      <c r="O150" s="564">
        <f>'Sch 141C Lighting Tariff'!J148</f>
        <v>0.05</v>
      </c>
      <c r="P150" s="564">
        <f>'Sch 141C Lighting Tariff'!N148</f>
        <v>0.06</v>
      </c>
      <c r="Q150" s="564"/>
      <c r="S150" s="564">
        <f>'Sch 141N Lighting Tariff'!J150</f>
        <v>3.97</v>
      </c>
      <c r="T150" s="564">
        <f>'Sch 141N Lighting Tariff'!N150</f>
        <v>2.76</v>
      </c>
      <c r="U150" s="564"/>
      <c r="W150" s="564">
        <f>'Sch 141R Lighting Tariff'!J150</f>
        <v>0.74</v>
      </c>
      <c r="X150" s="564">
        <f>'Sch 141R Lighting Tariff'!N150</f>
        <v>2.62</v>
      </c>
      <c r="Y150" s="564"/>
      <c r="Z150" s="564"/>
      <c r="AA150" s="564">
        <f>'Sch 141A Lighting Tariff'!J148</f>
        <v>0.18</v>
      </c>
      <c r="AB150" s="564">
        <f>'Sch 141A Lighting Tariff'!N148</f>
        <v>0.18</v>
      </c>
      <c r="AC150" s="564"/>
      <c r="AE150" s="564">
        <f t="shared" si="52"/>
        <v>12.45</v>
      </c>
      <c r="AF150" s="564">
        <f t="shared" si="53"/>
        <v>13.129999999999999</v>
      </c>
      <c r="AG150" s="564"/>
    </row>
    <row r="151" spans="1:33" x14ac:dyDescent="0.2">
      <c r="A151" s="621">
        <f t="shared" si="49"/>
        <v>141</v>
      </c>
      <c r="B151" s="164" t="str">
        <f>'WP12 Condensed Sch. Level Costs'!A143</f>
        <v>54E</v>
      </c>
      <c r="C151" s="164"/>
      <c r="D151" s="327" t="str">
        <f>'WP12 Condensed Sch. Level Costs'!C143</f>
        <v>Light Emitting Diode</v>
      </c>
      <c r="E151" s="165" t="str">
        <f>'WP12 Condensed Sch. Level Costs'!D143</f>
        <v>LED 270.01-300</v>
      </c>
      <c r="F151" s="328">
        <f>ROUND('Capital Charge'!I149,2)</f>
        <v>0</v>
      </c>
      <c r="G151" s="564">
        <f>ROUND('O&amp;M Charge'!I149,2)</f>
        <v>0</v>
      </c>
      <c r="H151" s="564">
        <f>ROUND('Customer Charge'!I149,2)</f>
        <v>1.91</v>
      </c>
      <c r="I151" s="564">
        <f>ROUND('Demand Charge'!G149,2)</f>
        <v>1.04</v>
      </c>
      <c r="J151" s="564">
        <f>ROUND('Energy Charge'!I149,2)</f>
        <v>5.44</v>
      </c>
      <c r="K151" s="564">
        <f t="shared" si="50"/>
        <v>8.39</v>
      </c>
      <c r="L151" s="564">
        <f t="shared" si="51"/>
        <v>8.39</v>
      </c>
      <c r="M151" s="564"/>
      <c r="O151" s="564">
        <f>'Sch 141C Lighting Tariff'!J149</f>
        <v>0.06</v>
      </c>
      <c r="P151" s="564">
        <f>'Sch 141C Lighting Tariff'!N149</f>
        <v>0.06</v>
      </c>
      <c r="Q151" s="564"/>
      <c r="S151" s="564">
        <f>'Sch 141N Lighting Tariff'!J151</f>
        <v>4.4400000000000004</v>
      </c>
      <c r="T151" s="564">
        <f>'Sch 141N Lighting Tariff'!N151</f>
        <v>3.08</v>
      </c>
      <c r="U151" s="564"/>
      <c r="W151" s="564">
        <f>'Sch 141R Lighting Tariff'!J151</f>
        <v>0.83</v>
      </c>
      <c r="X151" s="564">
        <f>'Sch 141R Lighting Tariff'!N151</f>
        <v>2.93</v>
      </c>
      <c r="Y151" s="564"/>
      <c r="Z151" s="564"/>
      <c r="AA151" s="564">
        <f>'Sch 141A Lighting Tariff'!J149</f>
        <v>0.2</v>
      </c>
      <c r="AB151" s="564">
        <f>'Sch 141A Lighting Tariff'!N149</f>
        <v>0.21</v>
      </c>
      <c r="AC151" s="564"/>
      <c r="AE151" s="564">
        <f t="shared" si="52"/>
        <v>13.92</v>
      </c>
      <c r="AF151" s="564">
        <f t="shared" si="53"/>
        <v>14.670000000000002</v>
      </c>
      <c r="AG151" s="564"/>
    </row>
    <row r="152" spans="1:33" x14ac:dyDescent="0.2">
      <c r="A152" s="621">
        <f t="shared" si="49"/>
        <v>142</v>
      </c>
      <c r="B152" s="164"/>
      <c r="C152" s="164"/>
      <c r="D152" s="327"/>
      <c r="E152" s="165"/>
      <c r="F152" s="328"/>
      <c r="G152" s="564"/>
      <c r="H152" s="564"/>
      <c r="I152" s="564"/>
      <c r="J152" s="564"/>
      <c r="K152" s="564"/>
      <c r="O152" s="564"/>
      <c r="S152" s="564"/>
      <c r="W152" s="564"/>
      <c r="AA152" s="564"/>
      <c r="AE152" s="564"/>
    </row>
    <row r="153" spans="1:33" x14ac:dyDescent="0.2">
      <c r="A153" s="621">
        <f t="shared" si="49"/>
        <v>143</v>
      </c>
      <c r="B153" s="164" t="str">
        <f>'WP12 Condensed Sch. Level Costs'!A144</f>
        <v>Sch 55 &amp; 56</v>
      </c>
      <c r="C153" s="164"/>
      <c r="D153" s="327"/>
      <c r="E153" s="165"/>
      <c r="F153" s="328"/>
      <c r="G153" s="564"/>
      <c r="H153" s="564"/>
      <c r="I153" s="564"/>
      <c r="J153" s="564"/>
      <c r="K153" s="564"/>
      <c r="O153" s="564"/>
      <c r="S153" s="564"/>
      <c r="W153" s="564"/>
      <c r="AA153" s="564"/>
      <c r="AE153" s="564"/>
    </row>
    <row r="154" spans="1:33" x14ac:dyDescent="0.2">
      <c r="A154" s="621">
        <f t="shared" si="49"/>
        <v>144</v>
      </c>
      <c r="B154" s="164" t="str">
        <f>'WP12 Condensed Sch. Level Costs'!A145</f>
        <v>55E &amp; 56E</v>
      </c>
      <c r="C154" s="164"/>
      <c r="D154" s="327" t="str">
        <f>'WP12 Condensed Sch. Level Costs'!C145</f>
        <v>Sodium Vapor</v>
      </c>
      <c r="E154" s="165" t="str">
        <f>'WP12 Condensed Sch. Level Costs'!D145</f>
        <v>SV 070</v>
      </c>
      <c r="F154" s="328">
        <f>ROUND('Capital Charge'!I152,2)</f>
        <v>9.2100000000000009</v>
      </c>
      <c r="G154" s="564">
        <f>ROUND('O&amp;M Charge'!I152,2)</f>
        <v>2.25</v>
      </c>
      <c r="H154" s="564">
        <f>ROUND('Customer Charge'!I152,2)</f>
        <v>0.47</v>
      </c>
      <c r="I154" s="564">
        <f>ROUND('Demand Charge'!G152,2)</f>
        <v>0.26</v>
      </c>
      <c r="J154" s="564">
        <f>ROUND('Energy Charge'!I152,2)</f>
        <v>1.34</v>
      </c>
      <c r="K154" s="564">
        <f t="shared" ref="K154:K159" si="54">SUM(F154:J154)</f>
        <v>13.530000000000001</v>
      </c>
      <c r="L154" s="564">
        <f t="shared" ref="L154:L159" si="55">K154</f>
        <v>13.530000000000001</v>
      </c>
      <c r="M154" s="564"/>
      <c r="O154" s="564">
        <f>'Sch 141C Lighting Tariff'!J152</f>
        <v>0.01</v>
      </c>
      <c r="P154" s="564">
        <f>'Sch 141C Lighting Tariff'!N152</f>
        <v>0.02</v>
      </c>
      <c r="Q154" s="564"/>
      <c r="S154" s="564">
        <f>'Sch 141N Lighting Tariff'!J154</f>
        <v>1.0900000000000001</v>
      </c>
      <c r="T154" s="564">
        <f>'Sch 141N Lighting Tariff'!N154</f>
        <v>0.76</v>
      </c>
      <c r="U154" s="564"/>
      <c r="W154" s="564">
        <f>'Sch 141R Lighting Tariff'!J154</f>
        <v>0.2</v>
      </c>
      <c r="X154" s="564">
        <f>'Sch 141R Lighting Tariff'!N154</f>
        <v>0.72</v>
      </c>
      <c r="Y154" s="564"/>
      <c r="Z154" s="564"/>
      <c r="AA154" s="564">
        <f>'Sch 141A Lighting Tariff'!J152</f>
        <v>0.05</v>
      </c>
      <c r="AB154" s="564">
        <f>'Sch 141A Lighting Tariff'!N152</f>
        <v>0.05</v>
      </c>
      <c r="AC154" s="564"/>
      <c r="AE154" s="564">
        <f t="shared" ref="AE154:AF159" si="56">K154+O154+S154+W154+AA154</f>
        <v>14.88</v>
      </c>
      <c r="AF154" s="564">
        <f t="shared" si="56"/>
        <v>15.080000000000002</v>
      </c>
      <c r="AG154" s="564"/>
    </row>
    <row r="155" spans="1:33" x14ac:dyDescent="0.2">
      <c r="A155" s="621">
        <f t="shared" si="49"/>
        <v>145</v>
      </c>
      <c r="B155" s="164" t="str">
        <f>'WP12 Condensed Sch. Level Costs'!A146</f>
        <v>55E &amp; 56E</v>
      </c>
      <c r="C155" s="164"/>
      <c r="D155" s="327" t="str">
        <f>'WP12 Condensed Sch. Level Costs'!C146</f>
        <v>Sodium Vapor</v>
      </c>
      <c r="E155" s="165" t="str">
        <f>'WP12 Condensed Sch. Level Costs'!D146</f>
        <v>SV 100</v>
      </c>
      <c r="F155" s="328">
        <f>ROUND('Capital Charge'!I153,2)</f>
        <v>8.68</v>
      </c>
      <c r="G155" s="564">
        <f>ROUND('O&amp;M Charge'!I153,2)</f>
        <v>2.25</v>
      </c>
      <c r="H155" s="564">
        <f>ROUND('Customer Charge'!I153,2)</f>
        <v>0.67</v>
      </c>
      <c r="I155" s="564">
        <f>ROUND('Demand Charge'!G153,2)</f>
        <v>0.37</v>
      </c>
      <c r="J155" s="564">
        <f>ROUND('Energy Charge'!I153,2)</f>
        <v>1.91</v>
      </c>
      <c r="K155" s="564">
        <f t="shared" si="54"/>
        <v>13.879999999999999</v>
      </c>
      <c r="L155" s="564">
        <f t="shared" si="55"/>
        <v>13.879999999999999</v>
      </c>
      <c r="M155" s="564"/>
      <c r="O155" s="564">
        <f>'Sch 141C Lighting Tariff'!J153</f>
        <v>0.02</v>
      </c>
      <c r="P155" s="564">
        <f>'Sch 141C Lighting Tariff'!N153</f>
        <v>0.02</v>
      </c>
      <c r="Q155" s="564"/>
      <c r="S155" s="564">
        <f>'Sch 141N Lighting Tariff'!J155</f>
        <v>1.56</v>
      </c>
      <c r="T155" s="564">
        <f>'Sch 141N Lighting Tariff'!N155</f>
        <v>1.08</v>
      </c>
      <c r="U155" s="564"/>
      <c r="W155" s="564">
        <f>'Sch 141R Lighting Tariff'!J155</f>
        <v>0.28999999999999998</v>
      </c>
      <c r="X155" s="564">
        <f>'Sch 141R Lighting Tariff'!N155</f>
        <v>1.03</v>
      </c>
      <c r="Y155" s="564"/>
      <c r="Z155" s="564"/>
      <c r="AA155" s="564">
        <f>'Sch 141A Lighting Tariff'!J153</f>
        <v>7.0000000000000007E-2</v>
      </c>
      <c r="AB155" s="564">
        <f>'Sch 141A Lighting Tariff'!N153</f>
        <v>7.0000000000000007E-2</v>
      </c>
      <c r="AC155" s="564"/>
      <c r="AE155" s="564">
        <f t="shared" si="56"/>
        <v>15.819999999999999</v>
      </c>
      <c r="AF155" s="564">
        <f t="shared" si="56"/>
        <v>16.079999999999998</v>
      </c>
      <c r="AG155" s="564"/>
    </row>
    <row r="156" spans="1:33" x14ac:dyDescent="0.2">
      <c r="A156" s="621">
        <f t="shared" si="49"/>
        <v>146</v>
      </c>
      <c r="B156" s="164" t="str">
        <f>'WP12 Condensed Sch. Level Costs'!A147</f>
        <v>55E &amp; 56E</v>
      </c>
      <c r="C156" s="164"/>
      <c r="D156" s="327" t="str">
        <f>'WP12 Condensed Sch. Level Costs'!C147</f>
        <v>Sodium Vapor</v>
      </c>
      <c r="E156" s="165" t="str">
        <f>'WP12 Condensed Sch. Level Costs'!D147</f>
        <v>SV 150</v>
      </c>
      <c r="F156" s="328">
        <f>ROUND('Capital Charge'!I154,2)</f>
        <v>8.69</v>
      </c>
      <c r="G156" s="564">
        <f>ROUND('O&amp;M Charge'!I154,2)</f>
        <v>2.25</v>
      </c>
      <c r="H156" s="564">
        <f>ROUND('Customer Charge'!I154,2)</f>
        <v>1</v>
      </c>
      <c r="I156" s="564">
        <f>ROUND('Demand Charge'!G154,2)</f>
        <v>0.56000000000000005</v>
      </c>
      <c r="J156" s="564">
        <f>ROUND('Energy Charge'!I154,2)</f>
        <v>2.86</v>
      </c>
      <c r="K156" s="564">
        <f t="shared" si="54"/>
        <v>15.36</v>
      </c>
      <c r="L156" s="564">
        <f t="shared" si="55"/>
        <v>15.36</v>
      </c>
      <c r="M156" s="564"/>
      <c r="O156" s="564">
        <f>'Sch 141C Lighting Tariff'!J154</f>
        <v>0.03</v>
      </c>
      <c r="P156" s="564">
        <f>'Sch 141C Lighting Tariff'!N154</f>
        <v>0.03</v>
      </c>
      <c r="Q156" s="564"/>
      <c r="S156" s="564">
        <f>'Sch 141N Lighting Tariff'!J156</f>
        <v>2.34</v>
      </c>
      <c r="T156" s="564">
        <f>'Sch 141N Lighting Tariff'!N156</f>
        <v>1.62</v>
      </c>
      <c r="U156" s="564"/>
      <c r="W156" s="564">
        <f>'Sch 141R Lighting Tariff'!J156</f>
        <v>0.44</v>
      </c>
      <c r="X156" s="564">
        <f>'Sch 141R Lighting Tariff'!N156</f>
        <v>1.54</v>
      </c>
      <c r="Y156" s="564"/>
      <c r="Z156" s="564"/>
      <c r="AA156" s="564">
        <f>'Sch 141A Lighting Tariff'!J154</f>
        <v>0.1</v>
      </c>
      <c r="AB156" s="564">
        <f>'Sch 141A Lighting Tariff'!N154</f>
        <v>0.11</v>
      </c>
      <c r="AC156" s="564"/>
      <c r="AE156" s="564">
        <f t="shared" si="56"/>
        <v>18.27</v>
      </c>
      <c r="AF156" s="564">
        <f t="shared" si="56"/>
        <v>18.659999999999997</v>
      </c>
      <c r="AG156" s="564"/>
    </row>
    <row r="157" spans="1:33" x14ac:dyDescent="0.2">
      <c r="A157" s="621">
        <f t="shared" si="49"/>
        <v>147</v>
      </c>
      <c r="B157" s="164" t="str">
        <f>'WP12 Condensed Sch. Level Costs'!A148</f>
        <v>55E &amp; 56E</v>
      </c>
      <c r="C157" s="164"/>
      <c r="D157" s="327" t="str">
        <f>'WP12 Condensed Sch. Level Costs'!C148</f>
        <v>Sodium Vapor</v>
      </c>
      <c r="E157" s="165" t="str">
        <f>'WP12 Condensed Sch. Level Costs'!D148</f>
        <v>SV 200</v>
      </c>
      <c r="F157" s="328">
        <f>ROUND('Capital Charge'!I155,2)</f>
        <v>9.19</v>
      </c>
      <c r="G157" s="564">
        <f>ROUND('O&amp;M Charge'!I155,2)</f>
        <v>2.25</v>
      </c>
      <c r="H157" s="564">
        <f>ROUND('Customer Charge'!I155,2)</f>
        <v>1.34</v>
      </c>
      <c r="I157" s="564">
        <f>ROUND('Demand Charge'!G155,2)</f>
        <v>0.74</v>
      </c>
      <c r="J157" s="564">
        <f>ROUND('Energy Charge'!I155,2)</f>
        <v>3.82</v>
      </c>
      <c r="K157" s="564">
        <f t="shared" si="54"/>
        <v>17.34</v>
      </c>
      <c r="L157" s="564">
        <f t="shared" si="55"/>
        <v>17.34</v>
      </c>
      <c r="M157" s="564"/>
      <c r="O157" s="564">
        <f>'Sch 141C Lighting Tariff'!J155</f>
        <v>0.04</v>
      </c>
      <c r="P157" s="564">
        <f>'Sch 141C Lighting Tariff'!N155</f>
        <v>0.04</v>
      </c>
      <c r="Q157" s="564"/>
      <c r="S157" s="564">
        <f>'Sch 141N Lighting Tariff'!J157</f>
        <v>3.12</v>
      </c>
      <c r="T157" s="564">
        <f>'Sch 141N Lighting Tariff'!N157</f>
        <v>2.16</v>
      </c>
      <c r="U157" s="564"/>
      <c r="W157" s="564">
        <f>'Sch 141R Lighting Tariff'!J157</f>
        <v>0.57999999999999996</v>
      </c>
      <c r="X157" s="564">
        <f>'Sch 141R Lighting Tariff'!N157</f>
        <v>2.06</v>
      </c>
      <c r="Y157" s="564"/>
      <c r="Z157" s="564"/>
      <c r="AA157" s="564">
        <f>'Sch 141A Lighting Tariff'!J155</f>
        <v>0.14000000000000001</v>
      </c>
      <c r="AB157" s="564">
        <f>'Sch 141A Lighting Tariff'!N155</f>
        <v>0.14000000000000001</v>
      </c>
      <c r="AC157" s="564"/>
      <c r="AE157" s="564">
        <f t="shared" si="56"/>
        <v>21.22</v>
      </c>
      <c r="AF157" s="564">
        <f t="shared" si="56"/>
        <v>21.74</v>
      </c>
      <c r="AG157" s="564"/>
    </row>
    <row r="158" spans="1:33" x14ac:dyDescent="0.2">
      <c r="A158" s="621">
        <f t="shared" si="49"/>
        <v>148</v>
      </c>
      <c r="B158" s="164" t="str">
        <f>'WP12 Condensed Sch. Level Costs'!A149</f>
        <v>55E &amp; 56E</v>
      </c>
      <c r="C158" s="164"/>
      <c r="D158" s="327" t="str">
        <f>'WP12 Condensed Sch. Level Costs'!C149</f>
        <v>Sodium Vapor</v>
      </c>
      <c r="E158" s="165" t="str">
        <f>'WP12 Condensed Sch. Level Costs'!D149</f>
        <v>SV 250</v>
      </c>
      <c r="F158" s="328">
        <f>ROUND('Capital Charge'!I156,2)</f>
        <v>9.36</v>
      </c>
      <c r="G158" s="564">
        <f>ROUND('O&amp;M Charge'!I156,2)</f>
        <v>2.25</v>
      </c>
      <c r="H158" s="564">
        <f>ROUND('Customer Charge'!I156,2)</f>
        <v>1.67</v>
      </c>
      <c r="I158" s="564">
        <f>ROUND('Demand Charge'!G156,2)</f>
        <v>0.93</v>
      </c>
      <c r="J158" s="564">
        <f>ROUND('Energy Charge'!I156,2)</f>
        <v>4.7699999999999996</v>
      </c>
      <c r="K158" s="564">
        <f t="shared" si="54"/>
        <v>18.979999999999997</v>
      </c>
      <c r="L158" s="564">
        <f t="shared" si="55"/>
        <v>18.979999999999997</v>
      </c>
      <c r="M158" s="564"/>
      <c r="O158" s="564">
        <f>'Sch 141C Lighting Tariff'!J156</f>
        <v>0.05</v>
      </c>
      <c r="P158" s="564">
        <f>'Sch 141C Lighting Tariff'!N156</f>
        <v>0.06</v>
      </c>
      <c r="Q158" s="564"/>
      <c r="S158" s="564">
        <f>'Sch 141N Lighting Tariff'!J158</f>
        <v>3.9</v>
      </c>
      <c r="T158" s="564">
        <f>'Sch 141N Lighting Tariff'!N158</f>
        <v>2.7</v>
      </c>
      <c r="U158" s="564"/>
      <c r="W158" s="564">
        <f>'Sch 141R Lighting Tariff'!J158</f>
        <v>0.73</v>
      </c>
      <c r="X158" s="564">
        <f>'Sch 141R Lighting Tariff'!N158</f>
        <v>2.57</v>
      </c>
      <c r="Y158" s="564"/>
      <c r="Z158" s="564"/>
      <c r="AA158" s="564">
        <f>'Sch 141A Lighting Tariff'!J156</f>
        <v>0.17</v>
      </c>
      <c r="AB158" s="564">
        <f>'Sch 141A Lighting Tariff'!N156</f>
        <v>0.18</v>
      </c>
      <c r="AC158" s="564"/>
      <c r="AE158" s="564">
        <f t="shared" si="56"/>
        <v>23.83</v>
      </c>
      <c r="AF158" s="564">
        <f t="shared" si="56"/>
        <v>24.489999999999995</v>
      </c>
      <c r="AG158" s="564"/>
    </row>
    <row r="159" spans="1:33" x14ac:dyDescent="0.2">
      <c r="A159" s="621">
        <f t="shared" si="49"/>
        <v>149</v>
      </c>
      <c r="B159" s="164" t="str">
        <f>'WP12 Condensed Sch. Level Costs'!A150</f>
        <v>55E &amp; 56E</v>
      </c>
      <c r="C159" s="164"/>
      <c r="D159" s="327" t="str">
        <f>'WP12 Condensed Sch. Level Costs'!C150</f>
        <v>Sodium Vapor</v>
      </c>
      <c r="E159" s="165" t="str">
        <f>'WP12 Condensed Sch. Level Costs'!D150</f>
        <v>SV 400</v>
      </c>
      <c r="F159" s="328">
        <f>ROUND('Capital Charge'!I157,2)</f>
        <v>10.44</v>
      </c>
      <c r="G159" s="564">
        <f>ROUND('O&amp;M Charge'!I157,2)</f>
        <v>2.25</v>
      </c>
      <c r="H159" s="564">
        <f>ROUND('Customer Charge'!I157,2)</f>
        <v>2.68</v>
      </c>
      <c r="I159" s="564">
        <f>ROUND('Demand Charge'!G157,2)</f>
        <v>1.48</v>
      </c>
      <c r="J159" s="564">
        <f>ROUND('Energy Charge'!I157,2)</f>
        <v>7.64</v>
      </c>
      <c r="K159" s="564">
        <f t="shared" si="54"/>
        <v>24.49</v>
      </c>
      <c r="L159" s="564">
        <f t="shared" si="55"/>
        <v>24.49</v>
      </c>
      <c r="M159" s="564"/>
      <c r="O159" s="564">
        <f>'Sch 141C Lighting Tariff'!J157</f>
        <v>0.08</v>
      </c>
      <c r="P159" s="564">
        <f>'Sch 141C Lighting Tariff'!N157</f>
        <v>0.09</v>
      </c>
      <c r="Q159" s="564"/>
      <c r="S159" s="564">
        <f>'Sch 141N Lighting Tariff'!J159</f>
        <v>6.23</v>
      </c>
      <c r="T159" s="564">
        <f>'Sch 141N Lighting Tariff'!N159</f>
        <v>4.33</v>
      </c>
      <c r="U159" s="564"/>
      <c r="W159" s="564">
        <f>'Sch 141R Lighting Tariff'!J159</f>
        <v>1.17</v>
      </c>
      <c r="X159" s="564">
        <f>'Sch 141R Lighting Tariff'!N159</f>
        <v>4.1100000000000003</v>
      </c>
      <c r="Y159" s="564"/>
      <c r="Z159" s="564"/>
      <c r="AA159" s="564">
        <f>'Sch 141A Lighting Tariff'!J157</f>
        <v>0.28000000000000003</v>
      </c>
      <c r="AB159" s="564">
        <f>'Sch 141A Lighting Tariff'!N157</f>
        <v>0.28999999999999998</v>
      </c>
      <c r="AC159" s="564"/>
      <c r="AE159" s="564">
        <f t="shared" si="56"/>
        <v>32.25</v>
      </c>
      <c r="AF159" s="564">
        <f t="shared" si="56"/>
        <v>33.309999999999995</v>
      </c>
      <c r="AG159" s="564"/>
    </row>
    <row r="160" spans="1:33" x14ac:dyDescent="0.2">
      <c r="A160" s="621">
        <f t="shared" si="49"/>
        <v>150</v>
      </c>
      <c r="B160" s="164"/>
      <c r="C160" s="164"/>
      <c r="D160" s="327"/>
      <c r="E160" s="165"/>
      <c r="F160" s="328"/>
      <c r="G160" s="564"/>
      <c r="H160" s="564"/>
      <c r="I160" s="564"/>
      <c r="J160" s="564"/>
      <c r="K160" s="564"/>
      <c r="O160" s="564"/>
      <c r="S160" s="564"/>
      <c r="W160" s="564"/>
      <c r="AA160" s="564"/>
      <c r="AE160" s="564"/>
    </row>
    <row r="161" spans="1:33" x14ac:dyDescent="0.2">
      <c r="A161" s="621">
        <f t="shared" si="49"/>
        <v>151</v>
      </c>
      <c r="B161" s="164" t="str">
        <f>'WP12 Condensed Sch. Level Costs'!A152</f>
        <v>55E &amp; 56E</v>
      </c>
      <c r="C161" s="164"/>
      <c r="D161" s="327" t="str">
        <f>'WP12 Condensed Sch. Level Costs'!C152</f>
        <v>Metal Halide</v>
      </c>
      <c r="E161" s="165" t="str">
        <f>'WP12 Condensed Sch. Level Costs'!D152</f>
        <v>MH 250</v>
      </c>
      <c r="F161" s="328">
        <f>ROUND('Capital Charge'!I159,2)</f>
        <v>9.2799999999999994</v>
      </c>
      <c r="G161" s="564">
        <f>ROUND('O&amp;M Charge'!I159,2)</f>
        <v>4.51</v>
      </c>
      <c r="H161" s="564">
        <f>ROUND('Customer Charge'!I159,2)</f>
        <v>1.67</v>
      </c>
      <c r="I161" s="564">
        <f>ROUND('Demand Charge'!G159,2)</f>
        <v>0.93</v>
      </c>
      <c r="J161" s="564">
        <f>ROUND('Energy Charge'!I159,2)</f>
        <v>4.7699999999999996</v>
      </c>
      <c r="K161" s="564">
        <f>SUM(F161:J161)</f>
        <v>21.16</v>
      </c>
      <c r="L161" s="564">
        <f>K161</f>
        <v>21.16</v>
      </c>
      <c r="M161" s="564"/>
      <c r="O161" s="564">
        <f>'Sch 141C Lighting Tariff'!J159</f>
        <v>0.05</v>
      </c>
      <c r="P161" s="564">
        <f>'Sch 141C Lighting Tariff'!N159</f>
        <v>0.06</v>
      </c>
      <c r="Q161" s="564"/>
      <c r="S161" s="564">
        <f>'Sch 141N Lighting Tariff'!J161</f>
        <v>3.9</v>
      </c>
      <c r="T161" s="564">
        <f>'Sch 141N Lighting Tariff'!N161</f>
        <v>2.7</v>
      </c>
      <c r="U161" s="564"/>
      <c r="W161" s="564">
        <f>'Sch 141R Lighting Tariff'!J161</f>
        <v>0.73</v>
      </c>
      <c r="X161" s="564">
        <f>'Sch 141R Lighting Tariff'!N161</f>
        <v>2.57</v>
      </c>
      <c r="Y161" s="564"/>
      <c r="Z161" s="564"/>
      <c r="AA161" s="564">
        <f>'Sch 141A Lighting Tariff'!J159</f>
        <v>0.17</v>
      </c>
      <c r="AB161" s="564">
        <f>'Sch 141A Lighting Tariff'!N159</f>
        <v>0.18</v>
      </c>
      <c r="AC161" s="564"/>
      <c r="AE161" s="564">
        <f>K161+O161+S161+W161+AA161</f>
        <v>26.01</v>
      </c>
      <c r="AF161" s="564">
        <f>L161+P161+T161+X161+AB161</f>
        <v>26.669999999999998</v>
      </c>
      <c r="AG161" s="564"/>
    </row>
    <row r="162" spans="1:33" x14ac:dyDescent="0.2">
      <c r="A162" s="621">
        <f t="shared" si="49"/>
        <v>152</v>
      </c>
      <c r="B162" s="164"/>
      <c r="C162" s="164"/>
      <c r="D162" s="327"/>
      <c r="E162" s="165"/>
      <c r="F162" s="328"/>
      <c r="G162" s="564"/>
      <c r="H162" s="564"/>
      <c r="I162" s="564"/>
      <c r="J162" s="564"/>
      <c r="K162" s="564"/>
      <c r="O162" s="564"/>
      <c r="S162" s="564"/>
      <c r="W162" s="564"/>
      <c r="AA162" s="564"/>
      <c r="AE162" s="564"/>
    </row>
    <row r="163" spans="1:33" x14ac:dyDescent="0.2">
      <c r="A163" s="621">
        <f t="shared" si="49"/>
        <v>153</v>
      </c>
      <c r="B163" s="164" t="str">
        <f>'WP12 Condensed Sch. Level Costs'!A154</f>
        <v>55E &amp; 56E</v>
      </c>
      <c r="C163" s="164"/>
      <c r="D163" s="327" t="str">
        <f>'WP12 Condensed Sch. Level Costs'!C154</f>
        <v>Light Emitting Diode</v>
      </c>
      <c r="E163" s="165" t="str">
        <f>'WP12 Condensed Sch. Level Costs'!D154</f>
        <v>LED 0-030</v>
      </c>
      <c r="F163" s="328">
        <f>ROUND('Capital Charge'!I161,2)</f>
        <v>7</v>
      </c>
      <c r="G163" s="564">
        <f>ROUND('O&amp;M Charge'!I161,2)</f>
        <v>0.45</v>
      </c>
      <c r="H163" s="564">
        <f>ROUND('Customer Charge'!I161,2)</f>
        <v>0.1</v>
      </c>
      <c r="I163" s="564">
        <f>ROUND('Demand Charge'!G161,2)</f>
        <v>0.06</v>
      </c>
      <c r="J163" s="564">
        <f>ROUND('Energy Charge'!I161,2)</f>
        <v>0.28999999999999998</v>
      </c>
      <c r="K163" s="564">
        <f t="shared" ref="K163:K172" si="57">SUM(F163:J163)</f>
        <v>7.8999999999999995</v>
      </c>
      <c r="L163" s="564">
        <f t="shared" ref="L163:L172" si="58">K163</f>
        <v>7.8999999999999995</v>
      </c>
      <c r="M163" s="564"/>
      <c r="O163" s="564">
        <f>'Sch 141C Lighting Tariff'!J161</f>
        <v>0</v>
      </c>
      <c r="P163" s="564">
        <f>'Sch 141C Lighting Tariff'!N161</f>
        <v>0</v>
      </c>
      <c r="Q163" s="564"/>
      <c r="S163" s="564">
        <f>'Sch 141N Lighting Tariff'!J163</f>
        <v>0.23</v>
      </c>
      <c r="T163" s="564">
        <f>'Sch 141N Lighting Tariff'!N163</f>
        <v>0.16</v>
      </c>
      <c r="U163" s="564"/>
      <c r="W163" s="564">
        <f>'Sch 141R Lighting Tariff'!J163</f>
        <v>0.04</v>
      </c>
      <c r="X163" s="564">
        <f>'Sch 141R Lighting Tariff'!N163</f>
        <v>0.15</v>
      </c>
      <c r="Y163" s="564"/>
      <c r="Z163" s="564"/>
      <c r="AA163" s="564">
        <f>'Sch 141A Lighting Tariff'!J161</f>
        <v>0.01</v>
      </c>
      <c r="AB163" s="564">
        <f>'Sch 141A Lighting Tariff'!N161</f>
        <v>0.01</v>
      </c>
      <c r="AC163" s="564"/>
      <c r="AE163" s="564">
        <f t="shared" ref="AE163:AE172" si="59">K163+O163+S163+W163+AA163</f>
        <v>8.1799999999999979</v>
      </c>
      <c r="AF163" s="564">
        <f t="shared" ref="AF163:AF172" si="60">L163+P163+T163+X163+AB163</f>
        <v>8.2199999999999989</v>
      </c>
      <c r="AG163" s="564"/>
    </row>
    <row r="164" spans="1:33" x14ac:dyDescent="0.2">
      <c r="A164" s="621">
        <f t="shared" si="49"/>
        <v>154</v>
      </c>
      <c r="B164" s="164" t="str">
        <f>'WP12 Condensed Sch. Level Costs'!A155</f>
        <v>55E &amp; 56E</v>
      </c>
      <c r="C164" s="164"/>
      <c r="D164" s="327" t="str">
        <f>'WP12 Condensed Sch. Level Costs'!C155</f>
        <v>Light Emitting Diode</v>
      </c>
      <c r="E164" s="165" t="str">
        <f>'WP12 Condensed Sch. Level Costs'!D155</f>
        <v>LED 030.01-060</v>
      </c>
      <c r="F164" s="328">
        <f>ROUND('Capital Charge'!I162,2)</f>
        <v>8.1</v>
      </c>
      <c r="G164" s="564">
        <f>ROUND('O&amp;M Charge'!I162,2)</f>
        <v>0.45</v>
      </c>
      <c r="H164" s="564">
        <f>ROUND('Customer Charge'!I162,2)</f>
        <v>0.3</v>
      </c>
      <c r="I164" s="564">
        <f>ROUND('Demand Charge'!G162,2)</f>
        <v>0.17</v>
      </c>
      <c r="J164" s="564">
        <f>ROUND('Energy Charge'!I162,2)</f>
        <v>0.86</v>
      </c>
      <c r="K164" s="564">
        <f t="shared" si="57"/>
        <v>9.879999999999999</v>
      </c>
      <c r="L164" s="564">
        <f t="shared" si="58"/>
        <v>9.879999999999999</v>
      </c>
      <c r="M164" s="564"/>
      <c r="O164" s="564">
        <f>'Sch 141C Lighting Tariff'!J162</f>
        <v>0.01</v>
      </c>
      <c r="P164" s="564">
        <f>'Sch 141C Lighting Tariff'!N162</f>
        <v>0.01</v>
      </c>
      <c r="Q164" s="564"/>
      <c r="S164" s="564">
        <f>'Sch 141N Lighting Tariff'!J164</f>
        <v>0.7</v>
      </c>
      <c r="T164" s="564">
        <f>'Sch 141N Lighting Tariff'!N164</f>
        <v>0.49</v>
      </c>
      <c r="U164" s="564"/>
      <c r="W164" s="564">
        <f>'Sch 141R Lighting Tariff'!J164</f>
        <v>0.13</v>
      </c>
      <c r="X164" s="564">
        <f>'Sch 141R Lighting Tariff'!N164</f>
        <v>0.46</v>
      </c>
      <c r="Y164" s="564"/>
      <c r="Z164" s="564"/>
      <c r="AA164" s="564">
        <f>'Sch 141A Lighting Tariff'!J162</f>
        <v>0.03</v>
      </c>
      <c r="AB164" s="564">
        <f>'Sch 141A Lighting Tariff'!N162</f>
        <v>0.03</v>
      </c>
      <c r="AC164" s="564"/>
      <c r="AE164" s="564">
        <f t="shared" si="59"/>
        <v>10.749999999999998</v>
      </c>
      <c r="AF164" s="564">
        <f t="shared" si="60"/>
        <v>10.87</v>
      </c>
      <c r="AG164" s="564"/>
    </row>
    <row r="165" spans="1:33" x14ac:dyDescent="0.2">
      <c r="A165" s="621">
        <f t="shared" si="49"/>
        <v>155</v>
      </c>
      <c r="B165" s="164" t="str">
        <f>'WP12 Condensed Sch. Level Costs'!A156</f>
        <v>55E &amp; 56E</v>
      </c>
      <c r="C165" s="164"/>
      <c r="D165" s="327" t="str">
        <f>'WP12 Condensed Sch. Level Costs'!C156</f>
        <v>Light Emitting Diode</v>
      </c>
      <c r="E165" s="165" t="str">
        <f>'WP12 Condensed Sch. Level Costs'!D156</f>
        <v>LED 060.01-090</v>
      </c>
      <c r="F165" s="328">
        <f>ROUND('Capital Charge'!I163,2)</f>
        <v>10.76</v>
      </c>
      <c r="G165" s="564">
        <f>ROUND('O&amp;M Charge'!I163,2)</f>
        <v>0.45</v>
      </c>
      <c r="H165" s="564">
        <f>ROUND('Customer Charge'!I163,2)</f>
        <v>0.5</v>
      </c>
      <c r="I165" s="564">
        <f>ROUND('Demand Charge'!G163,2)</f>
        <v>0.28000000000000003</v>
      </c>
      <c r="J165" s="564">
        <f>ROUND('Energy Charge'!I163,2)</f>
        <v>1.43</v>
      </c>
      <c r="K165" s="564">
        <f t="shared" si="57"/>
        <v>13.419999999999998</v>
      </c>
      <c r="L165" s="564">
        <f t="shared" si="58"/>
        <v>13.419999999999998</v>
      </c>
      <c r="M165" s="564"/>
      <c r="O165" s="564">
        <f>'Sch 141C Lighting Tariff'!J163</f>
        <v>0.02</v>
      </c>
      <c r="P165" s="564">
        <f>'Sch 141C Lighting Tariff'!N163</f>
        <v>0.02</v>
      </c>
      <c r="Q165" s="564"/>
      <c r="S165" s="564">
        <f>'Sch 141N Lighting Tariff'!J165</f>
        <v>1.17</v>
      </c>
      <c r="T165" s="564">
        <f>'Sch 141N Lighting Tariff'!N165</f>
        <v>0.81</v>
      </c>
      <c r="U165" s="564"/>
      <c r="W165" s="564">
        <f>'Sch 141R Lighting Tariff'!J165</f>
        <v>0.22</v>
      </c>
      <c r="X165" s="564">
        <f>'Sch 141R Lighting Tariff'!N165</f>
        <v>0.77</v>
      </c>
      <c r="Y165" s="564"/>
      <c r="Z165" s="564"/>
      <c r="AA165" s="564">
        <f>'Sch 141A Lighting Tariff'!J163</f>
        <v>0.05</v>
      </c>
      <c r="AB165" s="564">
        <f>'Sch 141A Lighting Tariff'!N163</f>
        <v>0.05</v>
      </c>
      <c r="AC165" s="564"/>
      <c r="AE165" s="564">
        <f t="shared" si="59"/>
        <v>14.879999999999999</v>
      </c>
      <c r="AF165" s="564">
        <f t="shared" si="60"/>
        <v>15.069999999999999</v>
      </c>
      <c r="AG165" s="564"/>
    </row>
    <row r="166" spans="1:33" x14ac:dyDescent="0.2">
      <c r="A166" s="621">
        <f t="shared" si="49"/>
        <v>156</v>
      </c>
      <c r="B166" s="164" t="str">
        <f>'WP12 Condensed Sch. Level Costs'!A157</f>
        <v>55E &amp; 56E</v>
      </c>
      <c r="C166" s="164"/>
      <c r="D166" s="327" t="str">
        <f>'WP12 Condensed Sch. Level Costs'!C157</f>
        <v>Light Emitting Diode</v>
      </c>
      <c r="E166" s="165" t="str">
        <f>'WP12 Condensed Sch. Level Costs'!D157</f>
        <v>LED 090.01-120</v>
      </c>
      <c r="F166" s="328">
        <f>ROUND('Capital Charge'!I164,2)</f>
        <v>11.08</v>
      </c>
      <c r="G166" s="564">
        <f>ROUND('O&amp;M Charge'!I164,2)</f>
        <v>0.45</v>
      </c>
      <c r="H166" s="564">
        <f>ROUND('Customer Charge'!I164,2)</f>
        <v>0.7</v>
      </c>
      <c r="I166" s="564">
        <f>ROUND('Demand Charge'!G164,2)</f>
        <v>0.39</v>
      </c>
      <c r="J166" s="564">
        <f>ROUND('Energy Charge'!I164,2)</f>
        <v>2</v>
      </c>
      <c r="K166" s="564">
        <f t="shared" si="57"/>
        <v>14.62</v>
      </c>
      <c r="L166" s="564">
        <f t="shared" si="58"/>
        <v>14.62</v>
      </c>
      <c r="M166" s="564"/>
      <c r="O166" s="564">
        <f>'Sch 141C Lighting Tariff'!J164</f>
        <v>0.02</v>
      </c>
      <c r="P166" s="564">
        <f>'Sch 141C Lighting Tariff'!N164</f>
        <v>0.02</v>
      </c>
      <c r="Q166" s="564"/>
      <c r="S166" s="564">
        <f>'Sch 141N Lighting Tariff'!J166</f>
        <v>1.64</v>
      </c>
      <c r="T166" s="564">
        <f>'Sch 141N Lighting Tariff'!N166</f>
        <v>1.1399999999999999</v>
      </c>
      <c r="U166" s="564"/>
      <c r="W166" s="564">
        <f>'Sch 141R Lighting Tariff'!J166</f>
        <v>0.31</v>
      </c>
      <c r="X166" s="564">
        <f>'Sch 141R Lighting Tariff'!N166</f>
        <v>1.08</v>
      </c>
      <c r="Y166" s="564"/>
      <c r="Z166" s="564"/>
      <c r="AA166" s="564">
        <f>'Sch 141A Lighting Tariff'!J164</f>
        <v>7.0000000000000007E-2</v>
      </c>
      <c r="AB166" s="564">
        <f>'Sch 141A Lighting Tariff'!N164</f>
        <v>0.08</v>
      </c>
      <c r="AC166" s="564"/>
      <c r="AE166" s="564">
        <f t="shared" si="59"/>
        <v>16.659999999999997</v>
      </c>
      <c r="AF166" s="564">
        <f t="shared" si="60"/>
        <v>16.939999999999998</v>
      </c>
      <c r="AG166" s="564"/>
    </row>
    <row r="167" spans="1:33" x14ac:dyDescent="0.2">
      <c r="A167" s="621">
        <f t="shared" si="49"/>
        <v>157</v>
      </c>
      <c r="B167" s="164" t="str">
        <f>'WP12 Condensed Sch. Level Costs'!A158</f>
        <v>55E &amp; 56E</v>
      </c>
      <c r="C167" s="164"/>
      <c r="D167" s="327" t="str">
        <f>'WP12 Condensed Sch. Level Costs'!C158</f>
        <v>Light Emitting Diode</v>
      </c>
      <c r="E167" s="165" t="str">
        <f>'WP12 Condensed Sch. Level Costs'!D158</f>
        <v>LED 120.01-150</v>
      </c>
      <c r="F167" s="328">
        <f>ROUND('Capital Charge'!I165,2)</f>
        <v>12.96</v>
      </c>
      <c r="G167" s="564">
        <f>ROUND('O&amp;M Charge'!I165,2)</f>
        <v>0.45</v>
      </c>
      <c r="H167" s="564">
        <f>ROUND('Customer Charge'!I165,2)</f>
        <v>0.9</v>
      </c>
      <c r="I167" s="564">
        <f>ROUND('Demand Charge'!G165,2)</f>
        <v>0.5</v>
      </c>
      <c r="J167" s="564">
        <f>ROUND('Energy Charge'!I165,2)</f>
        <v>2.58</v>
      </c>
      <c r="K167" s="564">
        <f t="shared" si="57"/>
        <v>17.39</v>
      </c>
      <c r="L167" s="564">
        <f t="shared" si="58"/>
        <v>17.39</v>
      </c>
      <c r="M167" s="564"/>
      <c r="O167" s="564">
        <f>'Sch 141C Lighting Tariff'!J165</f>
        <v>0.03</v>
      </c>
      <c r="P167" s="564">
        <f>'Sch 141C Lighting Tariff'!N165</f>
        <v>0.03</v>
      </c>
      <c r="Q167" s="564"/>
      <c r="S167" s="564">
        <f>'Sch 141N Lighting Tariff'!J167</f>
        <v>2.1</v>
      </c>
      <c r="T167" s="564">
        <f>'Sch 141N Lighting Tariff'!N167</f>
        <v>1.46</v>
      </c>
      <c r="U167" s="564"/>
      <c r="W167" s="564">
        <f>'Sch 141R Lighting Tariff'!J167</f>
        <v>0.39</v>
      </c>
      <c r="X167" s="564">
        <f>'Sch 141R Lighting Tariff'!N167</f>
        <v>1.39</v>
      </c>
      <c r="Y167" s="564"/>
      <c r="Z167" s="564"/>
      <c r="AA167" s="564">
        <f>'Sch 141A Lighting Tariff'!J165</f>
        <v>0.09</v>
      </c>
      <c r="AB167" s="564">
        <f>'Sch 141A Lighting Tariff'!N165</f>
        <v>0.1</v>
      </c>
      <c r="AC167" s="564"/>
      <c r="AE167" s="564">
        <f t="shared" si="59"/>
        <v>20.000000000000004</v>
      </c>
      <c r="AF167" s="564">
        <f t="shared" si="60"/>
        <v>20.370000000000005</v>
      </c>
      <c r="AG167" s="564"/>
    </row>
    <row r="168" spans="1:33" x14ac:dyDescent="0.2">
      <c r="A168" s="621">
        <f t="shared" si="49"/>
        <v>158</v>
      </c>
      <c r="B168" s="164" t="str">
        <f>'WP12 Condensed Sch. Level Costs'!A159</f>
        <v>55E &amp; 56E</v>
      </c>
      <c r="C168" s="164"/>
      <c r="D168" s="327" t="str">
        <f>'WP12 Condensed Sch. Level Costs'!C159</f>
        <v>Light Emitting Diode</v>
      </c>
      <c r="E168" s="165" t="str">
        <f>'WP12 Condensed Sch. Level Costs'!D159</f>
        <v>LED 150.01-180</v>
      </c>
      <c r="F168" s="328">
        <f>ROUND('Capital Charge'!I166,2)</f>
        <v>14.46</v>
      </c>
      <c r="G168" s="564">
        <f>ROUND('O&amp;M Charge'!I166,2)</f>
        <v>0.45</v>
      </c>
      <c r="H168" s="564">
        <f>ROUND('Customer Charge'!I166,2)</f>
        <v>1.1000000000000001</v>
      </c>
      <c r="I168" s="564">
        <f>ROUND('Demand Charge'!G166,2)</f>
        <v>0.61</v>
      </c>
      <c r="J168" s="564">
        <f>ROUND('Energy Charge'!I166,2)</f>
        <v>3.15</v>
      </c>
      <c r="K168" s="564">
        <f t="shared" si="57"/>
        <v>19.77</v>
      </c>
      <c r="L168" s="564">
        <f t="shared" si="58"/>
        <v>19.77</v>
      </c>
      <c r="M168" s="564"/>
      <c r="O168" s="564">
        <f>'Sch 141C Lighting Tariff'!J166</f>
        <v>0.03</v>
      </c>
      <c r="P168" s="564">
        <f>'Sch 141C Lighting Tariff'!N166</f>
        <v>0.04</v>
      </c>
      <c r="Q168" s="564"/>
      <c r="S168" s="564">
        <f>'Sch 141N Lighting Tariff'!J168</f>
        <v>2.57</v>
      </c>
      <c r="T168" s="564">
        <f>'Sch 141N Lighting Tariff'!N168</f>
        <v>1.78</v>
      </c>
      <c r="U168" s="564"/>
      <c r="W168" s="564">
        <f>'Sch 141R Lighting Tariff'!J168</f>
        <v>0.48</v>
      </c>
      <c r="X168" s="564">
        <f>'Sch 141R Lighting Tariff'!N168</f>
        <v>1.7</v>
      </c>
      <c r="Y168" s="564"/>
      <c r="Z168" s="564"/>
      <c r="AA168" s="564">
        <f>'Sch 141A Lighting Tariff'!J166</f>
        <v>0.11</v>
      </c>
      <c r="AB168" s="564">
        <f>'Sch 141A Lighting Tariff'!N166</f>
        <v>0.12</v>
      </c>
      <c r="AC168" s="564"/>
      <c r="AE168" s="564">
        <f t="shared" si="59"/>
        <v>22.96</v>
      </c>
      <c r="AF168" s="564">
        <f t="shared" si="60"/>
        <v>23.41</v>
      </c>
      <c r="AG168" s="564"/>
    </row>
    <row r="169" spans="1:33" x14ac:dyDescent="0.2">
      <c r="A169" s="621">
        <f t="shared" si="49"/>
        <v>159</v>
      </c>
      <c r="B169" s="164" t="str">
        <f>'WP12 Condensed Sch. Level Costs'!A160</f>
        <v>55E &amp; 56E</v>
      </c>
      <c r="C169" s="164"/>
      <c r="D169" s="327" t="str">
        <f>'WP12 Condensed Sch. Level Costs'!C160</f>
        <v>Light Emitting Diode</v>
      </c>
      <c r="E169" s="165" t="str">
        <f>'WP12 Condensed Sch. Level Costs'!D160</f>
        <v>LED 180.01-210</v>
      </c>
      <c r="F169" s="328">
        <f>ROUND('Capital Charge'!I167,2)</f>
        <v>15.95</v>
      </c>
      <c r="G169" s="564">
        <f>ROUND('O&amp;M Charge'!I167,2)</f>
        <v>0.45</v>
      </c>
      <c r="H169" s="564">
        <f>ROUND('Customer Charge'!I167,2)</f>
        <v>1.31</v>
      </c>
      <c r="I169" s="564">
        <f>ROUND('Demand Charge'!G167,2)</f>
        <v>0.72</v>
      </c>
      <c r="J169" s="564">
        <f>ROUND('Energy Charge'!I167,2)</f>
        <v>3.72</v>
      </c>
      <c r="K169" s="564">
        <f t="shared" si="57"/>
        <v>22.149999999999995</v>
      </c>
      <c r="L169" s="564">
        <f t="shared" si="58"/>
        <v>22.149999999999995</v>
      </c>
      <c r="M169" s="564"/>
      <c r="O169" s="564">
        <f>'Sch 141C Lighting Tariff'!J167</f>
        <v>0.04</v>
      </c>
      <c r="P169" s="564">
        <f>'Sch 141C Lighting Tariff'!N167</f>
        <v>0.04</v>
      </c>
      <c r="Q169" s="564"/>
      <c r="S169" s="564">
        <f>'Sch 141N Lighting Tariff'!J169</f>
        <v>3.04</v>
      </c>
      <c r="T169" s="564">
        <f>'Sch 141N Lighting Tariff'!N169</f>
        <v>2.11</v>
      </c>
      <c r="U169" s="564"/>
      <c r="W169" s="564">
        <f>'Sch 141R Lighting Tariff'!J169</f>
        <v>0.56999999999999995</v>
      </c>
      <c r="X169" s="564">
        <f>'Sch 141R Lighting Tariff'!N169</f>
        <v>2</v>
      </c>
      <c r="Y169" s="564"/>
      <c r="Z169" s="564"/>
      <c r="AA169" s="564">
        <f>'Sch 141A Lighting Tariff'!J167</f>
        <v>0.14000000000000001</v>
      </c>
      <c r="AB169" s="564">
        <f>'Sch 141A Lighting Tariff'!N167</f>
        <v>0.14000000000000001</v>
      </c>
      <c r="AC169" s="564"/>
      <c r="AE169" s="564">
        <f t="shared" si="59"/>
        <v>25.939999999999994</v>
      </c>
      <c r="AF169" s="564">
        <f t="shared" si="60"/>
        <v>26.439999999999994</v>
      </c>
      <c r="AG169" s="564"/>
    </row>
    <row r="170" spans="1:33" x14ac:dyDescent="0.2">
      <c r="A170" s="621">
        <f t="shared" si="49"/>
        <v>160</v>
      </c>
      <c r="B170" s="164" t="str">
        <f>'WP12 Condensed Sch. Level Costs'!A161</f>
        <v>55E &amp; 56E</v>
      </c>
      <c r="C170" s="164"/>
      <c r="D170" s="327" t="str">
        <f>'WP12 Condensed Sch. Level Costs'!C161</f>
        <v>Light Emitting Diode</v>
      </c>
      <c r="E170" s="165" t="str">
        <f>'WP12 Condensed Sch. Level Costs'!D161</f>
        <v>LED 210.01-240</v>
      </c>
      <c r="F170" s="328">
        <f>ROUND('Capital Charge'!I168,2)</f>
        <v>17.440000000000001</v>
      </c>
      <c r="G170" s="564">
        <f>ROUND('O&amp;M Charge'!I168,2)</f>
        <v>0.45</v>
      </c>
      <c r="H170" s="564">
        <f>ROUND('Customer Charge'!I168,2)</f>
        <v>1.51</v>
      </c>
      <c r="I170" s="564">
        <f>ROUND('Demand Charge'!G168,2)</f>
        <v>0.83</v>
      </c>
      <c r="J170" s="564">
        <f>ROUND('Energy Charge'!I168,2)</f>
        <v>4.3</v>
      </c>
      <c r="K170" s="564">
        <f t="shared" si="57"/>
        <v>24.53</v>
      </c>
      <c r="L170" s="564">
        <f t="shared" si="58"/>
        <v>24.53</v>
      </c>
      <c r="M170" s="564"/>
      <c r="O170" s="564">
        <f>'Sch 141C Lighting Tariff'!J168</f>
        <v>0.05</v>
      </c>
      <c r="P170" s="564">
        <f>'Sch 141C Lighting Tariff'!N168</f>
        <v>0.05</v>
      </c>
      <c r="Q170" s="564"/>
      <c r="S170" s="564">
        <f>'Sch 141N Lighting Tariff'!J170</f>
        <v>3.51</v>
      </c>
      <c r="T170" s="564">
        <f>'Sch 141N Lighting Tariff'!N170</f>
        <v>2.4300000000000002</v>
      </c>
      <c r="U170" s="564"/>
      <c r="W170" s="564">
        <f>'Sch 141R Lighting Tariff'!J170</f>
        <v>0.66</v>
      </c>
      <c r="X170" s="564">
        <f>'Sch 141R Lighting Tariff'!N170</f>
        <v>2.31</v>
      </c>
      <c r="Y170" s="564"/>
      <c r="Z170" s="564"/>
      <c r="AA170" s="564">
        <f>'Sch 141A Lighting Tariff'!J168</f>
        <v>0.16</v>
      </c>
      <c r="AB170" s="564">
        <f>'Sch 141A Lighting Tariff'!N168</f>
        <v>0.16</v>
      </c>
      <c r="AC170" s="564"/>
      <c r="AE170" s="564">
        <f t="shared" si="59"/>
        <v>28.910000000000004</v>
      </c>
      <c r="AF170" s="564">
        <f t="shared" si="60"/>
        <v>29.48</v>
      </c>
      <c r="AG170" s="564"/>
    </row>
    <row r="171" spans="1:33" x14ac:dyDescent="0.2">
      <c r="A171" s="621">
        <f t="shared" si="49"/>
        <v>161</v>
      </c>
      <c r="B171" s="164" t="str">
        <f>'WP12 Condensed Sch. Level Costs'!A162</f>
        <v>55E &amp; 56E</v>
      </c>
      <c r="C171" s="164"/>
      <c r="D171" s="327" t="str">
        <f>'WP12 Condensed Sch. Level Costs'!C162</f>
        <v>Light Emitting Diode</v>
      </c>
      <c r="E171" s="165" t="str">
        <f>'WP12 Condensed Sch. Level Costs'!D162</f>
        <v>LED 240.01-270</v>
      </c>
      <c r="F171" s="328">
        <f>ROUND('Capital Charge'!I169,2)</f>
        <v>18.93</v>
      </c>
      <c r="G171" s="564">
        <f>ROUND('O&amp;M Charge'!I169,2)</f>
        <v>0.45</v>
      </c>
      <c r="H171" s="564">
        <f>ROUND('Customer Charge'!I169,2)</f>
        <v>1.71</v>
      </c>
      <c r="I171" s="564">
        <f>ROUND('Demand Charge'!G169,2)</f>
        <v>0.94</v>
      </c>
      <c r="J171" s="564">
        <f>ROUND('Energy Charge'!I169,2)</f>
        <v>4.87</v>
      </c>
      <c r="K171" s="564">
        <f t="shared" si="57"/>
        <v>26.900000000000002</v>
      </c>
      <c r="L171" s="564">
        <f t="shared" si="58"/>
        <v>26.900000000000002</v>
      </c>
      <c r="M171" s="564"/>
      <c r="O171" s="564">
        <f>'Sch 141C Lighting Tariff'!J169</f>
        <v>0.05</v>
      </c>
      <c r="P171" s="564">
        <f>'Sch 141C Lighting Tariff'!N169</f>
        <v>0.06</v>
      </c>
      <c r="Q171" s="564"/>
      <c r="S171" s="564">
        <f>'Sch 141N Lighting Tariff'!J171</f>
        <v>3.97</v>
      </c>
      <c r="T171" s="564">
        <f>'Sch 141N Lighting Tariff'!N171</f>
        <v>2.76</v>
      </c>
      <c r="U171" s="564"/>
      <c r="W171" s="564">
        <f>'Sch 141R Lighting Tariff'!J171</f>
        <v>0.74</v>
      </c>
      <c r="X171" s="564">
        <f>'Sch 141R Lighting Tariff'!N171</f>
        <v>2.62</v>
      </c>
      <c r="Y171" s="564"/>
      <c r="Z171" s="564"/>
      <c r="AA171" s="564">
        <f>'Sch 141A Lighting Tariff'!J169</f>
        <v>0.18</v>
      </c>
      <c r="AB171" s="564">
        <f>'Sch 141A Lighting Tariff'!N169</f>
        <v>0.18</v>
      </c>
      <c r="AC171" s="564"/>
      <c r="AE171" s="564">
        <f t="shared" si="59"/>
        <v>31.84</v>
      </c>
      <c r="AF171" s="564">
        <f t="shared" si="60"/>
        <v>32.519999999999996</v>
      </c>
      <c r="AG171" s="564"/>
    </row>
    <row r="172" spans="1:33" x14ac:dyDescent="0.2">
      <c r="A172" s="621">
        <f t="shared" si="49"/>
        <v>162</v>
      </c>
      <c r="B172" s="164" t="str">
        <f>'WP12 Condensed Sch. Level Costs'!A163</f>
        <v>55E &amp; 56E</v>
      </c>
      <c r="C172" s="164"/>
      <c r="D172" s="327" t="str">
        <f>'WP12 Condensed Sch. Level Costs'!C163</f>
        <v>Light Emitting Diode</v>
      </c>
      <c r="E172" s="165" t="str">
        <f>'WP12 Condensed Sch. Level Costs'!D163</f>
        <v>LED 270.01-300</v>
      </c>
      <c r="F172" s="328">
        <f>ROUND('Capital Charge'!I170,2)</f>
        <v>20.420000000000002</v>
      </c>
      <c r="G172" s="564">
        <f>ROUND('O&amp;M Charge'!I170,2)</f>
        <v>0.45</v>
      </c>
      <c r="H172" s="564">
        <f>ROUND('Customer Charge'!I170,2)</f>
        <v>1.91</v>
      </c>
      <c r="I172" s="564">
        <f>ROUND('Demand Charge'!G170,2)</f>
        <v>1.06</v>
      </c>
      <c r="J172" s="564">
        <f>ROUND('Energy Charge'!I170,2)</f>
        <v>5.44</v>
      </c>
      <c r="K172" s="564">
        <f t="shared" si="57"/>
        <v>29.28</v>
      </c>
      <c r="L172" s="564">
        <f t="shared" si="58"/>
        <v>29.28</v>
      </c>
      <c r="M172" s="564"/>
      <c r="O172" s="564">
        <f>'Sch 141C Lighting Tariff'!J170</f>
        <v>0.06</v>
      </c>
      <c r="P172" s="564">
        <f>'Sch 141C Lighting Tariff'!N170</f>
        <v>0.06</v>
      </c>
      <c r="Q172" s="564"/>
      <c r="S172" s="564">
        <f>'Sch 141N Lighting Tariff'!J172</f>
        <v>4.4400000000000004</v>
      </c>
      <c r="T172" s="564">
        <f>'Sch 141N Lighting Tariff'!N172</f>
        <v>3.08</v>
      </c>
      <c r="U172" s="564"/>
      <c r="W172" s="564">
        <f>'Sch 141R Lighting Tariff'!J172</f>
        <v>0.83</v>
      </c>
      <c r="X172" s="564">
        <f>'Sch 141R Lighting Tariff'!N172</f>
        <v>2.93</v>
      </c>
      <c r="Y172" s="564"/>
      <c r="Z172" s="564"/>
      <c r="AA172" s="564">
        <f>'Sch 141A Lighting Tariff'!J170</f>
        <v>0.2</v>
      </c>
      <c r="AB172" s="564">
        <f>'Sch 141A Lighting Tariff'!N170</f>
        <v>0.21</v>
      </c>
      <c r="AC172" s="564"/>
      <c r="AE172" s="564">
        <f t="shared" si="59"/>
        <v>34.81</v>
      </c>
      <c r="AF172" s="564">
        <f t="shared" si="60"/>
        <v>35.56</v>
      </c>
      <c r="AG172" s="564"/>
    </row>
    <row r="173" spans="1:33" x14ac:dyDescent="0.2">
      <c r="A173" s="621">
        <f t="shared" si="49"/>
        <v>163</v>
      </c>
      <c r="B173" s="164"/>
      <c r="C173" s="164"/>
      <c r="D173" s="327"/>
      <c r="E173" s="165"/>
      <c r="F173" s="328"/>
      <c r="G173" s="564"/>
      <c r="H173" s="564"/>
      <c r="I173" s="564"/>
      <c r="J173" s="564"/>
      <c r="K173" s="564"/>
      <c r="O173" s="564"/>
      <c r="S173" s="564"/>
      <c r="W173" s="564"/>
      <c r="AA173" s="564"/>
      <c r="AE173" s="564"/>
    </row>
    <row r="174" spans="1:33" x14ac:dyDescent="0.2">
      <c r="A174" s="621">
        <f t="shared" si="49"/>
        <v>164</v>
      </c>
      <c r="B174" s="164" t="str">
        <f>'WP12 Condensed Sch. Level Costs'!A164</f>
        <v>Sch 58 &amp; 59</v>
      </c>
      <c r="C174" s="164"/>
      <c r="D174" s="327"/>
      <c r="E174" s="165"/>
      <c r="F174" s="328"/>
      <c r="G174" s="564"/>
      <c r="H174" s="564"/>
      <c r="I174" s="564"/>
      <c r="J174" s="564"/>
      <c r="K174" s="564"/>
      <c r="O174" s="564"/>
      <c r="S174" s="564"/>
      <c r="W174" s="564"/>
      <c r="AA174" s="564"/>
      <c r="AE174" s="564"/>
    </row>
    <row r="175" spans="1:33" x14ac:dyDescent="0.2">
      <c r="A175" s="621">
        <f t="shared" si="49"/>
        <v>165</v>
      </c>
      <c r="B175" s="164" t="str">
        <f>'WP12 Condensed Sch. Level Costs'!A165</f>
        <v>58E &amp; 59E</v>
      </c>
      <c r="C175" s="164"/>
      <c r="D175" s="327" t="str">
        <f>'WP12 Condensed Sch. Level Costs'!C165</f>
        <v>Sodium Vapor</v>
      </c>
      <c r="E175" s="165" t="str">
        <f>'WP12 Condensed Sch. Level Costs'!D165</f>
        <v>DSV 070</v>
      </c>
      <c r="F175" s="328">
        <f>ROUND('Capital Charge'!I173,2)</f>
        <v>9.2100000000000009</v>
      </c>
      <c r="G175" s="564">
        <f>ROUND('O&amp;M Charge'!I173,2)</f>
        <v>2.25</v>
      </c>
      <c r="H175" s="564">
        <f>ROUND('Customer Charge'!I173,2)</f>
        <v>0.47</v>
      </c>
      <c r="I175" s="564">
        <f>ROUND('Demand Charge'!G173,2)</f>
        <v>0.26</v>
      </c>
      <c r="J175" s="564">
        <f>ROUND('Energy Charge'!I173,2)</f>
        <v>1.34</v>
      </c>
      <c r="K175" s="564">
        <f t="shared" ref="K175:K180" si="61">SUM(F175:J175)</f>
        <v>13.530000000000001</v>
      </c>
      <c r="L175" s="564">
        <f t="shared" ref="L175:L180" si="62">K175</f>
        <v>13.530000000000001</v>
      </c>
      <c r="M175" s="564"/>
      <c r="O175" s="564">
        <f>'Sch 141C Lighting Tariff'!J173</f>
        <v>0.01</v>
      </c>
      <c r="P175" s="564">
        <f>'Sch 141C Lighting Tariff'!N173</f>
        <v>0.02</v>
      </c>
      <c r="Q175" s="564"/>
      <c r="S175" s="564">
        <f>'Sch 141N Lighting Tariff'!J175</f>
        <v>1.0900000000000001</v>
      </c>
      <c r="T175" s="564">
        <f>'Sch 141N Lighting Tariff'!N175</f>
        <v>0.76</v>
      </c>
      <c r="U175" s="564"/>
      <c r="W175" s="564">
        <f>'Sch 141R Lighting Tariff'!J175</f>
        <v>0.2</v>
      </c>
      <c r="X175" s="564">
        <f>'Sch 141R Lighting Tariff'!N175</f>
        <v>0.72</v>
      </c>
      <c r="Y175" s="564"/>
      <c r="Z175" s="564"/>
      <c r="AA175" s="564">
        <f>'Sch 141A Lighting Tariff'!J173</f>
        <v>0.05</v>
      </c>
      <c r="AB175" s="564">
        <f>'Sch 141A Lighting Tariff'!N173</f>
        <v>0.05</v>
      </c>
      <c r="AC175" s="564"/>
      <c r="AE175" s="564">
        <f t="shared" ref="AE175:AF180" si="63">K175+O175+S175+W175+AA175</f>
        <v>14.88</v>
      </c>
      <c r="AF175" s="564">
        <f t="shared" si="63"/>
        <v>15.080000000000002</v>
      </c>
      <c r="AG175" s="564"/>
    </row>
    <row r="176" spans="1:33" x14ac:dyDescent="0.2">
      <c r="A176" s="621">
        <f t="shared" si="49"/>
        <v>166</v>
      </c>
      <c r="B176" s="164" t="str">
        <f>'WP12 Condensed Sch. Level Costs'!A166</f>
        <v>58E &amp; 59E</v>
      </c>
      <c r="C176" s="164"/>
      <c r="D176" s="327" t="str">
        <f>'WP12 Condensed Sch. Level Costs'!C166</f>
        <v>Sodium Vapor</v>
      </c>
      <c r="E176" s="165" t="str">
        <f>'WP12 Condensed Sch. Level Costs'!D166</f>
        <v>DSV 100</v>
      </c>
      <c r="F176" s="328">
        <f>ROUND('Capital Charge'!I174,2)</f>
        <v>8.68</v>
      </c>
      <c r="G176" s="564">
        <f>ROUND('O&amp;M Charge'!I174,2)</f>
        <v>2.25</v>
      </c>
      <c r="H176" s="564">
        <f>ROUND('Customer Charge'!I174,2)</f>
        <v>0.67</v>
      </c>
      <c r="I176" s="564">
        <f>ROUND('Demand Charge'!G174,2)</f>
        <v>0.37</v>
      </c>
      <c r="J176" s="564">
        <f>ROUND('Energy Charge'!I174,2)</f>
        <v>1.91</v>
      </c>
      <c r="K176" s="564">
        <f t="shared" si="61"/>
        <v>13.879999999999999</v>
      </c>
      <c r="L176" s="564">
        <f t="shared" si="62"/>
        <v>13.879999999999999</v>
      </c>
      <c r="M176" s="564"/>
      <c r="O176" s="564">
        <f>'Sch 141C Lighting Tariff'!J174</f>
        <v>0.02</v>
      </c>
      <c r="P176" s="564">
        <f>'Sch 141C Lighting Tariff'!N174</f>
        <v>0.02</v>
      </c>
      <c r="Q176" s="564"/>
      <c r="S176" s="564">
        <f>'Sch 141N Lighting Tariff'!J176</f>
        <v>1.56</v>
      </c>
      <c r="T176" s="564">
        <f>'Sch 141N Lighting Tariff'!N176</f>
        <v>1.08</v>
      </c>
      <c r="U176" s="564"/>
      <c r="W176" s="564">
        <f>'Sch 141R Lighting Tariff'!J176</f>
        <v>0.28999999999999998</v>
      </c>
      <c r="X176" s="564">
        <f>'Sch 141R Lighting Tariff'!N176</f>
        <v>1.03</v>
      </c>
      <c r="Y176" s="564"/>
      <c r="Z176" s="564"/>
      <c r="AA176" s="564">
        <f>'Sch 141A Lighting Tariff'!J174</f>
        <v>7.0000000000000007E-2</v>
      </c>
      <c r="AB176" s="564">
        <f>'Sch 141A Lighting Tariff'!N174</f>
        <v>7.0000000000000007E-2</v>
      </c>
      <c r="AC176" s="564"/>
      <c r="AE176" s="564">
        <f t="shared" si="63"/>
        <v>15.819999999999999</v>
      </c>
      <c r="AF176" s="564">
        <f t="shared" si="63"/>
        <v>16.079999999999998</v>
      </c>
      <c r="AG176" s="564"/>
    </row>
    <row r="177" spans="1:33" x14ac:dyDescent="0.2">
      <c r="A177" s="621">
        <f t="shared" si="49"/>
        <v>167</v>
      </c>
      <c r="B177" s="164" t="str">
        <f>'WP12 Condensed Sch. Level Costs'!A167</f>
        <v>58E &amp; 59E</v>
      </c>
      <c r="C177" s="164"/>
      <c r="D177" s="327" t="str">
        <f>'WP12 Condensed Sch. Level Costs'!C167</f>
        <v>Sodium Vapor</v>
      </c>
      <c r="E177" s="165" t="str">
        <f>'WP12 Condensed Sch. Level Costs'!D167</f>
        <v>DSV 150</v>
      </c>
      <c r="F177" s="328">
        <f>ROUND('Capital Charge'!I175,2)</f>
        <v>8.69</v>
      </c>
      <c r="G177" s="564">
        <f>ROUND('O&amp;M Charge'!I175,2)</f>
        <v>2.25</v>
      </c>
      <c r="H177" s="564">
        <f>ROUND('Customer Charge'!I175,2)</f>
        <v>1</v>
      </c>
      <c r="I177" s="564">
        <f>ROUND('Demand Charge'!G175,2)</f>
        <v>0.56000000000000005</v>
      </c>
      <c r="J177" s="564">
        <f>ROUND('Energy Charge'!I175,2)</f>
        <v>2.86</v>
      </c>
      <c r="K177" s="564">
        <f t="shared" si="61"/>
        <v>15.36</v>
      </c>
      <c r="L177" s="564">
        <f t="shared" si="62"/>
        <v>15.36</v>
      </c>
      <c r="M177" s="564"/>
      <c r="O177" s="564">
        <f>'Sch 141C Lighting Tariff'!J175</f>
        <v>0.03</v>
      </c>
      <c r="P177" s="564">
        <f>'Sch 141C Lighting Tariff'!N175</f>
        <v>0.03</v>
      </c>
      <c r="Q177" s="564"/>
      <c r="S177" s="564">
        <f>'Sch 141N Lighting Tariff'!J177</f>
        <v>2.34</v>
      </c>
      <c r="T177" s="564">
        <f>'Sch 141N Lighting Tariff'!N177</f>
        <v>1.62</v>
      </c>
      <c r="U177" s="564"/>
      <c r="W177" s="564">
        <f>'Sch 141R Lighting Tariff'!J177</f>
        <v>0.44</v>
      </c>
      <c r="X177" s="564">
        <f>'Sch 141R Lighting Tariff'!N177</f>
        <v>1.54</v>
      </c>
      <c r="Y177" s="564"/>
      <c r="Z177" s="564"/>
      <c r="AA177" s="564">
        <f>'Sch 141A Lighting Tariff'!J175</f>
        <v>0.1</v>
      </c>
      <c r="AB177" s="564">
        <f>'Sch 141A Lighting Tariff'!N175</f>
        <v>0.11</v>
      </c>
      <c r="AC177" s="564"/>
      <c r="AE177" s="564">
        <f t="shared" si="63"/>
        <v>18.27</v>
      </c>
      <c r="AF177" s="564">
        <f t="shared" si="63"/>
        <v>18.659999999999997</v>
      </c>
      <c r="AG177" s="564"/>
    </row>
    <row r="178" spans="1:33" x14ac:dyDescent="0.2">
      <c r="A178" s="621">
        <f t="shared" si="49"/>
        <v>168</v>
      </c>
      <c r="B178" s="164" t="str">
        <f>'WP12 Condensed Sch. Level Costs'!A168</f>
        <v>58E &amp; 59E</v>
      </c>
      <c r="C178" s="164"/>
      <c r="D178" s="327" t="str">
        <f>'WP12 Condensed Sch. Level Costs'!C168</f>
        <v>Sodium Vapor</v>
      </c>
      <c r="E178" s="165" t="str">
        <f>'WP12 Condensed Sch. Level Costs'!D168</f>
        <v>DSV 200</v>
      </c>
      <c r="F178" s="328">
        <f>ROUND('Capital Charge'!I176,2)</f>
        <v>9.19</v>
      </c>
      <c r="G178" s="564">
        <f>ROUND('O&amp;M Charge'!I176,2)</f>
        <v>2.25</v>
      </c>
      <c r="H178" s="564">
        <f>ROUND('Customer Charge'!I176,2)</f>
        <v>1.34</v>
      </c>
      <c r="I178" s="564">
        <f>ROUND('Demand Charge'!G176,2)</f>
        <v>0.74</v>
      </c>
      <c r="J178" s="564">
        <f>ROUND('Energy Charge'!I176,2)</f>
        <v>3.82</v>
      </c>
      <c r="K178" s="564">
        <f t="shared" si="61"/>
        <v>17.34</v>
      </c>
      <c r="L178" s="564">
        <f t="shared" si="62"/>
        <v>17.34</v>
      </c>
      <c r="M178" s="564"/>
      <c r="O178" s="564">
        <f>'Sch 141C Lighting Tariff'!J176</f>
        <v>0.04</v>
      </c>
      <c r="P178" s="564">
        <f>'Sch 141C Lighting Tariff'!N176</f>
        <v>0.04</v>
      </c>
      <c r="Q178" s="564"/>
      <c r="S178" s="564">
        <f>'Sch 141N Lighting Tariff'!J178</f>
        <v>3.12</v>
      </c>
      <c r="T178" s="564">
        <f>'Sch 141N Lighting Tariff'!N178</f>
        <v>2.16</v>
      </c>
      <c r="U178" s="564"/>
      <c r="W178" s="564">
        <f>'Sch 141R Lighting Tariff'!J178</f>
        <v>0.57999999999999996</v>
      </c>
      <c r="X178" s="564">
        <f>'Sch 141R Lighting Tariff'!N178</f>
        <v>2.06</v>
      </c>
      <c r="Y178" s="564"/>
      <c r="Z178" s="564"/>
      <c r="AA178" s="564">
        <f>'Sch 141A Lighting Tariff'!J176</f>
        <v>0.14000000000000001</v>
      </c>
      <c r="AB178" s="564">
        <f>'Sch 141A Lighting Tariff'!N176</f>
        <v>0.14000000000000001</v>
      </c>
      <c r="AC178" s="564"/>
      <c r="AE178" s="564">
        <f t="shared" si="63"/>
        <v>21.22</v>
      </c>
      <c r="AF178" s="564">
        <f t="shared" si="63"/>
        <v>21.74</v>
      </c>
      <c r="AG178" s="564"/>
    </row>
    <row r="179" spans="1:33" x14ac:dyDescent="0.2">
      <c r="A179" s="621">
        <f t="shared" si="49"/>
        <v>169</v>
      </c>
      <c r="B179" s="164" t="str">
        <f>'WP12 Condensed Sch. Level Costs'!A169</f>
        <v>58E &amp; 59E</v>
      </c>
      <c r="C179" s="164"/>
      <c r="D179" s="327" t="str">
        <f>'WP12 Condensed Sch. Level Costs'!C169</f>
        <v>Sodium Vapor</v>
      </c>
      <c r="E179" s="165" t="str">
        <f>'WP12 Condensed Sch. Level Costs'!D169</f>
        <v>DSV 250</v>
      </c>
      <c r="F179" s="328">
        <f>ROUND('Capital Charge'!I177,2)</f>
        <v>9.36</v>
      </c>
      <c r="G179" s="564">
        <f>ROUND('O&amp;M Charge'!I177,2)</f>
        <v>2.25</v>
      </c>
      <c r="H179" s="564">
        <f>ROUND('Customer Charge'!I177,2)</f>
        <v>1.67</v>
      </c>
      <c r="I179" s="564">
        <f>ROUND('Demand Charge'!G177,2)</f>
        <v>0.93</v>
      </c>
      <c r="J179" s="564">
        <f>ROUND('Energy Charge'!I177,2)</f>
        <v>4.7699999999999996</v>
      </c>
      <c r="K179" s="564">
        <f t="shared" si="61"/>
        <v>18.979999999999997</v>
      </c>
      <c r="L179" s="564">
        <f t="shared" si="62"/>
        <v>18.979999999999997</v>
      </c>
      <c r="M179" s="564"/>
      <c r="O179" s="564">
        <f>'Sch 141C Lighting Tariff'!J177</f>
        <v>0.05</v>
      </c>
      <c r="P179" s="564">
        <f>'Sch 141C Lighting Tariff'!N177</f>
        <v>0.06</v>
      </c>
      <c r="Q179" s="564"/>
      <c r="S179" s="564">
        <f>'Sch 141N Lighting Tariff'!J179</f>
        <v>3.9</v>
      </c>
      <c r="T179" s="564">
        <f>'Sch 141N Lighting Tariff'!N179</f>
        <v>2.7</v>
      </c>
      <c r="U179" s="564"/>
      <c r="W179" s="564">
        <f>'Sch 141R Lighting Tariff'!J179</f>
        <v>0.73</v>
      </c>
      <c r="X179" s="564">
        <f>'Sch 141R Lighting Tariff'!N179</f>
        <v>2.57</v>
      </c>
      <c r="Y179" s="564"/>
      <c r="Z179" s="564"/>
      <c r="AA179" s="564">
        <f>'Sch 141A Lighting Tariff'!J177</f>
        <v>0.17</v>
      </c>
      <c r="AB179" s="564">
        <f>'Sch 141A Lighting Tariff'!N177</f>
        <v>0.18</v>
      </c>
      <c r="AC179" s="564"/>
      <c r="AE179" s="564">
        <f t="shared" si="63"/>
        <v>23.83</v>
      </c>
      <c r="AF179" s="564">
        <f t="shared" si="63"/>
        <v>24.489999999999995</v>
      </c>
      <c r="AG179" s="564"/>
    </row>
    <row r="180" spans="1:33" x14ac:dyDescent="0.2">
      <c r="A180" s="621">
        <f t="shared" si="49"/>
        <v>170</v>
      </c>
      <c r="B180" s="164" t="str">
        <f>'WP12 Condensed Sch. Level Costs'!A170</f>
        <v>58E &amp; 59E</v>
      </c>
      <c r="C180" s="164"/>
      <c r="D180" s="327" t="str">
        <f>'WP12 Condensed Sch. Level Costs'!C170</f>
        <v>Sodium Vapor</v>
      </c>
      <c r="E180" s="165" t="str">
        <f>'WP12 Condensed Sch. Level Costs'!D170</f>
        <v>DSV 400</v>
      </c>
      <c r="F180" s="328">
        <f>ROUND('Capital Charge'!I178,2)</f>
        <v>10.44</v>
      </c>
      <c r="G180" s="564">
        <f>ROUND('O&amp;M Charge'!I178,2)</f>
        <v>2.25</v>
      </c>
      <c r="H180" s="564">
        <f>ROUND('Customer Charge'!I178,2)</f>
        <v>2.68</v>
      </c>
      <c r="I180" s="564">
        <f>ROUND('Demand Charge'!G178,2)</f>
        <v>1.48</v>
      </c>
      <c r="J180" s="564">
        <f>ROUND('Energy Charge'!I178,2)</f>
        <v>7.64</v>
      </c>
      <c r="K180" s="564">
        <f t="shared" si="61"/>
        <v>24.49</v>
      </c>
      <c r="L180" s="564">
        <f t="shared" si="62"/>
        <v>24.49</v>
      </c>
      <c r="M180" s="564"/>
      <c r="O180" s="564">
        <f>'Sch 141C Lighting Tariff'!J178</f>
        <v>0.08</v>
      </c>
      <c r="P180" s="564">
        <f>'Sch 141C Lighting Tariff'!N178</f>
        <v>0.09</v>
      </c>
      <c r="Q180" s="564"/>
      <c r="S180" s="564">
        <f>'Sch 141N Lighting Tariff'!J180</f>
        <v>6.23</v>
      </c>
      <c r="T180" s="564">
        <f>'Sch 141N Lighting Tariff'!N180</f>
        <v>4.33</v>
      </c>
      <c r="U180" s="564"/>
      <c r="W180" s="564">
        <f>'Sch 141R Lighting Tariff'!J180</f>
        <v>1.17</v>
      </c>
      <c r="X180" s="564">
        <f>'Sch 141R Lighting Tariff'!N180</f>
        <v>4.1100000000000003</v>
      </c>
      <c r="Y180" s="564"/>
      <c r="Z180" s="564"/>
      <c r="AA180" s="564">
        <f>'Sch 141A Lighting Tariff'!J178</f>
        <v>0.28000000000000003</v>
      </c>
      <c r="AB180" s="564">
        <f>'Sch 141A Lighting Tariff'!N178</f>
        <v>0.28999999999999998</v>
      </c>
      <c r="AC180" s="564"/>
      <c r="AE180" s="564">
        <f t="shared" si="63"/>
        <v>32.25</v>
      </c>
      <c r="AF180" s="564">
        <f t="shared" si="63"/>
        <v>33.309999999999995</v>
      </c>
      <c r="AG180" s="564"/>
    </row>
    <row r="181" spans="1:33" x14ac:dyDescent="0.2">
      <c r="A181" s="621">
        <f t="shared" si="49"/>
        <v>171</v>
      </c>
      <c r="B181" s="164"/>
      <c r="C181" s="164"/>
      <c r="D181" s="327"/>
      <c r="E181" s="165"/>
      <c r="F181" s="328"/>
      <c r="G181" s="564"/>
      <c r="H181" s="564"/>
      <c r="I181" s="564"/>
      <c r="J181" s="564"/>
      <c r="K181" s="564"/>
      <c r="O181" s="564"/>
      <c r="S181" s="564"/>
      <c r="W181" s="564"/>
      <c r="AA181" s="564"/>
      <c r="AE181" s="564"/>
    </row>
    <row r="182" spans="1:33" x14ac:dyDescent="0.2">
      <c r="A182" s="621">
        <f t="shared" si="49"/>
        <v>172</v>
      </c>
      <c r="B182" s="164" t="str">
        <f>'WP12 Condensed Sch. Level Costs'!A172</f>
        <v>58E &amp; 59E</v>
      </c>
      <c r="C182" s="164"/>
      <c r="D182" s="327" t="str">
        <f>'WP12 Condensed Sch. Level Costs'!C172</f>
        <v>Sodium Vapor</v>
      </c>
      <c r="E182" s="165" t="str">
        <f>'WP12 Condensed Sch. Level Costs'!D172</f>
        <v>HSV 100</v>
      </c>
      <c r="F182" s="328">
        <f>ROUND('Capital Charge'!I180,2)</f>
        <v>8.68</v>
      </c>
      <c r="G182" s="564">
        <f>ROUND('O&amp;M Charge'!I180,2)</f>
        <v>2.25</v>
      </c>
      <c r="H182" s="564">
        <f>ROUND('Customer Charge'!I180,2)</f>
        <v>0.67</v>
      </c>
      <c r="I182" s="564">
        <f>ROUND('Demand Charge'!G180,2)</f>
        <v>0.37</v>
      </c>
      <c r="J182" s="564">
        <f>ROUND('Energy Charge'!I180,2)</f>
        <v>1.91</v>
      </c>
      <c r="K182" s="564">
        <f>SUM(F182:J182)</f>
        <v>13.879999999999999</v>
      </c>
      <c r="L182" s="564">
        <f t="shared" ref="L182:L186" si="64">K182</f>
        <v>13.879999999999999</v>
      </c>
      <c r="M182" s="564"/>
      <c r="O182" s="564">
        <f>'Sch 141C Lighting Tariff'!J180</f>
        <v>0.02</v>
      </c>
      <c r="P182" s="564">
        <f>'Sch 141C Lighting Tariff'!N180</f>
        <v>0.02</v>
      </c>
      <c r="Q182" s="564"/>
      <c r="S182" s="564">
        <f>'Sch 141N Lighting Tariff'!J182</f>
        <v>1.56</v>
      </c>
      <c r="T182" s="564">
        <f>'Sch 141N Lighting Tariff'!N182</f>
        <v>1.08</v>
      </c>
      <c r="U182" s="564"/>
      <c r="W182" s="564">
        <f>'Sch 141R Lighting Tariff'!J182</f>
        <v>0.28999999999999998</v>
      </c>
      <c r="X182" s="564">
        <f>'Sch 141R Lighting Tariff'!N182</f>
        <v>1.03</v>
      </c>
      <c r="Y182" s="564"/>
      <c r="Z182" s="564"/>
      <c r="AA182" s="564">
        <f>'Sch 141A Lighting Tariff'!J180</f>
        <v>7.0000000000000007E-2</v>
      </c>
      <c r="AB182" s="564">
        <f>'Sch 141A Lighting Tariff'!N180</f>
        <v>7.0000000000000007E-2</v>
      </c>
      <c r="AC182" s="564"/>
      <c r="AE182" s="564">
        <f t="shared" ref="AE182:AF186" si="65">K182+O182+S182+W182+AA182</f>
        <v>15.819999999999999</v>
      </c>
      <c r="AF182" s="564">
        <f t="shared" si="65"/>
        <v>16.079999999999998</v>
      </c>
      <c r="AG182" s="564"/>
    </row>
    <row r="183" spans="1:33" x14ac:dyDescent="0.2">
      <c r="A183" s="621">
        <f t="shared" si="49"/>
        <v>173</v>
      </c>
      <c r="B183" s="164" t="str">
        <f>'WP12 Condensed Sch. Level Costs'!A173</f>
        <v>58E &amp; 59E</v>
      </c>
      <c r="C183" s="164"/>
      <c r="D183" s="327" t="str">
        <f>'WP12 Condensed Sch. Level Costs'!C173</f>
        <v>Sodium Vapor</v>
      </c>
      <c r="E183" s="165" t="str">
        <f>'WP12 Condensed Sch. Level Costs'!D173</f>
        <v>HSV 150</v>
      </c>
      <c r="F183" s="328">
        <f>ROUND('Capital Charge'!I181,2)</f>
        <v>8.69</v>
      </c>
      <c r="G183" s="564">
        <f>ROUND('O&amp;M Charge'!I181,2)</f>
        <v>2.25</v>
      </c>
      <c r="H183" s="564">
        <f>ROUND('Customer Charge'!I181,2)</f>
        <v>1</v>
      </c>
      <c r="I183" s="564">
        <f>ROUND('Demand Charge'!G181,2)</f>
        <v>0.56000000000000005</v>
      </c>
      <c r="J183" s="564">
        <f>ROUND('Energy Charge'!I181,2)</f>
        <v>2.86</v>
      </c>
      <c r="K183" s="564">
        <f>SUM(F183:J183)</f>
        <v>15.36</v>
      </c>
      <c r="L183" s="564">
        <f t="shared" si="64"/>
        <v>15.36</v>
      </c>
      <c r="M183" s="564"/>
      <c r="O183" s="564">
        <f>'Sch 141C Lighting Tariff'!J181</f>
        <v>0.03</v>
      </c>
      <c r="P183" s="564">
        <f>'Sch 141C Lighting Tariff'!N181</f>
        <v>0.03</v>
      </c>
      <c r="Q183" s="564"/>
      <c r="S183" s="564">
        <f>'Sch 141N Lighting Tariff'!J183</f>
        <v>2.34</v>
      </c>
      <c r="T183" s="564">
        <f>'Sch 141N Lighting Tariff'!N183</f>
        <v>1.62</v>
      </c>
      <c r="U183" s="564"/>
      <c r="W183" s="564">
        <f>'Sch 141R Lighting Tariff'!J183</f>
        <v>0.44</v>
      </c>
      <c r="X183" s="564">
        <f>'Sch 141R Lighting Tariff'!N183</f>
        <v>1.54</v>
      </c>
      <c r="Y183" s="564"/>
      <c r="Z183" s="564"/>
      <c r="AA183" s="564">
        <f>'Sch 141A Lighting Tariff'!J181</f>
        <v>0.1</v>
      </c>
      <c r="AB183" s="564">
        <f>'Sch 141A Lighting Tariff'!N181</f>
        <v>0.11</v>
      </c>
      <c r="AC183" s="564"/>
      <c r="AE183" s="564">
        <f t="shared" si="65"/>
        <v>18.27</v>
      </c>
      <c r="AF183" s="564">
        <f t="shared" si="65"/>
        <v>18.659999999999997</v>
      </c>
      <c r="AG183" s="564"/>
    </row>
    <row r="184" spans="1:33" x14ac:dyDescent="0.2">
      <c r="A184" s="621">
        <f t="shared" si="49"/>
        <v>174</v>
      </c>
      <c r="B184" s="164" t="str">
        <f>'WP12 Condensed Sch. Level Costs'!A174</f>
        <v>58E &amp; 59E</v>
      </c>
      <c r="C184" s="164"/>
      <c r="D184" s="327" t="str">
        <f>'WP12 Condensed Sch. Level Costs'!C174</f>
        <v>Sodium Vapor</v>
      </c>
      <c r="E184" s="165" t="str">
        <f>'WP12 Condensed Sch. Level Costs'!D174</f>
        <v>HSV 200</v>
      </c>
      <c r="F184" s="328">
        <f>ROUND('Capital Charge'!I182,2)</f>
        <v>9.19</v>
      </c>
      <c r="G184" s="564">
        <f>ROUND('O&amp;M Charge'!I182,2)</f>
        <v>2.25</v>
      </c>
      <c r="H184" s="564">
        <f>ROUND('Customer Charge'!I182,2)</f>
        <v>1.34</v>
      </c>
      <c r="I184" s="564">
        <f>ROUND('Demand Charge'!G182,2)</f>
        <v>0.74</v>
      </c>
      <c r="J184" s="564">
        <f>ROUND('Energy Charge'!I182,2)</f>
        <v>3.82</v>
      </c>
      <c r="K184" s="564">
        <f>SUM(F184:J184)</f>
        <v>17.34</v>
      </c>
      <c r="L184" s="564">
        <f t="shared" si="64"/>
        <v>17.34</v>
      </c>
      <c r="M184" s="564"/>
      <c r="O184" s="564">
        <f>'Sch 141C Lighting Tariff'!J182</f>
        <v>0.04</v>
      </c>
      <c r="P184" s="564">
        <f>'Sch 141C Lighting Tariff'!N182</f>
        <v>0.04</v>
      </c>
      <c r="Q184" s="564"/>
      <c r="S184" s="564">
        <f>'Sch 141N Lighting Tariff'!J184</f>
        <v>3.12</v>
      </c>
      <c r="T184" s="564">
        <f>'Sch 141N Lighting Tariff'!N184</f>
        <v>2.16</v>
      </c>
      <c r="U184" s="564"/>
      <c r="W184" s="564">
        <f>'Sch 141R Lighting Tariff'!J184</f>
        <v>0.57999999999999996</v>
      </c>
      <c r="X184" s="564">
        <f>'Sch 141R Lighting Tariff'!N184</f>
        <v>2.06</v>
      </c>
      <c r="Y184" s="564"/>
      <c r="Z184" s="564"/>
      <c r="AA184" s="564">
        <f>'Sch 141A Lighting Tariff'!J182</f>
        <v>0.14000000000000001</v>
      </c>
      <c r="AB184" s="564">
        <f>'Sch 141A Lighting Tariff'!N182</f>
        <v>0.14000000000000001</v>
      </c>
      <c r="AC184" s="564"/>
      <c r="AE184" s="564">
        <f t="shared" si="65"/>
        <v>21.22</v>
      </c>
      <c r="AF184" s="564">
        <f t="shared" si="65"/>
        <v>21.74</v>
      </c>
      <c r="AG184" s="564"/>
    </row>
    <row r="185" spans="1:33" x14ac:dyDescent="0.2">
      <c r="A185" s="621">
        <f t="shared" si="49"/>
        <v>175</v>
      </c>
      <c r="B185" s="164" t="str">
        <f>'WP12 Condensed Sch. Level Costs'!A175</f>
        <v>58E &amp; 59E</v>
      </c>
      <c r="C185" s="164"/>
      <c r="D185" s="327" t="str">
        <f>'WP12 Condensed Sch. Level Costs'!C175</f>
        <v>Sodium Vapor</v>
      </c>
      <c r="E185" s="165" t="str">
        <f>'WP12 Condensed Sch. Level Costs'!D175</f>
        <v>HSV 250</v>
      </c>
      <c r="F185" s="328">
        <f>ROUND('Capital Charge'!I183,2)</f>
        <v>9.36</v>
      </c>
      <c r="G185" s="564">
        <f>ROUND('O&amp;M Charge'!I183,2)</f>
        <v>2.25</v>
      </c>
      <c r="H185" s="564">
        <f>ROUND('Customer Charge'!I183,2)</f>
        <v>1.67</v>
      </c>
      <c r="I185" s="564">
        <f>ROUND('Demand Charge'!G183,2)</f>
        <v>0.93</v>
      </c>
      <c r="J185" s="564">
        <f>ROUND('Energy Charge'!I183,2)</f>
        <v>4.7699999999999996</v>
      </c>
      <c r="K185" s="564">
        <f>SUM(F185:J185)</f>
        <v>18.979999999999997</v>
      </c>
      <c r="L185" s="564">
        <f t="shared" si="64"/>
        <v>18.979999999999997</v>
      </c>
      <c r="M185" s="564"/>
      <c r="O185" s="564">
        <f>'Sch 141C Lighting Tariff'!J183</f>
        <v>0.05</v>
      </c>
      <c r="P185" s="564">
        <f>'Sch 141C Lighting Tariff'!N183</f>
        <v>0.06</v>
      </c>
      <c r="Q185" s="564"/>
      <c r="S185" s="564">
        <f>'Sch 141N Lighting Tariff'!J185</f>
        <v>3.9</v>
      </c>
      <c r="T185" s="564">
        <f>'Sch 141N Lighting Tariff'!N185</f>
        <v>2.7</v>
      </c>
      <c r="U185" s="564"/>
      <c r="W185" s="564">
        <f>'Sch 141R Lighting Tariff'!J185</f>
        <v>0.73</v>
      </c>
      <c r="X185" s="564">
        <f>'Sch 141R Lighting Tariff'!N185</f>
        <v>2.57</v>
      </c>
      <c r="Y185" s="564"/>
      <c r="Z185" s="564"/>
      <c r="AA185" s="564">
        <f>'Sch 141A Lighting Tariff'!J183</f>
        <v>0.17</v>
      </c>
      <c r="AB185" s="564">
        <f>'Sch 141A Lighting Tariff'!N183</f>
        <v>0.18</v>
      </c>
      <c r="AC185" s="564"/>
      <c r="AE185" s="564">
        <f t="shared" si="65"/>
        <v>23.83</v>
      </c>
      <c r="AF185" s="564">
        <f t="shared" si="65"/>
        <v>24.489999999999995</v>
      </c>
      <c r="AG185" s="564"/>
    </row>
    <row r="186" spans="1:33" x14ac:dyDescent="0.2">
      <c r="A186" s="621">
        <f t="shared" si="49"/>
        <v>176</v>
      </c>
      <c r="B186" s="164" t="str">
        <f>'WP12 Condensed Sch. Level Costs'!A176</f>
        <v>58E &amp; 59E</v>
      </c>
      <c r="C186" s="164"/>
      <c r="D186" s="327" t="str">
        <f>'WP12 Condensed Sch. Level Costs'!C176</f>
        <v>Sodium Vapor</v>
      </c>
      <c r="E186" s="165" t="str">
        <f>'WP12 Condensed Sch. Level Costs'!D176</f>
        <v>HSV 400</v>
      </c>
      <c r="F186" s="328">
        <f>ROUND('Capital Charge'!I184,2)</f>
        <v>10.44</v>
      </c>
      <c r="G186" s="564">
        <f>ROUND('O&amp;M Charge'!I184,2)</f>
        <v>2.25</v>
      </c>
      <c r="H186" s="564">
        <f>ROUND('Customer Charge'!I184,2)</f>
        <v>2.68</v>
      </c>
      <c r="I186" s="564">
        <f>ROUND('Demand Charge'!G184,2)</f>
        <v>1.48</v>
      </c>
      <c r="J186" s="564">
        <f>ROUND('Energy Charge'!I184,2)</f>
        <v>7.64</v>
      </c>
      <c r="K186" s="564">
        <f>SUM(F186:J186)</f>
        <v>24.49</v>
      </c>
      <c r="L186" s="564">
        <f t="shared" si="64"/>
        <v>24.49</v>
      </c>
      <c r="M186" s="564"/>
      <c r="O186" s="564">
        <f>'Sch 141C Lighting Tariff'!J184</f>
        <v>0.08</v>
      </c>
      <c r="P186" s="564">
        <f>'Sch 141C Lighting Tariff'!N184</f>
        <v>0.09</v>
      </c>
      <c r="Q186" s="564"/>
      <c r="S186" s="564">
        <f>'Sch 141N Lighting Tariff'!J186</f>
        <v>6.23</v>
      </c>
      <c r="T186" s="564">
        <f>'Sch 141N Lighting Tariff'!N186</f>
        <v>4.33</v>
      </c>
      <c r="U186" s="564"/>
      <c r="W186" s="564">
        <f>'Sch 141R Lighting Tariff'!J186</f>
        <v>1.17</v>
      </c>
      <c r="X186" s="564">
        <f>'Sch 141R Lighting Tariff'!N186</f>
        <v>4.1100000000000003</v>
      </c>
      <c r="Y186" s="564"/>
      <c r="Z186" s="564"/>
      <c r="AA186" s="564">
        <f>'Sch 141A Lighting Tariff'!J184</f>
        <v>0.28000000000000003</v>
      </c>
      <c r="AB186" s="564">
        <f>'Sch 141A Lighting Tariff'!N184</f>
        <v>0.28999999999999998</v>
      </c>
      <c r="AC186" s="564"/>
      <c r="AE186" s="564">
        <f t="shared" si="65"/>
        <v>32.25</v>
      </c>
      <c r="AF186" s="564">
        <f t="shared" si="65"/>
        <v>33.309999999999995</v>
      </c>
      <c r="AG186" s="564"/>
    </row>
    <row r="187" spans="1:33" x14ac:dyDescent="0.2">
      <c r="A187" s="621">
        <f t="shared" si="49"/>
        <v>177</v>
      </c>
      <c r="B187" s="164"/>
      <c r="C187" s="164"/>
      <c r="D187" s="327"/>
      <c r="E187" s="165"/>
      <c r="F187" s="328"/>
      <c r="G187" s="564"/>
      <c r="H187" s="564"/>
      <c r="I187" s="564"/>
      <c r="J187" s="564"/>
      <c r="K187" s="564"/>
      <c r="O187" s="564"/>
      <c r="S187" s="564"/>
      <c r="W187" s="564"/>
      <c r="AA187" s="564"/>
      <c r="AE187" s="564"/>
    </row>
    <row r="188" spans="1:33" x14ac:dyDescent="0.2">
      <c r="A188" s="621">
        <f t="shared" si="49"/>
        <v>178</v>
      </c>
      <c r="B188" s="164" t="str">
        <f>'WP12 Condensed Sch. Level Costs'!A178</f>
        <v>58E &amp; 59E</v>
      </c>
      <c r="C188" s="164"/>
      <c r="D188" s="327" t="str">
        <f>'WP12 Condensed Sch. Level Costs'!C178</f>
        <v>Metal Halide</v>
      </c>
      <c r="E188" s="165" t="str">
        <f>'WP12 Condensed Sch. Level Costs'!D178</f>
        <v>DMH 175</v>
      </c>
      <c r="F188" s="328">
        <f>ROUND('Capital Charge'!I186,2)</f>
        <v>8.64</v>
      </c>
      <c r="G188" s="564">
        <f>ROUND('O&amp;M Charge'!I186,2)</f>
        <v>4.51</v>
      </c>
      <c r="H188" s="564">
        <f>ROUND('Customer Charge'!I186,2)</f>
        <v>1.17</v>
      </c>
      <c r="I188" s="564">
        <f>ROUND('Demand Charge'!G186,2)</f>
        <v>0.65</v>
      </c>
      <c r="J188" s="564">
        <f>ROUND('Energy Charge'!I186,2)</f>
        <v>3.34</v>
      </c>
      <c r="K188" s="564">
        <f>SUM(F188:J188)</f>
        <v>18.310000000000002</v>
      </c>
      <c r="L188" s="564">
        <f t="shared" ref="L188:L191" si="66">K188</f>
        <v>18.310000000000002</v>
      </c>
      <c r="M188" s="564"/>
      <c r="O188" s="564">
        <f>'Sch 141C Lighting Tariff'!J186</f>
        <v>0.04</v>
      </c>
      <c r="P188" s="564">
        <f>'Sch 141C Lighting Tariff'!N186</f>
        <v>0.04</v>
      </c>
      <c r="Q188" s="564"/>
      <c r="S188" s="564">
        <f>'Sch 141N Lighting Tariff'!J188</f>
        <v>2.73</v>
      </c>
      <c r="T188" s="564">
        <f>'Sch 141N Lighting Tariff'!N188</f>
        <v>1.89</v>
      </c>
      <c r="U188" s="564"/>
      <c r="W188" s="564">
        <f>'Sch 141R Lighting Tariff'!J188</f>
        <v>0.51</v>
      </c>
      <c r="X188" s="564">
        <f>'Sch 141R Lighting Tariff'!N188</f>
        <v>1.8</v>
      </c>
      <c r="Y188" s="564"/>
      <c r="Z188" s="564"/>
      <c r="AA188" s="564">
        <f>'Sch 141A Lighting Tariff'!J186</f>
        <v>0.12</v>
      </c>
      <c r="AB188" s="564">
        <f>'Sch 141A Lighting Tariff'!N186</f>
        <v>0.13</v>
      </c>
      <c r="AC188" s="564"/>
      <c r="AE188" s="564">
        <f t="shared" ref="AE188:AF191" si="67">K188+O188+S188+W188+AA188</f>
        <v>21.710000000000004</v>
      </c>
      <c r="AF188" s="564">
        <f t="shared" si="67"/>
        <v>22.17</v>
      </c>
      <c r="AG188" s="564"/>
    </row>
    <row r="189" spans="1:33" x14ac:dyDescent="0.2">
      <c r="A189" s="621">
        <f t="shared" si="49"/>
        <v>179</v>
      </c>
      <c r="B189" s="164" t="str">
        <f>'WP12 Condensed Sch. Level Costs'!A179</f>
        <v>58E &amp; 59E</v>
      </c>
      <c r="C189" s="164"/>
      <c r="D189" s="327" t="str">
        <f>'WP12 Condensed Sch. Level Costs'!C179</f>
        <v>Metal Halide</v>
      </c>
      <c r="E189" s="165" t="str">
        <f>'WP12 Condensed Sch. Level Costs'!D179</f>
        <v>DMH 250</v>
      </c>
      <c r="F189" s="328">
        <f>ROUND('Capital Charge'!I187,2)</f>
        <v>9.2799999999999994</v>
      </c>
      <c r="G189" s="564">
        <f>ROUND('O&amp;M Charge'!I187,2)</f>
        <v>4.51</v>
      </c>
      <c r="H189" s="564">
        <f>ROUND('Customer Charge'!I187,2)</f>
        <v>1.67</v>
      </c>
      <c r="I189" s="564">
        <f>ROUND('Demand Charge'!G187,2)</f>
        <v>0.93</v>
      </c>
      <c r="J189" s="564">
        <f>ROUND('Energy Charge'!I187,2)</f>
        <v>4.7699999999999996</v>
      </c>
      <c r="K189" s="564">
        <f>SUM(F189:J189)</f>
        <v>21.16</v>
      </c>
      <c r="L189" s="564">
        <f t="shared" si="66"/>
        <v>21.16</v>
      </c>
      <c r="M189" s="564"/>
      <c r="O189" s="564">
        <f>'Sch 141C Lighting Tariff'!J187</f>
        <v>0.05</v>
      </c>
      <c r="P189" s="564">
        <f>'Sch 141C Lighting Tariff'!N187</f>
        <v>0.06</v>
      </c>
      <c r="Q189" s="564"/>
      <c r="S189" s="564">
        <f>'Sch 141N Lighting Tariff'!J189</f>
        <v>3.9</v>
      </c>
      <c r="T189" s="564">
        <f>'Sch 141N Lighting Tariff'!N189</f>
        <v>2.7</v>
      </c>
      <c r="U189" s="564"/>
      <c r="W189" s="564">
        <f>'Sch 141R Lighting Tariff'!J189</f>
        <v>0.73</v>
      </c>
      <c r="X189" s="564">
        <f>'Sch 141R Lighting Tariff'!N189</f>
        <v>2.57</v>
      </c>
      <c r="Y189" s="564"/>
      <c r="Z189" s="564"/>
      <c r="AA189" s="564">
        <f>'Sch 141A Lighting Tariff'!J187</f>
        <v>0.17</v>
      </c>
      <c r="AB189" s="564">
        <f>'Sch 141A Lighting Tariff'!N187</f>
        <v>0.18</v>
      </c>
      <c r="AC189" s="564"/>
      <c r="AE189" s="564">
        <f t="shared" si="67"/>
        <v>26.01</v>
      </c>
      <c r="AF189" s="564">
        <f t="shared" si="67"/>
        <v>26.669999999999998</v>
      </c>
      <c r="AG189" s="564"/>
    </row>
    <row r="190" spans="1:33" x14ac:dyDescent="0.2">
      <c r="A190" s="621">
        <f t="shared" si="49"/>
        <v>180</v>
      </c>
      <c r="B190" s="164" t="str">
        <f>'WP12 Condensed Sch. Level Costs'!A180</f>
        <v>58E &amp; 59E</v>
      </c>
      <c r="C190" s="164"/>
      <c r="D190" s="327" t="str">
        <f>'WP12 Condensed Sch. Level Costs'!C180</f>
        <v>Metal Halide</v>
      </c>
      <c r="E190" s="165" t="str">
        <f>'WP12 Condensed Sch. Level Costs'!D180</f>
        <v>DMH 400</v>
      </c>
      <c r="F190" s="328">
        <f>ROUND('Capital Charge'!I188,2)</f>
        <v>9.32</v>
      </c>
      <c r="G190" s="564">
        <f>ROUND('O&amp;M Charge'!I188,2)</f>
        <v>4.51</v>
      </c>
      <c r="H190" s="564">
        <f>ROUND('Customer Charge'!I188,2)</f>
        <v>2.68</v>
      </c>
      <c r="I190" s="564">
        <f>ROUND('Demand Charge'!G188,2)</f>
        <v>1.48</v>
      </c>
      <c r="J190" s="564">
        <f>ROUND('Energy Charge'!I188,2)</f>
        <v>7.64</v>
      </c>
      <c r="K190" s="564">
        <f>SUM(F190:J190)</f>
        <v>25.630000000000003</v>
      </c>
      <c r="L190" s="564">
        <f t="shared" si="66"/>
        <v>25.630000000000003</v>
      </c>
      <c r="M190" s="564"/>
      <c r="O190" s="564">
        <f>'Sch 141C Lighting Tariff'!J188</f>
        <v>0.08</v>
      </c>
      <c r="P190" s="564">
        <f>'Sch 141C Lighting Tariff'!N188</f>
        <v>0.09</v>
      </c>
      <c r="Q190" s="564"/>
      <c r="S190" s="564">
        <f>'Sch 141N Lighting Tariff'!J190</f>
        <v>6.23</v>
      </c>
      <c r="T190" s="564">
        <f>'Sch 141N Lighting Tariff'!N190</f>
        <v>4.33</v>
      </c>
      <c r="U190" s="564"/>
      <c r="W190" s="564">
        <f>'Sch 141R Lighting Tariff'!J190</f>
        <v>1.17</v>
      </c>
      <c r="X190" s="564">
        <f>'Sch 141R Lighting Tariff'!N190</f>
        <v>4.1100000000000003</v>
      </c>
      <c r="Y190" s="564"/>
      <c r="Z190" s="564"/>
      <c r="AA190" s="564">
        <f>'Sch 141A Lighting Tariff'!J188</f>
        <v>0.28000000000000003</v>
      </c>
      <c r="AB190" s="564">
        <f>'Sch 141A Lighting Tariff'!N188</f>
        <v>0.28999999999999998</v>
      </c>
      <c r="AC190" s="564"/>
      <c r="AE190" s="564">
        <f t="shared" si="67"/>
        <v>33.39</v>
      </c>
      <c r="AF190" s="564">
        <f t="shared" si="67"/>
        <v>34.450000000000003</v>
      </c>
      <c r="AG190" s="564"/>
    </row>
    <row r="191" spans="1:33" x14ac:dyDescent="0.2">
      <c r="A191" s="621">
        <f t="shared" si="49"/>
        <v>181</v>
      </c>
      <c r="B191" s="164" t="str">
        <f>'WP12 Condensed Sch. Level Costs'!A181</f>
        <v>58E &amp; 59E</v>
      </c>
      <c r="C191" s="164"/>
      <c r="D191" s="327" t="str">
        <f>'WP12 Condensed Sch. Level Costs'!C181</f>
        <v>Metal Halide</v>
      </c>
      <c r="E191" s="165" t="str">
        <f>'WP12 Condensed Sch. Level Costs'!D181</f>
        <v>DMH 1000</v>
      </c>
      <c r="F191" s="328">
        <f>ROUND('Capital Charge'!I189,2)</f>
        <v>12.54</v>
      </c>
      <c r="G191" s="564">
        <f>ROUND('O&amp;M Charge'!I189,2)</f>
        <v>4.51</v>
      </c>
      <c r="H191" s="564">
        <f>ROUND('Customer Charge'!I189,2)</f>
        <v>6.7</v>
      </c>
      <c r="I191" s="564">
        <f>ROUND('Demand Charge'!G189,2)</f>
        <v>3.7</v>
      </c>
      <c r="J191" s="564">
        <f>ROUND('Energy Charge'!I189,2)</f>
        <v>19.09</v>
      </c>
      <c r="K191" s="564">
        <f>SUM(F191:J191)</f>
        <v>46.539999999999992</v>
      </c>
      <c r="L191" s="564">
        <f t="shared" si="66"/>
        <v>46.539999999999992</v>
      </c>
      <c r="M191" s="564"/>
      <c r="O191" s="564">
        <f>'Sch 141C Lighting Tariff'!J189</f>
        <v>0.2</v>
      </c>
      <c r="P191" s="564">
        <f>'Sch 141C Lighting Tariff'!N189</f>
        <v>0.22</v>
      </c>
      <c r="Q191" s="564"/>
      <c r="S191" s="564">
        <f>'Sch 141N Lighting Tariff'!J191</f>
        <v>15.59</v>
      </c>
      <c r="T191" s="564">
        <f>'Sch 141N Lighting Tariff'!N191</f>
        <v>10.82</v>
      </c>
      <c r="U191" s="564"/>
      <c r="W191" s="564">
        <f>'Sch 141R Lighting Tariff'!J191</f>
        <v>2.91</v>
      </c>
      <c r="X191" s="564">
        <f>'Sch 141R Lighting Tariff'!N191</f>
        <v>10.28</v>
      </c>
      <c r="Y191" s="564"/>
      <c r="Z191" s="564"/>
      <c r="AA191" s="564">
        <f>'Sch 141A Lighting Tariff'!J189</f>
        <v>0.69</v>
      </c>
      <c r="AB191" s="564">
        <f>'Sch 141A Lighting Tariff'!N189</f>
        <v>0.72</v>
      </c>
      <c r="AC191" s="564"/>
      <c r="AE191" s="564">
        <f t="shared" si="67"/>
        <v>65.929999999999993</v>
      </c>
      <c r="AF191" s="564">
        <f t="shared" si="67"/>
        <v>68.579999999999984</v>
      </c>
      <c r="AG191" s="564"/>
    </row>
    <row r="192" spans="1:33" x14ac:dyDescent="0.2">
      <c r="A192" s="621">
        <f t="shared" si="49"/>
        <v>182</v>
      </c>
      <c r="B192" s="164"/>
      <c r="C192" s="164"/>
      <c r="D192" s="327"/>
      <c r="E192" s="165"/>
      <c r="F192" s="328"/>
      <c r="G192" s="564"/>
      <c r="H192" s="564"/>
      <c r="I192" s="564"/>
      <c r="J192" s="564"/>
      <c r="K192" s="564"/>
      <c r="O192" s="564"/>
      <c r="S192" s="564"/>
      <c r="W192" s="564"/>
      <c r="AA192" s="564"/>
      <c r="AE192" s="564"/>
    </row>
    <row r="193" spans="1:33" x14ac:dyDescent="0.2">
      <c r="A193" s="621">
        <f t="shared" si="49"/>
        <v>183</v>
      </c>
      <c r="B193" s="164" t="str">
        <f>'WP12 Condensed Sch. Level Costs'!A183</f>
        <v>58E &amp; 59E</v>
      </c>
      <c r="C193" s="164"/>
      <c r="D193" s="327" t="str">
        <f>'WP12 Condensed Sch. Level Costs'!C183</f>
        <v>Metal Halide</v>
      </c>
      <c r="E193" s="165" t="str">
        <f>'WP12 Condensed Sch. Level Costs'!D183</f>
        <v>HMH 250</v>
      </c>
      <c r="F193" s="328">
        <f>ROUND('Capital Charge'!I191,2)</f>
        <v>9.2799999999999994</v>
      </c>
      <c r="G193" s="564">
        <f>ROUND('O&amp;M Charge'!I191,2)</f>
        <v>4.51</v>
      </c>
      <c r="H193" s="564">
        <f>ROUND('Customer Charge'!I191,2)</f>
        <v>1.67</v>
      </c>
      <c r="I193" s="564">
        <f>ROUND('Demand Charge'!G191,2)</f>
        <v>0.93</v>
      </c>
      <c r="J193" s="564">
        <f>ROUND('Energy Charge'!I191,2)</f>
        <v>4.7699999999999996</v>
      </c>
      <c r="K193" s="564">
        <f>SUM(F193:J193)</f>
        <v>21.16</v>
      </c>
      <c r="L193" s="564">
        <f>K193</f>
        <v>21.16</v>
      </c>
      <c r="M193" s="564"/>
      <c r="O193" s="564">
        <f>'Sch 141C Lighting Tariff'!J191</f>
        <v>0.05</v>
      </c>
      <c r="P193" s="564">
        <f>'Sch 141C Lighting Tariff'!N191</f>
        <v>0.06</v>
      </c>
      <c r="Q193" s="564"/>
      <c r="S193" s="564">
        <f>'Sch 141N Lighting Tariff'!J193</f>
        <v>3.9</v>
      </c>
      <c r="T193" s="564">
        <f>'Sch 141N Lighting Tariff'!N193</f>
        <v>2.7</v>
      </c>
      <c r="U193" s="564"/>
      <c r="W193" s="564">
        <f>'Sch 141R Lighting Tariff'!J193</f>
        <v>0.73</v>
      </c>
      <c r="X193" s="564">
        <f>'Sch 141R Lighting Tariff'!N193</f>
        <v>2.57</v>
      </c>
      <c r="Y193" s="564"/>
      <c r="Z193" s="564"/>
      <c r="AA193" s="564">
        <f>'Sch 141A Lighting Tariff'!J191</f>
        <v>0.17</v>
      </c>
      <c r="AB193" s="564">
        <f>'Sch 141A Lighting Tariff'!N191</f>
        <v>0.18</v>
      </c>
      <c r="AC193" s="564"/>
      <c r="AE193" s="564">
        <f t="shared" ref="AE193:AF194" si="68">K193+O193+S193+W193+AA193</f>
        <v>26.01</v>
      </c>
      <c r="AF193" s="564">
        <f t="shared" si="68"/>
        <v>26.669999999999998</v>
      </c>
      <c r="AG193" s="564"/>
    </row>
    <row r="194" spans="1:33" x14ac:dyDescent="0.2">
      <c r="A194" s="621">
        <f t="shared" si="49"/>
        <v>184</v>
      </c>
      <c r="B194" s="164" t="str">
        <f>'WP12 Condensed Sch. Level Costs'!A184</f>
        <v>58E &amp; 59E</v>
      </c>
      <c r="C194" s="164"/>
      <c r="D194" s="327" t="str">
        <f>'WP12 Condensed Sch. Level Costs'!C184</f>
        <v>Metal Halide</v>
      </c>
      <c r="E194" s="165" t="str">
        <f>'WP12 Condensed Sch. Level Costs'!D184</f>
        <v>HMH 400</v>
      </c>
      <c r="F194" s="328">
        <f>ROUND('Capital Charge'!I192,2)</f>
        <v>9.32</v>
      </c>
      <c r="G194" s="564">
        <f>ROUND('O&amp;M Charge'!I192,2)</f>
        <v>4.51</v>
      </c>
      <c r="H194" s="564">
        <f>ROUND('Customer Charge'!I192,2)</f>
        <v>2.68</v>
      </c>
      <c r="I194" s="564">
        <f>ROUND('Demand Charge'!G192,2)</f>
        <v>1.48</v>
      </c>
      <c r="J194" s="564">
        <f>ROUND('Energy Charge'!I192,2)</f>
        <v>7.64</v>
      </c>
      <c r="K194" s="564">
        <f>SUM(F194:J194)</f>
        <v>25.630000000000003</v>
      </c>
      <c r="L194" s="564">
        <f>K194</f>
        <v>25.630000000000003</v>
      </c>
      <c r="M194" s="564"/>
      <c r="O194" s="564">
        <f>'Sch 141C Lighting Tariff'!J192</f>
        <v>0.08</v>
      </c>
      <c r="P194" s="564">
        <f>'Sch 141C Lighting Tariff'!N192</f>
        <v>0.09</v>
      </c>
      <c r="Q194" s="564"/>
      <c r="S194" s="564">
        <f>'Sch 141N Lighting Tariff'!J194</f>
        <v>6.23</v>
      </c>
      <c r="T194" s="564">
        <f>'Sch 141N Lighting Tariff'!N194</f>
        <v>4.33</v>
      </c>
      <c r="U194" s="564"/>
      <c r="W194" s="564">
        <f>'Sch 141R Lighting Tariff'!J194</f>
        <v>1.17</v>
      </c>
      <c r="X194" s="564">
        <f>'Sch 141R Lighting Tariff'!N194</f>
        <v>4.1100000000000003</v>
      </c>
      <c r="Y194" s="564"/>
      <c r="Z194" s="564"/>
      <c r="AA194" s="564">
        <f>'Sch 141A Lighting Tariff'!J192</f>
        <v>0.28000000000000003</v>
      </c>
      <c r="AB194" s="564">
        <f>'Sch 141A Lighting Tariff'!N192</f>
        <v>0.28999999999999998</v>
      </c>
      <c r="AC194" s="564"/>
      <c r="AE194" s="564">
        <f t="shared" si="68"/>
        <v>33.39</v>
      </c>
      <c r="AF194" s="564">
        <f t="shared" si="68"/>
        <v>34.450000000000003</v>
      </c>
      <c r="AG194" s="564"/>
    </row>
    <row r="195" spans="1:33" x14ac:dyDescent="0.2">
      <c r="A195" s="621">
        <f t="shared" si="49"/>
        <v>185</v>
      </c>
      <c r="B195" s="164"/>
      <c r="C195" s="164"/>
      <c r="D195" s="327"/>
      <c r="E195" s="165"/>
      <c r="F195" s="328"/>
      <c r="G195" s="564"/>
      <c r="H195" s="564"/>
      <c r="I195" s="564"/>
      <c r="J195" s="564"/>
      <c r="K195" s="564"/>
      <c r="O195" s="564"/>
      <c r="S195" s="564"/>
      <c r="W195" s="564"/>
      <c r="AA195" s="564"/>
      <c r="AE195" s="564"/>
    </row>
    <row r="196" spans="1:33" x14ac:dyDescent="0.2">
      <c r="A196" s="621">
        <f t="shared" si="49"/>
        <v>186</v>
      </c>
      <c r="B196" s="164" t="str">
        <f>'WP12 Condensed Sch. Level Costs'!A186</f>
        <v>58E &amp; 59E</v>
      </c>
      <c r="C196" s="164"/>
      <c r="D196" s="327" t="str">
        <f>'WP12 Condensed Sch. Level Costs'!C186</f>
        <v>Light Emitting Diode</v>
      </c>
      <c r="E196" s="165" t="str">
        <f>'WP12 Condensed Sch. Level Costs'!D186</f>
        <v>LED 0-030</v>
      </c>
      <c r="F196" s="328">
        <f>ROUND('Capital Charge'!I194,2)</f>
        <v>7.75</v>
      </c>
      <c r="G196" s="564">
        <f>ROUND('O&amp;M Charge'!I194,2)</f>
        <v>0.45</v>
      </c>
      <c r="H196" s="564">
        <f>ROUND('Customer Charge'!I194,2)</f>
        <v>0.1</v>
      </c>
      <c r="I196" s="564">
        <f>ROUND('Demand Charge'!G194,2)</f>
        <v>0.06</v>
      </c>
      <c r="J196" s="564">
        <f>ROUND('Energy Charge'!I194,2)</f>
        <v>0.28999999999999998</v>
      </c>
      <c r="K196" s="564">
        <f t="shared" ref="K196:K211" si="69">SUM(F196:J196)</f>
        <v>8.6499999999999986</v>
      </c>
      <c r="L196" s="564">
        <f t="shared" ref="L196:L211" si="70">K196</f>
        <v>8.6499999999999986</v>
      </c>
      <c r="M196" s="564"/>
      <c r="O196" s="564">
        <f>'Sch 141C Lighting Tariff'!J194</f>
        <v>0</v>
      </c>
      <c r="P196" s="564">
        <f>'Sch 141C Lighting Tariff'!N194</f>
        <v>0</v>
      </c>
      <c r="Q196" s="564"/>
      <c r="S196" s="564">
        <f>'Sch 141N Lighting Tariff'!J196</f>
        <v>0.23</v>
      </c>
      <c r="T196" s="564">
        <f>'Sch 141N Lighting Tariff'!N196</f>
        <v>0.16</v>
      </c>
      <c r="U196" s="564"/>
      <c r="W196" s="564">
        <f>'Sch 141R Lighting Tariff'!J196</f>
        <v>0.04</v>
      </c>
      <c r="X196" s="564">
        <f>'Sch 141R Lighting Tariff'!N196</f>
        <v>0.15</v>
      </c>
      <c r="Y196" s="564"/>
      <c r="Z196" s="564"/>
      <c r="AA196" s="564">
        <f>'Sch 141A Lighting Tariff'!J194</f>
        <v>0.01</v>
      </c>
      <c r="AB196" s="564">
        <f>'Sch 141A Lighting Tariff'!N194</f>
        <v>0.01</v>
      </c>
      <c r="AC196" s="564"/>
      <c r="AE196" s="564">
        <f t="shared" ref="AE196:AE211" si="71">K196+O196+S196+W196+AA196</f>
        <v>8.9299999999999979</v>
      </c>
      <c r="AF196" s="564">
        <f t="shared" ref="AF196:AF211" si="72">L196+P196+T196+X196+AB196</f>
        <v>8.9699999999999989</v>
      </c>
      <c r="AG196" s="564"/>
    </row>
    <row r="197" spans="1:33" x14ac:dyDescent="0.2">
      <c r="A197" s="621">
        <f t="shared" si="49"/>
        <v>187</v>
      </c>
      <c r="B197" s="164" t="str">
        <f>'WP12 Condensed Sch. Level Costs'!A187</f>
        <v>58E &amp; 59E</v>
      </c>
      <c r="C197" s="164"/>
      <c r="D197" s="327" t="str">
        <f>'WP12 Condensed Sch. Level Costs'!C187</f>
        <v>Light Emitting Diode</v>
      </c>
      <c r="E197" s="165" t="str">
        <f>'WP12 Condensed Sch. Level Costs'!D187</f>
        <v>LED 030.01-060</v>
      </c>
      <c r="F197" s="328">
        <f>ROUND('Capital Charge'!I195,2)</f>
        <v>9.3000000000000007</v>
      </c>
      <c r="G197" s="564">
        <f>ROUND('O&amp;M Charge'!I195,2)</f>
        <v>0.45</v>
      </c>
      <c r="H197" s="564">
        <f>ROUND('Customer Charge'!I195,2)</f>
        <v>0.3</v>
      </c>
      <c r="I197" s="564">
        <f>ROUND('Demand Charge'!G195,2)</f>
        <v>0.17</v>
      </c>
      <c r="J197" s="564">
        <f>ROUND('Energy Charge'!I195,2)</f>
        <v>0.86</v>
      </c>
      <c r="K197" s="564">
        <f t="shared" si="69"/>
        <v>11.08</v>
      </c>
      <c r="L197" s="564">
        <f t="shared" si="70"/>
        <v>11.08</v>
      </c>
      <c r="M197" s="564"/>
      <c r="O197" s="564">
        <f>'Sch 141C Lighting Tariff'!J195</f>
        <v>0.01</v>
      </c>
      <c r="P197" s="564">
        <f>'Sch 141C Lighting Tariff'!N195</f>
        <v>0.01</v>
      </c>
      <c r="Q197" s="564"/>
      <c r="S197" s="564">
        <f>'Sch 141N Lighting Tariff'!J197</f>
        <v>0.7</v>
      </c>
      <c r="T197" s="564">
        <f>'Sch 141N Lighting Tariff'!N197</f>
        <v>0.49</v>
      </c>
      <c r="U197" s="564"/>
      <c r="W197" s="564">
        <f>'Sch 141R Lighting Tariff'!J197</f>
        <v>0.13</v>
      </c>
      <c r="X197" s="564">
        <f>'Sch 141R Lighting Tariff'!N197</f>
        <v>0.46</v>
      </c>
      <c r="Y197" s="564"/>
      <c r="Z197" s="564"/>
      <c r="AA197" s="564">
        <f>'Sch 141A Lighting Tariff'!J195</f>
        <v>0.03</v>
      </c>
      <c r="AB197" s="564">
        <f>'Sch 141A Lighting Tariff'!N195</f>
        <v>0.03</v>
      </c>
      <c r="AC197" s="564"/>
      <c r="AE197" s="564">
        <f t="shared" si="71"/>
        <v>11.95</v>
      </c>
      <c r="AF197" s="564">
        <f t="shared" si="72"/>
        <v>12.07</v>
      </c>
      <c r="AG197" s="564"/>
    </row>
    <row r="198" spans="1:33" x14ac:dyDescent="0.2">
      <c r="A198" s="621">
        <f t="shared" si="49"/>
        <v>188</v>
      </c>
      <c r="B198" s="164" t="str">
        <f>'WP12 Condensed Sch. Level Costs'!A188</f>
        <v>58E &amp; 59E</v>
      </c>
      <c r="C198" s="164"/>
      <c r="D198" s="327" t="str">
        <f>'WP12 Condensed Sch. Level Costs'!C188</f>
        <v>Light Emitting Diode</v>
      </c>
      <c r="E198" s="165" t="str">
        <f>'WP12 Condensed Sch. Level Costs'!D188</f>
        <v>LED 060.01-090</v>
      </c>
      <c r="F198" s="328">
        <f>ROUND('Capital Charge'!I196,2)</f>
        <v>10.86</v>
      </c>
      <c r="G198" s="564">
        <f>ROUND('O&amp;M Charge'!I196,2)</f>
        <v>0.45</v>
      </c>
      <c r="H198" s="564">
        <f>ROUND('Customer Charge'!I196,2)</f>
        <v>0.5</v>
      </c>
      <c r="I198" s="564">
        <f>ROUND('Demand Charge'!G196,2)</f>
        <v>0.28000000000000003</v>
      </c>
      <c r="J198" s="564">
        <f>ROUND('Energy Charge'!I196,2)</f>
        <v>1.43</v>
      </c>
      <c r="K198" s="564">
        <f t="shared" si="69"/>
        <v>13.519999999999998</v>
      </c>
      <c r="L198" s="564">
        <f t="shared" si="70"/>
        <v>13.519999999999998</v>
      </c>
      <c r="M198" s="564"/>
      <c r="O198" s="564">
        <f>'Sch 141C Lighting Tariff'!J196</f>
        <v>0.02</v>
      </c>
      <c r="P198" s="564">
        <f>'Sch 141C Lighting Tariff'!N196</f>
        <v>0.02</v>
      </c>
      <c r="Q198" s="564"/>
      <c r="S198" s="564">
        <f>'Sch 141N Lighting Tariff'!J198</f>
        <v>1.17</v>
      </c>
      <c r="T198" s="564">
        <f>'Sch 141N Lighting Tariff'!N198</f>
        <v>0.81</v>
      </c>
      <c r="U198" s="564"/>
      <c r="W198" s="564">
        <f>'Sch 141R Lighting Tariff'!J198</f>
        <v>0.22</v>
      </c>
      <c r="X198" s="564">
        <f>'Sch 141R Lighting Tariff'!N198</f>
        <v>0.77</v>
      </c>
      <c r="Y198" s="564"/>
      <c r="Z198" s="564"/>
      <c r="AA198" s="564">
        <f>'Sch 141A Lighting Tariff'!J196</f>
        <v>0.05</v>
      </c>
      <c r="AB198" s="564">
        <f>'Sch 141A Lighting Tariff'!N196</f>
        <v>0.05</v>
      </c>
      <c r="AC198" s="564"/>
      <c r="AE198" s="564">
        <f t="shared" si="71"/>
        <v>14.979999999999999</v>
      </c>
      <c r="AF198" s="564">
        <f t="shared" si="72"/>
        <v>15.169999999999998</v>
      </c>
      <c r="AG198" s="564"/>
    </row>
    <row r="199" spans="1:33" x14ac:dyDescent="0.2">
      <c r="A199" s="621">
        <f t="shared" si="49"/>
        <v>189</v>
      </c>
      <c r="B199" s="164" t="str">
        <f>'WP12 Condensed Sch. Level Costs'!A189</f>
        <v>58E &amp; 59E</v>
      </c>
      <c r="C199" s="164"/>
      <c r="D199" s="327" t="str">
        <f>'WP12 Condensed Sch. Level Costs'!C189</f>
        <v>Light Emitting Diode</v>
      </c>
      <c r="E199" s="165" t="str">
        <f>'WP12 Condensed Sch. Level Costs'!D189</f>
        <v>LED 090.01-120</v>
      </c>
      <c r="F199" s="328">
        <f>ROUND('Capital Charge'!I197,2)</f>
        <v>12.42</v>
      </c>
      <c r="G199" s="564">
        <f>ROUND('O&amp;M Charge'!I197,2)</f>
        <v>0.45</v>
      </c>
      <c r="H199" s="564">
        <f>ROUND('Customer Charge'!I197,2)</f>
        <v>0.7</v>
      </c>
      <c r="I199" s="564">
        <f>ROUND('Demand Charge'!G197,2)</f>
        <v>0.39</v>
      </c>
      <c r="J199" s="564">
        <f>ROUND('Energy Charge'!I197,2)</f>
        <v>2</v>
      </c>
      <c r="K199" s="564">
        <f t="shared" si="69"/>
        <v>15.959999999999999</v>
      </c>
      <c r="L199" s="564">
        <f t="shared" si="70"/>
        <v>15.959999999999999</v>
      </c>
      <c r="M199" s="564"/>
      <c r="O199" s="564">
        <f>'Sch 141C Lighting Tariff'!J197</f>
        <v>0.02</v>
      </c>
      <c r="P199" s="564">
        <f>'Sch 141C Lighting Tariff'!N197</f>
        <v>0.02</v>
      </c>
      <c r="Q199" s="564"/>
      <c r="S199" s="564">
        <f>'Sch 141N Lighting Tariff'!J199</f>
        <v>1.64</v>
      </c>
      <c r="T199" s="564">
        <f>'Sch 141N Lighting Tariff'!N199</f>
        <v>1.1399999999999999</v>
      </c>
      <c r="U199" s="564"/>
      <c r="W199" s="564">
        <f>'Sch 141R Lighting Tariff'!J199</f>
        <v>0.31</v>
      </c>
      <c r="X199" s="564">
        <f>'Sch 141R Lighting Tariff'!N199</f>
        <v>1.08</v>
      </c>
      <c r="Y199" s="564"/>
      <c r="Z199" s="564"/>
      <c r="AA199" s="564">
        <f>'Sch 141A Lighting Tariff'!J197</f>
        <v>7.0000000000000007E-2</v>
      </c>
      <c r="AB199" s="564">
        <f>'Sch 141A Lighting Tariff'!N197</f>
        <v>0.08</v>
      </c>
      <c r="AC199" s="564"/>
      <c r="AE199" s="564">
        <f t="shared" si="71"/>
        <v>17.999999999999996</v>
      </c>
      <c r="AF199" s="564">
        <f t="shared" si="72"/>
        <v>18.279999999999994</v>
      </c>
      <c r="AG199" s="564"/>
    </row>
    <row r="200" spans="1:33" x14ac:dyDescent="0.2">
      <c r="A200" s="621">
        <f t="shared" si="49"/>
        <v>190</v>
      </c>
      <c r="B200" s="164" t="str">
        <f>'WP12 Condensed Sch. Level Costs'!A190</f>
        <v>58E &amp; 59E</v>
      </c>
      <c r="C200" s="164"/>
      <c r="D200" s="327" t="str">
        <f>'WP12 Condensed Sch. Level Costs'!C190</f>
        <v>Light Emitting Diode</v>
      </c>
      <c r="E200" s="165" t="str">
        <f>'WP12 Condensed Sch. Level Costs'!D190</f>
        <v>LED 120.01-150</v>
      </c>
      <c r="F200" s="328">
        <f>ROUND('Capital Charge'!I198,2)</f>
        <v>13.98</v>
      </c>
      <c r="G200" s="564">
        <f>ROUND('O&amp;M Charge'!I198,2)</f>
        <v>0.45</v>
      </c>
      <c r="H200" s="564">
        <f>ROUND('Customer Charge'!I198,2)</f>
        <v>0.9</v>
      </c>
      <c r="I200" s="564">
        <f>ROUND('Demand Charge'!G198,2)</f>
        <v>0.5</v>
      </c>
      <c r="J200" s="564">
        <f>ROUND('Energy Charge'!I198,2)</f>
        <v>2.58</v>
      </c>
      <c r="K200" s="564">
        <f t="shared" si="69"/>
        <v>18.41</v>
      </c>
      <c r="L200" s="564">
        <f t="shared" si="70"/>
        <v>18.41</v>
      </c>
      <c r="M200" s="564"/>
      <c r="O200" s="564">
        <f>'Sch 141C Lighting Tariff'!J198</f>
        <v>0.03</v>
      </c>
      <c r="P200" s="564">
        <f>'Sch 141C Lighting Tariff'!N198</f>
        <v>0.03</v>
      </c>
      <c r="Q200" s="564"/>
      <c r="S200" s="564">
        <f>'Sch 141N Lighting Tariff'!J200</f>
        <v>2.1</v>
      </c>
      <c r="T200" s="564">
        <f>'Sch 141N Lighting Tariff'!N200</f>
        <v>1.46</v>
      </c>
      <c r="U200" s="564"/>
      <c r="W200" s="564">
        <f>'Sch 141R Lighting Tariff'!J200</f>
        <v>0.39</v>
      </c>
      <c r="X200" s="564">
        <f>'Sch 141R Lighting Tariff'!N200</f>
        <v>1.39</v>
      </c>
      <c r="Y200" s="564"/>
      <c r="Z200" s="564"/>
      <c r="AA200" s="564">
        <f>'Sch 141A Lighting Tariff'!J198</f>
        <v>0.09</v>
      </c>
      <c r="AB200" s="564">
        <f>'Sch 141A Lighting Tariff'!N198</f>
        <v>0.1</v>
      </c>
      <c r="AC200" s="564"/>
      <c r="AE200" s="564">
        <f t="shared" si="71"/>
        <v>21.020000000000003</v>
      </c>
      <c r="AF200" s="564">
        <f t="shared" si="72"/>
        <v>21.390000000000004</v>
      </c>
      <c r="AG200" s="564"/>
    </row>
    <row r="201" spans="1:33" x14ac:dyDescent="0.2">
      <c r="A201" s="621">
        <f t="shared" si="49"/>
        <v>191</v>
      </c>
      <c r="B201" s="164" t="str">
        <f>'WP12 Condensed Sch. Level Costs'!A191</f>
        <v>58E &amp; 59E</v>
      </c>
      <c r="C201" s="164"/>
      <c r="D201" s="327" t="str">
        <f>'WP12 Condensed Sch. Level Costs'!C191</f>
        <v>Light Emitting Diode</v>
      </c>
      <c r="E201" s="165" t="str">
        <f>'WP12 Condensed Sch. Level Costs'!D191</f>
        <v>LED 150.01-180</v>
      </c>
      <c r="F201" s="328">
        <f>ROUND('Capital Charge'!I199,2)</f>
        <v>15.54</v>
      </c>
      <c r="G201" s="564">
        <f>ROUND('O&amp;M Charge'!I199,2)</f>
        <v>0.45</v>
      </c>
      <c r="H201" s="564">
        <f>ROUND('Customer Charge'!I199,2)</f>
        <v>1.1000000000000001</v>
      </c>
      <c r="I201" s="564">
        <f>ROUND('Demand Charge'!G199,2)</f>
        <v>0.61</v>
      </c>
      <c r="J201" s="564">
        <f>ROUND('Energy Charge'!I199,2)</f>
        <v>3.15</v>
      </c>
      <c r="K201" s="564">
        <f t="shared" si="69"/>
        <v>20.849999999999998</v>
      </c>
      <c r="L201" s="564">
        <f t="shared" si="70"/>
        <v>20.849999999999998</v>
      </c>
      <c r="M201" s="564"/>
      <c r="O201" s="564">
        <f>'Sch 141C Lighting Tariff'!J199</f>
        <v>0.03</v>
      </c>
      <c r="P201" s="564">
        <f>'Sch 141C Lighting Tariff'!N199</f>
        <v>0.04</v>
      </c>
      <c r="Q201" s="564"/>
      <c r="S201" s="564">
        <f>'Sch 141N Lighting Tariff'!J201</f>
        <v>2.57</v>
      </c>
      <c r="T201" s="564">
        <f>'Sch 141N Lighting Tariff'!N201</f>
        <v>1.78</v>
      </c>
      <c r="U201" s="564"/>
      <c r="W201" s="564">
        <f>'Sch 141R Lighting Tariff'!J201</f>
        <v>0.48</v>
      </c>
      <c r="X201" s="564">
        <f>'Sch 141R Lighting Tariff'!N201</f>
        <v>1.7</v>
      </c>
      <c r="Y201" s="564"/>
      <c r="Z201" s="564"/>
      <c r="AA201" s="564">
        <f>'Sch 141A Lighting Tariff'!J199</f>
        <v>0.11</v>
      </c>
      <c r="AB201" s="564">
        <f>'Sch 141A Lighting Tariff'!N199</f>
        <v>0.12</v>
      </c>
      <c r="AC201" s="564"/>
      <c r="AE201" s="564">
        <f t="shared" si="71"/>
        <v>24.04</v>
      </c>
      <c r="AF201" s="564">
        <f t="shared" si="72"/>
        <v>24.49</v>
      </c>
      <c r="AG201" s="564"/>
    </row>
    <row r="202" spans="1:33" x14ac:dyDescent="0.2">
      <c r="A202" s="621">
        <f t="shared" si="49"/>
        <v>192</v>
      </c>
      <c r="B202" s="164" t="str">
        <f>'WP12 Condensed Sch. Level Costs'!A192</f>
        <v>58E &amp; 59E</v>
      </c>
      <c r="C202" s="164"/>
      <c r="D202" s="327" t="str">
        <f>'WP12 Condensed Sch. Level Costs'!C192</f>
        <v>Light Emitting Diode</v>
      </c>
      <c r="E202" s="165" t="str">
        <f>'WP12 Condensed Sch. Level Costs'!D192</f>
        <v>LED 180.01-210</v>
      </c>
      <c r="F202" s="328">
        <f>ROUND('Capital Charge'!I200,2)</f>
        <v>17.100000000000001</v>
      </c>
      <c r="G202" s="564">
        <f>ROUND('O&amp;M Charge'!I200,2)</f>
        <v>0.45</v>
      </c>
      <c r="H202" s="564">
        <f>ROUND('Customer Charge'!I200,2)</f>
        <v>1.31</v>
      </c>
      <c r="I202" s="564">
        <f>ROUND('Demand Charge'!G200,2)</f>
        <v>0.72</v>
      </c>
      <c r="J202" s="564">
        <f>ROUND('Energy Charge'!I200,2)</f>
        <v>3.72</v>
      </c>
      <c r="K202" s="564">
        <f t="shared" si="69"/>
        <v>23.299999999999997</v>
      </c>
      <c r="L202" s="564">
        <f t="shared" si="70"/>
        <v>23.299999999999997</v>
      </c>
      <c r="M202" s="564"/>
      <c r="O202" s="564">
        <f>'Sch 141C Lighting Tariff'!J200</f>
        <v>0.04</v>
      </c>
      <c r="P202" s="564">
        <f>'Sch 141C Lighting Tariff'!N200</f>
        <v>0.04</v>
      </c>
      <c r="Q202" s="564"/>
      <c r="S202" s="564">
        <f>'Sch 141N Lighting Tariff'!J202</f>
        <v>3.04</v>
      </c>
      <c r="T202" s="564">
        <f>'Sch 141N Lighting Tariff'!N202</f>
        <v>2.11</v>
      </c>
      <c r="U202" s="564"/>
      <c r="W202" s="564">
        <f>'Sch 141R Lighting Tariff'!J202</f>
        <v>0.56999999999999995</v>
      </c>
      <c r="X202" s="564">
        <f>'Sch 141R Lighting Tariff'!N202</f>
        <v>2</v>
      </c>
      <c r="Y202" s="564"/>
      <c r="Z202" s="564"/>
      <c r="AA202" s="564">
        <f>'Sch 141A Lighting Tariff'!J200</f>
        <v>0.14000000000000001</v>
      </c>
      <c r="AB202" s="564">
        <f>'Sch 141A Lighting Tariff'!N200</f>
        <v>0.14000000000000001</v>
      </c>
      <c r="AC202" s="564"/>
      <c r="AE202" s="564">
        <f t="shared" si="71"/>
        <v>27.089999999999996</v>
      </c>
      <c r="AF202" s="564">
        <f t="shared" si="72"/>
        <v>27.589999999999996</v>
      </c>
      <c r="AG202" s="564"/>
    </row>
    <row r="203" spans="1:33" x14ac:dyDescent="0.2">
      <c r="A203" s="621">
        <f t="shared" si="49"/>
        <v>193</v>
      </c>
      <c r="B203" s="164" t="str">
        <f>'WP12 Condensed Sch. Level Costs'!A193</f>
        <v>58E &amp; 59E</v>
      </c>
      <c r="C203" s="164"/>
      <c r="D203" s="327" t="str">
        <f>'WP12 Condensed Sch. Level Costs'!C193</f>
        <v>Light Emitting Diode</v>
      </c>
      <c r="E203" s="165" t="str">
        <f>'WP12 Condensed Sch. Level Costs'!D193</f>
        <v>LED 210.01-240</v>
      </c>
      <c r="F203" s="328">
        <f>ROUND('Capital Charge'!I201,2)</f>
        <v>18.66</v>
      </c>
      <c r="G203" s="564">
        <f>ROUND('O&amp;M Charge'!I201,2)</f>
        <v>0.45</v>
      </c>
      <c r="H203" s="564">
        <f>ROUND('Customer Charge'!I201,2)</f>
        <v>1.51</v>
      </c>
      <c r="I203" s="564">
        <f>ROUND('Demand Charge'!G201,2)</f>
        <v>0.83</v>
      </c>
      <c r="J203" s="564">
        <f>ROUND('Energy Charge'!I201,2)</f>
        <v>4.3</v>
      </c>
      <c r="K203" s="564">
        <f t="shared" si="69"/>
        <v>25.75</v>
      </c>
      <c r="L203" s="564">
        <f t="shared" si="70"/>
        <v>25.75</v>
      </c>
      <c r="M203" s="564"/>
      <c r="O203" s="564">
        <f>'Sch 141C Lighting Tariff'!J201</f>
        <v>0.05</v>
      </c>
      <c r="P203" s="564">
        <f>'Sch 141C Lighting Tariff'!N201</f>
        <v>0.05</v>
      </c>
      <c r="Q203" s="564"/>
      <c r="S203" s="564">
        <f>'Sch 141N Lighting Tariff'!J203</f>
        <v>3.51</v>
      </c>
      <c r="T203" s="564">
        <f>'Sch 141N Lighting Tariff'!N203</f>
        <v>2.4300000000000002</v>
      </c>
      <c r="U203" s="564"/>
      <c r="W203" s="564">
        <f>'Sch 141R Lighting Tariff'!J203</f>
        <v>0.66</v>
      </c>
      <c r="X203" s="564">
        <f>'Sch 141R Lighting Tariff'!N203</f>
        <v>2.31</v>
      </c>
      <c r="Y203" s="564"/>
      <c r="Z203" s="564"/>
      <c r="AA203" s="564">
        <f>'Sch 141A Lighting Tariff'!J201</f>
        <v>0.16</v>
      </c>
      <c r="AB203" s="564">
        <f>'Sch 141A Lighting Tariff'!N201</f>
        <v>0.16</v>
      </c>
      <c r="AC203" s="564"/>
      <c r="AE203" s="564">
        <f t="shared" si="71"/>
        <v>30.130000000000003</v>
      </c>
      <c r="AF203" s="564">
        <f t="shared" si="72"/>
        <v>30.7</v>
      </c>
      <c r="AG203" s="564"/>
    </row>
    <row r="204" spans="1:33" x14ac:dyDescent="0.2">
      <c r="A204" s="621">
        <f t="shared" ref="A204:A219" si="73">A203+1</f>
        <v>194</v>
      </c>
      <c r="B204" s="164" t="str">
        <f>'WP12 Condensed Sch. Level Costs'!A194</f>
        <v>58E &amp; 59E</v>
      </c>
      <c r="C204" s="164"/>
      <c r="D204" s="327" t="str">
        <f>'WP12 Condensed Sch. Level Costs'!C194</f>
        <v>Light Emitting Diode</v>
      </c>
      <c r="E204" s="165" t="str">
        <f>'WP12 Condensed Sch. Level Costs'!D194</f>
        <v>LED 240.01-270</v>
      </c>
      <c r="F204" s="328">
        <f>ROUND('Capital Charge'!I202,2)</f>
        <v>20.22</v>
      </c>
      <c r="G204" s="564">
        <f>ROUND('O&amp;M Charge'!I202,2)</f>
        <v>0.45</v>
      </c>
      <c r="H204" s="564">
        <f>ROUND('Customer Charge'!I202,2)</f>
        <v>1.71</v>
      </c>
      <c r="I204" s="564">
        <f>ROUND('Demand Charge'!G202,2)</f>
        <v>0.94</v>
      </c>
      <c r="J204" s="564">
        <f>ROUND('Energy Charge'!I202,2)</f>
        <v>4.87</v>
      </c>
      <c r="K204" s="564">
        <f t="shared" si="69"/>
        <v>28.19</v>
      </c>
      <c r="L204" s="564">
        <f t="shared" si="70"/>
        <v>28.19</v>
      </c>
      <c r="M204" s="564"/>
      <c r="O204" s="564">
        <f>'Sch 141C Lighting Tariff'!J202</f>
        <v>0.05</v>
      </c>
      <c r="P204" s="564">
        <f>'Sch 141C Lighting Tariff'!N202</f>
        <v>0.06</v>
      </c>
      <c r="Q204" s="564"/>
      <c r="S204" s="564">
        <f>'Sch 141N Lighting Tariff'!J204</f>
        <v>3.97</v>
      </c>
      <c r="T204" s="564">
        <f>'Sch 141N Lighting Tariff'!N204</f>
        <v>2.76</v>
      </c>
      <c r="U204" s="564"/>
      <c r="W204" s="564">
        <f>'Sch 141R Lighting Tariff'!J204</f>
        <v>0.74</v>
      </c>
      <c r="X204" s="564">
        <f>'Sch 141R Lighting Tariff'!N204</f>
        <v>2.62</v>
      </c>
      <c r="Y204" s="564"/>
      <c r="Z204" s="564"/>
      <c r="AA204" s="564">
        <f>'Sch 141A Lighting Tariff'!J202</f>
        <v>0.18</v>
      </c>
      <c r="AB204" s="564">
        <f>'Sch 141A Lighting Tariff'!N202</f>
        <v>0.18</v>
      </c>
      <c r="AC204" s="564"/>
      <c r="AE204" s="564">
        <f t="shared" si="71"/>
        <v>33.130000000000003</v>
      </c>
      <c r="AF204" s="564">
        <f t="shared" si="72"/>
        <v>33.809999999999995</v>
      </c>
      <c r="AG204" s="564"/>
    </row>
    <row r="205" spans="1:33" x14ac:dyDescent="0.2">
      <c r="A205" s="621">
        <f t="shared" si="73"/>
        <v>195</v>
      </c>
      <c r="B205" s="164" t="str">
        <f>'WP12 Condensed Sch. Level Costs'!A195</f>
        <v>58E &amp; 59E</v>
      </c>
      <c r="C205" s="164"/>
      <c r="D205" s="327" t="str">
        <f>'WP12 Condensed Sch. Level Costs'!C195</f>
        <v>Light Emitting Diode</v>
      </c>
      <c r="E205" s="165" t="str">
        <f>'WP12 Condensed Sch. Level Costs'!D195</f>
        <v>LED 270.01-300</v>
      </c>
      <c r="F205" s="328">
        <f>ROUND('Capital Charge'!I203,2)</f>
        <v>21.78</v>
      </c>
      <c r="G205" s="564">
        <f>ROUND('O&amp;M Charge'!I203,2)</f>
        <v>0.45</v>
      </c>
      <c r="H205" s="564">
        <f>ROUND('Customer Charge'!I203,2)</f>
        <v>1.91</v>
      </c>
      <c r="I205" s="564">
        <f>ROUND('Demand Charge'!G203,2)</f>
        <v>1.06</v>
      </c>
      <c r="J205" s="564">
        <f>ROUND('Energy Charge'!I203,2)</f>
        <v>5.44</v>
      </c>
      <c r="K205" s="564">
        <f t="shared" si="69"/>
        <v>30.64</v>
      </c>
      <c r="L205" s="564">
        <f t="shared" si="70"/>
        <v>30.64</v>
      </c>
      <c r="M205" s="564"/>
      <c r="O205" s="564">
        <f>'Sch 141C Lighting Tariff'!J203</f>
        <v>0.06</v>
      </c>
      <c r="P205" s="564">
        <f>'Sch 141C Lighting Tariff'!N203</f>
        <v>0.06</v>
      </c>
      <c r="Q205" s="564"/>
      <c r="S205" s="564">
        <f>'Sch 141N Lighting Tariff'!J205</f>
        <v>4.4400000000000004</v>
      </c>
      <c r="T205" s="564">
        <f>'Sch 141N Lighting Tariff'!N205</f>
        <v>3.08</v>
      </c>
      <c r="U205" s="564"/>
      <c r="W205" s="564">
        <f>'Sch 141R Lighting Tariff'!J205</f>
        <v>0.83</v>
      </c>
      <c r="X205" s="564">
        <f>'Sch 141R Lighting Tariff'!N205</f>
        <v>2.93</v>
      </c>
      <c r="Y205" s="564"/>
      <c r="Z205" s="564"/>
      <c r="AA205" s="564">
        <f>'Sch 141A Lighting Tariff'!J203</f>
        <v>0.2</v>
      </c>
      <c r="AB205" s="564">
        <f>'Sch 141A Lighting Tariff'!N203</f>
        <v>0.21</v>
      </c>
      <c r="AC205" s="564"/>
      <c r="AE205" s="564">
        <f t="shared" si="71"/>
        <v>36.17</v>
      </c>
      <c r="AF205" s="564">
        <f t="shared" si="72"/>
        <v>36.92</v>
      </c>
      <c r="AG205" s="564"/>
    </row>
    <row r="206" spans="1:33" x14ac:dyDescent="0.2">
      <c r="A206" s="621">
        <f t="shared" si="73"/>
        <v>196</v>
      </c>
      <c r="B206" s="164" t="str">
        <f>'WP12 Condensed Sch. Level Costs'!A196</f>
        <v>58E &amp; 59E</v>
      </c>
      <c r="C206" s="164"/>
      <c r="D206" s="327" t="str">
        <f>'WP12 Condensed Sch. Level Costs'!C196</f>
        <v>Light Emitting Diode</v>
      </c>
      <c r="E206" s="165" t="str">
        <f>'WP12 Condensed Sch. Level Costs'!D196</f>
        <v>LED 300.01-400</v>
      </c>
      <c r="F206" s="328">
        <f>ROUND('Capital Charge'!I204,2)</f>
        <v>25.15</v>
      </c>
      <c r="G206" s="564">
        <f>ROUND('O&amp;M Charge'!I204,2)</f>
        <v>0.45</v>
      </c>
      <c r="H206" s="564">
        <f>ROUND('Customer Charge'!I204,2)</f>
        <v>2.34</v>
      </c>
      <c r="I206" s="564">
        <f>ROUND('Demand Charge'!G204,2)</f>
        <v>1.3</v>
      </c>
      <c r="J206" s="564">
        <f>ROUND('Energy Charge'!I204,2)</f>
        <v>6.68</v>
      </c>
      <c r="K206" s="564">
        <f t="shared" si="69"/>
        <v>35.92</v>
      </c>
      <c r="L206" s="564">
        <f t="shared" si="70"/>
        <v>35.92</v>
      </c>
      <c r="M206" s="564"/>
      <c r="O206" s="564">
        <f>'Sch 141C Lighting Tariff'!J204</f>
        <v>7.0000000000000007E-2</v>
      </c>
      <c r="P206" s="564">
        <f>'Sch 141C Lighting Tariff'!N204</f>
        <v>0.08</v>
      </c>
      <c r="Q206" s="564"/>
      <c r="S206" s="564">
        <f>'Sch 141N Lighting Tariff'!J206</f>
        <v>5.46</v>
      </c>
      <c r="T206" s="564">
        <f>'Sch 141N Lighting Tariff'!N206</f>
        <v>3.79</v>
      </c>
      <c r="U206" s="564"/>
      <c r="W206" s="564">
        <f>'Sch 141R Lighting Tariff'!J206</f>
        <v>1.02</v>
      </c>
      <c r="X206" s="564">
        <f>'Sch 141R Lighting Tariff'!N206</f>
        <v>3.6</v>
      </c>
      <c r="Y206" s="564"/>
      <c r="Z206" s="564"/>
      <c r="AA206" s="564">
        <f>'Sch 141A Lighting Tariff'!J204</f>
        <v>0.24</v>
      </c>
      <c r="AB206" s="564">
        <f>'Sch 141A Lighting Tariff'!N204</f>
        <v>0.25</v>
      </c>
      <c r="AC206" s="564"/>
      <c r="AE206" s="564">
        <f t="shared" si="71"/>
        <v>42.710000000000008</v>
      </c>
      <c r="AF206" s="564">
        <f t="shared" si="72"/>
        <v>43.64</v>
      </c>
      <c r="AG206" s="564"/>
    </row>
    <row r="207" spans="1:33" x14ac:dyDescent="0.2">
      <c r="A207" s="621">
        <f t="shared" si="73"/>
        <v>197</v>
      </c>
      <c r="B207" s="164" t="str">
        <f>'WP12 Condensed Sch. Level Costs'!A197</f>
        <v>58E &amp; 59E</v>
      </c>
      <c r="C207" s="164"/>
      <c r="D207" s="327" t="str">
        <f>'WP12 Condensed Sch. Level Costs'!C197</f>
        <v>Light Emitting Diode</v>
      </c>
      <c r="E207" s="165" t="str">
        <f>'WP12 Condensed Sch. Level Costs'!D197</f>
        <v>LED 400.01-500</v>
      </c>
      <c r="F207" s="328">
        <f>ROUND('Capital Charge'!I205,2)</f>
        <v>30.35</v>
      </c>
      <c r="G207" s="564">
        <f>ROUND('O&amp;M Charge'!I205,2)</f>
        <v>0.45</v>
      </c>
      <c r="H207" s="564">
        <f>ROUND('Customer Charge'!I205,2)</f>
        <v>3.01</v>
      </c>
      <c r="I207" s="564">
        <f>ROUND('Demand Charge'!G205,2)</f>
        <v>1.67</v>
      </c>
      <c r="J207" s="564">
        <f>ROUND('Energy Charge'!I205,2)</f>
        <v>8.59</v>
      </c>
      <c r="K207" s="564">
        <f t="shared" si="69"/>
        <v>44.070000000000007</v>
      </c>
      <c r="L207" s="564">
        <f t="shared" si="70"/>
        <v>44.070000000000007</v>
      </c>
      <c r="M207" s="564"/>
      <c r="O207" s="564">
        <f>'Sch 141C Lighting Tariff'!J205</f>
        <v>0.09</v>
      </c>
      <c r="P207" s="564">
        <f>'Sch 141C Lighting Tariff'!N205</f>
        <v>0.1</v>
      </c>
      <c r="Q207" s="564"/>
      <c r="S207" s="564">
        <f>'Sch 141N Lighting Tariff'!J207</f>
        <v>7.01</v>
      </c>
      <c r="T207" s="564">
        <f>'Sch 141N Lighting Tariff'!N207</f>
        <v>4.87</v>
      </c>
      <c r="U207" s="564"/>
      <c r="W207" s="564">
        <f>'Sch 141R Lighting Tariff'!J207</f>
        <v>1.31</v>
      </c>
      <c r="X207" s="564">
        <f>'Sch 141R Lighting Tariff'!N207</f>
        <v>4.63</v>
      </c>
      <c r="Y207" s="564"/>
      <c r="Z207" s="564"/>
      <c r="AA207" s="564">
        <f>'Sch 141A Lighting Tariff'!J205</f>
        <v>0.31</v>
      </c>
      <c r="AB207" s="564">
        <f>'Sch 141A Lighting Tariff'!N205</f>
        <v>0.32</v>
      </c>
      <c r="AC207" s="564"/>
      <c r="AE207" s="564">
        <f t="shared" si="71"/>
        <v>52.790000000000013</v>
      </c>
      <c r="AF207" s="564">
        <f t="shared" si="72"/>
        <v>53.990000000000009</v>
      </c>
      <c r="AG207" s="564"/>
    </row>
    <row r="208" spans="1:33" x14ac:dyDescent="0.2">
      <c r="A208" s="621">
        <f t="shared" si="73"/>
        <v>198</v>
      </c>
      <c r="B208" s="164" t="str">
        <f>'WP12 Condensed Sch. Level Costs'!A198</f>
        <v>58E &amp; 59E</v>
      </c>
      <c r="C208" s="164"/>
      <c r="D208" s="327" t="str">
        <f>'WP12 Condensed Sch. Level Costs'!C198</f>
        <v>Light Emitting Diode</v>
      </c>
      <c r="E208" s="165" t="str">
        <f>'WP12 Condensed Sch. Level Costs'!D198</f>
        <v>LED 500.01-600</v>
      </c>
      <c r="F208" s="328">
        <f>ROUND('Capital Charge'!I206,2)</f>
        <v>35.549999999999997</v>
      </c>
      <c r="G208" s="564">
        <f>ROUND('O&amp;M Charge'!I206,2)</f>
        <v>0.45</v>
      </c>
      <c r="H208" s="564">
        <f>ROUND('Customer Charge'!I206,2)</f>
        <v>3.68</v>
      </c>
      <c r="I208" s="564">
        <f>ROUND('Demand Charge'!G206,2)</f>
        <v>2.04</v>
      </c>
      <c r="J208" s="564">
        <f>ROUND('Energy Charge'!I206,2)</f>
        <v>10.5</v>
      </c>
      <c r="K208" s="564">
        <f t="shared" si="69"/>
        <v>52.22</v>
      </c>
      <c r="L208" s="564">
        <f t="shared" si="70"/>
        <v>52.22</v>
      </c>
      <c r="M208" s="564"/>
      <c r="O208" s="564">
        <f>'Sch 141C Lighting Tariff'!J206</f>
        <v>0.11</v>
      </c>
      <c r="P208" s="564">
        <f>'Sch 141C Lighting Tariff'!N206</f>
        <v>0.12</v>
      </c>
      <c r="Q208" s="564"/>
      <c r="S208" s="564">
        <f>'Sch 141N Lighting Tariff'!J208</f>
        <v>8.57</v>
      </c>
      <c r="T208" s="564">
        <f>'Sch 141N Lighting Tariff'!N208</f>
        <v>5.95</v>
      </c>
      <c r="U208" s="564"/>
      <c r="W208" s="564">
        <f>'Sch 141R Lighting Tariff'!J208</f>
        <v>1.6</v>
      </c>
      <c r="X208" s="564">
        <f>'Sch 141R Lighting Tariff'!N208</f>
        <v>5.65</v>
      </c>
      <c r="Y208" s="564"/>
      <c r="Z208" s="564"/>
      <c r="AA208" s="564">
        <f>'Sch 141A Lighting Tariff'!J206</f>
        <v>0.38</v>
      </c>
      <c r="AB208" s="564">
        <f>'Sch 141A Lighting Tariff'!N206</f>
        <v>0.4</v>
      </c>
      <c r="AC208" s="564"/>
      <c r="AE208" s="564">
        <f t="shared" si="71"/>
        <v>62.88</v>
      </c>
      <c r="AF208" s="564">
        <f t="shared" si="72"/>
        <v>64.34</v>
      </c>
      <c r="AG208" s="564"/>
    </row>
    <row r="209" spans="1:33" x14ac:dyDescent="0.2">
      <c r="A209" s="621">
        <f t="shared" si="73"/>
        <v>199</v>
      </c>
      <c r="B209" s="164" t="str">
        <f>'WP12 Condensed Sch. Level Costs'!A199</f>
        <v>58E &amp; 59E</v>
      </c>
      <c r="C209" s="164"/>
      <c r="D209" s="327" t="str">
        <f>'WP12 Condensed Sch. Level Costs'!C199</f>
        <v>Light Emitting Diode</v>
      </c>
      <c r="E209" s="165" t="str">
        <f>'WP12 Condensed Sch. Level Costs'!D199</f>
        <v>LED 600.01-700</v>
      </c>
      <c r="F209" s="328">
        <f>ROUND('Capital Charge'!I207,2)</f>
        <v>40.74</v>
      </c>
      <c r="G209" s="564">
        <f>ROUND('O&amp;M Charge'!I207,2)</f>
        <v>0.45</v>
      </c>
      <c r="H209" s="564">
        <f>ROUND('Customer Charge'!I207,2)</f>
        <v>4.3499999999999996</v>
      </c>
      <c r="I209" s="564">
        <f>ROUND('Demand Charge'!G207,2)</f>
        <v>2.41</v>
      </c>
      <c r="J209" s="564">
        <f>ROUND('Energy Charge'!I207,2)</f>
        <v>12.41</v>
      </c>
      <c r="K209" s="564">
        <f t="shared" si="69"/>
        <v>60.36</v>
      </c>
      <c r="L209" s="564">
        <f t="shared" si="70"/>
        <v>60.36</v>
      </c>
      <c r="M209" s="564"/>
      <c r="O209" s="564">
        <f>'Sch 141C Lighting Tariff'!J207</f>
        <v>0.13</v>
      </c>
      <c r="P209" s="564">
        <f>'Sch 141C Lighting Tariff'!N207</f>
        <v>0.15</v>
      </c>
      <c r="Q209" s="564"/>
      <c r="S209" s="564">
        <f>'Sch 141N Lighting Tariff'!J209</f>
        <v>10.130000000000001</v>
      </c>
      <c r="T209" s="564">
        <f>'Sch 141N Lighting Tariff'!N209</f>
        <v>7.03</v>
      </c>
      <c r="U209" s="564"/>
      <c r="W209" s="564">
        <f>'Sch 141R Lighting Tariff'!J209</f>
        <v>1.89</v>
      </c>
      <c r="X209" s="564">
        <f>'Sch 141R Lighting Tariff'!N209</f>
        <v>6.68</v>
      </c>
      <c r="Y209" s="564"/>
      <c r="Z209" s="564"/>
      <c r="AA209" s="564">
        <f>'Sch 141A Lighting Tariff'!J207</f>
        <v>0.45</v>
      </c>
      <c r="AB209" s="564">
        <f>'Sch 141A Lighting Tariff'!N207</f>
        <v>0.47</v>
      </c>
      <c r="AC209" s="564"/>
      <c r="AE209" s="564">
        <f t="shared" si="71"/>
        <v>72.960000000000008</v>
      </c>
      <c r="AF209" s="564">
        <f t="shared" si="72"/>
        <v>74.69</v>
      </c>
      <c r="AG209" s="564"/>
    </row>
    <row r="210" spans="1:33" x14ac:dyDescent="0.2">
      <c r="A210" s="621">
        <f t="shared" si="73"/>
        <v>200</v>
      </c>
      <c r="B210" s="164" t="str">
        <f>'WP12 Condensed Sch. Level Costs'!A200</f>
        <v>58E &amp; 59E</v>
      </c>
      <c r="C210" s="164"/>
      <c r="D210" s="327" t="str">
        <f>'WP12 Condensed Sch. Level Costs'!C200</f>
        <v>Light Emitting Diode</v>
      </c>
      <c r="E210" s="165" t="str">
        <f>'WP12 Condensed Sch. Level Costs'!D200</f>
        <v>LED 700.01-800</v>
      </c>
      <c r="F210" s="328">
        <f>ROUND('Capital Charge'!I208,2)</f>
        <v>45.94</v>
      </c>
      <c r="G210" s="564">
        <f>ROUND('O&amp;M Charge'!I208,2)</f>
        <v>0.45</v>
      </c>
      <c r="H210" s="564">
        <f>ROUND('Customer Charge'!I208,2)</f>
        <v>5.0199999999999996</v>
      </c>
      <c r="I210" s="564">
        <f>ROUND('Demand Charge'!G208,2)</f>
        <v>2.78</v>
      </c>
      <c r="J210" s="564">
        <f>ROUND('Energy Charge'!I208,2)</f>
        <v>14.32</v>
      </c>
      <c r="K210" s="564">
        <f t="shared" si="69"/>
        <v>68.509999999999991</v>
      </c>
      <c r="L210" s="564">
        <f t="shared" si="70"/>
        <v>68.509999999999991</v>
      </c>
      <c r="M210" s="564"/>
      <c r="O210" s="564">
        <f>'Sch 141C Lighting Tariff'!J208</f>
        <v>0.15</v>
      </c>
      <c r="P210" s="564">
        <f>'Sch 141C Lighting Tariff'!N208</f>
        <v>0.17</v>
      </c>
      <c r="Q210" s="564"/>
      <c r="S210" s="564">
        <f>'Sch 141N Lighting Tariff'!J210</f>
        <v>11.69</v>
      </c>
      <c r="T210" s="564">
        <f>'Sch 141N Lighting Tariff'!N210</f>
        <v>8.11</v>
      </c>
      <c r="U210" s="564"/>
      <c r="W210" s="564">
        <f>'Sch 141R Lighting Tariff'!J210</f>
        <v>2.19</v>
      </c>
      <c r="X210" s="564">
        <f>'Sch 141R Lighting Tariff'!N210</f>
        <v>7.71</v>
      </c>
      <c r="Y210" s="564"/>
      <c r="Z210" s="564"/>
      <c r="AA210" s="564">
        <f>'Sch 141A Lighting Tariff'!J208</f>
        <v>0.52</v>
      </c>
      <c r="AB210" s="564">
        <f>'Sch 141A Lighting Tariff'!N208</f>
        <v>0.54</v>
      </c>
      <c r="AC210" s="564"/>
      <c r="AE210" s="564">
        <f t="shared" si="71"/>
        <v>83.059999999999988</v>
      </c>
      <c r="AF210" s="564">
        <f t="shared" si="72"/>
        <v>85.039999999999992</v>
      </c>
      <c r="AG210" s="564"/>
    </row>
    <row r="211" spans="1:33" x14ac:dyDescent="0.2">
      <c r="A211" s="621">
        <f t="shared" si="73"/>
        <v>201</v>
      </c>
      <c r="B211" s="164" t="str">
        <f>'WP12 Condensed Sch. Level Costs'!A201</f>
        <v>58E &amp; 59E</v>
      </c>
      <c r="C211" s="164"/>
      <c r="D211" s="327" t="str">
        <f>'WP12 Condensed Sch. Level Costs'!C201</f>
        <v>Light Emitting Diode</v>
      </c>
      <c r="E211" s="165" t="str">
        <f>'WP12 Condensed Sch. Level Costs'!D201</f>
        <v>LED 800.01-900</v>
      </c>
      <c r="F211" s="328">
        <f>ROUND('Capital Charge'!I209,2)</f>
        <v>51.14</v>
      </c>
      <c r="G211" s="564">
        <f>ROUND('O&amp;M Charge'!I209,2)</f>
        <v>0.45</v>
      </c>
      <c r="H211" s="564">
        <f>ROUND('Customer Charge'!I209,2)</f>
        <v>5.69</v>
      </c>
      <c r="I211" s="564">
        <f>ROUND('Demand Charge'!G209,2)</f>
        <v>3.15</v>
      </c>
      <c r="J211" s="564">
        <f>ROUND('Energy Charge'!I209,2)</f>
        <v>16.23</v>
      </c>
      <c r="K211" s="564">
        <f t="shared" si="69"/>
        <v>76.66</v>
      </c>
      <c r="L211" s="564">
        <f t="shared" si="70"/>
        <v>76.66</v>
      </c>
      <c r="M211" s="564"/>
      <c r="O211" s="564">
        <f>'Sch 141C Lighting Tariff'!J209</f>
        <v>0.17</v>
      </c>
      <c r="P211" s="564">
        <f>'Sch 141C Lighting Tariff'!N209</f>
        <v>0.19</v>
      </c>
      <c r="Q211" s="564"/>
      <c r="S211" s="564">
        <f>'Sch 141N Lighting Tariff'!J211</f>
        <v>13.25</v>
      </c>
      <c r="T211" s="564">
        <f>'Sch 141N Lighting Tariff'!N211</f>
        <v>9.1999999999999993</v>
      </c>
      <c r="U211" s="564"/>
      <c r="W211" s="564">
        <f>'Sch 141R Lighting Tariff'!J211</f>
        <v>2.48</v>
      </c>
      <c r="X211" s="564">
        <f>'Sch 141R Lighting Tariff'!N211</f>
        <v>8.74</v>
      </c>
      <c r="Y211" s="564"/>
      <c r="Z211" s="564"/>
      <c r="AA211" s="564">
        <f>'Sch 141A Lighting Tariff'!J209</f>
        <v>0.59</v>
      </c>
      <c r="AB211" s="564">
        <f>'Sch 141A Lighting Tariff'!N209</f>
        <v>0.61</v>
      </c>
      <c r="AC211" s="564"/>
      <c r="AE211" s="564">
        <f t="shared" si="71"/>
        <v>93.15</v>
      </c>
      <c r="AF211" s="564">
        <f t="shared" si="72"/>
        <v>95.399999999999991</v>
      </c>
      <c r="AG211" s="564"/>
    </row>
    <row r="212" spans="1:33" x14ac:dyDescent="0.2">
      <c r="A212" s="621">
        <f t="shared" si="73"/>
        <v>202</v>
      </c>
      <c r="B212" s="164"/>
      <c r="C212" s="164"/>
      <c r="D212" s="327"/>
      <c r="E212" s="165"/>
      <c r="F212" s="328"/>
      <c r="G212" s="564"/>
      <c r="H212" s="564"/>
      <c r="I212" s="564"/>
      <c r="J212" s="564"/>
      <c r="K212" s="564"/>
      <c r="O212" s="564"/>
      <c r="S212" s="564"/>
      <c r="W212" s="564"/>
      <c r="AA212" s="564"/>
      <c r="AE212" s="564"/>
    </row>
    <row r="213" spans="1:33" x14ac:dyDescent="0.2">
      <c r="A213" s="621">
        <f t="shared" si="73"/>
        <v>203</v>
      </c>
      <c r="B213" s="164" t="str">
        <f>'WP12 Condensed Sch. Level Costs'!A202</f>
        <v>Sch 57</v>
      </c>
      <c r="C213" s="164"/>
      <c r="D213" s="327"/>
      <c r="E213" s="165"/>
      <c r="F213" s="328"/>
      <c r="G213" s="564"/>
      <c r="H213" s="564"/>
      <c r="I213" s="564"/>
      <c r="J213" s="564"/>
      <c r="K213" s="564"/>
      <c r="O213" s="564"/>
      <c r="S213" s="564"/>
      <c r="W213" s="564"/>
      <c r="AA213" s="564"/>
      <c r="AE213" s="564"/>
    </row>
    <row r="214" spans="1:33" x14ac:dyDescent="0.2">
      <c r="A214" s="621">
        <f t="shared" si="73"/>
        <v>204</v>
      </c>
      <c r="B214" s="164" t="str">
        <f>'WP12 Condensed Sch. Level Costs'!A203</f>
        <v>57E</v>
      </c>
      <c r="C214" s="327"/>
      <c r="D214" s="327" t="str">
        <f>'WP12 Condensed Sch. Level Costs'!C203</f>
        <v>Per W charge</v>
      </c>
      <c r="E214" s="341">
        <f>'WP12 Condensed Sch. Level Costs'!E203</f>
        <v>935514.08333333337</v>
      </c>
      <c r="F214" s="342">
        <f>ROUND('Capital Charge'!I212/E214,5)</f>
        <v>0</v>
      </c>
      <c r="G214" s="343">
        <f>ROUND('O&amp;M Charge'!I212/E214,5)</f>
        <v>0</v>
      </c>
      <c r="H214" s="343">
        <f>ROUND('Customer Charge'!I212/E214,5)</f>
        <v>1.1800000000000001E-3</v>
      </c>
      <c r="I214" s="343">
        <f>ROUND('Demand Charge'!G212/E214,5)</f>
        <v>2.8600000000000001E-3</v>
      </c>
      <c r="J214" s="343">
        <f>ROUND('Energy Charge'!I212/E214,5)</f>
        <v>3.9829999999999997E-2</v>
      </c>
      <c r="K214" s="343">
        <f>SUM(F214:J214)</f>
        <v>4.3869999999999999E-2</v>
      </c>
      <c r="L214" s="343">
        <f>K214</f>
        <v>4.3869999999999999E-2</v>
      </c>
      <c r="M214" s="343"/>
      <c r="O214" s="343">
        <f>'Sch 141C Lighting Tariff'!J212</f>
        <v>2.7999999999999998E-4</v>
      </c>
      <c r="P214" s="343">
        <f>'Sch 141C Lighting Tariff'!N212</f>
        <v>3.1E-4</v>
      </c>
      <c r="Q214" s="343"/>
      <c r="R214" s="343"/>
      <c r="S214" s="343">
        <f>'Sch 141N Lighting Tariff'!J214</f>
        <v>2.1309999999999999E-2</v>
      </c>
      <c r="T214" s="343">
        <f>'Sch 141N Lighting Tariff'!N214</f>
        <v>1.4789999999999999E-2</v>
      </c>
      <c r="U214" s="343"/>
      <c r="V214" s="343"/>
      <c r="W214" s="343">
        <f>'Sch 141R Lighting Tariff'!J214</f>
        <v>3.98E-3</v>
      </c>
      <c r="X214" s="343">
        <f>'Sch 141R Lighting Tariff'!N214</f>
        <v>1.405E-2</v>
      </c>
      <c r="Y214" s="343"/>
      <c r="Z214" s="343"/>
      <c r="AA214" s="343">
        <f>'Sch 141A Lighting Tariff'!J212</f>
        <v>9.5E-4</v>
      </c>
      <c r="AB214" s="343">
        <f>'Sch 141A Lighting Tariff'!N212</f>
        <v>9.8999999999999999E-4</v>
      </c>
      <c r="AC214" s="343"/>
      <c r="AD214" s="343"/>
      <c r="AE214" s="343">
        <f>K214+O214+S214+W214+AA214</f>
        <v>7.0390000000000008E-2</v>
      </c>
      <c r="AF214" s="343">
        <f>L214+P214+T214+X214+AB214</f>
        <v>7.4010000000000006E-2</v>
      </c>
      <c r="AG214" s="343"/>
    </row>
    <row r="215" spans="1:33" x14ac:dyDescent="0.2">
      <c r="A215" s="621">
        <f t="shared" si="73"/>
        <v>205</v>
      </c>
      <c r="B215" s="164"/>
      <c r="C215" s="164"/>
      <c r="D215" s="327"/>
      <c r="E215" s="165"/>
      <c r="F215" s="328"/>
      <c r="G215" s="564"/>
      <c r="H215" s="564"/>
      <c r="I215" s="564"/>
      <c r="J215" s="564"/>
      <c r="K215" s="564"/>
      <c r="O215" s="564"/>
      <c r="S215" s="564"/>
      <c r="W215" s="564"/>
      <c r="AA215" s="564"/>
      <c r="AE215" s="564"/>
    </row>
    <row r="216" spans="1:33" x14ac:dyDescent="0.2">
      <c r="A216" s="621">
        <f t="shared" si="73"/>
        <v>206</v>
      </c>
      <c r="B216" s="164" t="str">
        <f>'WP12 Condensed Sch. Level Costs'!A205</f>
        <v>55 &amp; 56</v>
      </c>
      <c r="C216" s="164"/>
      <c r="D216" s="327" t="str">
        <f>'WP12 Condensed Sch. Level Costs'!C205</f>
        <v>Pole</v>
      </c>
      <c r="E216" s="165" t="str">
        <f>'WP12 Condensed Sch. Level Costs'!D205</f>
        <v>Old</v>
      </c>
      <c r="F216" s="328">
        <f>ROUND('Capital Charge'!I214,2)</f>
        <v>3.04</v>
      </c>
      <c r="G216" s="564">
        <f>ROUND('O&amp;M Charge'!I214,2)</f>
        <v>2.25</v>
      </c>
      <c r="H216" s="564">
        <f>ROUND('Customer Charge'!I214,2)</f>
        <v>0</v>
      </c>
      <c r="I216" s="564">
        <f>ROUND('Demand Charge'!G214,2)</f>
        <v>0</v>
      </c>
      <c r="J216" s="564">
        <f>ROUND('Energy Charge'!I214,2)</f>
        <v>0</v>
      </c>
      <c r="K216" s="564">
        <f>SUM(F216:J216)</f>
        <v>5.29</v>
      </c>
      <c r="L216" s="564">
        <f>K216</f>
        <v>5.29</v>
      </c>
      <c r="M216" s="564"/>
      <c r="O216" s="564">
        <v>0</v>
      </c>
      <c r="P216" s="564">
        <v>0</v>
      </c>
      <c r="Q216" s="564"/>
      <c r="S216" s="564">
        <v>0</v>
      </c>
      <c r="T216" s="564">
        <v>0</v>
      </c>
      <c r="U216" s="564"/>
      <c r="W216" s="564">
        <v>0</v>
      </c>
      <c r="X216" s="564">
        <v>0</v>
      </c>
      <c r="Y216" s="564"/>
      <c r="Z216" s="564"/>
      <c r="AA216" s="564">
        <v>0</v>
      </c>
      <c r="AB216" s="564">
        <v>0</v>
      </c>
      <c r="AC216" s="564"/>
      <c r="AE216" s="564">
        <f t="shared" ref="AE216:AF217" si="74">K216+O216+S216+W216+AA216</f>
        <v>5.29</v>
      </c>
      <c r="AF216" s="564">
        <f t="shared" si="74"/>
        <v>5.29</v>
      </c>
      <c r="AG216" s="564"/>
    </row>
    <row r="217" spans="1:33" x14ac:dyDescent="0.2">
      <c r="A217" s="621">
        <f t="shared" si="73"/>
        <v>207</v>
      </c>
      <c r="B217" s="164" t="str">
        <f>'WP12 Condensed Sch. Level Costs'!A206</f>
        <v>55 &amp; 56</v>
      </c>
      <c r="C217" s="164"/>
      <c r="D217" s="327" t="str">
        <f>'WP12 Condensed Sch. Level Costs'!C206</f>
        <v>Pole</v>
      </c>
      <c r="E217" s="165" t="str">
        <f>'WP12 Condensed Sch. Level Costs'!D206</f>
        <v>New</v>
      </c>
      <c r="F217" s="328">
        <f>ROUND('Capital Charge'!I215,2)</f>
        <v>6.07</v>
      </c>
      <c r="G217" s="564">
        <f>ROUND('O&amp;M Charge'!I215,2)</f>
        <v>2.25</v>
      </c>
      <c r="H217" s="564">
        <f>ROUND('Customer Charge'!I215,2)</f>
        <v>0</v>
      </c>
      <c r="I217" s="564">
        <f>ROUND('Demand Charge'!G215,2)</f>
        <v>0</v>
      </c>
      <c r="J217" s="564">
        <f>ROUND('Energy Charge'!I215,2)</f>
        <v>0</v>
      </c>
      <c r="K217" s="564">
        <f>SUM(F217:J217)</f>
        <v>8.32</v>
      </c>
      <c r="L217" s="564">
        <f>K217</f>
        <v>8.32</v>
      </c>
      <c r="M217" s="564"/>
      <c r="O217" s="564">
        <v>0</v>
      </c>
      <c r="P217" s="564">
        <v>0</v>
      </c>
      <c r="Q217" s="564"/>
      <c r="S217" s="564">
        <v>0</v>
      </c>
      <c r="T217" s="564">
        <v>0</v>
      </c>
      <c r="U217" s="564"/>
      <c r="W217" s="564">
        <v>0</v>
      </c>
      <c r="X217" s="564">
        <v>0</v>
      </c>
      <c r="Y217" s="564"/>
      <c r="Z217" s="564"/>
      <c r="AA217" s="564">
        <v>0</v>
      </c>
      <c r="AB217" s="564">
        <v>0</v>
      </c>
      <c r="AC217" s="564"/>
      <c r="AE217" s="564">
        <f t="shared" si="74"/>
        <v>8.32</v>
      </c>
      <c r="AF217" s="564">
        <f t="shared" si="74"/>
        <v>8.32</v>
      </c>
      <c r="AG217" s="564"/>
    </row>
    <row r="218" spans="1:33" x14ac:dyDescent="0.2">
      <c r="A218" s="621">
        <f t="shared" si="73"/>
        <v>208</v>
      </c>
      <c r="B218" s="164"/>
      <c r="C218" s="164"/>
      <c r="D218" s="327"/>
      <c r="E218" s="165"/>
      <c r="F218" s="328"/>
      <c r="G218" s="564"/>
      <c r="H218" s="564"/>
      <c r="I218" s="564"/>
      <c r="J218" s="564"/>
      <c r="K218" s="564"/>
      <c r="O218" s="564"/>
      <c r="S218" s="564"/>
      <c r="W218" s="564"/>
      <c r="Z218" s="564"/>
      <c r="AA218" s="564"/>
      <c r="AE218" s="564"/>
    </row>
    <row r="219" spans="1:33" x14ac:dyDescent="0.2">
      <c r="A219" s="621">
        <f t="shared" si="73"/>
        <v>209</v>
      </c>
      <c r="B219" s="164" t="str">
        <f>'WP12 Condensed Sch. Level Costs'!A208</f>
        <v>58 &amp; 59</v>
      </c>
      <c r="C219" s="164"/>
      <c r="D219" s="327" t="str">
        <f>'WP12 Condensed Sch. Level Costs'!C208</f>
        <v>Pole</v>
      </c>
      <c r="E219" s="165" t="str">
        <f>'WP12 Condensed Sch. Level Costs'!D208</f>
        <v>New</v>
      </c>
      <c r="F219" s="328">
        <f>ROUND('Capital Charge'!I217,2)</f>
        <v>6.07</v>
      </c>
      <c r="G219" s="564">
        <f>ROUND('O&amp;M Charge'!I217,2)</f>
        <v>2.25</v>
      </c>
      <c r="H219" s="564">
        <f>ROUND('Customer Charge'!I217,2)</f>
        <v>0</v>
      </c>
      <c r="I219" s="564">
        <f>ROUND('Demand Charge'!G217,2)</f>
        <v>0</v>
      </c>
      <c r="J219" s="564">
        <f>ROUND('Energy Charge'!I217,2)</f>
        <v>0</v>
      </c>
      <c r="K219" s="564">
        <f>SUM(F219:J219)</f>
        <v>8.32</v>
      </c>
      <c r="L219" s="564">
        <f>K219</f>
        <v>8.32</v>
      </c>
      <c r="M219" s="564"/>
      <c r="O219" s="564">
        <v>0</v>
      </c>
      <c r="P219" s="564">
        <v>0</v>
      </c>
      <c r="Q219" s="564"/>
      <c r="S219" s="564">
        <v>0</v>
      </c>
      <c r="T219" s="564">
        <v>0</v>
      </c>
      <c r="U219" s="564"/>
      <c r="W219" s="564">
        <v>0</v>
      </c>
      <c r="X219" s="564">
        <v>0</v>
      </c>
      <c r="Y219" s="564"/>
      <c r="Z219" s="564"/>
      <c r="AA219" s="564">
        <v>0</v>
      </c>
      <c r="AB219" s="564">
        <v>0</v>
      </c>
      <c r="AC219" s="564"/>
      <c r="AE219" s="564">
        <f>K219+O219+S219+W219+AA219</f>
        <v>8.32</v>
      </c>
      <c r="AF219" s="564">
        <f>L219+P219+T219+X219+AB219</f>
        <v>8.32</v>
      </c>
      <c r="AG219" s="564"/>
    </row>
    <row r="220" spans="1:33" x14ac:dyDescent="0.2">
      <c r="B220" s="164"/>
      <c r="C220" s="164"/>
      <c r="D220" s="327"/>
      <c r="E220" s="165"/>
      <c r="F220" s="328"/>
      <c r="G220" s="564"/>
      <c r="H220" s="564"/>
      <c r="I220" s="564"/>
      <c r="J220" s="564"/>
      <c r="K220" s="564"/>
      <c r="O220" s="564"/>
      <c r="S220" s="564"/>
      <c r="W220" s="564"/>
      <c r="AE220" s="564"/>
    </row>
    <row r="221" spans="1:33" ht="13.8" x14ac:dyDescent="0.3">
      <c r="B221" s="641"/>
      <c r="C221" s="164"/>
      <c r="D221" s="327"/>
      <c r="E221" s="165"/>
      <c r="F221" s="328"/>
      <c r="G221" s="564"/>
      <c r="H221" s="564"/>
      <c r="I221" s="564"/>
      <c r="J221" s="564"/>
      <c r="K221" s="564"/>
      <c r="O221" s="564"/>
      <c r="S221" s="564"/>
      <c r="W221" s="564"/>
      <c r="AE221" s="564"/>
    </row>
    <row r="222" spans="1:33" x14ac:dyDescent="0.2">
      <c r="B222" s="164"/>
      <c r="C222" s="164"/>
      <c r="D222" s="327"/>
      <c r="E222" s="165"/>
      <c r="F222" s="328"/>
      <c r="G222" s="564"/>
      <c r="H222" s="564"/>
      <c r="I222" s="564"/>
      <c r="J222" s="564"/>
      <c r="K222" s="564"/>
      <c r="O222" s="564"/>
      <c r="S222" s="564"/>
      <c r="W222" s="564"/>
      <c r="AE222" s="564"/>
    </row>
    <row r="223" spans="1:33" x14ac:dyDescent="0.2">
      <c r="B223" s="164"/>
      <c r="C223" s="164"/>
      <c r="D223" s="327"/>
      <c r="E223" s="165"/>
      <c r="F223" s="328"/>
      <c r="G223" s="564"/>
      <c r="H223" s="564"/>
      <c r="I223" s="564"/>
      <c r="J223" s="564"/>
      <c r="K223" s="564"/>
      <c r="O223" s="564"/>
      <c r="S223" s="564"/>
      <c r="W223" s="564"/>
      <c r="AE223" s="564"/>
    </row>
    <row r="224" spans="1:33" x14ac:dyDescent="0.2">
      <c r="B224" s="164"/>
      <c r="C224" s="164"/>
      <c r="D224" s="327"/>
      <c r="E224" s="165"/>
      <c r="F224" s="328"/>
      <c r="G224" s="564"/>
      <c r="H224" s="564"/>
      <c r="I224" s="564"/>
      <c r="J224" s="564"/>
      <c r="K224" s="564"/>
      <c r="O224" s="564"/>
      <c r="S224" s="564"/>
      <c r="W224" s="564"/>
      <c r="AE224" s="564"/>
    </row>
    <row r="225" spans="2:31" x14ac:dyDescent="0.2">
      <c r="B225" s="164"/>
      <c r="C225" s="164"/>
      <c r="D225" s="327"/>
      <c r="E225" s="165"/>
      <c r="F225" s="328"/>
      <c r="G225" s="564"/>
      <c r="H225" s="564"/>
      <c r="I225" s="564"/>
      <c r="J225" s="564"/>
      <c r="K225" s="564"/>
      <c r="O225" s="564"/>
      <c r="S225" s="564"/>
      <c r="W225" s="564"/>
      <c r="AE225" s="564"/>
    </row>
    <row r="226" spans="2:31" x14ac:dyDescent="0.2">
      <c r="B226" s="164"/>
      <c r="C226" s="164"/>
      <c r="D226" s="327"/>
      <c r="E226" s="165"/>
      <c r="F226" s="328"/>
      <c r="G226" s="564"/>
      <c r="H226" s="564"/>
      <c r="I226" s="564"/>
      <c r="J226" s="564"/>
      <c r="K226" s="564"/>
      <c r="O226" s="564"/>
      <c r="S226" s="564"/>
      <c r="W226" s="564"/>
      <c r="AE226" s="564"/>
    </row>
    <row r="227" spans="2:31" x14ac:dyDescent="0.2">
      <c r="B227" s="164"/>
      <c r="C227" s="164"/>
      <c r="D227" s="327"/>
      <c r="E227" s="165"/>
      <c r="F227" s="328"/>
      <c r="G227" s="564"/>
      <c r="H227" s="564"/>
      <c r="I227" s="564"/>
      <c r="J227" s="564"/>
      <c r="K227" s="564"/>
      <c r="O227" s="564"/>
      <c r="S227" s="564"/>
      <c r="W227" s="564"/>
      <c r="AE227" s="564"/>
    </row>
    <row r="228" spans="2:31" x14ac:dyDescent="0.2">
      <c r="B228" s="164"/>
      <c r="C228" s="164"/>
      <c r="D228" s="327"/>
      <c r="E228" s="165"/>
      <c r="F228" s="328"/>
      <c r="G228" s="564"/>
      <c r="H228" s="564"/>
      <c r="I228" s="564"/>
      <c r="J228" s="564"/>
      <c r="K228" s="564"/>
      <c r="O228" s="564"/>
      <c r="S228" s="564"/>
      <c r="W228" s="564"/>
      <c r="AE228" s="564"/>
    </row>
    <row r="229" spans="2:31" x14ac:dyDescent="0.2">
      <c r="F229" s="98"/>
    </row>
    <row r="230" spans="2:31" x14ac:dyDescent="0.2">
      <c r="B230" s="245"/>
      <c r="C230" s="245"/>
    </row>
    <row r="232" spans="2:31" x14ac:dyDescent="0.2">
      <c r="B232" s="245"/>
      <c r="C232" s="245"/>
    </row>
    <row r="233" spans="2:31" x14ac:dyDescent="0.2">
      <c r="B233" s="245"/>
      <c r="C233" s="245"/>
    </row>
  </sheetData>
  <mergeCells count="11">
    <mergeCell ref="B5:K5"/>
    <mergeCell ref="AA6:AC6"/>
    <mergeCell ref="A1:AG1"/>
    <mergeCell ref="O6:Q6"/>
    <mergeCell ref="A2:AG2"/>
    <mergeCell ref="A3:AG3"/>
    <mergeCell ref="A4:AG4"/>
    <mergeCell ref="K6:M6"/>
    <mergeCell ref="S6:U6"/>
    <mergeCell ref="W6:Y6"/>
    <mergeCell ref="AE6:AG6"/>
  </mergeCells>
  <pageMargins left="0.7" right="0.7" top="0.75" bottom="0.75" header="0.3" footer="0.3"/>
  <pageSetup scale="39"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2" sqref="X32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Application xmlns="http://www.sap.com/cof/excel/application">
  <Version>2</Version>
  <Revision>2.8.1300.98253</Revision>
</Application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3087081EB85A46BBCECD7F8E5C5160" ma:contentTypeVersion="16" ma:contentTypeDescription="" ma:contentTypeScope="" ma:versionID="28c327f1a462061d9da7e726aec6f21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6A4537-18E4-423D-81FB-1BE9DAAF3BF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BCC6F0C-9096-48B3-BDEE-3CD486391733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BA7D712F-3DE1-4F5B-9D10-DF68B9AC2ECB}"/>
</file>

<file path=customXml/itemProps4.xml><?xml version="1.0" encoding="utf-8"?>
<ds:datastoreItem xmlns:ds="http://schemas.openxmlformats.org/officeDocument/2006/customXml" ds:itemID="{29667588-BF74-40B9-A5FC-2464A03BED9F}"/>
</file>

<file path=customXml/itemProps5.xml><?xml version="1.0" encoding="utf-8"?>
<ds:datastoreItem xmlns:ds="http://schemas.openxmlformats.org/officeDocument/2006/customXml" ds:itemID="{6171805A-DF1F-4FEB-8B4D-BDEB30E86693}"/>
</file>

<file path=customXml/itemProps6.xml><?xml version="1.0" encoding="utf-8"?>
<ds:datastoreItem xmlns:ds="http://schemas.openxmlformats.org/officeDocument/2006/customXml" ds:itemID="{DE5AE1A5-682E-4832-9D97-620A2180D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11</vt:i4>
      </vt:variant>
    </vt:vector>
  </HeadingPairs>
  <TitlesOfParts>
    <vt:vector size="56" baseType="lpstr">
      <vt:lpstr>Table of Contents</vt:lpstr>
      <vt:lpstr>BDJ-6 Base Revenue (Summary)</vt:lpstr>
      <vt:lpstr>BDJ-6 Lighting Parity Ratios</vt:lpstr>
      <vt:lpstr>BDJ-6 Rate Design Lighting</vt:lpstr>
      <vt:lpstr>BDJ-6 Unitized Lighting Costs</vt:lpstr>
      <vt:lpstr>BDJ-6 Classification of Costs</vt:lpstr>
      <vt:lpstr>BDJ-6 Combined Charges</vt:lpstr>
      <vt:lpstr>Tariffs --&gt;</vt:lpstr>
      <vt:lpstr>Base Lighting Tariff</vt:lpstr>
      <vt:lpstr>Base Lighting Tariff (Smart)</vt:lpstr>
      <vt:lpstr>Sch 141A Lighting Tariff</vt:lpstr>
      <vt:lpstr>Sch 141C Lighting Tariff</vt:lpstr>
      <vt:lpstr>Sch 141N Lighting Tariff</vt:lpstr>
      <vt:lpstr>Sch 141R Lighting Tariff</vt:lpstr>
      <vt:lpstr>Charges -&gt;</vt:lpstr>
      <vt:lpstr>Capital Charge</vt:lpstr>
      <vt:lpstr>O&amp;M Charge</vt:lpstr>
      <vt:lpstr>Customer Charge</vt:lpstr>
      <vt:lpstr>Demand Charge</vt:lpstr>
      <vt:lpstr>Energy Charge</vt:lpstr>
      <vt:lpstr>Rate Spread and Design--&gt;</vt:lpstr>
      <vt:lpstr>Rate Spread Lighting</vt:lpstr>
      <vt:lpstr>Schedule 50E</vt:lpstr>
      <vt:lpstr>Schedule 51E</vt:lpstr>
      <vt:lpstr>Schedule 52E</vt:lpstr>
      <vt:lpstr>Sch 51E &amp; 52E Facilities Charge</vt:lpstr>
      <vt:lpstr>Schedule 53E</vt:lpstr>
      <vt:lpstr>Schedule 54E</vt:lpstr>
      <vt:lpstr>Schedules 55E &amp; 56E</vt:lpstr>
      <vt:lpstr>Schedules 55E &amp; 58E Pole</vt:lpstr>
      <vt:lpstr>Schedule 57E</vt:lpstr>
      <vt:lpstr>Schedules 58E &amp; 59E</vt:lpstr>
      <vt:lpstr>Workpapers -&gt;</vt:lpstr>
      <vt:lpstr>WP12 Condensed Sch. Level Costs</vt:lpstr>
      <vt:lpstr>WP11 E373 Pole Cost Estimates</vt:lpstr>
      <vt:lpstr>WP10 O&amp;M Weighting Factor</vt:lpstr>
      <vt:lpstr>WP9 Sodium Vapor Cost Est.</vt:lpstr>
      <vt:lpstr>WP8 Metal Halide Cost Est.</vt:lpstr>
      <vt:lpstr>WP7 Condensed LED Cost Est.</vt:lpstr>
      <vt:lpstr>WP6 Demand Allocation Analysis</vt:lpstr>
      <vt:lpstr>WP5 Facilities Charge (51 &amp; 52)</vt:lpstr>
      <vt:lpstr>WP4 Customer Counts</vt:lpstr>
      <vt:lpstr>WP3 Current Light Rates (Smart)</vt:lpstr>
      <vt:lpstr>WP2 Current Light Rates</vt:lpstr>
      <vt:lpstr>WP1 Light Inventory</vt:lpstr>
      <vt:lpstr>'Base Lighting Tariff'!Print_Titles</vt:lpstr>
      <vt:lpstr>'BDJ-6 Combined Charges'!Print_Titles</vt:lpstr>
      <vt:lpstr>'BDJ-6 Rate Design Lighting'!Print_Titles</vt:lpstr>
      <vt:lpstr>'BDJ-6 Unitized Lighting Costs'!Print_Titles</vt:lpstr>
      <vt:lpstr>'Sch 141A Lighting Tariff'!Print_Titles</vt:lpstr>
      <vt:lpstr>'Sch 141C Lighting Tariff'!Print_Titles</vt:lpstr>
      <vt:lpstr>'Sch 141N Lighting Tariff'!Print_Titles</vt:lpstr>
      <vt:lpstr>'Sch 141R Lighting Tariff'!Print_Titles</vt:lpstr>
      <vt:lpstr>'WP1 Light Inventory'!Print_Titles</vt:lpstr>
      <vt:lpstr>'WP12 Condensed Sch. Level Costs'!Print_Titles</vt:lpstr>
      <vt:lpstr>'WP2 Current Light Rates'!Print_Titles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Regan, Jared</cp:lastModifiedBy>
  <cp:lastPrinted>2022-01-21T21:55:05Z</cp:lastPrinted>
  <dcterms:created xsi:type="dcterms:W3CDTF">2012-01-26T18:53:34Z</dcterms:created>
  <dcterms:modified xsi:type="dcterms:W3CDTF">2023-04-28T02:11:28Z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0x0101006E56B4D1795A2E4DB2F0B01679ED314A00173087081EB85A46BBCECD7F8E5C5160</vt:lpwstr>
  </property>
  <property fmtid="{D5CDD505-2E9C-101B-9397-08002B2CF9AE}" pid="4" name="_docset_NoMedatataSyncRequired">
    <vt:lpwstr>False</vt:lpwstr>
  </property>
</Properties>
</file>