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J:\GrpRates\Public\Line Extension\Line Extension Costs - 2021\Tariff Filing\"/>
    </mc:Choice>
  </mc:AlternateContent>
  <bookViews>
    <workbookView xWindow="0" yWindow="0" windowWidth="25200" windowHeight="10860" tabRatio="944"/>
  </bookViews>
  <sheets>
    <sheet name="Summary" sheetId="100" r:id="rId1"/>
    <sheet name="Residential Allowance (Sch 7)" sheetId="89" r:id="rId2"/>
    <sheet name="SV Allowance (Sch 24)" sheetId="95" r:id="rId3"/>
    <sheet name="SV Allowance (Sch 25)" sheetId="96" r:id="rId4"/>
    <sheet name="SV Allowance (Sch 26)" sheetId="98" r:id="rId5"/>
    <sheet name="PV Allowance (Sch 31)" sheetId="99" r:id="rId6"/>
    <sheet name="2022 GRC (UE-220066) --&gt;" sheetId="76" r:id="rId7"/>
    <sheet name="Exhibit SEF-4E" sheetId="88" r:id="rId8"/>
    <sheet name="Exhibit BDJ-3 F2021 kWh" sheetId="103" r:id="rId9"/>
    <sheet name="Exhibit BDJ-3 F2021 Customer" sheetId="104" r:id="rId10"/>
    <sheet name="Exhibit BDJ-5" sheetId="102" r:id="rId11"/>
    <sheet name="Exhibit BDJ-5 Res" sheetId="105" r:id="rId12"/>
    <sheet name="Exhibit BDJ-5 SV" sheetId="106" r:id="rId13"/>
    <sheet name="Exhibit BDJ-9, Page 2" sheetId="91" r:id="rId14"/>
  </sheets>
  <externalReferences>
    <externalReference r:id="rId15"/>
    <externalReference r:id="rId16"/>
    <externalReference r:id="rId17"/>
  </externalReferences>
  <definedNames>
    <definedName name="_Order1" hidden="1">255</definedName>
    <definedName name="_Order2" hidden="1">255</definedName>
    <definedName name="_Testyear">'[1]KJB-6,13 Cmn Adj'!$B$7</definedName>
    <definedName name="AccessDatabase" hidden="1">"I:\COMTREL\FINICLE\TradeSummary.mdb"</definedName>
    <definedName name="b" hidden="1">{#N/A,#N/A,FALSE,"Coversheet";#N/A,#N/A,FALSE,"QA"}</definedName>
    <definedName name="CASE">[2]INPUTS!$C$11</definedName>
    <definedName name="CIAC">#REF!</definedName>
    <definedName name="CIAC_TAX_ADJUSTED">#REF!</definedName>
    <definedName name="Consumption_Overrid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istribution_Cost">#REF!</definedName>
    <definedName name="EffTax">[2]INPUTS!$F$36</definedName>
    <definedName name="FIT">#REF!</definedName>
    <definedName name="FTAX">[2]INPUTS!$F$35</definedName>
    <definedName name="k_FITrate">'Exhibit SEF-4E'!#REF!</definedName>
    <definedName name="LE_Allowance">#REF!</definedName>
    <definedName name="LE_Cost">#REF!</definedName>
    <definedName name="Line_Life_UG">#REF!</definedName>
    <definedName name="LOAD_ANNUAL">#REF!</definedName>
    <definedName name="Primary_Cost_OH">#REF!</definedName>
    <definedName name="Primary_Cost_UG">#REF!</definedName>
    <definedName name="Primary_Feet_OH">#REF!</definedName>
    <definedName name="Primary_Feet_UG">#REF!</definedName>
    <definedName name="_xlnm.Print_Area" localSheetId="10">'Exhibit BDJ-5'!$A$1:$X$141</definedName>
    <definedName name="_xlnm.Print_Area" localSheetId="11">'Exhibit BDJ-5 Res'!$A$1:$J$39</definedName>
    <definedName name="_xlnm.Print_Area" localSheetId="12">'Exhibit BDJ-5 SV'!$A$1:$K$174</definedName>
    <definedName name="_xlnm.Print_Area" localSheetId="7">'Exhibit SEF-4E'!#REF!</definedName>
    <definedName name="_xlnm.Print_Titles" localSheetId="10">'Exhibit BDJ-5'!$A:$C,'Exhibit BDJ-5'!$1:$6</definedName>
    <definedName name="_xlnm.Print_Titles" localSheetId="11">'Exhibit BDJ-5 Res'!$1:$10</definedName>
    <definedName name="_xlnm.Print_Titles" localSheetId="12">'Exhibit BDJ-5 SV'!$1:$10</definedName>
    <definedName name="Production_Cost">#REF!</definedName>
    <definedName name="Property_Tax">#REF!</definedName>
    <definedName name="RATE_AVERAGE">#REF!</definedName>
    <definedName name="RATE_MARGIN">#REF!</definedName>
    <definedName name="Rate_Schedule">#REF!</definedName>
    <definedName name="ResRCF">[2]INPUTS!$F$44</definedName>
    <definedName name="ResUnc">[2]INPUTS!$F$39</definedName>
    <definedName name="Return">'[3]Cost of Capital'!$E$38</definedName>
    <definedName name="Revenue_Tax">#REF!</definedName>
    <definedName name="ROD">[2]INPUTS!$F$30</definedName>
    <definedName name="ROR">[2]INPUTS!$F$29</definedName>
    <definedName name="SCHEDULE">#REF!</definedName>
    <definedName name="Secondary_Cost_NP_OH">#REF!</definedName>
    <definedName name="Secondary_Cost_NP_UG">#REF!</definedName>
    <definedName name="Secondary_Cost_Platt">#REF!</definedName>
    <definedName name="STARTYEAR">#REF!</definedName>
    <definedName name="STAX">[2]INPUTS!$F$34</definedName>
    <definedName name="WACC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M30" i="100" l="1"/>
  <c r="L30" i="100"/>
  <c r="M29" i="100"/>
  <c r="L29" i="100"/>
  <c r="M28" i="100"/>
  <c r="L28" i="100"/>
  <c r="M27" i="100"/>
  <c r="L27" i="100"/>
  <c r="M26" i="100"/>
  <c r="L26" i="100"/>
  <c r="K24" i="100"/>
  <c r="E23" i="99"/>
  <c r="B23" i="99"/>
  <c r="E23" i="98"/>
  <c r="B23" i="98"/>
  <c r="E23" i="96"/>
  <c r="B23" i="96"/>
  <c r="E23" i="95"/>
  <c r="B23" i="95"/>
  <c r="E23" i="89"/>
  <c r="B23" i="89"/>
  <c r="M25" i="100" l="1"/>
  <c r="L25" i="100"/>
  <c r="B25" i="89"/>
  <c r="C6" i="95" l="1"/>
  <c r="C6" i="89"/>
  <c r="F6" i="95" l="1"/>
  <c r="F6" i="89"/>
  <c r="G9" i="106"/>
  <c r="F15" i="106"/>
  <c r="G15" i="106"/>
  <c r="I15" i="106"/>
  <c r="C17" i="106"/>
  <c r="F16" i="106"/>
  <c r="F17" i="106" s="1"/>
  <c r="C21" i="106"/>
  <c r="C25" i="106" s="1"/>
  <c r="F19" i="106"/>
  <c r="F21" i="106" s="1"/>
  <c r="D23" i="106"/>
  <c r="F23" i="106" s="1"/>
  <c r="F20" i="106"/>
  <c r="F22" i="106"/>
  <c r="D22" i="106"/>
  <c r="D24" i="106"/>
  <c r="F41" i="106"/>
  <c r="G41" i="106"/>
  <c r="I41" i="106" s="1"/>
  <c r="F43" i="106"/>
  <c r="F44" i="106"/>
  <c r="F45" i="106"/>
  <c r="F47" i="106"/>
  <c r="D47" i="106"/>
  <c r="D48" i="106"/>
  <c r="C53" i="106"/>
  <c r="G51" i="106"/>
  <c r="I51" i="106" s="1"/>
  <c r="F52" i="106"/>
  <c r="G52" i="106"/>
  <c r="I52" i="106" s="1"/>
  <c r="G55" i="106"/>
  <c r="I55" i="106" s="1"/>
  <c r="F55" i="106"/>
  <c r="D72" i="106"/>
  <c r="D73" i="106"/>
  <c r="F86" i="106"/>
  <c r="G86" i="106"/>
  <c r="I86" i="106"/>
  <c r="C89" i="106"/>
  <c r="C92" i="106" s="1"/>
  <c r="F90" i="106"/>
  <c r="D90" i="106"/>
  <c r="D91" i="106"/>
  <c r="F94" i="106"/>
  <c r="G94" i="106"/>
  <c r="I94" i="106"/>
  <c r="G95" i="106"/>
  <c r="C96" i="106"/>
  <c r="G98" i="106"/>
  <c r="A102" i="106"/>
  <c r="D112" i="106"/>
  <c r="F112" i="106" s="1"/>
  <c r="F114" i="106" s="1"/>
  <c r="G112" i="106"/>
  <c r="I112" i="106" s="1"/>
  <c r="C113" i="106"/>
  <c r="F113" i="106"/>
  <c r="C117" i="106"/>
  <c r="C118" i="106"/>
  <c r="C121" i="106" s="1"/>
  <c r="I119" i="106"/>
  <c r="C120" i="106"/>
  <c r="D123" i="106"/>
  <c r="F123" i="106"/>
  <c r="G123" i="106"/>
  <c r="I123" i="106" s="1"/>
  <c r="C126" i="106"/>
  <c r="C125" i="106"/>
  <c r="F125" i="106"/>
  <c r="C129" i="106"/>
  <c r="D128" i="106"/>
  <c r="F129" i="106" s="1"/>
  <c r="G113" i="106"/>
  <c r="I113" i="106" s="1"/>
  <c r="F137" i="106"/>
  <c r="F146" i="106"/>
  <c r="G146" i="106"/>
  <c r="I146" i="106"/>
  <c r="G147" i="106"/>
  <c r="I147" i="106" s="1"/>
  <c r="C148" i="106"/>
  <c r="F150" i="106"/>
  <c r="C154" i="106"/>
  <c r="C158" i="106" s="1"/>
  <c r="F151" i="106"/>
  <c r="F152" i="106"/>
  <c r="D155" i="106"/>
  <c r="F155" i="106" s="1"/>
  <c r="D156" i="106"/>
  <c r="F156" i="106"/>
  <c r="D157" i="106"/>
  <c r="F160" i="106"/>
  <c r="F162" i="106" s="1"/>
  <c r="G160" i="106"/>
  <c r="I160" i="106" s="1"/>
  <c r="I162" i="106" s="1"/>
  <c r="F161" i="106"/>
  <c r="G161" i="106"/>
  <c r="I161" i="106" s="1"/>
  <c r="F164" i="106"/>
  <c r="G164" i="106"/>
  <c r="I164" i="106" s="1"/>
  <c r="F14" i="105"/>
  <c r="G14" i="105"/>
  <c r="I14" i="105" s="1"/>
  <c r="C16" i="105"/>
  <c r="F15" i="105"/>
  <c r="C20" i="105"/>
  <c r="C23" i="105" s="1"/>
  <c r="F18" i="105"/>
  <c r="F19" i="105"/>
  <c r="D21" i="105"/>
  <c r="F21" i="105" s="1"/>
  <c r="D22" i="105"/>
  <c r="D172" i="106" l="1"/>
  <c r="D80" i="106"/>
  <c r="F46" i="106"/>
  <c r="F49" i="106" s="1"/>
  <c r="F57" i="106" s="1"/>
  <c r="I66" i="106" s="1"/>
  <c r="I98" i="106"/>
  <c r="G128" i="106"/>
  <c r="I128" i="106" s="1"/>
  <c r="I96" i="106"/>
  <c r="D173" i="106"/>
  <c r="I148" i="106"/>
  <c r="I95" i="106"/>
  <c r="G124" i="106"/>
  <c r="I124" i="106" s="1"/>
  <c r="I53" i="106"/>
  <c r="G81" i="106" s="1"/>
  <c r="F25" i="106"/>
  <c r="I114" i="106"/>
  <c r="F147" i="106"/>
  <c r="F148" i="106" s="1"/>
  <c r="D124" i="106"/>
  <c r="F124" i="106" s="1"/>
  <c r="F126" i="106" s="1"/>
  <c r="F98" i="106"/>
  <c r="F95" i="106"/>
  <c r="F96" i="106" s="1"/>
  <c r="D102" i="106" s="1"/>
  <c r="F51" i="106"/>
  <c r="F53" i="106" s="1"/>
  <c r="D116" i="106"/>
  <c r="C162" i="106"/>
  <c r="D174" i="106" s="1"/>
  <c r="F153" i="106"/>
  <c r="F154" i="106" s="1"/>
  <c r="F158" i="106" s="1"/>
  <c r="F138" i="106"/>
  <c r="I138" i="106" s="1"/>
  <c r="G129" i="106" s="1"/>
  <c r="I129" i="106" s="1"/>
  <c r="C75" i="106"/>
  <c r="F128" i="106"/>
  <c r="F130" i="106" s="1"/>
  <c r="F88" i="106"/>
  <c r="F89" i="106" s="1"/>
  <c r="F92" i="106" s="1"/>
  <c r="F100" i="106" s="1"/>
  <c r="C74" i="106"/>
  <c r="C46" i="106"/>
  <c r="C49" i="106" s="1"/>
  <c r="G16" i="106"/>
  <c r="I16" i="106" s="1"/>
  <c r="I17" i="106" s="1"/>
  <c r="I35" i="105"/>
  <c r="F16" i="105"/>
  <c r="F20" i="105"/>
  <c r="F23" i="105" s="1"/>
  <c r="G15" i="105"/>
  <c r="I15" i="105" s="1"/>
  <c r="I16" i="105" s="1"/>
  <c r="D28" i="106" l="1"/>
  <c r="I33" i="106"/>
  <c r="F26" i="106"/>
  <c r="I130" i="106"/>
  <c r="F77" i="106"/>
  <c r="D81" i="106"/>
  <c r="G102" i="106"/>
  <c r="I136" i="106"/>
  <c r="G125" i="106" s="1"/>
  <c r="I125" i="106" s="1"/>
  <c r="I126" i="106" s="1"/>
  <c r="F76" i="106"/>
  <c r="D119" i="106"/>
  <c r="F119" i="106" s="1"/>
  <c r="F117" i="106"/>
  <c r="F116" i="106"/>
  <c r="F118" i="106" s="1"/>
  <c r="G174" i="106"/>
  <c r="F166" i="106"/>
  <c r="F24" i="105"/>
  <c r="I37" i="105"/>
  <c r="D120" i="106" l="1"/>
  <c r="F78" i="106"/>
  <c r="F120" i="106" l="1"/>
  <c r="F121" i="106" s="1"/>
  <c r="F132" i="106" s="1"/>
  <c r="I61" i="106" l="1"/>
  <c r="I168" i="106" s="1"/>
  <c r="I169" i="106" s="1"/>
  <c r="I31" i="106"/>
  <c r="I34" i="106" s="1"/>
  <c r="I32" i="106"/>
  <c r="I105" i="106"/>
  <c r="I107" i="106" s="1"/>
  <c r="I106" i="106"/>
  <c r="I31" i="105"/>
  <c r="G88" i="106" l="1"/>
  <c r="G91" i="106"/>
  <c r="I91" i="106" s="1"/>
  <c r="G120" i="106"/>
  <c r="I120" i="106" s="1"/>
  <c r="G20" i="106"/>
  <c r="G24" i="106"/>
  <c r="I24" i="106" s="1"/>
  <c r="G19" i="106"/>
  <c r="I170" i="106"/>
  <c r="I64" i="106"/>
  <c r="I65" i="106" s="1"/>
  <c r="I67" i="106" s="1"/>
  <c r="I36" i="105"/>
  <c r="I38" i="105" s="1"/>
  <c r="I32" i="105"/>
  <c r="I19" i="106" l="1"/>
  <c r="G22" i="106"/>
  <c r="I22" i="106" s="1"/>
  <c r="I20" i="106"/>
  <c r="G23" i="106"/>
  <c r="I23" i="106" s="1"/>
  <c r="G48" i="106"/>
  <c r="I48" i="106" s="1"/>
  <c r="G43" i="106"/>
  <c r="I43" i="106" s="1"/>
  <c r="G45" i="106"/>
  <c r="G44" i="106"/>
  <c r="I44" i="106" s="1"/>
  <c r="G152" i="106"/>
  <c r="I152" i="106" s="1"/>
  <c r="G153" i="106"/>
  <c r="G150" i="106"/>
  <c r="I150" i="106" s="1"/>
  <c r="G157" i="106"/>
  <c r="I157" i="106" s="1"/>
  <c r="G151" i="106"/>
  <c r="G116" i="106"/>
  <c r="I116" i="106" s="1"/>
  <c r="G90" i="106"/>
  <c r="I90" i="106" s="1"/>
  <c r="I137" i="106"/>
  <c r="G117" i="106" s="1"/>
  <c r="I117" i="106" s="1"/>
  <c r="I88" i="106"/>
  <c r="I89" i="106" s="1"/>
  <c r="I22" i="105"/>
  <c r="G22" i="105" s="1"/>
  <c r="G19" i="105"/>
  <c r="G18" i="105"/>
  <c r="I18" i="105" s="1"/>
  <c r="I45" i="106" l="1"/>
  <c r="G47" i="106"/>
  <c r="I47" i="106" s="1"/>
  <c r="G80" i="106"/>
  <c r="I46" i="106"/>
  <c r="I49" i="106" s="1"/>
  <c r="I57" i="106" s="1"/>
  <c r="I68" i="106" s="1"/>
  <c r="I69" i="106" s="1"/>
  <c r="I118" i="106"/>
  <c r="I121" i="106" s="1"/>
  <c r="I132" i="106" s="1"/>
  <c r="G155" i="106"/>
  <c r="I155" i="106" s="1"/>
  <c r="I151" i="106"/>
  <c r="G173" i="106" s="1"/>
  <c r="I154" i="106"/>
  <c r="I158" i="106" s="1"/>
  <c r="I166" i="106" s="1"/>
  <c r="G172" i="106"/>
  <c r="G156" i="106"/>
  <c r="I156" i="106" s="1"/>
  <c r="I153" i="106"/>
  <c r="I92" i="106"/>
  <c r="I100" i="106" s="1"/>
  <c r="I21" i="106"/>
  <c r="I25" i="106" s="1"/>
  <c r="G21" i="105"/>
  <c r="I21" i="105" s="1"/>
  <c r="I19" i="105"/>
  <c r="I20" i="105" s="1"/>
  <c r="I23" i="105" s="1"/>
  <c r="I24" i="105" s="1"/>
  <c r="I33" i="105" s="1"/>
  <c r="K169" i="106" l="1"/>
  <c r="I60" i="106"/>
  <c r="G28" i="106"/>
  <c r="I26" i="106"/>
  <c r="K105" i="106"/>
  <c r="I108" i="106"/>
  <c r="I35" i="106" l="1"/>
  <c r="I36" i="106"/>
  <c r="E25" i="99" l="1"/>
  <c r="E24" i="99"/>
  <c r="E10" i="99"/>
  <c r="E12" i="99" s="1"/>
  <c r="E25" i="98"/>
  <c r="E24" i="98"/>
  <c r="E10" i="98"/>
  <c r="E12" i="98"/>
  <c r="E25" i="96"/>
  <c r="E24" i="96"/>
  <c r="E10" i="96"/>
  <c r="F10" i="96" s="1"/>
  <c r="E25" i="95"/>
  <c r="E24" i="95"/>
  <c r="E10" i="95"/>
  <c r="E12" i="95" s="1"/>
  <c r="J15" i="100"/>
  <c r="E25" i="89"/>
  <c r="E24" i="89"/>
  <c r="E10" i="89"/>
  <c r="H32" i="91"/>
  <c r="G32" i="91"/>
  <c r="F32" i="91"/>
  <c r="E18" i="99" l="1"/>
  <c r="F18" i="99" s="1"/>
  <c r="J19" i="100" s="1"/>
  <c r="F10" i="99"/>
  <c r="E18" i="98"/>
  <c r="F18" i="98" s="1"/>
  <c r="J18" i="100" s="1"/>
  <c r="F10" i="98"/>
  <c r="E18" i="96"/>
  <c r="F18" i="96" s="1"/>
  <c r="J17" i="100" s="1"/>
  <c r="E12" i="96"/>
  <c r="E18" i="95"/>
  <c r="F18" i="95" s="1"/>
  <c r="J16" i="100" s="1"/>
  <c r="F10" i="95"/>
  <c r="I32" i="91"/>
  <c r="E32" i="91"/>
  <c r="D32" i="91"/>
  <c r="C46" i="88" l="1"/>
  <c r="E46" i="88"/>
  <c r="C42" i="88"/>
  <c r="E18" i="89"/>
  <c r="F18" i="89" s="1"/>
  <c r="E42" i="88" l="1"/>
  <c r="B25" i="99"/>
  <c r="B25" i="98"/>
  <c r="B25" i="96"/>
  <c r="B25" i="95"/>
  <c r="B24" i="99" l="1"/>
  <c r="B24" i="98"/>
  <c r="B24" i="96"/>
  <c r="B24" i="95"/>
  <c r="B24" i="89"/>
  <c r="S8" i="104"/>
  <c r="S9" i="104"/>
  <c r="S10" i="104"/>
  <c r="S11" i="104"/>
  <c r="S12" i="104"/>
  <c r="S13" i="104"/>
  <c r="S14" i="104"/>
  <c r="S15" i="104"/>
  <c r="S16" i="104"/>
  <c r="S17" i="104"/>
  <c r="S18" i="104"/>
  <c r="S19" i="104"/>
  <c r="A20" i="104"/>
  <c r="A32" i="104" s="1"/>
  <c r="A44" i="104" s="1"/>
  <c r="A56" i="104" s="1"/>
  <c r="S20" i="104"/>
  <c r="S21" i="104"/>
  <c r="S22" i="104"/>
  <c r="S23" i="104"/>
  <c r="S24" i="104"/>
  <c r="S25" i="104"/>
  <c r="S26" i="104"/>
  <c r="S27" i="104"/>
  <c r="S28" i="104"/>
  <c r="S29" i="104"/>
  <c r="S30" i="104"/>
  <c r="S31" i="104"/>
  <c r="S32" i="104"/>
  <c r="S33" i="104"/>
  <c r="S34" i="104"/>
  <c r="S35" i="104"/>
  <c r="S36" i="104"/>
  <c r="S37" i="104"/>
  <c r="S38" i="104"/>
  <c r="S39" i="104"/>
  <c r="S40" i="104"/>
  <c r="S41" i="104"/>
  <c r="S42" i="104"/>
  <c r="S43" i="104"/>
  <c r="S44" i="104"/>
  <c r="S45" i="104"/>
  <c r="S46" i="104"/>
  <c r="S47" i="104"/>
  <c r="S48" i="104"/>
  <c r="S49" i="104"/>
  <c r="S50" i="104"/>
  <c r="S51" i="104"/>
  <c r="S52" i="104"/>
  <c r="S53" i="104"/>
  <c r="S54" i="104"/>
  <c r="S55" i="104"/>
  <c r="A20" i="103"/>
  <c r="C20" i="103"/>
  <c r="H20" i="103"/>
  <c r="M20" i="103"/>
  <c r="C21" i="103"/>
  <c r="C69" i="103" s="1"/>
  <c r="H21" i="103"/>
  <c r="M21" i="103"/>
  <c r="M69" i="103" s="1"/>
  <c r="C22" i="103"/>
  <c r="H22" i="103"/>
  <c r="M22" i="103"/>
  <c r="C23" i="103"/>
  <c r="H23" i="103"/>
  <c r="M23" i="103"/>
  <c r="C24" i="103"/>
  <c r="H24" i="103"/>
  <c r="H69" i="103" s="1"/>
  <c r="M24" i="103"/>
  <c r="C25" i="103"/>
  <c r="H25" i="103"/>
  <c r="M25" i="103"/>
  <c r="C26" i="103"/>
  <c r="H26" i="103"/>
  <c r="M26" i="103"/>
  <c r="C27" i="103"/>
  <c r="H27" i="103"/>
  <c r="M27" i="103"/>
  <c r="C28" i="103"/>
  <c r="H28" i="103"/>
  <c r="M28" i="103"/>
  <c r="C29" i="103"/>
  <c r="H29" i="103"/>
  <c r="M29" i="103"/>
  <c r="C30" i="103"/>
  <c r="H30" i="103"/>
  <c r="M30" i="103"/>
  <c r="C31" i="103"/>
  <c r="H31" i="103"/>
  <c r="M31" i="103"/>
  <c r="T31" i="103"/>
  <c r="A32" i="103"/>
  <c r="C32" i="103"/>
  <c r="C70" i="103" s="1"/>
  <c r="H32" i="103"/>
  <c r="M32" i="103"/>
  <c r="C33" i="103"/>
  <c r="H33" i="103"/>
  <c r="M33" i="103"/>
  <c r="C34" i="103"/>
  <c r="H34" i="103"/>
  <c r="M34" i="103"/>
  <c r="M70" i="103" s="1"/>
  <c r="C35" i="103"/>
  <c r="H35" i="103"/>
  <c r="M35" i="103"/>
  <c r="C36" i="103"/>
  <c r="H36" i="103"/>
  <c r="M36" i="103"/>
  <c r="C37" i="103"/>
  <c r="H37" i="103"/>
  <c r="M37" i="103"/>
  <c r="C38" i="103"/>
  <c r="H38" i="103"/>
  <c r="M38" i="103"/>
  <c r="C39" i="103"/>
  <c r="H39" i="103"/>
  <c r="M39" i="103"/>
  <c r="C40" i="103"/>
  <c r="H40" i="103"/>
  <c r="M40" i="103"/>
  <c r="C41" i="103"/>
  <c r="H41" i="103"/>
  <c r="M41" i="103"/>
  <c r="C42" i="103"/>
  <c r="H42" i="103"/>
  <c r="M42" i="103"/>
  <c r="C43" i="103"/>
  <c r="H43" i="103"/>
  <c r="M43" i="103"/>
  <c r="T43" i="103"/>
  <c r="A44" i="103"/>
  <c r="A56" i="103" s="1"/>
  <c r="C44" i="103"/>
  <c r="H44" i="103"/>
  <c r="M44" i="103"/>
  <c r="M71" i="103" s="1"/>
  <c r="C45" i="103"/>
  <c r="H45" i="103"/>
  <c r="M45" i="103"/>
  <c r="C46" i="103"/>
  <c r="H46" i="103"/>
  <c r="M46" i="103"/>
  <c r="C47" i="103"/>
  <c r="C71" i="103" s="1"/>
  <c r="H47" i="103"/>
  <c r="M47" i="103"/>
  <c r="C48" i="103"/>
  <c r="H48" i="103"/>
  <c r="M48" i="103"/>
  <c r="C49" i="103"/>
  <c r="H49" i="103"/>
  <c r="M49" i="103"/>
  <c r="C50" i="103"/>
  <c r="H50" i="103"/>
  <c r="M50" i="103"/>
  <c r="C51" i="103"/>
  <c r="H51" i="103"/>
  <c r="M51" i="103"/>
  <c r="C52" i="103"/>
  <c r="H52" i="103"/>
  <c r="M52" i="103"/>
  <c r="C53" i="103"/>
  <c r="H53" i="103"/>
  <c r="M53" i="103"/>
  <c r="C54" i="103"/>
  <c r="H54" i="103"/>
  <c r="M54" i="103"/>
  <c r="C55" i="103"/>
  <c r="H55" i="103"/>
  <c r="M55" i="103"/>
  <c r="T55" i="103"/>
  <c r="D69" i="103"/>
  <c r="E69" i="103"/>
  <c r="F69" i="103"/>
  <c r="G69" i="103"/>
  <c r="I69" i="103"/>
  <c r="J69" i="103"/>
  <c r="K69" i="103"/>
  <c r="L69" i="103"/>
  <c r="N69" i="103"/>
  <c r="O69" i="103"/>
  <c r="P69" i="103"/>
  <c r="Q69" i="103"/>
  <c r="R69" i="103"/>
  <c r="W69" i="103"/>
  <c r="X69" i="103"/>
  <c r="Y69" i="103"/>
  <c r="Z69" i="103"/>
  <c r="AA69" i="103"/>
  <c r="AB69" i="103"/>
  <c r="D70" i="103"/>
  <c r="E70" i="103"/>
  <c r="F70" i="103"/>
  <c r="G70" i="103"/>
  <c r="H70" i="103"/>
  <c r="I70" i="103"/>
  <c r="J70" i="103"/>
  <c r="K70" i="103"/>
  <c r="L70" i="103"/>
  <c r="N70" i="103"/>
  <c r="O70" i="103"/>
  <c r="P70" i="103"/>
  <c r="Q70" i="103"/>
  <c r="R70" i="103"/>
  <c r="W70" i="103"/>
  <c r="X70" i="103"/>
  <c r="Y70" i="103"/>
  <c r="Z70" i="103"/>
  <c r="AA70" i="103"/>
  <c r="AB70" i="103"/>
  <c r="D71" i="103"/>
  <c r="E71" i="103"/>
  <c r="F71" i="103"/>
  <c r="G71" i="103"/>
  <c r="H71" i="103"/>
  <c r="I71" i="103"/>
  <c r="J71" i="103"/>
  <c r="K71" i="103"/>
  <c r="L71" i="103"/>
  <c r="N71" i="103"/>
  <c r="O71" i="103"/>
  <c r="P71" i="103"/>
  <c r="Q71" i="103"/>
  <c r="R71" i="103"/>
  <c r="W71" i="103"/>
  <c r="X71" i="103"/>
  <c r="Y71" i="103"/>
  <c r="Z71" i="103"/>
  <c r="AA71" i="103"/>
  <c r="AB71" i="103"/>
  <c r="C72" i="103"/>
  <c r="D72" i="103"/>
  <c r="E72" i="103"/>
  <c r="S72" i="103" s="1"/>
  <c r="F72" i="103"/>
  <c r="G72" i="103"/>
  <c r="H72" i="103"/>
  <c r="AC72" i="103" s="1"/>
  <c r="I72" i="103"/>
  <c r="J72" i="103"/>
  <c r="K72" i="103"/>
  <c r="L72" i="103"/>
  <c r="M72" i="103"/>
  <c r="N72" i="103"/>
  <c r="O72" i="103"/>
  <c r="P72" i="103"/>
  <c r="Q72" i="103"/>
  <c r="R72" i="103"/>
  <c r="W72" i="103"/>
  <c r="X72" i="103"/>
  <c r="Y72" i="103"/>
  <c r="Z72" i="103"/>
  <c r="AA72" i="103"/>
  <c r="AB72" i="103"/>
  <c r="AC71" i="103" l="1"/>
  <c r="S71" i="103"/>
  <c r="AC70" i="103"/>
  <c r="S70" i="103"/>
  <c r="S69" i="103"/>
  <c r="F85" i="102" l="1"/>
  <c r="F74" i="102"/>
  <c r="F67" i="102"/>
  <c r="F62" i="102"/>
  <c r="F55" i="102"/>
  <c r="F51" i="102"/>
  <c r="F40" i="102"/>
  <c r="F32" i="102"/>
  <c r="F25" i="102"/>
  <c r="F12" i="102"/>
  <c r="F11" i="102"/>
  <c r="X141" i="102"/>
  <c r="R141" i="102"/>
  <c r="B141" i="102"/>
  <c r="R138" i="102"/>
  <c r="B138" i="102"/>
  <c r="X135" i="102"/>
  <c r="R135" i="102"/>
  <c r="L135" i="102"/>
  <c r="F135" i="102"/>
  <c r="B135" i="102"/>
  <c r="B134" i="102"/>
  <c r="X133" i="102"/>
  <c r="R133" i="102"/>
  <c r="B133" i="102"/>
  <c r="B130" i="102"/>
  <c r="B129" i="102"/>
  <c r="B128" i="102"/>
  <c r="X127" i="102"/>
  <c r="R127" i="102"/>
  <c r="L127" i="102"/>
  <c r="B127" i="102"/>
  <c r="B126" i="102"/>
  <c r="X125" i="102"/>
  <c r="R125" i="102"/>
  <c r="F125" i="102"/>
  <c r="B125" i="102"/>
  <c r="F117" i="102"/>
  <c r="F114" i="102"/>
  <c r="X110" i="102"/>
  <c r="X138" i="102" s="1"/>
  <c r="B110" i="102"/>
  <c r="B111" i="102" s="1"/>
  <c r="B112" i="102" s="1"/>
  <c r="B113" i="102" s="1"/>
  <c r="B114" i="102" s="1"/>
  <c r="B115" i="102" s="1"/>
  <c r="B116" i="102" s="1"/>
  <c r="B117" i="102" s="1"/>
  <c r="B118" i="102" s="1"/>
  <c r="B119" i="102" s="1"/>
  <c r="B120" i="102" s="1"/>
  <c r="B121" i="102" s="1"/>
  <c r="B122" i="102" s="1"/>
  <c r="F109" i="102"/>
  <c r="F106" i="102"/>
  <c r="B106" i="102"/>
  <c r="B105" i="102"/>
  <c r="F104" i="102"/>
  <c r="B104" i="102"/>
  <c r="B103" i="102"/>
  <c r="X102" i="102"/>
  <c r="R102" i="102"/>
  <c r="L102" i="102"/>
  <c r="B102" i="102"/>
  <c r="B101" i="102"/>
  <c r="X100" i="102"/>
  <c r="R100" i="102"/>
  <c r="F100" i="102"/>
  <c r="B100" i="102"/>
  <c r="B99" i="102"/>
  <c r="B98" i="102"/>
  <c r="F95" i="102"/>
  <c r="B95" i="102"/>
  <c r="B94" i="102"/>
  <c r="X93" i="102"/>
  <c r="R93" i="102"/>
  <c r="L93" i="102"/>
  <c r="B93" i="102"/>
  <c r="X92" i="102"/>
  <c r="R92" i="102"/>
  <c r="L92" i="102"/>
  <c r="B92" i="102"/>
  <c r="B91" i="102"/>
  <c r="X90" i="102"/>
  <c r="R90" i="102"/>
  <c r="L90" i="102"/>
  <c r="L110" i="102" s="1"/>
  <c r="F90" i="102"/>
  <c r="B90" i="102"/>
  <c r="B89" i="102"/>
  <c r="B88" i="102"/>
  <c r="B85" i="102"/>
  <c r="B84" i="102"/>
  <c r="F83" i="102"/>
  <c r="B83" i="102"/>
  <c r="F82" i="102"/>
  <c r="B82" i="102"/>
  <c r="X81" i="102"/>
  <c r="R81" i="102"/>
  <c r="L81" i="102"/>
  <c r="B81" i="102"/>
  <c r="B80" i="102"/>
  <c r="F79" i="102"/>
  <c r="B79" i="102"/>
  <c r="X78" i="102"/>
  <c r="R78" i="102"/>
  <c r="L78" i="102"/>
  <c r="B78" i="102"/>
  <c r="B77" i="102"/>
  <c r="X76" i="102"/>
  <c r="R76" i="102"/>
  <c r="L76" i="102"/>
  <c r="B76" i="102"/>
  <c r="B75" i="102"/>
  <c r="B74" i="102"/>
  <c r="B71" i="102"/>
  <c r="B70" i="102"/>
  <c r="X69" i="102"/>
  <c r="R69" i="102"/>
  <c r="L69" i="102"/>
  <c r="F69" i="102"/>
  <c r="B69" i="102"/>
  <c r="X68" i="102"/>
  <c r="R68" i="102"/>
  <c r="L68" i="102"/>
  <c r="B68" i="102"/>
  <c r="B67" i="102"/>
  <c r="B66" i="102"/>
  <c r="B65" i="102"/>
  <c r="B64" i="102"/>
  <c r="F63" i="102"/>
  <c r="B63" i="102"/>
  <c r="X62" i="102"/>
  <c r="R62" i="102"/>
  <c r="L62" i="102"/>
  <c r="B62" i="102"/>
  <c r="B61" i="102"/>
  <c r="B60" i="102"/>
  <c r="F59" i="102"/>
  <c r="B59" i="102"/>
  <c r="B56" i="102"/>
  <c r="X55" i="102"/>
  <c r="R55" i="102"/>
  <c r="L55" i="102"/>
  <c r="B55" i="102"/>
  <c r="R54" i="102"/>
  <c r="L54" i="102"/>
  <c r="B54" i="102"/>
  <c r="R53" i="102"/>
  <c r="L53" i="102"/>
  <c r="B53" i="102"/>
  <c r="B52" i="102"/>
  <c r="B51" i="102"/>
  <c r="F54" i="102"/>
  <c r="B50" i="102"/>
  <c r="F52" i="102"/>
  <c r="B49" i="102"/>
  <c r="B48" i="102"/>
  <c r="B47" i="102"/>
  <c r="B46" i="102"/>
  <c r="B45" i="102"/>
  <c r="B44" i="102"/>
  <c r="F43" i="102"/>
  <c r="B43" i="102"/>
  <c r="X42" i="102"/>
  <c r="R42" i="102"/>
  <c r="L42" i="102"/>
  <c r="F42" i="102"/>
  <c r="B42" i="102"/>
  <c r="F41" i="102"/>
  <c r="B41" i="102"/>
  <c r="B40" i="102"/>
  <c r="X39" i="102"/>
  <c r="R39" i="102"/>
  <c r="L39" i="102"/>
  <c r="F39" i="102"/>
  <c r="B39" i="102"/>
  <c r="B38" i="102"/>
  <c r="X37" i="102"/>
  <c r="R37" i="102"/>
  <c r="L37" i="102"/>
  <c r="B37" i="102"/>
  <c r="B36" i="102"/>
  <c r="F35" i="102"/>
  <c r="B35" i="102"/>
  <c r="B32" i="102"/>
  <c r="B31" i="102"/>
  <c r="X30" i="102"/>
  <c r="R30" i="102"/>
  <c r="L30" i="102"/>
  <c r="B30" i="102"/>
  <c r="X29" i="102"/>
  <c r="R29" i="102"/>
  <c r="L29" i="102"/>
  <c r="F29" i="102"/>
  <c r="B29" i="102"/>
  <c r="F28" i="102"/>
  <c r="B28" i="102"/>
  <c r="B27" i="102"/>
  <c r="B26" i="102"/>
  <c r="B25" i="102"/>
  <c r="X24" i="102"/>
  <c r="R24" i="102"/>
  <c r="L24" i="102"/>
  <c r="B24" i="102"/>
  <c r="B23" i="102"/>
  <c r="B22" i="102"/>
  <c r="B19" i="102"/>
  <c r="X18" i="102"/>
  <c r="R18" i="102"/>
  <c r="L18" i="102"/>
  <c r="F18" i="102"/>
  <c r="B18" i="102"/>
  <c r="B17" i="102"/>
  <c r="F16" i="102"/>
  <c r="B16" i="102"/>
  <c r="F15" i="102"/>
  <c r="B15" i="102"/>
  <c r="F9" i="102"/>
  <c r="F8" i="102"/>
  <c r="B8" i="102"/>
  <c r="B9" i="102" s="1"/>
  <c r="B10" i="102" s="1"/>
  <c r="B11" i="102" s="1"/>
  <c r="B12" i="102" s="1"/>
  <c r="A8" i="102"/>
  <c r="A9" i="102" s="1"/>
  <c r="A10" i="102" s="1"/>
  <c r="A11" i="102" s="1"/>
  <c r="A12" i="102" s="1"/>
  <c r="A13" i="102" s="1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6" i="102" s="1"/>
  <c r="A27" i="102" s="1"/>
  <c r="A28" i="102" s="1"/>
  <c r="A29" i="102" s="1"/>
  <c r="A30" i="102" s="1"/>
  <c r="A31" i="102" s="1"/>
  <c r="A32" i="102" s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57" i="102" s="1"/>
  <c r="A58" i="102" s="1"/>
  <c r="A59" i="102" s="1"/>
  <c r="A60" i="102" s="1"/>
  <c r="A61" i="102" s="1"/>
  <c r="A62" i="102" s="1"/>
  <c r="A63" i="102" s="1"/>
  <c r="A64" i="102" s="1"/>
  <c r="A65" i="102" s="1"/>
  <c r="A66" i="102" s="1"/>
  <c r="A67" i="102" s="1"/>
  <c r="A68" i="102" s="1"/>
  <c r="A69" i="102" s="1"/>
  <c r="A70" i="102" s="1"/>
  <c r="A71" i="102" s="1"/>
  <c r="A72" i="102" s="1"/>
  <c r="A73" i="102" s="1"/>
  <c r="A74" i="102" s="1"/>
  <c r="A75" i="102" s="1"/>
  <c r="A76" i="102" s="1"/>
  <c r="A77" i="102" s="1"/>
  <c r="A78" i="102" s="1"/>
  <c r="A79" i="102" s="1"/>
  <c r="A80" i="102" s="1"/>
  <c r="A81" i="102" s="1"/>
  <c r="A82" i="102" s="1"/>
  <c r="A83" i="102" s="1"/>
  <c r="A84" i="102" s="1"/>
  <c r="A85" i="102" s="1"/>
  <c r="A86" i="102" s="1"/>
  <c r="A87" i="102" s="1"/>
  <c r="A88" i="102" s="1"/>
  <c r="A89" i="102" s="1"/>
  <c r="A90" i="102" s="1"/>
  <c r="A91" i="102" s="1"/>
  <c r="A92" i="102" s="1"/>
  <c r="A93" i="102" s="1"/>
  <c r="A94" i="102" s="1"/>
  <c r="A95" i="102" s="1"/>
  <c r="A96" i="102" s="1"/>
  <c r="A97" i="102" s="1"/>
  <c r="A98" i="102" s="1"/>
  <c r="A99" i="102" s="1"/>
  <c r="A100" i="102" s="1"/>
  <c r="A101" i="102" s="1"/>
  <c r="A102" i="102" s="1"/>
  <c r="A103" i="102" s="1"/>
  <c r="A104" i="102" s="1"/>
  <c r="A105" i="102" s="1"/>
  <c r="A106" i="102" s="1"/>
  <c r="A107" i="102" s="1"/>
  <c r="A108" i="102" s="1"/>
  <c r="A109" i="102" s="1"/>
  <c r="A110" i="102" s="1"/>
  <c r="A111" i="102" s="1"/>
  <c r="A112" i="102" s="1"/>
  <c r="A113" i="102" s="1"/>
  <c r="A114" i="102" s="1"/>
  <c r="A115" i="102" s="1"/>
  <c r="A116" i="102" s="1"/>
  <c r="A117" i="102" s="1"/>
  <c r="A118" i="102" s="1"/>
  <c r="A119" i="102" s="1"/>
  <c r="A120" i="102" s="1"/>
  <c r="A121" i="102" s="1"/>
  <c r="A122" i="102" s="1"/>
  <c r="A123" i="102" s="1"/>
  <c r="A124" i="102" s="1"/>
  <c r="A125" i="102" s="1"/>
  <c r="A126" i="102" s="1"/>
  <c r="A127" i="102" s="1"/>
  <c r="A128" i="102" s="1"/>
  <c r="A129" i="102" s="1"/>
  <c r="A130" i="102" s="1"/>
  <c r="A131" i="102" s="1"/>
  <c r="A132" i="102" s="1"/>
  <c r="A133" i="102" s="1"/>
  <c r="A134" i="102" s="1"/>
  <c r="A135" i="102" s="1"/>
  <c r="A136" i="102" s="1"/>
  <c r="A137" i="102" s="1"/>
  <c r="A138" i="102" s="1"/>
  <c r="A139" i="102" s="1"/>
  <c r="A140" i="102" s="1"/>
  <c r="A141" i="102" s="1"/>
  <c r="C6" i="99" l="1"/>
  <c r="F6" i="99"/>
  <c r="F8" i="99" s="1"/>
  <c r="F12" i="99" s="1"/>
  <c r="F8" i="95"/>
  <c r="F12" i="95" s="1"/>
  <c r="C6" i="96"/>
  <c r="F6" i="96"/>
  <c r="F8" i="96" s="1"/>
  <c r="F12" i="96" s="1"/>
  <c r="C6" i="98"/>
  <c r="F6" i="98"/>
  <c r="F8" i="98" s="1"/>
  <c r="F12" i="98" s="1"/>
  <c r="F113" i="102"/>
  <c r="F120" i="102"/>
  <c r="F111" i="102"/>
  <c r="F115" i="102"/>
  <c r="F8" i="89"/>
  <c r="F78" i="102"/>
  <c r="F30" i="102"/>
  <c r="F22" i="102"/>
  <c r="F46" i="102"/>
  <c r="F24" i="102"/>
  <c r="F53" i="102"/>
  <c r="F64" i="102"/>
  <c r="F98" i="102"/>
  <c r="F50" i="102"/>
  <c r="F127" i="102"/>
  <c r="F60" i="102"/>
  <c r="F65" i="102"/>
  <c r="F71" i="102"/>
  <c r="F121" i="102"/>
  <c r="F129" i="102"/>
  <c r="F122" i="102"/>
  <c r="F130" i="102"/>
  <c r="F88" i="102"/>
  <c r="F19" i="102"/>
  <c r="F26" i="102"/>
  <c r="F44" i="102"/>
  <c r="F80" i="102"/>
  <c r="F93" i="102"/>
  <c r="F102" i="102"/>
  <c r="F141" i="102"/>
  <c r="F68" i="102"/>
  <c r="F76" i="102"/>
  <c r="F81" i="102"/>
  <c r="F112" i="102"/>
  <c r="F133" i="102"/>
  <c r="F92" i="102"/>
  <c r="F138" i="102"/>
  <c r="F49" i="102"/>
  <c r="F56" i="102"/>
  <c r="L100" i="102"/>
  <c r="L133" i="102"/>
  <c r="F37" i="102"/>
  <c r="L125" i="102"/>
  <c r="E15" i="88" l="1"/>
  <c r="A31" i="88"/>
  <c r="A32" i="88"/>
  <c r="A33" i="88"/>
  <c r="A34" i="88"/>
  <c r="A30" i="88"/>
  <c r="K15" i="88" l="1"/>
  <c r="K17" i="88" s="1"/>
  <c r="K19" i="88" s="1"/>
  <c r="C15" i="88"/>
  <c r="E19" i="88"/>
  <c r="C19" i="88"/>
  <c r="K20" i="88" l="1"/>
  <c r="K21" i="88" s="1"/>
  <c r="E50" i="88" l="1"/>
  <c r="E23" i="88"/>
  <c r="E14" i="89" l="1"/>
  <c r="F14" i="89" s="1"/>
  <c r="E14" i="99"/>
  <c r="E14" i="95"/>
  <c r="E14" i="98"/>
  <c r="E14" i="96"/>
  <c r="F14" i="96" l="1"/>
  <c r="F16" i="96" s="1"/>
  <c r="E16" i="96"/>
  <c r="E20" i="96" s="1"/>
  <c r="F14" i="98"/>
  <c r="F16" i="98" s="1"/>
  <c r="E16" i="98"/>
  <c r="E20" i="98" s="1"/>
  <c r="F14" i="95"/>
  <c r="F16" i="95" s="1"/>
  <c r="E16" i="95"/>
  <c r="E20" i="95" s="1"/>
  <c r="F14" i="99"/>
  <c r="F16" i="99" s="1"/>
  <c r="E16" i="99"/>
  <c r="E20" i="99" s="1"/>
  <c r="E14" i="91"/>
  <c r="D14" i="91"/>
  <c r="B10" i="89" s="1"/>
  <c r="G14" i="91"/>
  <c r="K19" i="100" l="1"/>
  <c r="F20" i="99"/>
  <c r="F20" i="95"/>
  <c r="K16" i="100"/>
  <c r="K18" i="100"/>
  <c r="F20" i="98"/>
  <c r="K17" i="100"/>
  <c r="F20" i="96"/>
  <c r="F10" i="89"/>
  <c r="F12" i="89" s="1"/>
  <c r="F16" i="89" s="1"/>
  <c r="E12" i="89"/>
  <c r="E16" i="89" s="1"/>
  <c r="E20" i="89" s="1"/>
  <c r="H14" i="91"/>
  <c r="I14" i="91"/>
  <c r="F20" i="89" l="1"/>
  <c r="K15" i="100"/>
  <c r="F14" i="91"/>
  <c r="B18" i="99" l="1"/>
  <c r="B10" i="99"/>
  <c r="B10" i="98"/>
  <c r="B10" i="96"/>
  <c r="B10" i="95"/>
  <c r="B18" i="95" l="1"/>
  <c r="B18" i="96"/>
  <c r="B18" i="89"/>
  <c r="B18" i="98"/>
  <c r="B14" i="99" l="1"/>
  <c r="B14" i="98"/>
  <c r="B14" i="96"/>
  <c r="B14" i="95"/>
  <c r="B14" i="89"/>
  <c r="C8" i="99"/>
  <c r="C8" i="98"/>
  <c r="C18" i="98" l="1"/>
  <c r="J8" i="100" s="1"/>
  <c r="C18" i="99"/>
  <c r="J9" i="100" s="1"/>
  <c r="C18" i="96" l="1"/>
  <c r="J7" i="100" s="1"/>
  <c r="C8" i="96"/>
  <c r="C8" i="95"/>
  <c r="C14" i="96"/>
  <c r="C10" i="95"/>
  <c r="C18" i="95" l="1"/>
  <c r="J6" i="100" s="1"/>
  <c r="B12" i="96"/>
  <c r="B16" i="96" s="1"/>
  <c r="B20" i="96" s="1"/>
  <c r="C10" i="98"/>
  <c r="C12" i="98" s="1"/>
  <c r="B12" i="98"/>
  <c r="C14" i="98"/>
  <c r="C14" i="99"/>
  <c r="C14" i="89"/>
  <c r="B12" i="99"/>
  <c r="C10" i="99"/>
  <c r="C12" i="99" s="1"/>
  <c r="C14" i="95"/>
  <c r="B12" i="95"/>
  <c r="B16" i="95" s="1"/>
  <c r="B20" i="95" s="1"/>
  <c r="C12" i="95"/>
  <c r="C16" i="95" l="1"/>
  <c r="C16" i="99"/>
  <c r="C16" i="98"/>
  <c r="K6" i="100"/>
  <c r="L6" i="100" s="1"/>
  <c r="C10" i="96"/>
  <c r="C12" i="96" s="1"/>
  <c r="C16" i="96" s="1"/>
  <c r="L17" i="100" s="1"/>
  <c r="B16" i="99"/>
  <c r="B20" i="99" s="1"/>
  <c r="B16" i="98"/>
  <c r="B20" i="98" s="1"/>
  <c r="C20" i="98" l="1"/>
  <c r="L18" i="100"/>
  <c r="C20" i="99"/>
  <c r="L19" i="100"/>
  <c r="C20" i="95"/>
  <c r="L16" i="100"/>
  <c r="K9" i="100"/>
  <c r="L9" i="100" s="1"/>
  <c r="K8" i="100"/>
  <c r="L8" i="100" s="1"/>
  <c r="C20" i="96"/>
  <c r="K7" i="100"/>
  <c r="L7" i="100" s="1"/>
  <c r="C18" i="89" l="1"/>
  <c r="J5" i="100" s="1"/>
  <c r="B12" i="89"/>
  <c r="C8" i="89"/>
  <c r="B16" i="89" l="1"/>
  <c r="B20" i="89" s="1"/>
  <c r="C10" i="89"/>
  <c r="C12" i="89" s="1"/>
  <c r="C16" i="89" s="1"/>
  <c r="C20" i="89" l="1"/>
  <c r="K5" i="100"/>
</calcChain>
</file>

<file path=xl/sharedStrings.xml><?xml version="1.0" encoding="utf-8"?>
<sst xmlns="http://schemas.openxmlformats.org/spreadsheetml/2006/main" count="947" uniqueCount="366">
  <si>
    <t>(b)</t>
  </si>
  <si>
    <t>(c)</t>
  </si>
  <si>
    <t>(d)</t>
  </si>
  <si>
    <t>(e)</t>
  </si>
  <si>
    <t>(g)</t>
  </si>
  <si>
    <t>(h)</t>
  </si>
  <si>
    <t>Total</t>
  </si>
  <si>
    <t>Puget Sound Energy</t>
  </si>
  <si>
    <t>TOTAL</t>
  </si>
  <si>
    <t>Basic Charge</t>
  </si>
  <si>
    <t>Average Annual kWh</t>
  </si>
  <si>
    <t>Allowance ($/kWh)</t>
  </si>
  <si>
    <t>Insert in Sheet 85-a</t>
  </si>
  <si>
    <t>Insert in Sheet 85-b</t>
  </si>
  <si>
    <t>Schedule</t>
  </si>
  <si>
    <t>Line No.</t>
  </si>
  <si>
    <t>(a)</t>
  </si>
  <si>
    <t>Schedules</t>
  </si>
  <si>
    <t>(f)</t>
  </si>
  <si>
    <t>Primary Voltage General Service</t>
  </si>
  <si>
    <t>Allowance ($/Customer)</t>
  </si>
  <si>
    <t>LINE</t>
  </si>
  <si>
    <t>COST</t>
  </si>
  <si>
    <t>NO.</t>
  </si>
  <si>
    <t>DESCRIPTION</t>
  </si>
  <si>
    <t>CAPITAL</t>
  </si>
  <si>
    <t>BAD DEBTS</t>
  </si>
  <si>
    <t>EQUITY</t>
  </si>
  <si>
    <t>ANNUAL FILING FEE</t>
  </si>
  <si>
    <t>SUM OF TAXES OTHER</t>
  </si>
  <si>
    <t>TOTAL AFTER TAX COST OF CAPITAL</t>
  </si>
  <si>
    <t>Residential Service</t>
  </si>
  <si>
    <t>Energy Charge</t>
  </si>
  <si>
    <t>FEDERAL INCOME TAX ( LINE 7  * 21% )</t>
  </si>
  <si>
    <t xml:space="preserve">CONVERSION FACTOR INCL FEDERAL INCOME TAX ( LINE 7 - LINE 8 ) </t>
  </si>
  <si>
    <t>2015 Margin Calculations</t>
  </si>
  <si>
    <t>Jan 2018 Margin Calculations</t>
  </si>
  <si>
    <t>Residential Rates</t>
  </si>
  <si>
    <t>Modifications</t>
  </si>
  <si>
    <t>New Facilities</t>
  </si>
  <si>
    <t xml:space="preserve">  - Months per Year</t>
  </si>
  <si>
    <t>Annual Basic Charge Revenue</t>
  </si>
  <si>
    <t>Annual Allowed Revenue Per Customer</t>
  </si>
  <si>
    <t>Annual Revenue</t>
  </si>
  <si>
    <t>After-Tax Return Grossed Up For Taxes</t>
  </si>
  <si>
    <t>Allowance</t>
  </si>
  <si>
    <t>Annual kWh Per Customer</t>
  </si>
  <si>
    <t>Source</t>
  </si>
  <si>
    <t>Schedule 7</t>
  </si>
  <si>
    <t>Line</t>
  </si>
  <si>
    <t xml:space="preserve">Schedule  </t>
  </si>
  <si>
    <t>No.</t>
  </si>
  <si>
    <t>8 &amp; 24</t>
  </si>
  <si>
    <t>7A, 11, 25, 29, 35 &amp; 43</t>
  </si>
  <si>
    <t>12 &amp; 26</t>
  </si>
  <si>
    <t>10 &amp; 31</t>
  </si>
  <si>
    <t>Test Year Delivery Revenue</t>
  </si>
  <si>
    <t>Annual Allowed Delivery Revenue Per Customer</t>
  </si>
  <si>
    <t>After Tax Cost of Capital Grossed Up for Taxes</t>
  </si>
  <si>
    <t>Allowance Per kWh</t>
  </si>
  <si>
    <t>Schedule 24 Rates</t>
  </si>
  <si>
    <t>Small Secondary General Service</t>
  </si>
  <si>
    <t>Basic Charge (Average)</t>
  </si>
  <si>
    <t>Med Secondary General Service</t>
  </si>
  <si>
    <t>Schedule 25 Rates</t>
  </si>
  <si>
    <t>Schedule 26 Rates</t>
  </si>
  <si>
    <t>Large Secondary General Service</t>
  </si>
  <si>
    <t>Schedule 31 Rates</t>
  </si>
  <si>
    <t>Perpetual NPV Model (May 2018)</t>
  </si>
  <si>
    <t>May 2018 FIA Margin Calculations</t>
  </si>
  <si>
    <t>WEIGHTED</t>
  </si>
  <si>
    <t>STRUCTURE</t>
  </si>
  <si>
    <t>SHORT AND LONG TERM DEBT</t>
  </si>
  <si>
    <t>AFTER TAX SHORT TERM DEBT ( (LINE 1)* 79%)</t>
  </si>
  <si>
    <t>STATE UTILITY TAX ( 3.8406% - ( LINE 1 * 3.8406% )  )</t>
  </si>
  <si>
    <t>CONVERSION FACTOR EXCLUDING FEDERAL INCOME TAX ( 1 - LINE 6 )</t>
  </si>
  <si>
    <t xml:space="preserve">Special </t>
  </si>
  <si>
    <t>Contracts</t>
  </si>
  <si>
    <t>Annual kwh</t>
  </si>
  <si>
    <t>Perpetual NPV Model (December 2020)</t>
  </si>
  <si>
    <t>Exhibit BDJ-3, Electric F2021 Billing Determinants</t>
  </si>
  <si>
    <t>Exhibit BDJ-9, Page 1</t>
  </si>
  <si>
    <t>(1) / (2)</t>
  </si>
  <si>
    <t>F2021 Forecasted Customers</t>
  </si>
  <si>
    <t>EXH. SEF-4E</t>
  </si>
  <si>
    <t>Tariffed Rate Components</t>
  </si>
  <si>
    <t>Schedule 141COL Colstrip Tracker</t>
  </si>
  <si>
    <t>MYRP Rates - Non-Refundable Sch 141N</t>
  </si>
  <si>
    <t>MYRP Rates - Refundable Sch 141R</t>
  </si>
  <si>
    <t>Schedule 141A Tracker</t>
  </si>
  <si>
    <t>Tariff
Rate
Schedule</t>
  </si>
  <si>
    <t>Charge</t>
  </si>
  <si>
    <t>Current
Rates
Effective
October 1, 2021</t>
  </si>
  <si>
    <t>Proposed
Test Year Rates
Effective
January 2023</t>
  </si>
  <si>
    <t>Proposed
Rate
Change
January 2023</t>
  </si>
  <si>
    <t>Tariff
Reference</t>
  </si>
  <si>
    <t>Sheet No.</t>
  </si>
  <si>
    <t>Proposed
Rate Year Rates
Effective
January 2023</t>
  </si>
  <si>
    <t>Tariff Reference
Schedule 141COL</t>
  </si>
  <si>
    <t>Proposed
Rate Year Rates
Effective
January 2024</t>
  </si>
  <si>
    <t>Proposed
Rate Year Rates
Effective
January 2025</t>
  </si>
  <si>
    <t>Tariff Reference
Schedule 141N</t>
  </si>
  <si>
    <t>Tariff Reference
Schedule 141R</t>
  </si>
  <si>
    <t>Tariff Reference
Schedule 141A</t>
  </si>
  <si>
    <t>A</t>
  </si>
  <si>
    <t>B</t>
  </si>
  <si>
    <t>C = B - A</t>
  </si>
  <si>
    <t>7</t>
  </si>
  <si>
    <t>Basic Charge ($ / Month) - One Phase</t>
  </si>
  <si>
    <t>---</t>
  </si>
  <si>
    <t>Basic Charge ($ / Month) - Three Phase</t>
  </si>
  <si>
    <t>Energy Charge ($ / kWh) - First 600 kWh (Alt)</t>
  </si>
  <si>
    <t>$ / kWh</t>
  </si>
  <si>
    <t>Sheet No. 141COL</t>
  </si>
  <si>
    <t>Sheet No. 141N</t>
  </si>
  <si>
    <t>Sheet No. 141R</t>
  </si>
  <si>
    <t>Sheet No. 141A</t>
  </si>
  <si>
    <t>Energy Charge ($ / kWh) - Over 600 kWh (Alt)</t>
  </si>
  <si>
    <t>24 (08)</t>
  </si>
  <si>
    <t>General Service (Secondary Voltage, Demand 50 kW and less)</t>
  </si>
  <si>
    <t>Schedule 24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</si>
  <si>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</si>
  <si>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</si>
  <si>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</si>
  <si>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</si>
  <si>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</si>
  <si>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Schedule 7A, 25</t>
  </si>
  <si>
    <t>7-B, 25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</si>
  <si>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</si>
  <si>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</si>
  <si>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</si>
  <si>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</si>
  <si>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</si>
  <si>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$ / kW</t>
  </si>
  <si>
    <t>Demand Charge ($ / kW) - Apr to Sep - Over 50 kW</t>
  </si>
  <si>
    <t>Reactive Power Charge ($ / kVarh)</t>
  </si>
  <si>
    <t>7-B, 25-A</t>
  </si>
  <si>
    <t>26 (12)</t>
  </si>
  <si>
    <t>General Service (Secondary Voltage, Demand &gt; 350 kW)</t>
  </si>
  <si>
    <t>Schedule 26</t>
  </si>
  <si>
    <t>Energy Charge ($ / kWh)  - all kWh</t>
  </si>
  <si>
    <t>Demand Charge ($ / kW) - Oct to Mar</t>
  </si>
  <si>
    <t>Delivery Demand Charge</t>
  </si>
  <si>
    <t>26-B</t>
  </si>
  <si>
    <t>Conjunctive Maximum Demand Charge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</si>
  <si>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</si>
  <si>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</si>
  <si>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</si>
  <si>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</si>
  <si>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</si>
  <si>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</si>
  <si>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</si>
  <si>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</si>
  <si>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</si>
  <si>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</si>
  <si>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Schedule 29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</si>
  <si>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</si>
  <si>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</si>
  <si>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</si>
  <si>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</si>
  <si>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</si>
  <si>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Schedule 31</t>
  </si>
  <si>
    <t>Energy Charge ($ / kWh) - All kWh</t>
  </si>
  <si>
    <t>31-B</t>
  </si>
  <si>
    <t>Seasonal Irrigation &amp; Drainage Service (Primary Voltage)</t>
  </si>
  <si>
    <t>Schedule 35</t>
  </si>
  <si>
    <t>Demand Charge ($ / kW) - Oct to Mar - All kW</t>
  </si>
  <si>
    <t>Demand Charge ($ / kW) - Apr to Sep - All kW</t>
  </si>
  <si>
    <t>Interruptible Service for All Electric Schools (Primary Voltage)</t>
  </si>
  <si>
    <t>Schedule 43</t>
  </si>
  <si>
    <t>43-A</t>
  </si>
  <si>
    <t>Demand Charge ($ / kW)  - All kW</t>
  </si>
  <si>
    <t>Critical Demand Charge ($ / kW) - All kW (Sch 43 vs. Winter 31)</t>
  </si>
  <si>
    <t>Special Contract</t>
  </si>
  <si>
    <t>Sheet No. 141N-B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</si>
  <si>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</si>
  <si>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</si>
  <si>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</si>
  <si>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</si>
  <si>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</si>
  <si>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</si>
  <si>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</si>
  <si>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</si>
  <si>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</si>
  <si>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</si>
  <si>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Interruptible Service (High Voltage)</t>
  </si>
  <si>
    <t>Schedule 46</t>
  </si>
  <si>
    <t>Demand Charge ($ / kVa)</t>
  </si>
  <si>
    <t>$ / kVa</t>
  </si>
  <si>
    <t>Minimum Charge - Demand</t>
  </si>
  <si>
    <t>46-A</t>
  </si>
  <si>
    <t>Minimum Charge - Energy</t>
  </si>
  <si>
    <t>General Service (High Voltage)</t>
  </si>
  <si>
    <t>Schedule 49</t>
  </si>
  <si>
    <t xml:space="preserve">Demand Charge ($ / kVa) </t>
  </si>
  <si>
    <t>448 / 458</t>
  </si>
  <si>
    <t>Power Supplier Choice &amp; Back Up Distribution Service</t>
  </si>
  <si>
    <t>Customer Charge ($ / Month)</t>
  </si>
  <si>
    <t>Schedule 448</t>
  </si>
  <si>
    <t>448-I</t>
  </si>
  <si>
    <t>$ / Month</t>
  </si>
  <si>
    <t>449 / 459</t>
  </si>
  <si>
    <t>Retail Wheeling Service &amp; Back Up Distribution Service</t>
  </si>
  <si>
    <t>Schedule 449</t>
  </si>
  <si>
    <t>449-I</t>
  </si>
  <si>
    <t>YE 2025</t>
  </si>
  <si>
    <t>YE 2024</t>
  </si>
  <si>
    <t>YE 2023</t>
  </si>
  <si>
    <t>YE 2022</t>
  </si>
  <si>
    <t>2022 GRC Settlement:</t>
  </si>
  <si>
    <t>Sch 46</t>
  </si>
  <si>
    <t>Sch 29</t>
  </si>
  <si>
    <t>Spec Cont</t>
  </si>
  <si>
    <t>Sch 449-459</t>
  </si>
  <si>
    <t>Firm Resale</t>
  </si>
  <si>
    <t>Sch 50-59</t>
  </si>
  <si>
    <t>Sch 49</t>
  </si>
  <si>
    <t>Sch 40</t>
  </si>
  <si>
    <t>Sch 43</t>
  </si>
  <si>
    <t>Sch 35</t>
  </si>
  <si>
    <t>Sch 10/31</t>
  </si>
  <si>
    <t>Sch 12/26</t>
  </si>
  <si>
    <t>Sch 11/25</t>
  </si>
  <si>
    <t>Sch 8/24</t>
  </si>
  <si>
    <t>Sch 7A</t>
  </si>
  <si>
    <t>Month</t>
  </si>
  <si>
    <t>Year</t>
  </si>
  <si>
    <t xml:space="preserve">F2021 Forecast: Used in orignal filing </t>
  </si>
  <si>
    <t>(After DSM Program Impacts)</t>
  </si>
  <si>
    <t>Monthly kWh Sales Projections, 2021 - 2027</t>
  </si>
  <si>
    <t xml:space="preserve">Reconciled to LFG's F21 Final Forecast as of July 22nd, 2021; </t>
  </si>
  <si>
    <t>Delivered Monthly Sales &amp; Transportation by Rate Schedule</t>
  </si>
  <si>
    <t>Monthly Customer History and Projections, 2021 - 2027</t>
  </si>
  <si>
    <t>Monthly Customer Count by Rate Schedule</t>
  </si>
  <si>
    <t>Annual Customers (Average)</t>
  </si>
  <si>
    <t>Perpetual NPV Model (January 2023 through December 2023)</t>
  </si>
  <si>
    <t>Perpetual NPV Model (January 2024 through December 2024)</t>
  </si>
  <si>
    <t xml:space="preserve">Remaining Adjusted Decrease </t>
  </si>
  <si>
    <t>Present Energy Revenue</t>
  </si>
  <si>
    <t xml:space="preserve">Adjusted Decrease </t>
  </si>
  <si>
    <t>Basic Charge Increase</t>
  </si>
  <si>
    <t xml:space="preserve"> </t>
  </si>
  <si>
    <t>Difference</t>
  </si>
  <si>
    <t>Class Average Decrease  %</t>
  </si>
  <si>
    <t xml:space="preserve">Class Decrease </t>
  </si>
  <si>
    <t>Target Dollars</t>
  </si>
  <si>
    <t>Subtotal</t>
  </si>
  <si>
    <t>Remaining Adjusted Decrease. Ajusted for residual</t>
  </si>
  <si>
    <t>Unbilled</t>
  </si>
  <si>
    <t>Same as Tail Block</t>
  </si>
  <si>
    <t>Temperature Adjustment</t>
  </si>
  <si>
    <t>Remaining Adjusted Decrease</t>
  </si>
  <si>
    <t>Over 600 kWh</t>
  </si>
  <si>
    <t>First 600 kWh</t>
  </si>
  <si>
    <t>No Increase</t>
  </si>
  <si>
    <t xml:space="preserve">  Three Phase</t>
  </si>
  <si>
    <t xml:space="preserve">  Single Phase</t>
  </si>
  <si>
    <t>e=a*d</t>
  </si>
  <si>
    <t>d=b*A</t>
  </si>
  <si>
    <t>c=a*b</t>
  </si>
  <si>
    <t>b</t>
  </si>
  <si>
    <t>a</t>
  </si>
  <si>
    <t>SCHEDULE 7</t>
  </si>
  <si>
    <t>Dollars</t>
  </si>
  <si>
    <t>Price</t>
  </si>
  <si>
    <t>Actual</t>
  </si>
  <si>
    <t>Units</t>
  </si>
  <si>
    <t>Proposed Effective 
January 2023</t>
  </si>
  <si>
    <t>Present</t>
  </si>
  <si>
    <t>Residential Rate Design</t>
  </si>
  <si>
    <t>(Including Effects of Unbilled Revenue, Unbilled MWh and Weather Normalization)</t>
  </si>
  <si>
    <t>STATE OF WASHINGTON</t>
  </si>
  <si>
    <t>PUGET SOUND ENERGY</t>
  </si>
  <si>
    <t>Avg Demand</t>
  </si>
  <si>
    <t>Avg Energy Block 2</t>
  </si>
  <si>
    <t>Avg Energy Block 1</t>
  </si>
  <si>
    <t>Adjusted Energy Decrease %</t>
  </si>
  <si>
    <t>Schedule 29 Decrease</t>
  </si>
  <si>
    <t>Schedule 25 &amp; 29 Class Average Decrease</t>
  </si>
  <si>
    <t xml:space="preserve">  Total</t>
  </si>
  <si>
    <t>No Change</t>
  </si>
  <si>
    <t>Reactive Power</t>
  </si>
  <si>
    <t>Summer Demand over 50 kW</t>
  </si>
  <si>
    <t>Winter Demand over 50 kW</t>
  </si>
  <si>
    <t>Demand Charges</t>
  </si>
  <si>
    <t>Adjusted % Decrease, Adjusted for Residual</t>
  </si>
  <si>
    <t>Same as Summer</t>
  </si>
  <si>
    <t>Temperature Adjustment - Summer</t>
  </si>
  <si>
    <t>Same as Winter</t>
  </si>
  <si>
    <t>Temperature Adjustment - Winter</t>
  </si>
  <si>
    <t>Adjusted % Decrease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</si>
  <si>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</si>
  <si>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</si>
  <si>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</si>
  <si>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</si>
  <si>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</si>
  <si>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>Secondary Voltage Irrigation &amp; Pumping Service</t>
  </si>
  <si>
    <t>SCHEDULE 29</t>
  </si>
  <si>
    <t>Reactive Power Charge Reduction to Base Rates:</t>
  </si>
  <si>
    <t>Energy Charge Reduction to Base Rates:</t>
  </si>
  <si>
    <t>Demand Credit per kW to all Demand:</t>
  </si>
  <si>
    <t>Basic Charge Addition Sec Voltage Rate:</t>
  </si>
  <si>
    <t>Adjustments to Secondary Voltage Rates for Delivery at Primary Voltage</t>
  </si>
  <si>
    <t>Loss Adj</t>
  </si>
  <si>
    <t>Primary Discount</t>
  </si>
  <si>
    <t>Same as Sch 26</t>
  </si>
  <si>
    <t>Summer Demand (Apr to Sep)</t>
  </si>
  <si>
    <t>Winter Demand (Oct to Mar)</t>
  </si>
  <si>
    <t>All kWh</t>
  </si>
  <si>
    <t>Same as Sch 31</t>
  </si>
  <si>
    <t>Primary Adder</t>
  </si>
  <si>
    <t>Secondary Voltage Large Demand General Service</t>
  </si>
  <si>
    <t>SCHEDULE 26P</t>
  </si>
  <si>
    <t>Energy Rounding Adjustment =</t>
  </si>
  <si>
    <t>Average Energy Decrease</t>
  </si>
  <si>
    <t>Class Average Decrease (Sch 26, 26P)</t>
  </si>
  <si>
    <t>Target Dollars Sch 26/26P</t>
  </si>
  <si>
    <t>Average Energy Decrease %, Adjusted for residual</t>
  </si>
  <si>
    <t>Average Energy Decrease %</t>
  </si>
  <si>
    <t>SCHEDULES 12 &amp; 26</t>
  </si>
  <si>
    <t>Total Demand Revenue</t>
  </si>
  <si>
    <t>kW &amp; Reactive Rev</t>
  </si>
  <si>
    <t>Demand Related Rev Incl in Energy Rev</t>
  </si>
  <si>
    <t>Summer First Block Billed kWh</t>
  </si>
  <si>
    <t>Winter First Block Billed kWh</t>
  </si>
  <si>
    <t>Summer Difference First Block vs. Second Block</t>
  </si>
  <si>
    <t>Winter Difference First Block vs. Second Block</t>
  </si>
  <si>
    <t>Schedule 25 Demand Related Revenue</t>
  </si>
  <si>
    <t>Check</t>
  </si>
  <si>
    <t>Decrease to allocate to Energy Charge</t>
  </si>
  <si>
    <t>Present Revenue Less Basic, Demand &amp; Reactive</t>
  </si>
  <si>
    <t>Difference = Sch 25 Decrease</t>
  </si>
  <si>
    <t>Sch 29 Decrease</t>
  </si>
  <si>
    <t>Schedule 25 &amp; 29 Decrease</t>
  </si>
  <si>
    <t>Class Average Decrease</t>
  </si>
  <si>
    <t>Target Dollars Sch 25/29</t>
  </si>
  <si>
    <t>Adjusted % Decrease, adjusted for Residual</t>
  </si>
  <si>
    <t>Same as Tailblock</t>
  </si>
  <si>
    <t>All additional kWh</t>
  </si>
  <si>
    <t>Secondary Voltage Small Demand General Service</t>
  </si>
  <si>
    <t>SCHEDULES 7A, 11 &amp; 25</t>
  </si>
  <si>
    <t>Schedule 24 $/kWh Adjustment</t>
  </si>
  <si>
    <t>Schedule 24 Rounding Residual</t>
  </si>
  <si>
    <t>Present Rev Less Basic Charge</t>
  </si>
  <si>
    <t>Class Decrease</t>
  </si>
  <si>
    <t>Target</t>
  </si>
  <si>
    <t>Adjusted % Decrease, adjusted for residual</t>
  </si>
  <si>
    <t>Summer (April to September) kWh</t>
  </si>
  <si>
    <t>Winter (October to March) kWh</t>
  </si>
  <si>
    <t>Secondary Voltage General Service</t>
  </si>
  <si>
    <t>SCHEDULES 8 &amp; 24</t>
  </si>
  <si>
    <t>Secondary Voltage Rate Design</t>
  </si>
  <si>
    <t>n/a</t>
  </si>
  <si>
    <t>12 MONTHS ENDED JUNE 2021</t>
  </si>
  <si>
    <t>2022 General Rate Case (GRC)</t>
  </si>
  <si>
    <t>Electric Delivery Decoupling Mechanism (Schedule 142)</t>
  </si>
  <si>
    <t>Development of Allowed Delivery Revenue Per Customer</t>
  </si>
  <si>
    <t>Proposed Effective January 1, 2023</t>
  </si>
  <si>
    <t>Proposed Effective January 1, 2024</t>
  </si>
  <si>
    <t>PUGET SOUND ENERGY - ELECTRIC</t>
  </si>
  <si>
    <t>ELECTRIC RESULTS OF OPERATIONS</t>
  </si>
  <si>
    <t>2022 GENERAL RATE CASE</t>
  </si>
  <si>
    <t>12 MONTHS ENDED JUNE 30, 2021</t>
  </si>
  <si>
    <t>REQUESTED COST OF CAPITAL</t>
  </si>
  <si>
    <t>CONVERSION FACTOR</t>
  </si>
  <si>
    <t>Distribution Incremental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</si>
</sst>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0_)"/>
    <numFmt numFmtId="170" formatCode="[Blue]#,##0_);[Magenta]\(#,##0\)"/>
    <numFmt numFmtId="171" formatCode="0.0000%"/>
    <numFmt numFmtId="172" formatCode="&quot;$&quot;#,##0.00"/>
    <numFmt numFmtId="173" formatCode="_(&quot;$&quot;* #,##0.0000_);_(&quot;$&quot;* \(#,##0.0000\);_(&quot;$&quot;* &quot;-&quot;????_);_(@_)"/>
    <numFmt numFmtId="174" formatCode="#."/>
    <numFmt numFmtId="175" formatCode="mmmm\ d\,\ yyyy"/>
    <numFmt numFmtId="176" formatCode="0.000000"/>
    <numFmt numFmtId="177" formatCode="_(* #,##0.0_);_(* \(#,##0.0\);_(* &quot;-&quot;_);_(@_)"/>
    <numFmt numFmtId="178" formatCode="0.0000000"/>
    <numFmt numFmtId="179" formatCode="d\.mmm\.yy"/>
    <numFmt numFmtId="180" formatCode="&quot;$&quot;#,##0;\-&quot;$&quot;#,##0"/>
    <numFmt numFmtId="181" formatCode="_(&quot;$&quot;* #,##0.0000000_);_(&quot;$&quot;* \(#,##0.0000000\);_(&quot;$&quot;* &quot;-&quot;??_);_(@_)"/>
    <numFmt numFmtId="182" formatCode="0.000000000_)"/>
    <numFmt numFmtId="183" formatCode="0.0%"/>
    <numFmt numFmtId="184" formatCode="0.000000_)"/>
    <numFmt numFmtId="188" formatCode="&quot;$&quot;#,##0.000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7"/>
      <name val="Small Fonts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sz val="11"/>
      <color theme="1"/>
      <name val="Calibri"/>
      <family val="2"/>
      <scheme val="minor"/>
    </font>
    <font>
      <b/>
      <i/>
      <sz val="10"/>
      <color rgb="FF0000FF"/>
      <name val="Times New Roman"/>
      <family val="1"/>
    </font>
    <font>
      <b/>
      <sz val="8"/>
      <color rgb="FF008080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u/>
      <sz val="8"/>
      <name val="Arial"/>
      <family val="2"/>
    </font>
    <font>
      <b/>
      <sz val="8"/>
      <color rgb="FFFF0000"/>
      <name val="Arial"/>
      <family val="2"/>
    </font>
    <font>
      <b/>
      <i/>
      <sz val="8"/>
      <color rgb="FF0000FF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2"/>
      <name val="Times New Roman"/>
    </font>
    <font>
      <b/>
      <u/>
      <sz val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23">
    <xf numFmtId="0" fontId="0" fillId="0" borderId="0"/>
    <xf numFmtId="0" fontId="4" fillId="0" borderId="0"/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8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8" fontId="4" fillId="0" borderId="0">
      <alignment horizontal="left" wrapText="1"/>
    </xf>
    <xf numFmtId="178" fontId="4" fillId="0" borderId="0">
      <alignment horizontal="left" wrapText="1"/>
    </xf>
    <xf numFmtId="178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6" fontId="2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6" fontId="2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0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0" fontId="4" fillId="0" borderId="0"/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8" fontId="4" fillId="0" borderId="0">
      <alignment horizontal="left" wrapText="1"/>
    </xf>
    <xf numFmtId="178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6" fontId="2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2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0" fontId="4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179" fontId="41" fillId="0" borderId="0" applyFill="0" applyBorder="0" applyAlignment="0"/>
    <xf numFmtId="41" fontId="2" fillId="20" borderId="0"/>
    <xf numFmtId="41" fontId="39" fillId="20" borderId="0"/>
    <xf numFmtId="0" fontId="32" fillId="21" borderId="1" applyNumberFormat="0" applyAlignment="0" applyProtection="0"/>
    <xf numFmtId="41" fontId="4" fillId="22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3" fontId="13" fillId="0" borderId="0" applyFill="0" applyBorder="0" applyAlignment="0" applyProtection="0"/>
    <xf numFmtId="0" fontId="9" fillId="0" borderId="0"/>
    <xf numFmtId="0" fontId="9" fillId="0" borderId="0"/>
    <xf numFmtId="0" fontId="14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4" fontId="15" fillId="0" borderId="0">
      <protection locked="0"/>
    </xf>
    <xf numFmtId="0" fontId="14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9" fillId="0" borderId="0"/>
    <xf numFmtId="0" fontId="14" fillId="0" borderId="0"/>
    <xf numFmtId="0" fontId="9" fillId="0" borderId="0"/>
    <xf numFmtId="0" fontId="14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5" fontId="13" fillId="0" borderId="0" applyFill="0" applyBorder="0" applyAlignment="0" applyProtection="0"/>
    <xf numFmtId="175" fontId="13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12" fillId="0" borderId="0"/>
    <xf numFmtId="0" fontId="33" fillId="0" borderId="0" applyNumberFormat="0" applyFill="0" applyBorder="0" applyAlignment="0" applyProtection="0"/>
    <xf numFmtId="2" fontId="13" fillId="0" borderId="0" applyFill="0" applyBorder="0" applyAlignment="0" applyProtection="0"/>
    <xf numFmtId="0" fontId="9" fillId="0" borderId="0"/>
    <xf numFmtId="0" fontId="34" fillId="4" borderId="0" applyNumberFormat="0" applyBorder="0" applyAlignment="0" applyProtection="0"/>
    <xf numFmtId="38" fontId="7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0" fontId="25" fillId="0" borderId="2" applyNumberFormat="0" applyAlignment="0" applyProtection="0">
      <alignment horizontal="left"/>
    </xf>
    <xf numFmtId="0" fontId="25" fillId="0" borderId="3">
      <alignment horizontal="left"/>
    </xf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8" fillId="0" borderId="0"/>
    <xf numFmtId="40" fontId="8" fillId="0" borderId="0"/>
    <xf numFmtId="10" fontId="7" fillId="20" borderId="5" applyNumberFormat="0" applyBorder="0" applyAlignment="0" applyProtection="0"/>
    <xf numFmtId="10" fontId="5" fillId="20" borderId="5" applyNumberFormat="0" applyBorder="0" applyAlignment="0" applyProtection="0"/>
    <xf numFmtId="10" fontId="5" fillId="20" borderId="5" applyNumberFormat="0" applyBorder="0" applyAlignment="0" applyProtection="0"/>
    <xf numFmtId="10" fontId="5" fillId="20" borderId="5" applyNumberFormat="0" applyBorder="0" applyAlignment="0" applyProtection="0"/>
    <xf numFmtId="10" fontId="5" fillId="20" borderId="5" applyNumberFormat="0" applyBorder="0" applyAlignment="0" applyProtection="0"/>
    <xf numFmtId="0" fontId="35" fillId="7" borderId="4" applyNumberFormat="0" applyAlignment="0" applyProtection="0"/>
    <xf numFmtId="0" fontId="35" fillId="7" borderId="4" applyNumberFormat="0" applyAlignment="0" applyProtection="0"/>
    <xf numFmtId="0" fontId="35" fillId="7" borderId="4" applyNumberFormat="0" applyAlignment="0" applyProtection="0"/>
    <xf numFmtId="41" fontId="17" fillId="23" borderId="6">
      <alignment horizontal="left"/>
      <protection locked="0"/>
    </xf>
    <xf numFmtId="10" fontId="17" fillId="23" borderId="6">
      <alignment horizontal="right"/>
      <protection locked="0"/>
    </xf>
    <xf numFmtId="0" fontId="5" fillId="22" borderId="0"/>
    <xf numFmtId="3" fontId="18" fillId="0" borderId="0" applyFill="0" applyBorder="0" applyAlignment="0" applyProtection="0"/>
    <xf numFmtId="44" fontId="26" fillId="0" borderId="7" applyNumberFormat="0" applyFont="0" applyAlignment="0">
      <alignment horizontal="center"/>
    </xf>
    <xf numFmtId="44" fontId="10" fillId="0" borderId="7" applyNumberFormat="0" applyFont="0" applyAlignment="0">
      <alignment horizontal="center"/>
    </xf>
    <xf numFmtId="44" fontId="10" fillId="0" borderId="7" applyNumberFormat="0" applyFont="0" applyAlignment="0">
      <alignment horizontal="center"/>
    </xf>
    <xf numFmtId="44" fontId="10" fillId="0" borderId="7" applyNumberFormat="0" applyFont="0" applyAlignment="0">
      <alignment horizontal="center"/>
    </xf>
    <xf numFmtId="44" fontId="26" fillId="0" borderId="8" applyNumberFormat="0" applyFont="0" applyAlignment="0">
      <alignment horizontal="center"/>
    </xf>
    <xf numFmtId="44" fontId="10" fillId="0" borderId="8" applyNumberFormat="0" applyFont="0" applyAlignment="0">
      <alignment horizontal="center"/>
    </xf>
    <xf numFmtId="44" fontId="10" fillId="0" borderId="8" applyNumberFormat="0" applyFont="0" applyAlignment="0">
      <alignment horizontal="center"/>
    </xf>
    <xf numFmtId="44" fontId="10" fillId="0" borderId="8" applyNumberFormat="0" applyFont="0" applyAlignment="0">
      <alignment horizontal="center"/>
    </xf>
    <xf numFmtId="0" fontId="36" fillId="24" borderId="0" applyNumberFormat="0" applyBorder="0" applyAlignment="0" applyProtection="0"/>
    <xf numFmtId="37" fontId="46" fillId="0" borderId="0"/>
    <xf numFmtId="169" fontId="11" fillId="0" borderId="0"/>
    <xf numFmtId="180" fontId="4" fillId="0" borderId="0"/>
    <xf numFmtId="180" fontId="4" fillId="0" borderId="0"/>
    <xf numFmtId="180" fontId="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4" fillId="0" borderId="0"/>
    <xf numFmtId="176" fontId="27" fillId="0" borderId="0">
      <alignment horizontal="left" wrapText="1"/>
    </xf>
    <xf numFmtId="176" fontId="39" fillId="0" borderId="0">
      <alignment horizontal="left" wrapText="1"/>
    </xf>
    <xf numFmtId="0" fontId="4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4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29" fillId="25" borderId="9" applyNumberFormat="0" applyFont="0" applyAlignment="0" applyProtection="0"/>
    <xf numFmtId="0" fontId="37" fillId="26" borderId="10" applyNumberFormat="0" applyAlignment="0" applyProtection="0"/>
    <xf numFmtId="0" fontId="9" fillId="0" borderId="0"/>
    <xf numFmtId="0" fontId="9" fillId="0" borderId="0"/>
    <xf numFmtId="0" fontId="14" fillId="0" borderId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27" fillId="0" borderId="6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6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47" fillId="0" borderId="11">
      <alignment horizontal="center"/>
    </xf>
    <xf numFmtId="3" fontId="28" fillId="0" borderId="0" applyFont="0" applyFill="0" applyBorder="0" applyAlignment="0" applyProtection="0"/>
    <xf numFmtId="0" fontId="28" fillId="28" borderId="0" applyNumberFormat="0" applyFont="0" applyBorder="0" applyAlignment="0" applyProtection="0"/>
    <xf numFmtId="0" fontId="14" fillId="0" borderId="0"/>
    <xf numFmtId="3" fontId="19" fillId="0" borderId="0" applyFill="0" applyBorder="0" applyAlignment="0" applyProtection="0"/>
    <xf numFmtId="0" fontId="20" fillId="0" borderId="0"/>
    <xf numFmtId="3" fontId="19" fillId="0" borderId="0" applyFill="0" applyBorder="0" applyAlignment="0" applyProtection="0"/>
    <xf numFmtId="42" fontId="4" fillId="20" borderId="0"/>
    <xf numFmtId="42" fontId="4" fillId="20" borderId="12">
      <alignment vertical="center"/>
    </xf>
    <xf numFmtId="0" fontId="10" fillId="20" borderId="13" applyNumberFormat="0">
      <alignment horizontal="center" vertical="center" wrapText="1"/>
    </xf>
    <xf numFmtId="10" fontId="2" fillId="20" borderId="0"/>
    <xf numFmtId="173" fontId="2" fillId="20" borderId="0"/>
    <xf numFmtId="165" fontId="8" fillId="0" borderId="0" applyBorder="0" applyAlignment="0"/>
    <xf numFmtId="42" fontId="4" fillId="20" borderId="14">
      <alignment horizontal="left"/>
    </xf>
    <xf numFmtId="173" fontId="21" fillId="20" borderId="14">
      <alignment horizontal="left"/>
    </xf>
    <xf numFmtId="14" fontId="6" fillId="0" borderId="0" applyNumberFormat="0" applyFill="0" applyBorder="0" applyAlignment="0" applyProtection="0">
      <alignment horizontal="left"/>
    </xf>
    <xf numFmtId="177" fontId="2" fillId="0" borderId="0" applyFont="0" applyFill="0" applyAlignment="0">
      <alignment horizontal="right"/>
    </xf>
    <xf numFmtId="4" fontId="3" fillId="23" borderId="10" applyNumberFormat="0" applyProtection="0">
      <alignment vertical="center"/>
    </xf>
    <xf numFmtId="4" fontId="48" fillId="23" borderId="10" applyNumberFormat="0" applyProtection="0">
      <alignment vertical="center"/>
    </xf>
    <xf numFmtId="4" fontId="3" fillId="23" borderId="10" applyNumberFormat="0" applyProtection="0">
      <alignment horizontal="left" vertical="center" indent="1"/>
    </xf>
    <xf numFmtId="4" fontId="3" fillId="23" borderId="10" applyNumberFormat="0" applyProtection="0">
      <alignment horizontal="left" vertical="center" indent="1"/>
    </xf>
    <xf numFmtId="0" fontId="4" fillId="29" borderId="10" applyNumberFormat="0" applyProtection="0">
      <alignment horizontal="left" vertical="center" indent="1"/>
    </xf>
    <xf numFmtId="4" fontId="3" fillId="30" borderId="10" applyNumberFormat="0" applyProtection="0">
      <alignment horizontal="right" vertical="center"/>
    </xf>
    <xf numFmtId="4" fontId="3" fillId="31" borderId="10" applyNumberFormat="0" applyProtection="0">
      <alignment horizontal="right" vertical="center"/>
    </xf>
    <xf numFmtId="4" fontId="3" fillId="32" borderId="10" applyNumberFormat="0" applyProtection="0">
      <alignment horizontal="right" vertical="center"/>
    </xf>
    <xf numFmtId="4" fontId="3" fillId="33" borderId="10" applyNumberFormat="0" applyProtection="0">
      <alignment horizontal="right" vertical="center"/>
    </xf>
    <xf numFmtId="4" fontId="3" fillId="34" borderId="10" applyNumberFormat="0" applyProtection="0">
      <alignment horizontal="right" vertical="center"/>
    </xf>
    <xf numFmtId="4" fontId="3" fillId="35" borderId="10" applyNumberFormat="0" applyProtection="0">
      <alignment horizontal="right" vertical="center"/>
    </xf>
    <xf numFmtId="4" fontId="3" fillId="36" borderId="10" applyNumberFormat="0" applyProtection="0">
      <alignment horizontal="right" vertical="center"/>
    </xf>
    <xf numFmtId="4" fontId="3" fillId="37" borderId="10" applyNumberFormat="0" applyProtection="0">
      <alignment horizontal="right" vertical="center"/>
    </xf>
    <xf numFmtId="4" fontId="3" fillId="38" borderId="10" applyNumberFormat="0" applyProtection="0">
      <alignment horizontal="right" vertical="center"/>
    </xf>
    <xf numFmtId="4" fontId="49" fillId="39" borderId="10" applyNumberFormat="0" applyProtection="0">
      <alignment horizontal="left" vertical="center" indent="1"/>
    </xf>
    <xf numFmtId="4" fontId="3" fillId="40" borderId="15" applyNumberFormat="0" applyProtection="0">
      <alignment horizontal="left" vertical="center" indent="1"/>
    </xf>
    <xf numFmtId="4" fontId="50" fillId="41" borderId="0" applyNumberFormat="0" applyProtection="0">
      <alignment horizontal="left" vertical="center" indent="1"/>
    </xf>
    <xf numFmtId="0" fontId="4" fillId="29" borderId="10" applyNumberFormat="0" applyProtection="0">
      <alignment horizontal="left" vertical="center" indent="1"/>
    </xf>
    <xf numFmtId="4" fontId="3" fillId="40" borderId="10" applyNumberFormat="0" applyProtection="0">
      <alignment horizontal="left" vertical="center" indent="1"/>
    </xf>
    <xf numFmtId="4" fontId="3" fillId="42" borderId="10" applyNumberFormat="0" applyProtection="0">
      <alignment horizontal="left" vertical="center" indent="1"/>
    </xf>
    <xf numFmtId="0" fontId="4" fillId="42" borderId="10" applyNumberFormat="0" applyProtection="0">
      <alignment horizontal="left" vertical="center" indent="1"/>
    </xf>
    <xf numFmtId="0" fontId="4" fillId="42" borderId="10" applyNumberFormat="0" applyProtection="0">
      <alignment horizontal="left" vertical="center" indent="1"/>
    </xf>
    <xf numFmtId="0" fontId="4" fillId="43" borderId="10" applyNumberFormat="0" applyProtection="0">
      <alignment horizontal="left" vertical="center" indent="1"/>
    </xf>
    <xf numFmtId="0" fontId="4" fillId="43" borderId="10" applyNumberFormat="0" applyProtection="0">
      <alignment horizontal="left" vertical="center" indent="1"/>
    </xf>
    <xf numFmtId="0" fontId="4" fillId="22" borderId="10" applyNumberFormat="0" applyProtection="0">
      <alignment horizontal="left" vertical="center" indent="1"/>
    </xf>
    <xf numFmtId="0" fontId="4" fillId="22" borderId="10" applyNumberFormat="0" applyProtection="0">
      <alignment horizontal="left" vertical="center" indent="1"/>
    </xf>
    <xf numFmtId="0" fontId="4" fillId="29" borderId="10" applyNumberFormat="0" applyProtection="0">
      <alignment horizontal="left" vertical="center" indent="1"/>
    </xf>
    <xf numFmtId="0" fontId="4" fillId="29" borderId="10" applyNumberFormat="0" applyProtection="0">
      <alignment horizontal="left" vertical="center" indent="1"/>
    </xf>
    <xf numFmtId="4" fontId="3" fillId="44" borderId="10" applyNumberFormat="0" applyProtection="0">
      <alignment vertical="center"/>
    </xf>
    <xf numFmtId="4" fontId="48" fillId="44" borderId="10" applyNumberFormat="0" applyProtection="0">
      <alignment vertical="center"/>
    </xf>
    <xf numFmtId="4" fontId="3" fillId="44" borderId="10" applyNumberFormat="0" applyProtection="0">
      <alignment horizontal="left" vertical="center" indent="1"/>
    </xf>
    <xf numFmtId="4" fontId="3" fillId="44" borderId="10" applyNumberFormat="0" applyProtection="0">
      <alignment horizontal="left" vertical="center" indent="1"/>
    </xf>
    <xf numFmtId="4" fontId="3" fillId="40" borderId="10" applyNumberFormat="0" applyProtection="0">
      <alignment horizontal="right" vertical="center"/>
    </xf>
    <xf numFmtId="4" fontId="48" fillId="40" borderId="10" applyNumberFormat="0" applyProtection="0">
      <alignment horizontal="right" vertical="center"/>
    </xf>
    <xf numFmtId="0" fontId="4" fillId="29" borderId="10" applyNumberFormat="0" applyProtection="0">
      <alignment horizontal="left" vertical="center" indent="1"/>
    </xf>
    <xf numFmtId="0" fontId="4" fillId="29" borderId="10" applyNumberFormat="0" applyProtection="0">
      <alignment horizontal="left" vertical="center" indent="1"/>
    </xf>
    <xf numFmtId="0" fontId="51" fillId="0" borderId="0"/>
    <xf numFmtId="4" fontId="52" fillId="40" borderId="10" applyNumberFormat="0" applyProtection="0">
      <alignment horizontal="right" vertical="center"/>
    </xf>
    <xf numFmtId="39" fontId="2" fillId="45" borderId="0"/>
    <xf numFmtId="38" fontId="7" fillId="0" borderId="16"/>
    <xf numFmtId="38" fontId="5" fillId="0" borderId="16"/>
    <xf numFmtId="38" fontId="5" fillId="0" borderId="16"/>
    <xf numFmtId="38" fontId="5" fillId="0" borderId="16"/>
    <xf numFmtId="38" fontId="5" fillId="0" borderId="16"/>
    <xf numFmtId="38" fontId="8" fillId="0" borderId="14"/>
    <xf numFmtId="39" fontId="6" fillId="46" borderId="0"/>
    <xf numFmtId="176" fontId="2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176" fontId="4" fillId="0" borderId="0">
      <alignment horizontal="left" wrapText="1"/>
    </xf>
    <xf numFmtId="40" fontId="53" fillId="0" borderId="0" applyBorder="0">
      <alignment horizontal="right"/>
    </xf>
    <xf numFmtId="41" fontId="22" fillId="20" borderId="0">
      <alignment horizontal="left"/>
    </xf>
    <xf numFmtId="172" fontId="23" fillId="20" borderId="0">
      <alignment horizontal="left" vertical="center"/>
    </xf>
    <xf numFmtId="0" fontId="10" fillId="20" borderId="0">
      <alignment horizontal="left" wrapText="1"/>
    </xf>
    <xf numFmtId="0" fontId="24" fillId="0" borderId="0">
      <alignment horizontal="left" vertical="center"/>
    </xf>
    <xf numFmtId="41" fontId="10" fillId="20" borderId="0">
      <alignment horizontal="left"/>
    </xf>
    <xf numFmtId="0" fontId="45" fillId="0" borderId="17" applyNumberFormat="0" applyFont="0" applyFill="0" applyAlignment="0" applyProtection="0"/>
    <xf numFmtId="0" fontId="14" fillId="0" borderId="18"/>
    <xf numFmtId="0" fontId="38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1" fillId="0" borderId="0"/>
    <xf numFmtId="0" fontId="69" fillId="0" borderId="0"/>
  </cellStyleXfs>
  <cellXfs count="391">
    <xf numFmtId="0" fontId="0" fillId="0" borderId="0" xfId="0"/>
    <xf numFmtId="0" fontId="5" fillId="0" borderId="0" xfId="0" applyFont="1"/>
    <xf numFmtId="10" fontId="5" fillId="0" borderId="0" xfId="0" applyNumberFormat="1" applyFont="1" applyFill="1" applyBorder="1" applyAlignment="1"/>
    <xf numFmtId="0" fontId="5" fillId="0" borderId="13" xfId="0" quotePrefix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165" fontId="5" fillId="0" borderId="13" xfId="199" applyNumberFormat="1" applyFont="1" applyBorder="1"/>
    <xf numFmtId="44" fontId="5" fillId="0" borderId="3" xfId="225" applyFont="1" applyBorder="1"/>
    <xf numFmtId="44" fontId="5" fillId="0" borderId="3" xfId="0" applyNumberFormat="1" applyFont="1" applyBorder="1"/>
    <xf numFmtId="0" fontId="5" fillId="0" borderId="12" xfId="0" applyFont="1" applyBorder="1"/>
    <xf numFmtId="44" fontId="5" fillId="0" borderId="12" xfId="0" applyNumberFormat="1" applyFont="1" applyBorder="1"/>
    <xf numFmtId="10" fontId="5" fillId="0" borderId="0" xfId="335" applyNumberFormat="1" applyFont="1"/>
    <xf numFmtId="0" fontId="5" fillId="0" borderId="29" xfId="0" applyFont="1" applyBorder="1"/>
    <xf numFmtId="0" fontId="5" fillId="0" borderId="0" xfId="0" applyFont="1" applyBorder="1"/>
    <xf numFmtId="0" fontId="5" fillId="0" borderId="29" xfId="0" quotePrefix="1" applyFont="1" applyBorder="1" applyAlignment="1">
      <alignment horizontal="left"/>
    </xf>
    <xf numFmtId="0" fontId="5" fillId="0" borderId="13" xfId="0" applyFont="1" applyBorder="1"/>
    <xf numFmtId="165" fontId="5" fillId="0" borderId="13" xfId="186" applyNumberFormat="1" applyFont="1" applyFill="1" applyBorder="1"/>
    <xf numFmtId="168" fontId="5" fillId="0" borderId="29" xfId="215" applyNumberFormat="1" applyFont="1" applyFill="1" applyBorder="1"/>
    <xf numFmtId="165" fontId="5" fillId="0" borderId="0" xfId="186" applyNumberFormat="1" applyFont="1" applyBorder="1"/>
    <xf numFmtId="0" fontId="5" fillId="0" borderId="23" xfId="0" applyFont="1" applyBorder="1"/>
    <xf numFmtId="0" fontId="5" fillId="0" borderId="22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center" wrapText="1"/>
    </xf>
    <xf numFmtId="0" fontId="5" fillId="47" borderId="31" xfId="0" applyFont="1" applyFill="1" applyBorder="1" applyAlignment="1">
      <alignment horizontal="center" wrapText="1"/>
    </xf>
    <xf numFmtId="0" fontId="5" fillId="0" borderId="20" xfId="0" applyFont="1" applyBorder="1"/>
    <xf numFmtId="0" fontId="5" fillId="0" borderId="21" xfId="0" applyFont="1" applyBorder="1"/>
    <xf numFmtId="0" fontId="5" fillId="0" borderId="23" xfId="0" applyFont="1" applyBorder="1" applyAlignment="1">
      <alignment horizontal="center"/>
    </xf>
    <xf numFmtId="165" fontId="5" fillId="0" borderId="0" xfId="186" applyNumberFormat="1" applyFont="1" applyFill="1" applyBorder="1"/>
    <xf numFmtId="166" fontId="5" fillId="49" borderId="0" xfId="215" applyNumberFormat="1" applyFont="1" applyFill="1" applyBorder="1"/>
    <xf numFmtId="166" fontId="5" fillId="48" borderId="0" xfId="215" applyNumberFormat="1" applyFont="1" applyFill="1" applyBorder="1"/>
    <xf numFmtId="168" fontId="5" fillId="47" borderId="0" xfId="215" applyNumberFormat="1" applyFont="1" applyFill="1" applyBorder="1"/>
    <xf numFmtId="0" fontId="5" fillId="0" borderId="24" xfId="0" applyFont="1" applyBorder="1" applyAlignment="1">
      <alignment horizontal="center"/>
    </xf>
    <xf numFmtId="165" fontId="5" fillId="0" borderId="11" xfId="186" applyNumberFormat="1" applyFont="1" applyFill="1" applyBorder="1"/>
    <xf numFmtId="166" fontId="5" fillId="48" borderId="11" xfId="215" applyNumberFormat="1" applyFont="1" applyFill="1" applyBorder="1"/>
    <xf numFmtId="168" fontId="5" fillId="47" borderId="11" xfId="215" applyNumberFormat="1" applyFont="1" applyFill="1" applyBorder="1"/>
    <xf numFmtId="0" fontId="5" fillId="0" borderId="11" xfId="0" applyFont="1" applyBorder="1"/>
    <xf numFmtId="0" fontId="5" fillId="0" borderId="25" xfId="0" applyFont="1" applyBorder="1"/>
    <xf numFmtId="0" fontId="5" fillId="0" borderId="28" xfId="0" applyFont="1" applyBorder="1"/>
    <xf numFmtId="0" fontId="5" fillId="0" borderId="13" xfId="0" applyFont="1" applyBorder="1" applyAlignment="1">
      <alignment horizontal="center" wrapText="1"/>
    </xf>
    <xf numFmtId="0" fontId="5" fillId="47" borderId="13" xfId="0" applyFont="1" applyFill="1" applyBorder="1" applyAlignment="1">
      <alignment horizontal="center" wrapText="1"/>
    </xf>
    <xf numFmtId="0" fontId="5" fillId="47" borderId="0" xfId="0" applyFont="1" applyFill="1" applyBorder="1"/>
    <xf numFmtId="0" fontId="5" fillId="47" borderId="22" xfId="0" applyFont="1" applyFill="1" applyBorder="1"/>
    <xf numFmtId="165" fontId="5" fillId="0" borderId="0" xfId="186" applyNumberFormat="1" applyFont="1" applyFill="1"/>
    <xf numFmtId="166" fontId="5" fillId="49" borderId="0" xfId="215" applyNumberFormat="1" applyFont="1" applyFill="1"/>
    <xf numFmtId="166" fontId="5" fillId="48" borderId="0" xfId="215" applyNumberFormat="1" applyFont="1" applyFill="1"/>
    <xf numFmtId="168" fontId="5" fillId="47" borderId="0" xfId="215" applyNumberFormat="1" applyFont="1" applyFill="1"/>
    <xf numFmtId="165" fontId="5" fillId="0" borderId="0" xfId="187" applyNumberFormat="1" applyFont="1" applyBorder="1"/>
    <xf numFmtId="0" fontId="5" fillId="0" borderId="24" xfId="0" applyFont="1" applyBorder="1"/>
    <xf numFmtId="165" fontId="5" fillId="0" borderId="0" xfId="187" applyNumberFormat="1" applyFont="1" applyFill="1" applyBorder="1"/>
    <xf numFmtId="166" fontId="5" fillId="49" borderId="0" xfId="216" applyNumberFormat="1" applyFont="1" applyFill="1" applyBorder="1"/>
    <xf numFmtId="166" fontId="5" fillId="48" borderId="0" xfId="216" applyNumberFormat="1" applyFont="1" applyFill="1" applyBorder="1"/>
    <xf numFmtId="168" fontId="5" fillId="47" borderId="0" xfId="216" applyNumberFormat="1" applyFont="1" applyFill="1" applyBorder="1"/>
    <xf numFmtId="0" fontId="5" fillId="0" borderId="0" xfId="0" applyFont="1" applyFill="1"/>
    <xf numFmtId="0" fontId="57" fillId="0" borderId="0" xfId="0" applyFont="1" applyFill="1"/>
    <xf numFmtId="0" fontId="57" fillId="0" borderId="0" xfId="0" applyFont="1" applyFill="1" applyAlignment="1">
      <alignment horizontal="center"/>
    </xf>
    <xf numFmtId="165" fontId="59" fillId="0" borderId="0" xfId="0" applyNumberFormat="1" applyFont="1" applyFill="1" applyBorder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41" fontId="8" fillId="0" borderId="32" xfId="0" applyNumberFormat="1" applyFont="1" applyFill="1" applyBorder="1" applyAlignment="1">
      <alignment horizontal="center"/>
    </xf>
    <xf numFmtId="0" fontId="57" fillId="0" borderId="32" xfId="0" applyFont="1" applyFill="1" applyBorder="1"/>
    <xf numFmtId="0" fontId="58" fillId="0" borderId="0" xfId="0" applyFont="1" applyFill="1" applyAlignment="1">
      <alignment horizontal="left"/>
    </xf>
    <xf numFmtId="0" fontId="57" fillId="0" borderId="0" xfId="0" quotePrefix="1" applyFont="1" applyFill="1" applyAlignment="1">
      <alignment horizontal="center"/>
    </xf>
    <xf numFmtId="166" fontId="59" fillId="0" borderId="0" xfId="0" applyNumberFormat="1" applyFont="1" applyFill="1"/>
    <xf numFmtId="44" fontId="5" fillId="0" borderId="3" xfId="0" applyNumberFormat="1" applyFont="1" applyFill="1" applyBorder="1"/>
    <xf numFmtId="41" fontId="8" fillId="0" borderId="0" xfId="0" applyNumberFormat="1" applyFont="1" applyFill="1" applyBorder="1" applyAlignment="1">
      <alignment horizontal="center" wrapText="1"/>
    </xf>
    <xf numFmtId="41" fontId="8" fillId="0" borderId="32" xfId="0" applyNumberFormat="1" applyFont="1" applyFill="1" applyBorder="1" applyAlignment="1">
      <alignment horizontal="center" wrapText="1"/>
    </xf>
    <xf numFmtId="0" fontId="57" fillId="0" borderId="32" xfId="0" applyFont="1" applyFill="1" applyBorder="1" applyAlignment="1"/>
    <xf numFmtId="0" fontId="8" fillId="0" borderId="32" xfId="0" applyNumberFormat="1" applyFont="1" applyFill="1" applyBorder="1" applyAlignment="1">
      <alignment horizontal="center"/>
    </xf>
    <xf numFmtId="0" fontId="5" fillId="0" borderId="33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57" fillId="0" borderId="23" xfId="0" applyFont="1" applyFill="1" applyBorder="1"/>
    <xf numFmtId="0" fontId="57" fillId="0" borderId="0" xfId="0" applyFont="1" applyFill="1" applyBorder="1"/>
    <xf numFmtId="0" fontId="5" fillId="0" borderId="22" xfId="0" applyFont="1" applyFill="1" applyBorder="1"/>
    <xf numFmtId="0" fontId="61" fillId="0" borderId="0" xfId="0" applyFont="1" applyFill="1" applyBorder="1" applyAlignment="1">
      <alignment horizontal="centerContinuous"/>
    </xf>
    <xf numFmtId="0" fontId="57" fillId="0" borderId="0" xfId="0" applyFont="1" applyFill="1" applyBorder="1" applyAlignment="1">
      <alignment horizontal="centerContinuous"/>
    </xf>
    <xf numFmtId="0" fontId="8" fillId="0" borderId="23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horizontal="center"/>
    </xf>
    <xf numFmtId="0" fontId="61" fillId="0" borderId="32" xfId="0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10" fontId="5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10" fontId="64" fillId="0" borderId="0" xfId="0" applyNumberFormat="1" applyFont="1" applyFill="1" applyBorder="1"/>
    <xf numFmtId="0" fontId="64" fillId="0" borderId="14" xfId="0" applyFont="1" applyFill="1" applyBorder="1"/>
    <xf numFmtId="0" fontId="64" fillId="0" borderId="0" xfId="0" applyFont="1" applyFill="1" applyBorder="1"/>
    <xf numFmtId="10" fontId="64" fillId="0" borderId="0" xfId="0" applyNumberFormat="1" applyFont="1" applyFill="1" applyBorder="1" applyAlignment="1"/>
    <xf numFmtId="0" fontId="5" fillId="0" borderId="23" xfId="0" applyFont="1" applyFill="1" applyBorder="1"/>
    <xf numFmtId="0" fontId="5" fillId="0" borderId="0" xfId="0" applyFont="1" applyFill="1" applyBorder="1"/>
    <xf numFmtId="10" fontId="5" fillId="0" borderId="0" xfId="335" applyNumberFormat="1" applyFont="1" applyFill="1" applyBorder="1"/>
    <xf numFmtId="0" fontId="5" fillId="0" borderId="24" xfId="0" applyFont="1" applyFill="1" applyBorder="1"/>
    <xf numFmtId="0" fontId="5" fillId="0" borderId="11" xfId="0" applyFont="1" applyFill="1" applyBorder="1"/>
    <xf numFmtId="0" fontId="5" fillId="0" borderId="25" xfId="0" applyFont="1" applyFill="1" applyBorder="1"/>
    <xf numFmtId="0" fontId="61" fillId="0" borderId="34" xfId="0" applyFont="1" applyFill="1" applyBorder="1" applyAlignment="1">
      <alignment horizontal="centerContinuous"/>
    </xf>
    <xf numFmtId="0" fontId="57" fillId="0" borderId="22" xfId="0" applyFont="1" applyFill="1" applyBorder="1" applyAlignment="1">
      <alignment horizontal="centerContinuous"/>
    </xf>
    <xf numFmtId="0" fontId="57" fillId="0" borderId="22" xfId="0" applyFont="1" applyFill="1" applyBorder="1"/>
    <xf numFmtId="0" fontId="61" fillId="0" borderId="22" xfId="0" applyFont="1" applyFill="1" applyBorder="1" applyAlignment="1">
      <alignment horizontal="center"/>
    </xf>
    <xf numFmtId="0" fontId="61" fillId="0" borderId="35" xfId="0" applyFont="1" applyFill="1" applyBorder="1" applyAlignment="1">
      <alignment horizontal="center"/>
    </xf>
    <xf numFmtId="0" fontId="64" fillId="0" borderId="22" xfId="0" applyFont="1" applyFill="1" applyBorder="1"/>
    <xf numFmtId="0" fontId="5" fillId="0" borderId="22" xfId="0" applyNumberFormat="1" applyFont="1" applyFill="1" applyBorder="1" applyAlignment="1"/>
    <xf numFmtId="0" fontId="57" fillId="0" borderId="23" xfId="0" applyFont="1" applyFill="1" applyBorder="1" applyAlignment="1">
      <alignment horizontal="centerContinuous"/>
    </xf>
    <xf numFmtId="0" fontId="57" fillId="0" borderId="35" xfId="0" applyFont="1" applyFill="1" applyBorder="1"/>
    <xf numFmtId="10" fontId="59" fillId="0" borderId="0" xfId="0" applyNumberFormat="1" applyFont="1" applyFill="1" applyBorder="1"/>
    <xf numFmtId="10" fontId="8" fillId="0" borderId="36" xfId="0" applyNumberFormat="1" applyFont="1" applyFill="1" applyBorder="1"/>
    <xf numFmtId="10" fontId="8" fillId="0" borderId="36" xfId="0" applyNumberFormat="1" applyFont="1" applyFill="1" applyBorder="1" applyAlignment="1"/>
    <xf numFmtId="9" fontId="61" fillId="0" borderId="14" xfId="0" applyNumberFormat="1" applyFont="1" applyFill="1" applyBorder="1"/>
    <xf numFmtId="10" fontId="59" fillId="0" borderId="22" xfId="0" applyNumberFormat="1" applyFont="1" applyFill="1" applyBorder="1"/>
    <xf numFmtId="0" fontId="57" fillId="0" borderId="0" xfId="0" applyNumberFormat="1" applyFont="1" applyFill="1" applyBorder="1" applyAlignment="1"/>
    <xf numFmtId="176" fontId="59" fillId="0" borderId="22" xfId="0" applyNumberFormat="1" applyFont="1" applyFill="1" applyBorder="1" applyAlignment="1"/>
    <xf numFmtId="171" fontId="59" fillId="0" borderId="0" xfId="0" applyNumberFormat="1" applyFont="1" applyFill="1" applyBorder="1" applyAlignment="1"/>
    <xf numFmtId="176" fontId="57" fillId="0" borderId="38" xfId="0" applyNumberFormat="1" applyFont="1" applyFill="1" applyBorder="1" applyAlignment="1"/>
    <xf numFmtId="176" fontId="57" fillId="0" borderId="22" xfId="0" applyNumberFormat="1" applyFont="1" applyFill="1" applyBorder="1" applyAlignment="1"/>
    <xf numFmtId="9" fontId="59" fillId="0" borderId="0" xfId="419" applyFont="1" applyFill="1" applyBorder="1" applyAlignment="1"/>
    <xf numFmtId="176" fontId="57" fillId="0" borderId="37" xfId="0" applyNumberFormat="1" applyFont="1" applyFill="1" applyBorder="1" applyAlignment="1" applyProtection="1">
      <protection locked="0"/>
    </xf>
    <xf numFmtId="10" fontId="5" fillId="52" borderId="0" xfId="335" applyNumberFormat="1" applyFont="1" applyFill="1"/>
    <xf numFmtId="0" fontId="8" fillId="0" borderId="0" xfId="420" applyFont="1" applyFill="1"/>
    <xf numFmtId="0" fontId="8" fillId="0" borderId="0" xfId="420" applyFont="1" applyFill="1" applyAlignment="1">
      <alignment horizontal="left"/>
    </xf>
    <xf numFmtId="0" fontId="8" fillId="0" borderId="0" xfId="420" applyFont="1" applyFill="1" applyAlignment="1">
      <alignment horizontal="center"/>
    </xf>
    <xf numFmtId="0" fontId="8" fillId="0" borderId="0" xfId="420" applyFont="1" applyFill="1" applyAlignment="1">
      <alignment horizontal="centerContinuous"/>
    </xf>
    <xf numFmtId="0" fontId="8" fillId="0" borderId="32" xfId="420" quotePrefix="1" applyFont="1" applyFill="1" applyBorder="1" applyAlignment="1">
      <alignment horizontal="center" wrapText="1"/>
    </xf>
    <xf numFmtId="0" fontId="8" fillId="0" borderId="32" xfId="420" applyFont="1" applyFill="1" applyBorder="1" applyAlignment="1">
      <alignment horizontal="center" wrapText="1"/>
    </xf>
    <xf numFmtId="0" fontId="8" fillId="0" borderId="0" xfId="420" applyFont="1" applyFill="1" applyAlignment="1">
      <alignment horizontal="center" wrapText="1"/>
    </xf>
    <xf numFmtId="0" fontId="8" fillId="0" borderId="0" xfId="420" applyFont="1" applyFill="1" applyAlignment="1">
      <alignment horizontal="left" wrapText="1"/>
    </xf>
    <xf numFmtId="0" fontId="5" fillId="0" borderId="0" xfId="420" applyFont="1" applyFill="1"/>
    <xf numFmtId="0" fontId="5" fillId="0" borderId="0" xfId="420" applyFont="1" applyFill="1" applyAlignment="1">
      <alignment horizontal="center" wrapText="1"/>
    </xf>
    <xf numFmtId="0" fontId="5" fillId="0" borderId="0" xfId="420" applyFont="1" applyFill="1" applyAlignment="1">
      <alignment horizontal="left"/>
    </xf>
    <xf numFmtId="0" fontId="5" fillId="0" borderId="0" xfId="420" applyFont="1" applyFill="1" applyAlignment="1">
      <alignment horizontal="center"/>
    </xf>
    <xf numFmtId="0" fontId="5" fillId="0" borderId="0" xfId="420" quotePrefix="1" applyFont="1" applyFill="1" applyAlignment="1">
      <alignment horizontal="center"/>
    </xf>
    <xf numFmtId="0" fontId="5" fillId="0" borderId="0" xfId="420" quotePrefix="1" applyFont="1" applyFill="1" applyAlignment="1">
      <alignment horizontal="left" indent="1"/>
    </xf>
    <xf numFmtId="44" fontId="5" fillId="0" borderId="0" xfId="420" applyNumberFormat="1" applyFont="1" applyFill="1"/>
    <xf numFmtId="0" fontId="5" fillId="0" borderId="0" xfId="420" quotePrefix="1" applyFont="1" applyFill="1" applyAlignment="1">
      <alignment horizontal="left"/>
    </xf>
    <xf numFmtId="168" fontId="5" fillId="0" borderId="0" xfId="420" applyNumberFormat="1" applyFont="1" applyFill="1"/>
    <xf numFmtId="181" fontId="60" fillId="0" borderId="0" xfId="420" applyNumberFormat="1" applyFont="1" applyFill="1"/>
    <xf numFmtId="0" fontId="5" fillId="0" borderId="0" xfId="420" applyFont="1" applyFill="1" applyAlignment="1">
      <alignment horizontal="left" indent="2"/>
    </xf>
    <xf numFmtId="167" fontId="5" fillId="0" borderId="0" xfId="420" applyNumberFormat="1" applyFont="1" applyFill="1"/>
    <xf numFmtId="0" fontId="5" fillId="0" borderId="0" xfId="420" quotePrefix="1" applyFont="1" applyFill="1" applyAlignment="1">
      <alignment horizontal="left" indent="2"/>
    </xf>
    <xf numFmtId="10" fontId="5" fillId="0" borderId="0" xfId="420" applyNumberFormat="1" applyFont="1" applyFill="1"/>
    <xf numFmtId="0" fontId="5" fillId="0" borderId="0" xfId="420" applyFont="1" applyFill="1" applyAlignment="1">
      <alignment horizontal="left" indent="1"/>
    </xf>
    <xf numFmtId="0" fontId="5" fillId="0" borderId="0" xfId="420" applyFont="1" applyFill="1" applyBorder="1"/>
    <xf numFmtId="0" fontId="5" fillId="0" borderId="0" xfId="420" applyFont="1" applyFill="1" applyBorder="1" applyAlignment="1">
      <alignment horizontal="center"/>
    </xf>
    <xf numFmtId="0" fontId="5" fillId="0" borderId="0" xfId="420" applyFont="1" applyFill="1" applyBorder="1" applyAlignment="1">
      <alignment horizontal="left" indent="1"/>
    </xf>
    <xf numFmtId="171" fontId="5" fillId="0" borderId="0" xfId="420" applyNumberFormat="1" applyFont="1" applyFill="1" applyBorder="1"/>
    <xf numFmtId="10" fontId="5" fillId="0" borderId="0" xfId="420" applyNumberFormat="1" applyFont="1" applyFill="1" applyBorder="1"/>
    <xf numFmtId="0" fontId="5" fillId="0" borderId="0" xfId="420" quotePrefix="1" applyFont="1" applyFill="1" applyBorder="1" applyAlignment="1">
      <alignment horizontal="left" indent="1"/>
    </xf>
    <xf numFmtId="9" fontId="5" fillId="0" borderId="0" xfId="420" applyNumberFormat="1" applyFont="1" applyFill="1" applyBorder="1"/>
    <xf numFmtId="0" fontId="5" fillId="0" borderId="0" xfId="420" quotePrefix="1" applyFont="1" applyFill="1" applyBorder="1" applyAlignment="1">
      <alignment horizontal="left" indent="2"/>
    </xf>
    <xf numFmtId="44" fontId="5" fillId="0" borderId="0" xfId="420" quotePrefix="1" applyNumberFormat="1" applyFont="1" applyFill="1" applyAlignment="1">
      <alignment horizontal="left"/>
    </xf>
    <xf numFmtId="0" fontId="64" fillId="0" borderId="0" xfId="420" applyFont="1" applyFill="1"/>
    <xf numFmtId="44" fontId="59" fillId="0" borderId="0" xfId="420" applyNumberFormat="1" applyFont="1" applyFill="1"/>
    <xf numFmtId="168" fontId="59" fillId="0" borderId="0" xfId="420" applyNumberFormat="1" applyFont="1" applyFill="1"/>
    <xf numFmtId="0" fontId="59" fillId="0" borderId="0" xfId="420" applyFont="1" applyFill="1"/>
    <xf numFmtId="167" fontId="59" fillId="0" borderId="0" xfId="420" applyNumberFormat="1" applyFont="1" applyFill="1"/>
    <xf numFmtId="10" fontId="59" fillId="0" borderId="0" xfId="420" applyNumberFormat="1" applyFont="1" applyFill="1"/>
    <xf numFmtId="0" fontId="59" fillId="0" borderId="0" xfId="420" applyFont="1" applyFill="1" applyBorder="1"/>
    <xf numFmtId="44" fontId="59" fillId="0" borderId="0" xfId="420" applyNumberFormat="1" applyFont="1" applyFill="1" applyBorder="1"/>
    <xf numFmtId="171" fontId="59" fillId="0" borderId="0" xfId="420" applyNumberFormat="1" applyFont="1" applyFill="1" applyBorder="1"/>
    <xf numFmtId="10" fontId="59" fillId="0" borderId="0" xfId="420" applyNumberFormat="1" applyFont="1" applyFill="1" applyBorder="1"/>
    <xf numFmtId="9" fontId="59" fillId="0" borderId="0" xfId="420" applyNumberFormat="1" applyFont="1" applyFill="1" applyBorder="1"/>
    <xf numFmtId="44" fontId="5" fillId="53" borderId="0" xfId="225" applyFont="1" applyFill="1"/>
    <xf numFmtId="44" fontId="5" fillId="53" borderId="0" xfId="225" applyNumberFormat="1" applyFont="1" applyFill="1"/>
    <xf numFmtId="44" fontId="5" fillId="51" borderId="3" xfId="0" applyNumberFormat="1" applyFont="1" applyFill="1" applyBorder="1"/>
    <xf numFmtId="0" fontId="57" fillId="0" borderId="0" xfId="421" applyFont="1"/>
    <xf numFmtId="0" fontId="55" fillId="0" borderId="0" xfId="421" applyFont="1" applyFill="1"/>
    <xf numFmtId="0" fontId="5" fillId="0" borderId="0" xfId="421" applyFont="1"/>
    <xf numFmtId="3" fontId="5" fillId="0" borderId="0" xfId="421" applyNumberFormat="1" applyFont="1"/>
    <xf numFmtId="3" fontId="5" fillId="0" borderId="0" xfId="421" applyNumberFormat="1" applyFont="1" applyFill="1"/>
    <xf numFmtId="0" fontId="5" fillId="0" borderId="0" xfId="421" applyFont="1" applyFill="1"/>
    <xf numFmtId="0" fontId="62" fillId="0" borderId="0" xfId="421" applyFont="1" applyFill="1"/>
    <xf numFmtId="3" fontId="5" fillId="0" borderId="0" xfId="421" applyNumberFormat="1" applyFont="1" applyBorder="1"/>
    <xf numFmtId="3" fontId="5" fillId="0" borderId="0" xfId="421" applyNumberFormat="1" applyFont="1" applyFill="1" applyBorder="1"/>
    <xf numFmtId="0" fontId="5" fillId="54" borderId="39" xfId="421" applyFont="1" applyFill="1" applyBorder="1" applyAlignment="1">
      <alignment horizontal="center"/>
    </xf>
    <xf numFmtId="0" fontId="5" fillId="54" borderId="39" xfId="421" applyFont="1" applyFill="1" applyBorder="1"/>
    <xf numFmtId="0" fontId="5" fillId="54" borderId="40" xfId="421" applyFont="1" applyFill="1" applyBorder="1" applyAlignment="1">
      <alignment horizontal="center"/>
    </xf>
    <xf numFmtId="0" fontId="5" fillId="54" borderId="40" xfId="421" applyFont="1" applyFill="1" applyBorder="1"/>
    <xf numFmtId="0" fontId="5" fillId="54" borderId="41" xfId="421" applyFont="1" applyFill="1" applyBorder="1" applyAlignment="1">
      <alignment horizontal="center"/>
    </xf>
    <xf numFmtId="3" fontId="57" fillId="0" borderId="0" xfId="421" applyNumberFormat="1" applyFont="1" applyBorder="1"/>
    <xf numFmtId="0" fontId="57" fillId="54" borderId="39" xfId="421" applyFont="1" applyFill="1" applyBorder="1" applyAlignment="1">
      <alignment horizontal="center"/>
    </xf>
    <xf numFmtId="0" fontId="57" fillId="54" borderId="39" xfId="421" applyFont="1" applyFill="1" applyBorder="1"/>
    <xf numFmtId="0" fontId="57" fillId="54" borderId="40" xfId="421" applyFont="1" applyFill="1" applyBorder="1" applyAlignment="1">
      <alignment horizontal="center"/>
    </xf>
    <xf numFmtId="0" fontId="57" fillId="54" borderId="40" xfId="421" applyFont="1" applyFill="1" applyBorder="1"/>
    <xf numFmtId="0" fontId="57" fillId="54" borderId="41" xfId="421" applyFont="1" applyFill="1" applyBorder="1" applyAlignment="1">
      <alignment horizontal="center"/>
    </xf>
    <xf numFmtId="0" fontId="66" fillId="54" borderId="5" xfId="421" applyFont="1" applyFill="1" applyBorder="1" applyAlignment="1">
      <alignment horizontal="center"/>
    </xf>
    <xf numFmtId="0" fontId="66" fillId="54" borderId="19" xfId="421" applyFont="1" applyFill="1" applyBorder="1" applyAlignment="1">
      <alignment horizontal="center"/>
    </xf>
    <xf numFmtId="0" fontId="57" fillId="54" borderId="0" xfId="421" applyFont="1" applyFill="1"/>
    <xf numFmtId="0" fontId="57" fillId="0" borderId="0" xfId="421" applyFont="1" applyFill="1"/>
    <xf numFmtId="0" fontId="64" fillId="54" borderId="0" xfId="421" applyFont="1" applyFill="1"/>
    <xf numFmtId="0" fontId="63" fillId="54" borderId="0" xfId="421" applyFont="1" applyFill="1"/>
    <xf numFmtId="0" fontId="61" fillId="54" borderId="0" xfId="421" applyFont="1" applyFill="1"/>
    <xf numFmtId="0" fontId="67" fillId="54" borderId="0" xfId="421" applyFont="1" applyFill="1"/>
    <xf numFmtId="0" fontId="61" fillId="0" borderId="0" xfId="421" applyFont="1"/>
    <xf numFmtId="0" fontId="68" fillId="54" borderId="5" xfId="421" applyFont="1" applyFill="1" applyBorder="1" applyAlignment="1">
      <alignment horizontal="center"/>
    </xf>
    <xf numFmtId="0" fontId="68" fillId="54" borderId="19" xfId="421" applyFont="1" applyFill="1" applyBorder="1" applyAlignment="1">
      <alignment horizontal="center"/>
    </xf>
    <xf numFmtId="165" fontId="5" fillId="54" borderId="0" xfId="186" applyNumberFormat="1" applyFont="1" applyFill="1" applyBorder="1"/>
    <xf numFmtId="44" fontId="59" fillId="53" borderId="0" xfId="420" applyNumberFormat="1" applyFont="1" applyFill="1"/>
    <xf numFmtId="0" fontId="61" fillId="0" borderId="14" xfId="0" applyFont="1" applyFill="1" applyBorder="1" applyAlignment="1">
      <alignment horizontal="left"/>
    </xf>
    <xf numFmtId="10" fontId="8" fillId="52" borderId="22" xfId="335" applyNumberFormat="1" applyFont="1" applyFill="1" applyBorder="1"/>
    <xf numFmtId="0" fontId="65" fillId="55" borderId="0" xfId="0" applyFont="1" applyFill="1"/>
    <xf numFmtId="44" fontId="5" fillId="0" borderId="29" xfId="0" applyNumberFormat="1" applyFont="1" applyFill="1" applyBorder="1"/>
    <xf numFmtId="43" fontId="5" fillId="0" borderId="13" xfId="199" applyNumberFormat="1" applyFont="1" applyFill="1" applyBorder="1"/>
    <xf numFmtId="165" fontId="5" fillId="0" borderId="13" xfId="199" applyNumberFormat="1" applyFont="1" applyFill="1" applyBorder="1"/>
    <xf numFmtId="0" fontId="5" fillId="0" borderId="0" xfId="422" applyFont="1" applyFill="1"/>
    <xf numFmtId="0" fontId="64" fillId="0" borderId="0" xfId="422" applyFont="1" applyFill="1"/>
    <xf numFmtId="5" fontId="5" fillId="0" borderId="0" xfId="422" applyNumberFormat="1" applyFont="1" applyFill="1" applyBorder="1" applyProtection="1"/>
    <xf numFmtId="168" fontId="5" fillId="0" borderId="0" xfId="422" applyNumberFormat="1" applyFont="1" applyFill="1"/>
    <xf numFmtId="166" fontId="5" fillId="0" borderId="0" xfId="422" applyNumberFormat="1" applyFont="1" applyFill="1" applyProtection="1"/>
    <xf numFmtId="5" fontId="5" fillId="0" borderId="42" xfId="422" applyNumberFormat="1" applyFont="1" applyFill="1" applyBorder="1" applyAlignment="1" applyProtection="1">
      <alignment horizontal="right"/>
    </xf>
    <xf numFmtId="0" fontId="5" fillId="0" borderId="11" xfId="422" applyFont="1" applyFill="1" applyBorder="1"/>
    <xf numFmtId="5" fontId="5" fillId="0" borderId="11" xfId="422" applyNumberFormat="1" applyFont="1" applyFill="1" applyBorder="1" applyProtection="1"/>
    <xf numFmtId="0" fontId="5" fillId="0" borderId="24" xfId="422" applyFont="1" applyFill="1" applyBorder="1"/>
    <xf numFmtId="10" fontId="5" fillId="0" borderId="43" xfId="422" applyNumberFormat="1" applyFont="1" applyFill="1" applyBorder="1"/>
    <xf numFmtId="0" fontId="5" fillId="0" borderId="0" xfId="422" applyFont="1" applyFill="1" applyBorder="1"/>
    <xf numFmtId="5" fontId="5" fillId="0" borderId="23" xfId="422" quotePrefix="1" applyNumberFormat="1" applyFont="1" applyFill="1" applyBorder="1" applyAlignment="1" applyProtection="1">
      <alignment horizontal="left"/>
    </xf>
    <xf numFmtId="166" fontId="5" fillId="0" borderId="22" xfId="422" applyNumberFormat="1" applyFont="1" applyFill="1" applyBorder="1"/>
    <xf numFmtId="166" fontId="5" fillId="0" borderId="22" xfId="422" applyNumberFormat="1" applyFont="1" applyFill="1" applyBorder="1" applyProtection="1"/>
    <xf numFmtId="37" fontId="5" fillId="0" borderId="0" xfId="422" applyNumberFormat="1" applyFont="1" applyFill="1" applyBorder="1" applyProtection="1"/>
    <xf numFmtId="0" fontId="5" fillId="0" borderId="0" xfId="422" applyFont="1" applyFill="1" applyBorder="1" applyProtection="1"/>
    <xf numFmtId="5" fontId="5" fillId="0" borderId="23" xfId="422" applyNumberFormat="1" applyFont="1" applyFill="1" applyBorder="1" applyProtection="1"/>
    <xf numFmtId="0" fontId="5" fillId="0" borderId="23" xfId="422" applyFont="1" applyFill="1" applyBorder="1"/>
    <xf numFmtId="5" fontId="5" fillId="0" borderId="0" xfId="422" applyNumberFormat="1" applyFont="1" applyFill="1"/>
    <xf numFmtId="10" fontId="5" fillId="0" borderId="22" xfId="422" applyNumberFormat="1" applyFont="1" applyFill="1" applyBorder="1"/>
    <xf numFmtId="0" fontId="5" fillId="0" borderId="23" xfId="422" quotePrefix="1" applyFont="1" applyFill="1" applyBorder="1" applyAlignment="1">
      <alignment horizontal="left"/>
    </xf>
    <xf numFmtId="166" fontId="5" fillId="0" borderId="21" xfId="422" applyNumberFormat="1" applyFont="1" applyFill="1" applyBorder="1"/>
    <xf numFmtId="5" fontId="5" fillId="0" borderId="20" xfId="422" applyNumberFormat="1" applyFont="1" applyFill="1" applyBorder="1" applyProtection="1"/>
    <xf numFmtId="0" fontId="5" fillId="0" borderId="20" xfId="422" applyFont="1" applyFill="1" applyBorder="1"/>
    <xf numFmtId="0" fontId="5" fillId="0" borderId="33" xfId="422" applyFont="1" applyFill="1" applyBorder="1"/>
    <xf numFmtId="0" fontId="5" fillId="0" borderId="0" xfId="422" applyFont="1" applyFill="1" applyAlignment="1"/>
    <xf numFmtId="5" fontId="5" fillId="0" borderId="0" xfId="422" applyNumberFormat="1" applyFont="1" applyFill="1" applyProtection="1"/>
    <xf numFmtId="37" fontId="5" fillId="0" borderId="0" xfId="422" applyNumberFormat="1" applyFont="1" applyFill="1" applyProtection="1"/>
    <xf numFmtId="0" fontId="5" fillId="0" borderId="0" xfId="422" applyFont="1" applyFill="1" applyProtection="1"/>
    <xf numFmtId="166" fontId="5" fillId="0" borderId="12" xfId="422" applyNumberFormat="1" applyFont="1" applyFill="1" applyBorder="1" applyProtection="1"/>
    <xf numFmtId="168" fontId="5" fillId="0" borderId="0" xfId="422" applyNumberFormat="1" applyFont="1" applyFill="1" applyProtection="1">
      <protection locked="0"/>
    </xf>
    <xf numFmtId="165" fontId="5" fillId="0" borderId="12" xfId="422" applyNumberFormat="1" applyFont="1" applyFill="1" applyBorder="1" applyProtection="1"/>
    <xf numFmtId="165" fontId="5" fillId="0" borderId="0" xfId="422" applyNumberFormat="1" applyFont="1" applyFill="1" applyProtection="1"/>
    <xf numFmtId="0" fontId="5" fillId="0" borderId="0" xfId="422" applyFont="1" applyFill="1" applyAlignment="1" applyProtection="1">
      <alignment horizontal="left" indent="2"/>
    </xf>
    <xf numFmtId="0" fontId="5" fillId="0" borderId="0" xfId="422" quotePrefix="1" applyFont="1" applyFill="1" applyAlignment="1">
      <alignment horizontal="left"/>
    </xf>
    <xf numFmtId="166" fontId="5" fillId="0" borderId="32" xfId="422" applyNumberFormat="1" applyFont="1" applyFill="1" applyBorder="1" applyProtection="1"/>
    <xf numFmtId="0" fontId="5" fillId="0" borderId="0" xfId="422" applyFont="1" applyFill="1" applyAlignment="1" applyProtection="1">
      <alignment horizontal="left" indent="1"/>
    </xf>
    <xf numFmtId="0" fontId="5" fillId="0" borderId="0" xfId="422" quotePrefix="1" applyFont="1" applyFill="1" applyAlignment="1"/>
    <xf numFmtId="166" fontId="5" fillId="0" borderId="3" xfId="422" applyNumberFormat="1" applyFont="1" applyFill="1" applyBorder="1" applyProtection="1"/>
    <xf numFmtId="5" fontId="5" fillId="0" borderId="0" xfId="422" applyNumberFormat="1" applyFont="1" applyFill="1" applyProtection="1">
      <protection locked="0"/>
    </xf>
    <xf numFmtId="165" fontId="5" fillId="0" borderId="3" xfId="422" applyNumberFormat="1" applyFont="1" applyFill="1" applyBorder="1" applyProtection="1"/>
    <xf numFmtId="0" fontId="5" fillId="0" borderId="0" xfId="422" quotePrefix="1" applyFont="1" applyFill="1" applyAlignment="1" applyProtection="1">
      <alignment horizontal="left" indent="1"/>
    </xf>
    <xf numFmtId="0" fontId="5" fillId="0" borderId="0" xfId="422" applyFont="1" applyFill="1" applyAlignment="1">
      <alignment horizontal="left"/>
    </xf>
    <xf numFmtId="166" fontId="5" fillId="0" borderId="0" xfId="422" applyNumberFormat="1" applyFont="1" applyFill="1" applyBorder="1" applyProtection="1"/>
    <xf numFmtId="7" fontId="5" fillId="0" borderId="0" xfId="422" applyNumberFormat="1" applyFont="1" applyFill="1" applyProtection="1">
      <protection locked="0"/>
    </xf>
    <xf numFmtId="165" fontId="5" fillId="0" borderId="0" xfId="422" applyNumberFormat="1" applyFont="1" applyFill="1" applyBorder="1" applyProtection="1"/>
    <xf numFmtId="44" fontId="5" fillId="0" borderId="0" xfId="422" applyNumberFormat="1" applyFont="1" applyFill="1"/>
    <xf numFmtId="44" fontId="5" fillId="0" borderId="0" xfId="422" applyNumberFormat="1" applyFont="1" applyFill="1" applyProtection="1">
      <protection locked="0"/>
    </xf>
    <xf numFmtId="0" fontId="5" fillId="0" borderId="0" xfId="422" applyFont="1" applyFill="1" applyBorder="1" applyAlignment="1">
      <alignment horizontal="right"/>
    </xf>
    <xf numFmtId="0" fontId="5" fillId="0" borderId="0" xfId="422" quotePrefix="1" applyFont="1" applyFill="1" applyAlignment="1" applyProtection="1">
      <alignment horizontal="left"/>
    </xf>
    <xf numFmtId="0" fontId="5" fillId="0" borderId="0" xfId="422" applyFont="1" applyFill="1" applyBorder="1" applyAlignment="1">
      <alignment horizontal="center"/>
    </xf>
    <xf numFmtId="0" fontId="5" fillId="0" borderId="0" xfId="422" applyFont="1" applyFill="1" applyAlignment="1" applyProtection="1">
      <alignment horizontal="center"/>
    </xf>
    <xf numFmtId="37" fontId="5" fillId="0" borderId="0" xfId="422" quotePrefix="1" applyNumberFormat="1" applyFont="1" applyFill="1" applyAlignment="1" applyProtection="1">
      <alignment horizontal="center"/>
    </xf>
    <xf numFmtId="0" fontId="5" fillId="0" borderId="0" xfId="422" quotePrefix="1" applyFont="1" applyFill="1" applyAlignment="1" applyProtection="1">
      <alignment horizontal="center"/>
    </xf>
    <xf numFmtId="37" fontId="5" fillId="0" borderId="0" xfId="422" applyNumberFormat="1" applyFont="1" applyFill="1" applyAlignment="1" applyProtection="1">
      <alignment horizontal="center"/>
    </xf>
    <xf numFmtId="0" fontId="70" fillId="0" borderId="0" xfId="422" quotePrefix="1" applyFont="1" applyFill="1" applyAlignment="1" applyProtection="1">
      <alignment horizontal="left"/>
    </xf>
    <xf numFmtId="0" fontId="8" fillId="0" borderId="44" xfId="422" applyFont="1" applyFill="1" applyBorder="1" applyAlignment="1" applyProtection="1">
      <alignment horizontal="center"/>
    </xf>
    <xf numFmtId="0" fontId="8" fillId="0" borderId="0" xfId="422" applyFont="1" applyFill="1" applyAlignment="1" applyProtection="1">
      <alignment horizontal="center"/>
    </xf>
    <xf numFmtId="0" fontId="8" fillId="0" borderId="0" xfId="422" applyFont="1" applyFill="1" applyBorder="1" applyAlignment="1" applyProtection="1">
      <alignment horizontal="center"/>
    </xf>
    <xf numFmtId="37" fontId="8" fillId="0" borderId="44" xfId="422" applyNumberFormat="1" applyFont="1" applyFill="1" applyBorder="1" applyAlignment="1" applyProtection="1">
      <alignment horizontal="center"/>
    </xf>
    <xf numFmtId="0" fontId="8" fillId="0" borderId="0" xfId="422" applyFont="1" applyFill="1" applyProtection="1"/>
    <xf numFmtId="37" fontId="8" fillId="0" borderId="0" xfId="422" applyNumberFormat="1" applyFont="1" applyFill="1" applyAlignment="1" applyProtection="1">
      <alignment horizontal="center"/>
    </xf>
    <xf numFmtId="0" fontId="8" fillId="0" borderId="0" xfId="422" applyFont="1" applyFill="1" applyAlignment="1" applyProtection="1">
      <alignment horizontal="centerContinuous"/>
    </xf>
    <xf numFmtId="37" fontId="8" fillId="0" borderId="0" xfId="422" applyNumberFormat="1" applyFont="1" applyFill="1" applyAlignment="1" applyProtection="1">
      <alignment horizontal="centerContinuous"/>
    </xf>
    <xf numFmtId="0" fontId="8" fillId="0" borderId="0" xfId="422" quotePrefix="1" applyFont="1" applyFill="1" applyAlignment="1" applyProtection="1">
      <alignment horizontal="centerContinuous"/>
    </xf>
    <xf numFmtId="44" fontId="5" fillId="0" borderId="0" xfId="422" applyNumberFormat="1" applyFont="1" applyFill="1" applyBorder="1"/>
    <xf numFmtId="166" fontId="5" fillId="0" borderId="0" xfId="422" applyNumberFormat="1" applyFont="1" applyFill="1" applyBorder="1"/>
    <xf numFmtId="3" fontId="5" fillId="0" borderId="0" xfId="422" quotePrefix="1" applyNumberFormat="1" applyFont="1" applyFill="1" applyBorder="1" applyAlignment="1">
      <alignment horizontal="left"/>
    </xf>
    <xf numFmtId="168" fontId="5" fillId="0" borderId="0" xfId="422" applyNumberFormat="1" applyFont="1" applyFill="1" applyBorder="1"/>
    <xf numFmtId="10" fontId="5" fillId="0" borderId="0" xfId="422" applyNumberFormat="1" applyFont="1" applyFill="1"/>
    <xf numFmtId="5" fontId="5" fillId="0" borderId="0" xfId="422" applyNumberFormat="1" applyFont="1" applyFill="1" applyBorder="1"/>
    <xf numFmtId="10" fontId="5" fillId="0" borderId="0" xfId="422" applyNumberFormat="1" applyFont="1" applyFill="1" applyBorder="1"/>
    <xf numFmtId="182" fontId="5" fillId="0" borderId="0" xfId="422" applyNumberFormat="1" applyFont="1" applyFill="1" applyProtection="1"/>
    <xf numFmtId="5" fontId="5" fillId="0" borderId="0" xfId="422" quotePrefix="1" applyNumberFormat="1" applyFont="1" applyFill="1" applyAlignment="1">
      <alignment horizontal="left"/>
    </xf>
    <xf numFmtId="5" fontId="5" fillId="0" borderId="46" xfId="422" applyNumberFormat="1" applyFont="1" applyFill="1" applyBorder="1" applyProtection="1"/>
    <xf numFmtId="167" fontId="5" fillId="0" borderId="0" xfId="422" applyNumberFormat="1" applyFont="1" applyFill="1" applyProtection="1">
      <protection locked="0"/>
    </xf>
    <xf numFmtId="5" fontId="5" fillId="0" borderId="3" xfId="422" applyNumberFormat="1" applyFont="1" applyFill="1" applyBorder="1" applyProtection="1"/>
    <xf numFmtId="37" fontId="5" fillId="0" borderId="3" xfId="422" applyNumberFormat="1" applyFont="1" applyFill="1" applyBorder="1" applyProtection="1"/>
    <xf numFmtId="10" fontId="5" fillId="0" borderId="0" xfId="422" quotePrefix="1" applyNumberFormat="1" applyFont="1" applyFill="1" applyAlignment="1">
      <alignment horizontal="left"/>
    </xf>
    <xf numFmtId="0" fontId="5" fillId="0" borderId="0" xfId="422" quotePrefix="1" applyFont="1" applyFill="1" applyAlignment="1">
      <alignment wrapText="1"/>
    </xf>
    <xf numFmtId="169" fontId="5" fillId="0" borderId="0" xfId="422" applyNumberFormat="1" applyFont="1" applyFill="1" applyProtection="1">
      <protection locked="0"/>
    </xf>
    <xf numFmtId="7" fontId="5" fillId="0" borderId="0" xfId="422" applyNumberFormat="1" applyFont="1" applyFill="1" applyProtection="1"/>
    <xf numFmtId="0" fontId="5" fillId="0" borderId="0" xfId="422" quotePrefix="1" applyFont="1" applyFill="1" applyBorder="1" applyAlignment="1">
      <alignment horizontal="left"/>
    </xf>
    <xf numFmtId="167" fontId="5" fillId="0" borderId="47" xfId="422" applyNumberFormat="1" applyFont="1" applyFill="1" applyBorder="1"/>
    <xf numFmtId="0" fontId="5" fillId="0" borderId="45" xfId="422" applyFont="1" applyFill="1" applyBorder="1" applyProtection="1"/>
    <xf numFmtId="0" fontId="5" fillId="0" borderId="45" xfId="422" applyFont="1" applyFill="1" applyBorder="1"/>
    <xf numFmtId="10" fontId="5" fillId="0" borderId="45" xfId="422" applyNumberFormat="1" applyFont="1" applyFill="1" applyBorder="1"/>
    <xf numFmtId="5" fontId="5" fillId="0" borderId="45" xfId="422" applyNumberFormat="1" applyFont="1" applyFill="1" applyBorder="1" applyProtection="1"/>
    <xf numFmtId="0" fontId="5" fillId="0" borderId="48" xfId="422" quotePrefix="1" applyFont="1" applyFill="1" applyBorder="1" applyAlignment="1">
      <alignment horizontal="left"/>
    </xf>
    <xf numFmtId="168" fontId="5" fillId="0" borderId="49" xfId="422" applyNumberFormat="1" applyFont="1" applyFill="1" applyBorder="1"/>
    <xf numFmtId="0" fontId="5" fillId="0" borderId="50" xfId="422" quotePrefix="1" applyFont="1" applyFill="1" applyBorder="1" applyAlignment="1">
      <alignment horizontal="left"/>
    </xf>
    <xf numFmtId="44" fontId="5" fillId="0" borderId="49" xfId="422" applyNumberFormat="1" applyFont="1" applyFill="1" applyBorder="1"/>
    <xf numFmtId="10" fontId="5" fillId="56" borderId="0" xfId="422" applyNumberFormat="1" applyFont="1" applyFill="1" applyBorder="1"/>
    <xf numFmtId="0" fontId="5" fillId="0" borderId="49" xfId="422" applyFont="1" applyFill="1" applyBorder="1"/>
    <xf numFmtId="0" fontId="5" fillId="0" borderId="51" xfId="422" applyFont="1" applyFill="1" applyBorder="1" applyAlignment="1">
      <alignment horizontal="center"/>
    </xf>
    <xf numFmtId="0" fontId="5" fillId="0" borderId="3" xfId="422" applyFont="1" applyFill="1" applyBorder="1" applyAlignment="1">
      <alignment horizontal="center"/>
    </xf>
    <xf numFmtId="0" fontId="5" fillId="0" borderId="19" xfId="422" applyFont="1" applyFill="1" applyBorder="1" applyAlignment="1">
      <alignment horizontal="center"/>
    </xf>
    <xf numFmtId="168" fontId="5" fillId="0" borderId="52" xfId="422" applyNumberFormat="1" applyFont="1" applyFill="1" applyBorder="1"/>
    <xf numFmtId="0" fontId="5" fillId="0" borderId="32" xfId="422" applyFont="1" applyFill="1" applyBorder="1"/>
    <xf numFmtId="168" fontId="5" fillId="0" borderId="32" xfId="422" applyNumberFormat="1" applyFont="1" applyFill="1" applyBorder="1"/>
    <xf numFmtId="44" fontId="5" fillId="0" borderId="32" xfId="422" applyNumberFormat="1" applyFont="1" applyFill="1" applyBorder="1"/>
    <xf numFmtId="10" fontId="5" fillId="0" borderId="49" xfId="422" applyNumberFormat="1" applyFont="1" applyFill="1" applyBorder="1"/>
    <xf numFmtId="5" fontId="5" fillId="0" borderId="49" xfId="422" applyNumberFormat="1" applyFont="1" applyFill="1" applyBorder="1"/>
    <xf numFmtId="0" fontId="5" fillId="0" borderId="50" xfId="422" applyFont="1" applyFill="1" applyBorder="1"/>
    <xf numFmtId="5" fontId="5" fillId="0" borderId="53" xfId="422" applyNumberFormat="1" applyFont="1" applyFill="1" applyBorder="1"/>
    <xf numFmtId="0" fontId="5" fillId="0" borderId="14" xfId="422" applyFont="1" applyFill="1" applyBorder="1"/>
    <xf numFmtId="44" fontId="5" fillId="0" borderId="14" xfId="422" applyNumberFormat="1" applyFont="1" applyFill="1" applyBorder="1"/>
    <xf numFmtId="0" fontId="5" fillId="0" borderId="54" xfId="422" quotePrefix="1" applyFont="1" applyFill="1" applyBorder="1" applyAlignment="1">
      <alignment horizontal="left"/>
    </xf>
    <xf numFmtId="3" fontId="5" fillId="0" borderId="0" xfId="422" applyNumberFormat="1" applyFont="1" applyFill="1"/>
    <xf numFmtId="166" fontId="5" fillId="0" borderId="0" xfId="422" applyNumberFormat="1" applyFont="1" applyFill="1"/>
    <xf numFmtId="0" fontId="5" fillId="0" borderId="0" xfId="422" quotePrefix="1" applyFont="1" applyFill="1" applyAlignment="1">
      <alignment horizontal="left" wrapText="1"/>
    </xf>
    <xf numFmtId="0" fontId="5" fillId="0" borderId="52" xfId="422" applyFont="1" applyFill="1" applyBorder="1"/>
    <xf numFmtId="166" fontId="5" fillId="0" borderId="32" xfId="422" applyNumberFormat="1" applyFont="1" applyFill="1" applyBorder="1"/>
    <xf numFmtId="3" fontId="5" fillId="0" borderId="48" xfId="422" quotePrefix="1" applyNumberFormat="1" applyFont="1" applyFill="1" applyBorder="1" applyAlignment="1">
      <alignment horizontal="left"/>
    </xf>
    <xf numFmtId="3" fontId="5" fillId="0" borderId="50" xfId="422" quotePrefix="1" applyNumberFormat="1" applyFont="1" applyFill="1" applyBorder="1" applyAlignment="1">
      <alignment horizontal="left"/>
    </xf>
    <xf numFmtId="166" fontId="5" fillId="0" borderId="49" xfId="422" applyNumberFormat="1" applyFont="1" applyFill="1" applyBorder="1"/>
    <xf numFmtId="3" fontId="5" fillId="0" borderId="0" xfId="422" applyNumberFormat="1" applyFont="1" applyFill="1" applyBorder="1"/>
    <xf numFmtId="0" fontId="5" fillId="0" borderId="53" xfId="422" applyFont="1" applyFill="1" applyBorder="1"/>
    <xf numFmtId="5" fontId="5" fillId="0" borderId="14" xfId="422" applyNumberFormat="1" applyFont="1" applyFill="1" applyBorder="1" applyProtection="1"/>
    <xf numFmtId="0" fontId="5" fillId="0" borderId="14" xfId="422" applyFont="1" applyFill="1" applyBorder="1" applyProtection="1"/>
    <xf numFmtId="37" fontId="5" fillId="0" borderId="14" xfId="422" applyNumberFormat="1" applyFont="1" applyFill="1" applyBorder="1" applyProtection="1"/>
    <xf numFmtId="3" fontId="8" fillId="0" borderId="3" xfId="422" applyNumberFormat="1" applyFont="1" applyFill="1" applyBorder="1" applyAlignment="1"/>
    <xf numFmtId="3" fontId="5" fillId="0" borderId="19" xfId="422" quotePrefix="1" applyNumberFormat="1" applyFont="1" applyFill="1" applyBorder="1" applyAlignment="1">
      <alignment horizontal="left"/>
    </xf>
    <xf numFmtId="182" fontId="5" fillId="0" borderId="0" xfId="422" applyNumberFormat="1" applyFont="1" applyFill="1" applyBorder="1" applyProtection="1"/>
    <xf numFmtId="166" fontId="5" fillId="0" borderId="53" xfId="422" applyNumberFormat="1" applyFont="1" applyFill="1" applyBorder="1"/>
    <xf numFmtId="182" fontId="5" fillId="0" borderId="14" xfId="422" applyNumberFormat="1" applyFont="1" applyFill="1" applyBorder="1" applyProtection="1"/>
    <xf numFmtId="0" fontId="5" fillId="0" borderId="54" xfId="422" applyFont="1" applyFill="1" applyBorder="1"/>
    <xf numFmtId="10" fontId="5" fillId="0" borderId="52" xfId="422" applyNumberFormat="1" applyFont="1" applyFill="1" applyBorder="1"/>
    <xf numFmtId="0" fontId="5" fillId="0" borderId="32" xfId="422" applyFont="1" applyFill="1" applyBorder="1" applyProtection="1"/>
    <xf numFmtId="37" fontId="5" fillId="0" borderId="32" xfId="422" applyNumberFormat="1" applyFont="1" applyFill="1" applyBorder="1" applyProtection="1"/>
    <xf numFmtId="5" fontId="5" fillId="0" borderId="32" xfId="422" applyNumberFormat="1" applyFont="1" applyFill="1" applyBorder="1" applyProtection="1"/>
    <xf numFmtId="182" fontId="5" fillId="0" borderId="32" xfId="422" applyNumberFormat="1" applyFont="1" applyFill="1" applyBorder="1" applyProtection="1"/>
    <xf numFmtId="0" fontId="5" fillId="0" borderId="48" xfId="422" applyFont="1" applyFill="1" applyBorder="1" applyProtection="1"/>
    <xf numFmtId="0" fontId="5" fillId="0" borderId="0" xfId="422" quotePrefix="1" applyFont="1" applyFill="1" applyAlignment="1">
      <alignment horizontal="right"/>
    </xf>
    <xf numFmtId="183" fontId="5" fillId="0" borderId="0" xfId="422" applyNumberFormat="1" applyFont="1" applyFill="1" applyBorder="1"/>
    <xf numFmtId="168" fontId="5" fillId="0" borderId="25" xfId="422" applyNumberFormat="1" applyFont="1" applyFill="1" applyBorder="1"/>
    <xf numFmtId="0" fontId="5" fillId="0" borderId="11" xfId="422" applyFont="1" applyFill="1" applyBorder="1" applyProtection="1"/>
    <xf numFmtId="168" fontId="5" fillId="0" borderId="11" xfId="422" applyNumberFormat="1" applyFont="1" applyFill="1" applyBorder="1" applyProtection="1"/>
    <xf numFmtId="37" fontId="5" fillId="0" borderId="11" xfId="422" applyNumberFormat="1" applyFont="1" applyFill="1" applyBorder="1" applyProtection="1"/>
    <xf numFmtId="5" fontId="5" fillId="0" borderId="22" xfId="422" applyNumberFormat="1" applyFont="1" applyFill="1" applyBorder="1"/>
    <xf numFmtId="168" fontId="5" fillId="0" borderId="0" xfId="422" applyNumberFormat="1" applyFont="1" applyFill="1" applyBorder="1" applyProtection="1"/>
    <xf numFmtId="0" fontId="5" fillId="0" borderId="23" xfId="422" applyFont="1" applyFill="1" applyBorder="1" applyProtection="1"/>
    <xf numFmtId="5" fontId="5" fillId="0" borderId="21" xfId="422" applyNumberFormat="1" applyFont="1" applyFill="1" applyBorder="1"/>
    <xf numFmtId="0" fontId="5" fillId="0" borderId="20" xfId="422" applyFont="1" applyFill="1" applyBorder="1" applyProtection="1"/>
    <xf numFmtId="168" fontId="5" fillId="0" borderId="20" xfId="422" applyNumberFormat="1" applyFont="1" applyFill="1" applyBorder="1" applyProtection="1"/>
    <xf numFmtId="37" fontId="5" fillId="0" borderId="20" xfId="422" applyNumberFormat="1" applyFont="1" applyFill="1" applyBorder="1" applyProtection="1"/>
    <xf numFmtId="168" fontId="5" fillId="0" borderId="0" xfId="422" applyNumberFormat="1" applyFont="1" applyFill="1" applyProtection="1"/>
    <xf numFmtId="37" fontId="5" fillId="0" borderId="0" xfId="422" applyNumberFormat="1" applyFont="1" applyFill="1"/>
    <xf numFmtId="0" fontId="5" fillId="0" borderId="0" xfId="422" applyFont="1" applyFill="1" applyProtection="1">
      <protection locked="0"/>
    </xf>
    <xf numFmtId="184" fontId="5" fillId="0" borderId="0" xfId="422" applyNumberFormat="1" applyFont="1" applyFill="1" applyProtection="1"/>
    <xf numFmtId="0" fontId="8" fillId="0" borderId="55" xfId="422" applyFont="1" applyFill="1" applyBorder="1" applyAlignment="1" applyProtection="1">
      <alignment horizontal="center"/>
    </xf>
    <xf numFmtId="37" fontId="8" fillId="0" borderId="55" xfId="422" applyNumberFormat="1" applyFont="1" applyFill="1" applyBorder="1" applyAlignment="1" applyProtection="1">
      <alignment horizontal="center"/>
    </xf>
    <xf numFmtId="0" fontId="8" fillId="0" borderId="51" xfId="422" applyFont="1" applyFill="1" applyBorder="1" applyAlignment="1" applyProtection="1">
      <alignment horizontal="center"/>
    </xf>
    <xf numFmtId="0" fontId="8" fillId="0" borderId="3" xfId="422" applyFont="1" applyFill="1" applyBorder="1" applyAlignment="1" applyProtection="1">
      <alignment horizontal="center"/>
    </xf>
    <xf numFmtId="0" fontId="8" fillId="0" borderId="19" xfId="422" quotePrefix="1" applyFont="1" applyFill="1" applyBorder="1" applyAlignment="1" applyProtection="1">
      <alignment horizontal="center"/>
    </xf>
    <xf numFmtId="0" fontId="8" fillId="0" borderId="19" xfId="422" applyFont="1" applyFill="1" applyBorder="1" applyAlignment="1" applyProtection="1">
      <alignment horizontal="center"/>
    </xf>
    <xf numFmtId="0" fontId="8" fillId="0" borderId="0" xfId="422" quotePrefix="1" applyFont="1" applyFill="1" applyAlignment="1" applyProtection="1">
      <alignment horizontal="center"/>
    </xf>
    <xf numFmtId="0" fontId="8" fillId="50" borderId="26" xfId="0" quotePrefix="1" applyFont="1" applyFill="1" applyBorder="1" applyAlignment="1">
      <alignment horizontal="center"/>
    </xf>
    <xf numFmtId="0" fontId="8" fillId="50" borderId="2" xfId="0" applyFont="1" applyFill="1" applyBorder="1" applyAlignment="1">
      <alignment horizontal="center"/>
    </xf>
    <xf numFmtId="0" fontId="8" fillId="50" borderId="27" xfId="0" applyFont="1" applyFill="1" applyBorder="1" applyAlignment="1">
      <alignment horizontal="center"/>
    </xf>
    <xf numFmtId="0" fontId="5" fillId="50" borderId="26" xfId="0" quotePrefix="1" applyFont="1" applyFill="1" applyBorder="1" applyAlignment="1">
      <alignment horizontal="center"/>
    </xf>
    <xf numFmtId="0" fontId="5" fillId="50" borderId="2" xfId="0" applyFont="1" applyFill="1" applyBorder="1" applyAlignment="1">
      <alignment horizontal="center"/>
    </xf>
    <xf numFmtId="0" fontId="5" fillId="50" borderId="27" xfId="0" applyFont="1" applyFill="1" applyBorder="1" applyAlignment="1">
      <alignment horizontal="center"/>
    </xf>
    <xf numFmtId="0" fontId="5" fillId="50" borderId="26" xfId="0" applyFont="1" applyFill="1" applyBorder="1" applyAlignment="1">
      <alignment horizontal="center"/>
    </xf>
    <xf numFmtId="0" fontId="8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6" fillId="0" borderId="23" xfId="0" applyFont="1" applyFill="1" applyBorder="1" applyAlignment="1">
      <alignment horizontal="center" wrapText="1"/>
    </xf>
    <xf numFmtId="0" fontId="8" fillId="0" borderId="32" xfId="420" quotePrefix="1" applyFont="1" applyFill="1" applyBorder="1" applyAlignment="1">
      <alignment horizontal="center"/>
    </xf>
    <xf numFmtId="0" fontId="8" fillId="0" borderId="0" xfId="420" applyFont="1" applyFill="1" applyAlignment="1">
      <alignment horizontal="center"/>
    </xf>
    <xf numFmtId="0" fontId="8" fillId="0" borderId="0" xfId="422" applyFont="1" applyFill="1" applyAlignment="1">
      <alignment horizontal="center"/>
    </xf>
    <xf numFmtId="0" fontId="8" fillId="0" borderId="0" xfId="422" applyFont="1" applyFill="1" applyBorder="1" applyAlignment="1" applyProtection="1">
      <alignment horizontal="center"/>
    </xf>
    <xf numFmtId="0" fontId="8" fillId="0" borderId="45" xfId="422" applyFont="1" applyFill="1" applyBorder="1" applyAlignment="1" applyProtection="1">
      <alignment horizontal="center"/>
    </xf>
    <xf numFmtId="0" fontId="8" fillId="0" borderId="0" xfId="422" quotePrefix="1" applyFont="1" applyFill="1" applyBorder="1" applyAlignment="1" applyProtection="1">
      <alignment horizontal="center" wrapText="1"/>
    </xf>
    <xf numFmtId="0" fontId="8" fillId="0" borderId="45" xfId="422" quotePrefix="1" applyFont="1" applyFill="1" applyBorder="1" applyAlignment="1" applyProtection="1">
      <alignment horizontal="center" wrapText="1"/>
    </xf>
    <xf numFmtId="0" fontId="8" fillId="0" borderId="0" xfId="422" quotePrefix="1" applyNumberFormat="1" applyFont="1" applyFill="1" applyAlignment="1">
      <alignment horizontal="center"/>
    </xf>
    <xf numFmtId="0" fontId="8" fillId="0" borderId="0" xfId="422" quotePrefix="1" applyFont="1" applyFill="1" applyAlignment="1" applyProtection="1">
      <alignment horizontal="center"/>
    </xf>
    <xf numFmtId="0" fontId="8" fillId="0" borderId="0" xfId="422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188" fontId="5" fillId="0" borderId="0" xfId="186" applyNumberFormat="1" applyFont="1" applyBorder="1"/>
    <xf numFmtId="188" fontId="5" fillId="47" borderId="31" xfId="186" applyNumberFormat="1" applyFont="1" applyFill="1" applyBorder="1" applyAlignment="1">
      <alignment horizontal="center" wrapText="1"/>
    </xf>
    <xf numFmtId="188" fontId="5" fillId="47" borderId="0" xfId="186" applyNumberFormat="1" applyFont="1" applyFill="1" applyBorder="1"/>
    <xf numFmtId="188" fontId="5" fillId="47" borderId="11" xfId="186" applyNumberFormat="1" applyFont="1" applyFill="1" applyBorder="1"/>
    <xf numFmtId="188" fontId="5" fillId="0" borderId="0" xfId="186" applyNumberFormat="1" applyFont="1"/>
    <xf numFmtId="188" fontId="4" fillId="0" borderId="0" xfId="186" applyNumberFormat="1" applyFont="1"/>
    <xf numFmtId="168" fontId="0" fillId="57" borderId="29" xfId="216" applyNumberFormat="1" applyFont="1" applyFill="1" applyBorder="1"/>
  </cellXfs>
  <cellStyles count="423">
    <cellStyle name="_x0013_" xfId="1"/>
    <cellStyle name="_4.06E Pass Throughs" xfId="2"/>
    <cellStyle name="_4.06E Pass Throughs_04 07E Wild Horse Wind Expansion (C) (2)" xfId="3"/>
    <cellStyle name="_4.06E Pass Throughs_04 07E Wild Horse Wind Expansion (C) (2)_Electric Rev Req Model (2009 GRC) " xfId="4"/>
    <cellStyle name="_4.06E Pass Throughs_Production Adj 4.37" xfId="5"/>
    <cellStyle name="_4.06E Pass Throughs_Purchased Power Adj 4.03" xfId="6"/>
    <cellStyle name="_4.06E Pass Throughs_ROR 5.02" xfId="7"/>
    <cellStyle name="_4.13E Montana Energy Tax" xfId="8"/>
    <cellStyle name="_4.13E Montana Energy Tax_04 07E Wild Horse Wind Expansion (C) (2)" xfId="9"/>
    <cellStyle name="_4.13E Montana Energy Tax_04 07E Wild Horse Wind Expansion (C) (2)_Electric Rev Req Model (2009 GRC) " xfId="10"/>
    <cellStyle name="_4.13E Montana Energy Tax_Production Adj 4.37" xfId="11"/>
    <cellStyle name="_4.13E Montana Energy Tax_Purchased Power Adj 4.03" xfId="12"/>
    <cellStyle name="_4.13E Montana Energy Tax_ROR 5.02" xfId="13"/>
    <cellStyle name="_Book1" xfId="14"/>
    <cellStyle name="_Book1 (2)" xfId="15"/>
    <cellStyle name="_Book1 (2)_04 07E Wild Horse Wind Expansion (C) (2)" xfId="16"/>
    <cellStyle name="_Book1 (2)_04 07E Wild Horse Wind Expansion (C) (2)_Electric Rev Req Model (2009 GRC) " xfId="17"/>
    <cellStyle name="_Book1 (2)_Production Adj 4.37" xfId="18"/>
    <cellStyle name="_Book1 (2)_Purchased Power Adj 4.03" xfId="19"/>
    <cellStyle name="_Book1 (2)_ROR 5.02" xfId="20"/>
    <cellStyle name="_Book1_Production Adj 4.37" xfId="21"/>
    <cellStyle name="_Book1_Purchased Power Adj 4.03" xfId="22"/>
    <cellStyle name="_Book1_ROR 5.02" xfId="23"/>
    <cellStyle name="_Book2" xfId="24"/>
    <cellStyle name="_Book2_04 07E Wild Horse Wind Expansion (C) (2)" xfId="25"/>
    <cellStyle name="_Book2_04 07E Wild Horse Wind Expansion (C) (2)_Electric Rev Req Model (2009 GRC) " xfId="26"/>
    <cellStyle name="_Book2_Production Adj 4.37" xfId="27"/>
    <cellStyle name="_Book2_Purchased Power Adj 4.03" xfId="28"/>
    <cellStyle name="_Book2_ROR 5.02" xfId="29"/>
    <cellStyle name="_Chelan Debt Forecast 12.19.05" xfId="30"/>
    <cellStyle name="_Chelan Debt Forecast 12.19.05_Production Adj 4.37" xfId="31"/>
    <cellStyle name="_Chelan Debt Forecast 12.19.05_Purchased Power Adj 4.03" xfId="32"/>
    <cellStyle name="_Chelan Debt Forecast 12.19.05_ROR 5.02" xfId="33"/>
    <cellStyle name="_Costs not in AURORA 06GRC" xfId="34"/>
    <cellStyle name="_Costs not in AURORA 06GRC_04 07E Wild Horse Wind Expansion (C) (2)" xfId="35"/>
    <cellStyle name="_Costs not in AURORA 06GRC_04 07E Wild Horse Wind Expansion (C) (2)_Electric Rev Req Model (2009 GRC) " xfId="36"/>
    <cellStyle name="_Costs not in AURORA 06GRC_Production Adj 4.37" xfId="37"/>
    <cellStyle name="_Costs not in AURORA 06GRC_Purchased Power Adj 4.03" xfId="38"/>
    <cellStyle name="_Costs not in AURORA 06GRC_ROR 5.02" xfId="39"/>
    <cellStyle name="_Costs not in AURORA 2006GRC 6.15.06" xfId="40"/>
    <cellStyle name="_Costs not in AURORA 2006GRC 6.15.06_04 07E Wild Horse Wind Expansion (C) (2)" xfId="41"/>
    <cellStyle name="_Costs not in AURORA 2006GRC 6.15.06_04 07E Wild Horse Wind Expansion (C) (2)_Electric Rev Req Model (2009 GRC) " xfId="42"/>
    <cellStyle name="_Costs not in AURORA 2006GRC 6.15.06_Production Adj 4.37" xfId="43"/>
    <cellStyle name="_Costs not in AURORA 2006GRC 6.15.06_Purchased Power Adj 4.03" xfId="44"/>
    <cellStyle name="_Costs not in AURORA 2006GRC 6.15.06_ROR 5.02" xfId="45"/>
    <cellStyle name="_Costs not in AURORA 2006GRC w gas price updated" xfId="46"/>
    <cellStyle name="_Costs not in AURORA 2006GRC w gas price updated_Electric Rev Req Model (2009 GRC) " xfId="47"/>
    <cellStyle name="_Costs not in AURORA 2007 Rate Case" xfId="48"/>
    <cellStyle name="_Costs not in AURORA 2007 Rate Case_Production Adj 4.37" xfId="49"/>
    <cellStyle name="_Costs not in AURORA 2007 Rate Case_Purchased Power Adj 4.03" xfId="50"/>
    <cellStyle name="_Costs not in AURORA 2007 Rate Case_ROR 5.02" xfId="51"/>
    <cellStyle name="_Costs not in KWI3000 '06Budget" xfId="52"/>
    <cellStyle name="_Costs not in KWI3000 '06Budget_Production Adj 4.37" xfId="53"/>
    <cellStyle name="_Costs not in KWI3000 '06Budget_Purchased Power Adj 4.03" xfId="54"/>
    <cellStyle name="_Costs not in KWI3000 '06Budget_ROR 5.02" xfId="55"/>
    <cellStyle name="_DEM-WP (C) Power Cost 2006GRC Order" xfId="56"/>
    <cellStyle name="_DEM-WP (C) Power Cost 2006GRC Order_04 07E Wild Horse Wind Expansion (C) (2)" xfId="57"/>
    <cellStyle name="_DEM-WP (C) Power Cost 2006GRC Order_04 07E Wild Horse Wind Expansion (C) (2)_Electric Rev Req Model (2009 GRC) " xfId="58"/>
    <cellStyle name="_DEM-WP (C) Power Cost 2006GRC Order_Production Adj 4.37" xfId="59"/>
    <cellStyle name="_DEM-WP (C) Power Cost 2006GRC Order_Purchased Power Adj 4.03" xfId="60"/>
    <cellStyle name="_DEM-WP (C) Power Cost 2006GRC Order_ROR 5.02" xfId="61"/>
    <cellStyle name="_DEM-WP Revised (HC) Wild Horse 2006GRC" xfId="62"/>
    <cellStyle name="_DEM-WP Revised (HC) Wild Horse 2006GRC_Electric Rev Req Model (2009 GRC) " xfId="63"/>
    <cellStyle name="_DEM-WP(C) Costs not in AURORA 2006GRC" xfId="64"/>
    <cellStyle name="_DEM-WP(C) Costs not in AURORA 2006GRC_Production Adj 4.37" xfId="65"/>
    <cellStyle name="_DEM-WP(C) Costs not in AURORA 2006GRC_Purchased Power Adj 4.03" xfId="66"/>
    <cellStyle name="_DEM-WP(C) Costs not in AURORA 2006GRC_ROR 5.02" xfId="67"/>
    <cellStyle name="_DEM-WP(C) Costs not in AURORA 2007GRC" xfId="68"/>
    <cellStyle name="_DEM-WP(C) Costs not in AURORA 2007GRC_Electric Rev Req Model (2009 GRC) " xfId="69"/>
    <cellStyle name="_DEM-WP(C) Costs not in AURORA 2007PCORC-5.07Update" xfId="70"/>
    <cellStyle name="_DEM-WP(C) Costs not in AURORA 2007PCORC-5.07Update_Electric Rev Req Model (2009 GRC) " xfId="71"/>
    <cellStyle name="_DEM-WP(C) Sumas Proforma 11.5.07" xfId="72"/>
    <cellStyle name="_DEM-WP(C) Westside Hydro Data_051007" xfId="73"/>
    <cellStyle name="_DEM-WP(C) Westside Hydro Data_051007_Electric Rev Req Model (2009 GRC) " xfId="74"/>
    <cellStyle name="_x0013__Electric Rev Req Model (2009 GRC) " xfId="75"/>
    <cellStyle name="_Fuel Prices 4-14" xfId="76"/>
    <cellStyle name="_Fuel Prices 4-14_04 07E Wild Horse Wind Expansion (C) (2)" xfId="77"/>
    <cellStyle name="_Fuel Prices 4-14_04 07E Wild Horse Wind Expansion (C) (2)_Electric Rev Req Model (2009 GRC) " xfId="78"/>
    <cellStyle name="_Fuel Prices 4-14_Production Adj 4.37" xfId="79"/>
    <cellStyle name="_Fuel Prices 4-14_Purchased Power Adj 4.03" xfId="80"/>
    <cellStyle name="_Fuel Prices 4-14_ROR 5.02" xfId="81"/>
    <cellStyle name="_Fuel Prices 4-14_Sch 40 Interim Energy Rates " xfId="82"/>
    <cellStyle name="_NIM 06 Base Case Current Trends" xfId="83"/>
    <cellStyle name="_NIM 06 Base Case Current Trends_Electric Rev Req Model (2009 GRC) " xfId="84"/>
    <cellStyle name="_Portfolio SPlan Base Case.xls Chart 1" xfId="85"/>
    <cellStyle name="_Portfolio SPlan Base Case.xls Chart 1_Electric Rev Req Model (2009 GRC) " xfId="86"/>
    <cellStyle name="_Portfolio SPlan Base Case.xls Chart 2" xfId="87"/>
    <cellStyle name="_Portfolio SPlan Base Case.xls Chart 2_Electric Rev Req Model (2009 GRC) " xfId="88"/>
    <cellStyle name="_Portfolio SPlan Base Case.xls Chart 3" xfId="89"/>
    <cellStyle name="_Portfolio SPlan Base Case.xls Chart 3_Electric Rev Req Model (2009 GRC) " xfId="90"/>
    <cellStyle name="_Power Cost Value Copy 11.30.05 gas 1.09.06 AURORA at 1.10.06" xfId="91"/>
    <cellStyle name="_Power Cost Value Copy 11.30.05 gas 1.09.06 AURORA at 1.10.06_04 07E Wild Horse Wind Expansion (C) (2)" xfId="92"/>
    <cellStyle name="_Power Cost Value Copy 11.30.05 gas 1.09.06 AURORA at 1.10.06_04 07E Wild Horse Wind Expansion (C) (2)_Electric Rev Req Model (2009 GRC) " xfId="93"/>
    <cellStyle name="_Power Cost Value Copy 11.30.05 gas 1.09.06 AURORA at 1.10.06_Production Adj 4.37" xfId="94"/>
    <cellStyle name="_Power Cost Value Copy 11.30.05 gas 1.09.06 AURORA at 1.10.06_Purchased Power Adj 4.03" xfId="95"/>
    <cellStyle name="_Power Cost Value Copy 11.30.05 gas 1.09.06 AURORA at 1.10.06_ROR 5.02" xfId="96"/>
    <cellStyle name="_Power Cost Value Copy 11.30.05 gas 1.09.06 AURORA at 1.10.06_Sch 40 Interim Energy Rates " xfId="97"/>
    <cellStyle name="_Recon to Darrin's 5.11.05 proforma" xfId="98"/>
    <cellStyle name="_Recon to Darrin's 5.11.05 proforma_Production Adj 4.37" xfId="99"/>
    <cellStyle name="_Recon to Darrin's 5.11.05 proforma_Purchased Power Adj 4.03" xfId="100"/>
    <cellStyle name="_Recon to Darrin's 5.11.05 proforma_ROR 5.02" xfId="101"/>
    <cellStyle name="_Tenaska Comparison" xfId="102"/>
    <cellStyle name="_Tenaska Comparison_Production Adj 4.37" xfId="103"/>
    <cellStyle name="_Tenaska Comparison_Purchased Power Adj 4.03" xfId="104"/>
    <cellStyle name="_Tenaska Comparison_ROR 5.02" xfId="105"/>
    <cellStyle name="_Value Copy 11 30 05 gas 12 09 05 AURORA at 12 14 05" xfId="106"/>
    <cellStyle name="_Value Copy 11 30 05 gas 12 09 05 AURORA at 12 14 05_04 07E Wild Horse Wind Expansion (C) (2)" xfId="107"/>
    <cellStyle name="_Value Copy 11 30 05 gas 12 09 05 AURORA at 12 14 05_04 07E Wild Horse Wind Expansion (C) (2)_Electric Rev Req Model (2009 GRC) " xfId="108"/>
    <cellStyle name="_Value Copy 11 30 05 gas 12 09 05 AURORA at 12 14 05_Production Adj 4.37" xfId="109"/>
    <cellStyle name="_Value Copy 11 30 05 gas 12 09 05 AURORA at 12 14 05_Purchased Power Adj 4.03" xfId="110"/>
    <cellStyle name="_Value Copy 11 30 05 gas 12 09 05 AURORA at 12 14 05_ROR 5.02" xfId="111"/>
    <cellStyle name="_Value Copy 11 30 05 gas 12 09 05 AURORA at 12 14 05_Sch 40 Interim Energy Rates " xfId="112"/>
    <cellStyle name="_VC 6.15.06 update on 06GRC power costs.xls Chart 1" xfId="113"/>
    <cellStyle name="_VC 6.15.06 update on 06GRC power costs.xls Chart 1_04 07E Wild Horse Wind Expansion (C) (2)" xfId="114"/>
    <cellStyle name="_VC 6.15.06 update on 06GRC power costs.xls Chart 1_04 07E Wild Horse Wind Expansion (C) (2)_Electric Rev Req Model (2009 GRC) " xfId="115"/>
    <cellStyle name="_VC 6.15.06 update on 06GRC power costs.xls Chart 1_Production Adj 4.37" xfId="116"/>
    <cellStyle name="_VC 6.15.06 update on 06GRC power costs.xls Chart 1_Purchased Power Adj 4.03" xfId="117"/>
    <cellStyle name="_VC 6.15.06 update on 06GRC power costs.xls Chart 1_ROR 5.02" xfId="118"/>
    <cellStyle name="_VC 6.15.06 update on 06GRC power costs.xls Chart 2" xfId="119"/>
    <cellStyle name="_VC 6.15.06 update on 06GRC power costs.xls Chart 2_04 07E Wild Horse Wind Expansion (C) (2)" xfId="120"/>
    <cellStyle name="_VC 6.15.06 update on 06GRC power costs.xls Chart 2_04 07E Wild Horse Wind Expansion (C) (2)_Electric Rev Req Model (2009 GRC) " xfId="121"/>
    <cellStyle name="_VC 6.15.06 update on 06GRC power costs.xls Chart 2_Production Adj 4.37" xfId="122"/>
    <cellStyle name="_VC 6.15.06 update on 06GRC power costs.xls Chart 2_Purchased Power Adj 4.03" xfId="123"/>
    <cellStyle name="_VC 6.15.06 update on 06GRC power costs.xls Chart 2_ROR 5.02" xfId="124"/>
    <cellStyle name="_VC 6.15.06 update on 06GRC power costs.xls Chart 3" xfId="125"/>
    <cellStyle name="_VC 6.15.06 update on 06GRC power costs.xls Chart 3_04 07E Wild Horse Wind Expansion (C) (2)" xfId="126"/>
    <cellStyle name="_VC 6.15.06 update on 06GRC power costs.xls Chart 3_04 07E Wild Horse Wind Expansion (C) (2)_Electric Rev Req Model (2009 GRC) " xfId="127"/>
    <cellStyle name="_VC 6.15.06 update on 06GRC power costs.xls Chart 3_Production Adj 4.37" xfId="128"/>
    <cellStyle name="_VC 6.15.06 update on 06GRC power costs.xls Chart 3_Purchased Power Adj 4.03" xfId="129"/>
    <cellStyle name="_VC 6.15.06 update on 06GRC power costs.xls Chart 3_ROR 5.02" xfId="130"/>
    <cellStyle name="0,0_x000d__x000a_NA_x000d__x000a_" xfId="131"/>
    <cellStyle name="20% - Accent1 2" xfId="132"/>
    <cellStyle name="20% - Accent1 3" xfId="133"/>
    <cellStyle name="20% - Accent1 4" xfId="134"/>
    <cellStyle name="20% - Accent2 2" xfId="135"/>
    <cellStyle name="20% - Accent2 3" xfId="136"/>
    <cellStyle name="20% - Accent2 4" xfId="137"/>
    <cellStyle name="20% - Accent3 2" xfId="138"/>
    <cellStyle name="20% - Accent3 3" xfId="139"/>
    <cellStyle name="20% - Accent3 4" xfId="140"/>
    <cellStyle name="20% - Accent4 2" xfId="141"/>
    <cellStyle name="20% - Accent4 3" xfId="142"/>
    <cellStyle name="20% - Accent4 4" xfId="143"/>
    <cellStyle name="20% - Accent5 2" xfId="144"/>
    <cellStyle name="20% - Accent5 3" xfId="145"/>
    <cellStyle name="20% - Accent5 4" xfId="146"/>
    <cellStyle name="20% - Accent6 2" xfId="147"/>
    <cellStyle name="20% - Accent6 3" xfId="148"/>
    <cellStyle name="20% - Accent6 4" xfId="149"/>
    <cellStyle name="40% - Accent1 2" xfId="150"/>
    <cellStyle name="40% - Accent1 3" xfId="151"/>
    <cellStyle name="40% - Accent1 4" xfId="152"/>
    <cellStyle name="40% - Accent2 2" xfId="153"/>
    <cellStyle name="40% - Accent2 3" xfId="154"/>
    <cellStyle name="40% - Accent2 4" xfId="155"/>
    <cellStyle name="40% - Accent3 2" xfId="156"/>
    <cellStyle name="40% - Accent3 3" xfId="157"/>
    <cellStyle name="40% - Accent3 4" xfId="158"/>
    <cellStyle name="40% - Accent4 2" xfId="159"/>
    <cellStyle name="40% - Accent4 3" xfId="160"/>
    <cellStyle name="40% - Accent4 4" xfId="161"/>
    <cellStyle name="40% - Accent5 2" xfId="162"/>
    <cellStyle name="40% - Accent5 3" xfId="163"/>
    <cellStyle name="40% - Accent5 4" xfId="164"/>
    <cellStyle name="40% - Accent6 2" xfId="165"/>
    <cellStyle name="40% - Accent6 3" xfId="166"/>
    <cellStyle name="40% - Accent6 4" xfId="167"/>
    <cellStyle name="60% - Accent1 2" xfId="168"/>
    <cellStyle name="60% - Accent2 2" xfId="169"/>
    <cellStyle name="60% - Accent3 2" xfId="170"/>
    <cellStyle name="60% - Accent4 2" xfId="171"/>
    <cellStyle name="60% - Accent5 2" xfId="172"/>
    <cellStyle name="60% - Accent6 2" xfId="173"/>
    <cellStyle name="Accent1 2" xfId="174"/>
    <cellStyle name="Accent2 2" xfId="175"/>
    <cellStyle name="Accent3 2" xfId="176"/>
    <cellStyle name="Accent4 2" xfId="177"/>
    <cellStyle name="Accent5 2" xfId="178"/>
    <cellStyle name="Accent6 2" xfId="179"/>
    <cellStyle name="Bad 2" xfId="180"/>
    <cellStyle name="Calc Currency (0)" xfId="181"/>
    <cellStyle name="Calculation" xfId="182" builtinId="22" customBuiltin="1"/>
    <cellStyle name="Calculation 2" xfId="183"/>
    <cellStyle name="Check Cell 2" xfId="184"/>
    <cellStyle name="CheckCell" xfId="185"/>
    <cellStyle name="Comma" xfId="186" builtinId="3"/>
    <cellStyle name="Comma 10" xfId="187"/>
    <cellStyle name="Comma 11" xfId="188"/>
    <cellStyle name="Comma 12" xfId="189"/>
    <cellStyle name="Comma 2" xfId="190"/>
    <cellStyle name="Comma 2 2" xfId="191"/>
    <cellStyle name="Comma 3" xfId="192"/>
    <cellStyle name="Comma 4" xfId="193"/>
    <cellStyle name="Comma 5" xfId="194"/>
    <cellStyle name="Comma 6" xfId="195"/>
    <cellStyle name="Comma 7" xfId="196"/>
    <cellStyle name="Comma 8" xfId="197"/>
    <cellStyle name="Comma 8 2" xfId="198"/>
    <cellStyle name="Comma 9" xfId="199"/>
    <cellStyle name="Comma0" xfId="200"/>
    <cellStyle name="Comma0 - Style2" xfId="201"/>
    <cellStyle name="Comma0 - Style4" xfId="202"/>
    <cellStyle name="Comma0 - Style5" xfId="203"/>
    <cellStyle name="Comma0 2" xfId="204"/>
    <cellStyle name="Comma0 3" xfId="205"/>
    <cellStyle name="Comma0 4" xfId="206"/>
    <cellStyle name="Comma0_00COS Ind Allocators" xfId="207"/>
    <cellStyle name="Comma1 - Style1" xfId="208"/>
    <cellStyle name="Copied" xfId="209"/>
    <cellStyle name="COST1" xfId="210"/>
    <cellStyle name="Curren - Style1" xfId="211"/>
    <cellStyle name="Curren - Style2" xfId="212"/>
    <cellStyle name="Curren - Style5" xfId="213"/>
    <cellStyle name="Curren - Style6" xfId="214"/>
    <cellStyle name="Currency" xfId="215" builtinId="4"/>
    <cellStyle name="Currency 10" xfId="216"/>
    <cellStyle name="Currency 11" xfId="217"/>
    <cellStyle name="Currency 2" xfId="218"/>
    <cellStyle name="Currency 3" xfId="219"/>
    <cellStyle name="Currency 3 2" xfId="220"/>
    <cellStyle name="Currency 4" xfId="221"/>
    <cellStyle name="Currency 5" xfId="222"/>
    <cellStyle name="Currency 6" xfId="223"/>
    <cellStyle name="Currency 7" xfId="224"/>
    <cellStyle name="Currency 8" xfId="225"/>
    <cellStyle name="Currency 9" xfId="226"/>
    <cellStyle name="Currency0" xfId="227"/>
    <cellStyle name="Date" xfId="228"/>
    <cellStyle name="Date 2" xfId="229"/>
    <cellStyle name="Date 3" xfId="230"/>
    <cellStyle name="Date 4" xfId="231"/>
    <cellStyle name="Entered" xfId="232"/>
    <cellStyle name="Explanatory Text 2" xfId="233"/>
    <cellStyle name="Fixed" xfId="234"/>
    <cellStyle name="Fixed3 - Style3" xfId="235"/>
    <cellStyle name="Good 2" xfId="236"/>
    <cellStyle name="Grey" xfId="237"/>
    <cellStyle name="Grey 2" xfId="238"/>
    <cellStyle name="Grey 3" xfId="239"/>
    <cellStyle name="Grey 4" xfId="240"/>
    <cellStyle name="Grey_ERB" xfId="241"/>
    <cellStyle name="Header1" xfId="242"/>
    <cellStyle name="Header2" xfId="243"/>
    <cellStyle name="Heading 1" xfId="244" builtinId="16" customBuiltin="1"/>
    <cellStyle name="Heading 1 2" xfId="245"/>
    <cellStyle name="Heading 2" xfId="246" builtinId="17" customBuiltin="1"/>
    <cellStyle name="Heading 2 2" xfId="247"/>
    <cellStyle name="Heading1" xfId="248"/>
    <cellStyle name="Heading2" xfId="249"/>
    <cellStyle name="Input [yellow]" xfId="250"/>
    <cellStyle name="Input [yellow] 2" xfId="251"/>
    <cellStyle name="Input [yellow] 3" xfId="252"/>
    <cellStyle name="Input [yellow] 4" xfId="253"/>
    <cellStyle name="Input [yellow]_ERB" xfId="254"/>
    <cellStyle name="Input 2" xfId="255"/>
    <cellStyle name="Input 3" xfId="256"/>
    <cellStyle name="Input 4" xfId="257"/>
    <cellStyle name="Input Cells" xfId="258"/>
    <cellStyle name="Input Cells Percent" xfId="259"/>
    <cellStyle name="Lines" xfId="260"/>
    <cellStyle name="LINKED" xfId="261"/>
    <cellStyle name="modified border" xfId="262"/>
    <cellStyle name="modified border 2" xfId="263"/>
    <cellStyle name="modified border 3" xfId="264"/>
    <cellStyle name="modified border 4" xfId="265"/>
    <cellStyle name="modified border1" xfId="266"/>
    <cellStyle name="modified border1 2" xfId="267"/>
    <cellStyle name="modified border1 3" xfId="268"/>
    <cellStyle name="modified border1 4" xfId="269"/>
    <cellStyle name="Neutral 2" xfId="270"/>
    <cellStyle name="no dec" xfId="271"/>
    <cellStyle name="Normal" xfId="0" builtinId="0"/>
    <cellStyle name="Normal - Style1" xfId="272"/>
    <cellStyle name="Normal - Style1 2" xfId="273"/>
    <cellStyle name="Normal - Style1 3" xfId="274"/>
    <cellStyle name="Normal - Style1 4" xfId="275"/>
    <cellStyle name="Normal - Style1_Depreciation Exp" xfId="276"/>
    <cellStyle name="Normal 10" xfId="277"/>
    <cellStyle name="Normal 11" xfId="278"/>
    <cellStyle name="Normal 12" xfId="279"/>
    <cellStyle name="Normal 13" xfId="280"/>
    <cellStyle name="Normal 14" xfId="281"/>
    <cellStyle name="Normal 15" xfId="282"/>
    <cellStyle name="Normal 16" xfId="283"/>
    <cellStyle name="Normal 17" xfId="284"/>
    <cellStyle name="Normal 18" xfId="285"/>
    <cellStyle name="Normal 19" xfId="421"/>
    <cellStyle name="Normal 2" xfId="286"/>
    <cellStyle name="Normal 2 10" xfId="420"/>
    <cellStyle name="Normal 2 2" xfId="287"/>
    <cellStyle name="Normal 2 2 2" xfId="288"/>
    <cellStyle name="Normal 2 2 3" xfId="289"/>
    <cellStyle name="Normal 2 2_4.14E Miscellaneous Operating Expense working file" xfId="290"/>
    <cellStyle name="Normal 2 3" xfId="291"/>
    <cellStyle name="Normal 2 4" xfId="292"/>
    <cellStyle name="Normal 2 5" xfId="293"/>
    <cellStyle name="Normal 2 6" xfId="294"/>
    <cellStyle name="Normal 2 7" xfId="295"/>
    <cellStyle name="Normal 2 8" xfId="296"/>
    <cellStyle name="Normal 2 9" xfId="297"/>
    <cellStyle name="Normal 2_Allocation Method - Working File" xfId="298"/>
    <cellStyle name="Normal 20" xfId="422"/>
    <cellStyle name="Normal 3" xfId="299"/>
    <cellStyle name="Normal 3 2" xfId="300"/>
    <cellStyle name="Normal 3 3" xfId="301"/>
    <cellStyle name="Normal 3_4.14E Miscellaneous Operating Expense working file" xfId="302"/>
    <cellStyle name="Normal 4" xfId="303"/>
    <cellStyle name="Normal 45" xfId="304"/>
    <cellStyle name="Normal 5" xfId="305"/>
    <cellStyle name="Normal 6" xfId="306"/>
    <cellStyle name="Normal 7" xfId="307"/>
    <cellStyle name="Normal 8" xfId="308"/>
    <cellStyle name="Normal 9" xfId="309"/>
    <cellStyle name="Note 10" xfId="310"/>
    <cellStyle name="Note 11" xfId="311"/>
    <cellStyle name="Note 12" xfId="312"/>
    <cellStyle name="Note 2" xfId="313"/>
    <cellStyle name="Note 3" xfId="314"/>
    <cellStyle name="Note 4" xfId="315"/>
    <cellStyle name="Note 5" xfId="316"/>
    <cellStyle name="Note 6" xfId="317"/>
    <cellStyle name="Note 7" xfId="318"/>
    <cellStyle name="Note 8" xfId="319"/>
    <cellStyle name="Note 9" xfId="320"/>
    <cellStyle name="Output 2" xfId="321"/>
    <cellStyle name="Percen - Style1" xfId="322"/>
    <cellStyle name="Percen - Style2" xfId="323"/>
    <cellStyle name="Percen - Style3" xfId="324"/>
    <cellStyle name="Percent" xfId="419" builtinId="5"/>
    <cellStyle name="Percent [2]" xfId="325"/>
    <cellStyle name="Percent 10" xfId="326"/>
    <cellStyle name="Percent 11" xfId="327"/>
    <cellStyle name="Percent 12" xfId="328"/>
    <cellStyle name="Percent 2" xfId="329"/>
    <cellStyle name="Percent 3" xfId="330"/>
    <cellStyle name="Percent 4" xfId="331"/>
    <cellStyle name="Percent 4 2" xfId="332"/>
    <cellStyle name="Percent 5" xfId="333"/>
    <cellStyle name="Percent 6" xfId="334"/>
    <cellStyle name="Percent 7" xfId="335"/>
    <cellStyle name="Percent 8" xfId="336"/>
    <cellStyle name="Percent 9" xfId="337"/>
    <cellStyle name="Processing" xfId="338"/>
    <cellStyle name="PSChar" xfId="339"/>
    <cellStyle name="PSDate" xfId="340"/>
    <cellStyle name="PSDec" xfId="341"/>
    <cellStyle name="PSHeading" xfId="342"/>
    <cellStyle name="PSInt" xfId="343"/>
    <cellStyle name="PSSpacer" xfId="344"/>
    <cellStyle name="purple - Style8" xfId="345"/>
    <cellStyle name="RED" xfId="346"/>
    <cellStyle name="Red - Style7" xfId="347"/>
    <cellStyle name="RED_04 07E Wild Horse Wind Expansion (C) (2)" xfId="348"/>
    <cellStyle name="Report" xfId="349"/>
    <cellStyle name="Report Bar" xfId="350"/>
    <cellStyle name="Report Heading" xfId="351"/>
    <cellStyle name="Report Percent" xfId="352"/>
    <cellStyle name="Report Unit Cost" xfId="353"/>
    <cellStyle name="Reports" xfId="354"/>
    <cellStyle name="Reports Total" xfId="355"/>
    <cellStyle name="Reports Unit Cost Total" xfId="356"/>
    <cellStyle name="RevList" xfId="357"/>
    <cellStyle name="round100" xfId="358"/>
    <cellStyle name="SAPBEXaggData" xfId="359"/>
    <cellStyle name="SAPBEXaggDataEmph" xfId="360"/>
    <cellStyle name="SAPBEXaggItem" xfId="361"/>
    <cellStyle name="SAPBEXaggItemX" xfId="362"/>
    <cellStyle name="SAPBEXchaText" xfId="363"/>
    <cellStyle name="SAPBEXexcBad7" xfId="364"/>
    <cellStyle name="SAPBEXexcBad8" xfId="365"/>
    <cellStyle name="SAPBEXexcBad9" xfId="366"/>
    <cellStyle name="SAPBEXexcCritical4" xfId="367"/>
    <cellStyle name="SAPBEXexcCritical5" xfId="368"/>
    <cellStyle name="SAPBEXexcCritical6" xfId="369"/>
    <cellStyle name="SAPBEXexcGood1" xfId="370"/>
    <cellStyle name="SAPBEXexcGood2" xfId="371"/>
    <cellStyle name="SAPBEXexcGood3" xfId="372"/>
    <cellStyle name="SAPBEXfilterDrill" xfId="373"/>
    <cellStyle name="SAPBEXfilterItem" xfId="374"/>
    <cellStyle name="SAPBEXfilterText" xfId="375"/>
    <cellStyle name="SAPBEXformats" xfId="376"/>
    <cellStyle name="SAPBEXheaderItem" xfId="377"/>
    <cellStyle name="SAPBEXheaderText" xfId="378"/>
    <cellStyle name="SAPBEXHLevel0" xfId="379"/>
    <cellStyle name="SAPBEXHLevel0X" xfId="380"/>
    <cellStyle name="SAPBEXHLevel1" xfId="381"/>
    <cellStyle name="SAPBEXHLevel1X" xfId="382"/>
    <cellStyle name="SAPBEXHLevel2" xfId="383"/>
    <cellStyle name="SAPBEXHLevel2X" xfId="384"/>
    <cellStyle name="SAPBEXHLevel3" xfId="385"/>
    <cellStyle name="SAPBEXHLevel3X" xfId="386"/>
    <cellStyle name="SAPBEXresData" xfId="387"/>
    <cellStyle name="SAPBEXresDataEmph" xfId="388"/>
    <cellStyle name="SAPBEXresItem" xfId="389"/>
    <cellStyle name="SAPBEXresItemX" xfId="390"/>
    <cellStyle name="SAPBEXstdData" xfId="391"/>
    <cellStyle name="SAPBEXstdDataEmph" xfId="392"/>
    <cellStyle name="SAPBEXstdItem" xfId="393"/>
    <cellStyle name="SAPBEXstdItemX" xfId="394"/>
    <cellStyle name="SAPBEXtitle" xfId="395"/>
    <cellStyle name="SAPBEXundefined" xfId="396"/>
    <cellStyle name="shade" xfId="397"/>
    <cellStyle name="StmtTtl1" xfId="398"/>
    <cellStyle name="StmtTtl1 2" xfId="399"/>
    <cellStyle name="StmtTtl1 3" xfId="400"/>
    <cellStyle name="StmtTtl1 4" xfId="401"/>
    <cellStyle name="StmtTtl1_ERB" xfId="402"/>
    <cellStyle name="StmtTtl2" xfId="403"/>
    <cellStyle name="STYL1 - Style1" xfId="404"/>
    <cellStyle name="Style 1" xfId="405"/>
    <cellStyle name="Style 1 2" xfId="406"/>
    <cellStyle name="Style 1 3" xfId="407"/>
    <cellStyle name="Style 1 4" xfId="408"/>
    <cellStyle name="Style 1_4.14E Miscellaneous Operating Expense working file" xfId="409"/>
    <cellStyle name="Subtotal" xfId="410"/>
    <cellStyle name="Sub-total" xfId="411"/>
    <cellStyle name="Title: Major" xfId="412"/>
    <cellStyle name="Title: Minor" xfId="413"/>
    <cellStyle name="Title: Worksheet" xfId="414"/>
    <cellStyle name="Total" xfId="415" builtinId="25" customBuiltin="1"/>
    <cellStyle name="Total 2" xfId="416"/>
    <cellStyle name="Total4 - Style4" xfId="417"/>
    <cellStyle name="Warning Text 2" xfId="418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riffs\1.%20Open%20Advices\2017-24%202017-25%20Elec-Gas%20GRC%20Compliance%20Workpapers\Rev%20Req%20WP\%23Electric%20Model%202017%20GRC%20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Compliance/Final%20to%20send%20to%20WUTC/PSE%20Compliance%20ECOS%20Model%20Line%20ex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san\AppData\Local\Microsoft\Windows\Temporary%20Internet%20Files\Content.Outlook\DC00AKS1\Gas%20Line%20Extension%20Allowance%20-%202018%20Tax%20Re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JB-3,11 Def"/>
      <sheetName val="Summary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 refreshError="1"/>
      <sheetData sheetId="1" refreshError="1"/>
      <sheetData sheetId="2">
        <row r="7">
          <cell r="B7" t="str">
            <v>FOR THE TWELVE MONTHS ENDED SEPTEMBER 30, 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 Allowance"/>
      <sheetName val="Sch 31 Allowance"/>
      <sheetName val="Sch 41-86 Allowance"/>
      <sheetName val="Sch 85-87 Allowance"/>
      <sheetName val="Work Papers--&gt;"/>
      <sheetName val="Cost of Capital"/>
      <sheetName val="JAP-42 Page 1"/>
      <sheetName val="JAP-42 Page 2"/>
      <sheetName val="JAP-42 Page 3"/>
      <sheetName val="JAP-42 Page 4"/>
      <sheetName val="Rate Design Res"/>
      <sheetName val="Rate Design C&amp;I"/>
      <sheetName val="Rate Design Int &amp; Trans"/>
      <sheetName val="12ME Sep16 Cust Data"/>
      <sheetName val="Weather Adj"/>
    </sheetNames>
    <sheetDataSet>
      <sheetData sheetId="0"/>
      <sheetData sheetId="1"/>
      <sheetData sheetId="2"/>
      <sheetData sheetId="3"/>
      <sheetData sheetId="4"/>
      <sheetData sheetId="5">
        <row r="38">
          <cell r="E38">
            <v>9.2399999999999996E-2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3"/>
  <sheetViews>
    <sheetView tabSelected="1" topLeftCell="G1" workbookViewId="0">
      <selection activeCell="M27" sqref="M27"/>
    </sheetView>
  </sheetViews>
  <sheetFormatPr defaultColWidth="9.109375" defaultRowHeight="10.199999999999999" x14ac:dyDescent="0.2"/>
  <cols>
    <col min="1" max="1" width="8.5546875" style="1" bestFit="1" customWidth="1"/>
    <col min="2" max="2" width="10.44140625" style="1" bestFit="1" customWidth="1"/>
    <col min="3" max="3" width="11.5546875" style="1" customWidth="1"/>
    <col min="4" max="4" width="10.88671875" style="1" bestFit="1" customWidth="1"/>
    <col min="5" max="5" width="9.109375" style="1"/>
    <col min="6" max="6" width="17.33203125" style="1" bestFit="1" customWidth="1"/>
    <col min="7" max="7" width="9.109375" style="1" customWidth="1"/>
    <col min="8" max="8" width="1.109375" style="1" customWidth="1"/>
    <col min="9" max="9" width="8.6640625" style="1" bestFit="1" customWidth="1"/>
    <col min="10" max="10" width="10.33203125" style="1" bestFit="1" customWidth="1"/>
    <col min="11" max="11" width="13" style="1" customWidth="1"/>
    <col min="12" max="12" width="10.6640625" style="388" bestFit="1" customWidth="1"/>
    <col min="13" max="13" width="9.5546875" style="1" bestFit="1" customWidth="1"/>
    <col min="14" max="16384" width="9.109375" style="1"/>
  </cols>
  <sheetData>
    <row r="1" spans="1:15" ht="10.8" thickBot="1" x14ac:dyDescent="0.25">
      <c r="A1" s="362" t="s">
        <v>68</v>
      </c>
      <c r="B1" s="363"/>
      <c r="C1" s="363"/>
      <c r="D1" s="363"/>
      <c r="E1" s="363"/>
      <c r="F1" s="363"/>
      <c r="G1" s="364"/>
      <c r="I1" s="359" t="s">
        <v>235</v>
      </c>
      <c r="J1" s="360"/>
      <c r="K1" s="360"/>
      <c r="L1" s="360"/>
      <c r="M1" s="360"/>
      <c r="N1" s="360"/>
      <c r="O1" s="361"/>
    </row>
    <row r="2" spans="1:15" x14ac:dyDescent="0.2">
      <c r="A2" s="19"/>
      <c r="B2" s="13"/>
      <c r="C2" s="13"/>
      <c r="D2" s="13"/>
      <c r="E2" s="13"/>
      <c r="F2" s="13"/>
      <c r="G2" s="20"/>
      <c r="I2" s="19"/>
      <c r="J2" s="13"/>
      <c r="K2" s="13"/>
      <c r="L2" s="384"/>
      <c r="M2" s="13"/>
      <c r="N2" s="13"/>
      <c r="O2" s="20"/>
    </row>
    <row r="3" spans="1:15" ht="10.8" thickBot="1" x14ac:dyDescent="0.25">
      <c r="A3" s="19"/>
      <c r="B3" s="13"/>
      <c r="C3" s="13"/>
      <c r="D3" s="13"/>
      <c r="E3" s="13"/>
      <c r="F3" s="13"/>
      <c r="G3" s="20"/>
      <c r="I3" s="19"/>
      <c r="J3" s="13"/>
      <c r="K3" s="13"/>
      <c r="L3" s="384"/>
      <c r="M3" s="13"/>
      <c r="N3" s="13"/>
      <c r="O3" s="20"/>
    </row>
    <row r="4" spans="1:15" ht="20.399999999999999" x14ac:dyDescent="0.2">
      <c r="A4" s="21" t="s">
        <v>14</v>
      </c>
      <c r="B4" s="22" t="s">
        <v>10</v>
      </c>
      <c r="C4" s="22" t="s">
        <v>20</v>
      </c>
      <c r="D4" s="23" t="s">
        <v>11</v>
      </c>
      <c r="E4" s="24"/>
      <c r="F4" s="24"/>
      <c r="G4" s="25"/>
      <c r="I4" s="21" t="s">
        <v>14</v>
      </c>
      <c r="J4" s="22" t="s">
        <v>10</v>
      </c>
      <c r="K4" s="22" t="s">
        <v>20</v>
      </c>
      <c r="L4" s="385" t="s">
        <v>11</v>
      </c>
      <c r="M4" s="24"/>
      <c r="N4" s="24"/>
      <c r="O4" s="25"/>
    </row>
    <row r="5" spans="1:15" x14ac:dyDescent="0.2">
      <c r="A5" s="26">
        <v>7</v>
      </c>
      <c r="B5" s="27">
        <v>10648.366786073457</v>
      </c>
      <c r="C5" s="28">
        <v>4460.4751619870412</v>
      </c>
      <c r="D5" s="13"/>
      <c r="E5" s="13"/>
      <c r="F5" s="40" t="s">
        <v>12</v>
      </c>
      <c r="G5" s="41"/>
      <c r="I5" s="26">
        <v>7</v>
      </c>
      <c r="J5" s="27">
        <f>+'Residential Allowance (Sch 7)'!C18</f>
        <v>10139.027341419198</v>
      </c>
      <c r="K5" s="28">
        <f>+'Residential Allowance (Sch 7)'!C16</f>
        <v>5953.7257090166804</v>
      </c>
      <c r="L5" s="384"/>
      <c r="M5" s="13"/>
      <c r="N5" s="40" t="s">
        <v>12</v>
      </c>
      <c r="O5" s="41"/>
    </row>
    <row r="6" spans="1:15" x14ac:dyDescent="0.2">
      <c r="A6" s="26">
        <v>24</v>
      </c>
      <c r="B6" s="27">
        <v>23638.384869666421</v>
      </c>
      <c r="C6" s="29">
        <v>9387.6674425063447</v>
      </c>
      <c r="D6" s="30">
        <v>0.39713658501909405</v>
      </c>
      <c r="E6" s="13"/>
      <c r="F6" s="13"/>
      <c r="G6" s="20"/>
      <c r="I6" s="26">
        <v>24</v>
      </c>
      <c r="J6" s="27">
        <f>+'SV Allowance (Sch 24)'!C18</f>
        <v>21051.372734173128</v>
      </c>
      <c r="K6" s="29">
        <f>+'SV Allowance (Sch 24)'!C16</f>
        <v>11029.205594653775</v>
      </c>
      <c r="L6" s="386">
        <f>+K6/J6</f>
        <v>0.52391859352477466</v>
      </c>
      <c r="M6" s="13"/>
      <c r="N6" s="13"/>
      <c r="O6" s="20"/>
    </row>
    <row r="7" spans="1:15" x14ac:dyDescent="0.2">
      <c r="A7" s="26">
        <v>25</v>
      </c>
      <c r="B7" s="27">
        <v>402517.4834279886</v>
      </c>
      <c r="C7" s="29">
        <v>129366.84665226782</v>
      </c>
      <c r="D7" s="30">
        <v>0.32139435422911733</v>
      </c>
      <c r="E7" s="13"/>
      <c r="F7" s="40" t="s">
        <v>13</v>
      </c>
      <c r="G7" s="41"/>
      <c r="I7" s="26">
        <v>25</v>
      </c>
      <c r="J7" s="27">
        <f>+'SV Allowance (Sch 25)'!C18</f>
        <v>354742.41541438765</v>
      </c>
      <c r="K7" s="29">
        <f>+'SV Allowance (Sch 25)'!C16</f>
        <v>152095</v>
      </c>
      <c r="L7" s="386">
        <f t="shared" ref="L7:L9" si="0">+K7/J7</f>
        <v>0.42874771493657515</v>
      </c>
      <c r="M7" s="13"/>
      <c r="N7" s="40" t="s">
        <v>13</v>
      </c>
      <c r="O7" s="41"/>
    </row>
    <row r="8" spans="1:15" x14ac:dyDescent="0.2">
      <c r="A8" s="26">
        <v>26</v>
      </c>
      <c r="B8" s="27">
        <v>2393404.3877473194</v>
      </c>
      <c r="C8" s="29">
        <v>644729.48164146859</v>
      </c>
      <c r="D8" s="30">
        <v>0.26937757987829641</v>
      </c>
      <c r="E8" s="18"/>
      <c r="F8" s="13"/>
      <c r="G8" s="20"/>
      <c r="I8" s="26">
        <v>26</v>
      </c>
      <c r="J8" s="27">
        <f>+'SV Allowance (Sch 26)'!C18</f>
        <v>2121638.626674199</v>
      </c>
      <c r="K8" s="29">
        <f>+'SV Allowance (Sch 26)'!C16</f>
        <v>754306.47727272729</v>
      </c>
      <c r="L8" s="386">
        <f t="shared" si="0"/>
        <v>0.35553013967093433</v>
      </c>
      <c r="M8" s="18"/>
      <c r="N8" s="13"/>
      <c r="O8" s="20"/>
    </row>
    <row r="9" spans="1:15" ht="10.8" thickBot="1" x14ac:dyDescent="0.25">
      <c r="A9" s="31">
        <v>31</v>
      </c>
      <c r="B9" s="32">
        <v>2695962.7240693299</v>
      </c>
      <c r="C9" s="33">
        <v>729904.85961123114</v>
      </c>
      <c r="D9" s="34">
        <v>0.27073996724609783</v>
      </c>
      <c r="E9" s="35"/>
      <c r="F9" s="35"/>
      <c r="G9" s="36"/>
      <c r="I9" s="31">
        <v>31</v>
      </c>
      <c r="J9" s="32">
        <f>+'PV Allowance (Sch 31)'!C18</f>
        <v>2634023.5451806583</v>
      </c>
      <c r="K9" s="33">
        <f>+'PV Allowance (Sch 31)'!C16</f>
        <v>963501.24999999988</v>
      </c>
      <c r="L9" s="387">
        <f t="shared" si="0"/>
        <v>0.36579067478833671</v>
      </c>
      <c r="M9" s="35"/>
      <c r="N9" s="35"/>
      <c r="O9" s="36"/>
    </row>
    <row r="10" spans="1:15" ht="10.8" thickBot="1" x14ac:dyDescent="0.25"/>
    <row r="11" spans="1:15" ht="10.8" thickBot="1" x14ac:dyDescent="0.25">
      <c r="A11" s="362" t="s">
        <v>69</v>
      </c>
      <c r="B11" s="363"/>
      <c r="C11" s="363"/>
      <c r="D11" s="363"/>
      <c r="E11" s="363"/>
      <c r="F11" s="363"/>
      <c r="G11" s="364"/>
      <c r="I11" s="359" t="s">
        <v>236</v>
      </c>
      <c r="J11" s="360"/>
      <c r="K11" s="360"/>
      <c r="L11" s="360"/>
      <c r="M11" s="360"/>
      <c r="N11" s="360"/>
      <c r="O11" s="361"/>
    </row>
    <row r="12" spans="1:15" x14ac:dyDescent="0.2">
      <c r="A12" s="19"/>
      <c r="B12" s="13"/>
      <c r="C12" s="13"/>
      <c r="D12" s="13"/>
      <c r="E12" s="13"/>
      <c r="F12" s="13"/>
      <c r="G12" s="20"/>
      <c r="I12" s="19"/>
      <c r="J12" s="13"/>
      <c r="K12" s="13"/>
      <c r="L12" s="384"/>
      <c r="M12" s="13"/>
      <c r="N12" s="13"/>
      <c r="O12" s="20"/>
    </row>
    <row r="13" spans="1:15" ht="10.8" thickBot="1" x14ac:dyDescent="0.25">
      <c r="A13" s="19"/>
      <c r="B13" s="13"/>
      <c r="C13" s="13"/>
      <c r="D13" s="13"/>
      <c r="E13" s="13"/>
      <c r="F13" s="13"/>
      <c r="G13" s="20"/>
      <c r="I13" s="19"/>
      <c r="J13" s="13"/>
      <c r="K13" s="13"/>
      <c r="L13" s="384"/>
      <c r="M13" s="13"/>
      <c r="N13" s="13"/>
      <c r="O13" s="20"/>
    </row>
    <row r="14" spans="1:15" ht="20.399999999999999" x14ac:dyDescent="0.2">
      <c r="A14" s="37" t="s">
        <v>14</v>
      </c>
      <c r="B14" s="38" t="s">
        <v>10</v>
      </c>
      <c r="C14" s="38" t="s">
        <v>20</v>
      </c>
      <c r="D14" s="39" t="s">
        <v>11</v>
      </c>
      <c r="E14" s="13"/>
      <c r="F14" s="13"/>
      <c r="G14" s="20"/>
      <c r="I14" s="21" t="s">
        <v>14</v>
      </c>
      <c r="J14" s="22" t="s">
        <v>10</v>
      </c>
      <c r="K14" s="22" t="s">
        <v>20</v>
      </c>
      <c r="L14" s="385" t="s">
        <v>11</v>
      </c>
      <c r="M14" s="24"/>
      <c r="N14" s="24"/>
      <c r="O14" s="25"/>
    </row>
    <row r="15" spans="1:15" x14ac:dyDescent="0.2">
      <c r="A15" s="26">
        <v>7</v>
      </c>
      <c r="B15" s="27">
        <v>10443.037402754957</v>
      </c>
      <c r="C15" s="28">
        <v>1988.0512096555394</v>
      </c>
      <c r="D15" s="13"/>
      <c r="E15" s="13"/>
      <c r="F15" s="40" t="s">
        <v>12</v>
      </c>
      <c r="G15" s="41"/>
      <c r="I15" s="26">
        <v>7</v>
      </c>
      <c r="J15" s="27">
        <f>+'Residential Allowance (Sch 7)'!F18</f>
        <v>10102.011202355123</v>
      </c>
      <c r="K15" s="28">
        <f>+'Residential Allowance (Sch 7)'!F16</f>
        <v>6176.3393453803174</v>
      </c>
      <c r="L15" s="384"/>
      <c r="M15" s="13"/>
      <c r="N15" s="40" t="s">
        <v>12</v>
      </c>
      <c r="O15" s="41"/>
    </row>
    <row r="16" spans="1:15" x14ac:dyDescent="0.2">
      <c r="A16" s="26">
        <v>24</v>
      </c>
      <c r="B16" s="27">
        <v>21978.338597103633</v>
      </c>
      <c r="C16" s="29">
        <v>2960.4285583175206</v>
      </c>
      <c r="D16" s="30">
        <v>0.13469800000000001</v>
      </c>
      <c r="E16" s="13"/>
      <c r="F16" s="13"/>
      <c r="G16" s="20"/>
      <c r="I16" s="26">
        <v>24</v>
      </c>
      <c r="J16" s="27">
        <f>+'SV Allowance (Sch 24)'!F18</f>
        <v>21047.008489501313</v>
      </c>
      <c r="K16" s="29">
        <f>+'SV Allowance (Sch 24)'!F16</f>
        <v>11466.705594653775</v>
      </c>
      <c r="L16" s="386">
        <f>+K16/J16</f>
        <v>0.54481403380312254</v>
      </c>
      <c r="M16" s="13"/>
      <c r="N16" s="13"/>
      <c r="O16" s="20"/>
    </row>
    <row r="17" spans="1:15" x14ac:dyDescent="0.2">
      <c r="A17" s="26">
        <v>25</v>
      </c>
      <c r="B17" s="27">
        <v>393281.40317481343</v>
      </c>
      <c r="C17" s="29">
        <v>50212.887397806553</v>
      </c>
      <c r="D17" s="30">
        <v>0.12767700000000001</v>
      </c>
      <c r="E17" s="13"/>
      <c r="F17" s="40" t="s">
        <v>13</v>
      </c>
      <c r="G17" s="41"/>
      <c r="I17" s="26">
        <v>25</v>
      </c>
      <c r="J17" s="27">
        <f>+'SV Allowance (Sch 25)'!F18</f>
        <v>354098.10682163754</v>
      </c>
      <c r="K17" s="29">
        <f>+'SV Allowance (Sch 25)'!F16</f>
        <v>159053.18181818182</v>
      </c>
      <c r="L17" s="386">
        <f t="shared" ref="L17:L19" si="1">+K17/J17</f>
        <v>0.44917828916351243</v>
      </c>
      <c r="M17" s="13"/>
      <c r="N17" s="40" t="s">
        <v>13</v>
      </c>
      <c r="O17" s="41"/>
    </row>
    <row r="18" spans="1:15" x14ac:dyDescent="0.2">
      <c r="A18" s="26">
        <v>26</v>
      </c>
      <c r="B18" s="27">
        <v>2321683.5889794817</v>
      </c>
      <c r="C18" s="29">
        <v>210441.70241391525</v>
      </c>
      <c r="D18" s="30">
        <v>9.0642E-2</v>
      </c>
      <c r="E18" s="18"/>
      <c r="F18" s="13"/>
      <c r="G18" s="20"/>
      <c r="I18" s="26">
        <v>26</v>
      </c>
      <c r="J18" s="27">
        <f>+'SV Allowance (Sch 26)'!F18</f>
        <v>2003730.2205768232</v>
      </c>
      <c r="K18" s="29">
        <f>+'SV Allowance (Sch 26)'!F16</f>
        <v>745744.09090909094</v>
      </c>
      <c r="L18" s="386">
        <f t="shared" si="1"/>
        <v>0.37217789263786721</v>
      </c>
      <c r="M18" s="18"/>
      <c r="N18" s="13"/>
      <c r="O18" s="20"/>
    </row>
    <row r="19" spans="1:15" ht="10.8" thickBot="1" x14ac:dyDescent="0.25">
      <c r="A19" s="31">
        <v>31</v>
      </c>
      <c r="B19" s="32">
        <v>2636592.2423294168</v>
      </c>
      <c r="C19" s="33">
        <v>222055.74310958298</v>
      </c>
      <c r="D19" s="34">
        <v>8.4221000000000004E-2</v>
      </c>
      <c r="E19" s="35"/>
      <c r="F19" s="35"/>
      <c r="G19" s="36"/>
      <c r="I19" s="31">
        <v>31</v>
      </c>
      <c r="J19" s="32">
        <f>+'PV Allowance (Sch 31)'!F18</f>
        <v>2628803.9632330392</v>
      </c>
      <c r="K19" s="33">
        <f>+'PV Allowance (Sch 31)'!F16</f>
        <v>990411.59090909094</v>
      </c>
      <c r="L19" s="387">
        <f t="shared" si="1"/>
        <v>0.37675368903926615</v>
      </c>
      <c r="M19" s="35"/>
      <c r="N19" s="35"/>
      <c r="O19" s="36"/>
    </row>
    <row r="20" spans="1:15" ht="10.8" thickBot="1" x14ac:dyDescent="0.25"/>
    <row r="21" spans="1:15" ht="10.8" thickBot="1" x14ac:dyDescent="0.25">
      <c r="A21" s="365" t="s">
        <v>36</v>
      </c>
      <c r="B21" s="363"/>
      <c r="C21" s="363"/>
      <c r="D21" s="363"/>
      <c r="E21" s="363"/>
      <c r="F21" s="363"/>
      <c r="G21" s="364"/>
    </row>
    <row r="22" spans="1:15" x14ac:dyDescent="0.2">
      <c r="A22" s="19"/>
      <c r="B22" s="13"/>
      <c r="C22" s="13"/>
      <c r="D22" s="13"/>
      <c r="E22" s="13"/>
      <c r="F22" s="13"/>
      <c r="G22" s="20"/>
    </row>
    <row r="23" spans="1:15" x14ac:dyDescent="0.2">
      <c r="A23" s="19"/>
      <c r="B23" s="13"/>
      <c r="C23" s="13"/>
      <c r="D23" s="13"/>
      <c r="E23" s="13"/>
      <c r="F23" s="13"/>
      <c r="G23" s="20"/>
    </row>
    <row r="24" spans="1:15" ht="20.399999999999999" x14ac:dyDescent="0.2">
      <c r="A24" s="37" t="s">
        <v>14</v>
      </c>
      <c r="B24" s="38" t="s">
        <v>10</v>
      </c>
      <c r="C24" s="38" t="s">
        <v>20</v>
      </c>
      <c r="D24" s="39" t="s">
        <v>11</v>
      </c>
      <c r="E24" s="13"/>
      <c r="F24" s="13"/>
      <c r="G24" s="20"/>
      <c r="K24" s="1" t="str">
        <f>+'Residential Allowance (Sch 7)'!A23</f>
        <v>Distribution Incremental Margin</v>
      </c>
    </row>
    <row r="25" spans="1:15" x14ac:dyDescent="0.2">
      <c r="A25" s="26">
        <v>7</v>
      </c>
      <c r="B25" s="42">
        <v>10443.037402754957</v>
      </c>
      <c r="C25" s="43">
        <v>1965.6361980169531</v>
      </c>
      <c r="E25" s="13"/>
      <c r="F25" s="40" t="s">
        <v>12</v>
      </c>
      <c r="G25" s="41"/>
      <c r="K25" s="1" t="s">
        <v>14</v>
      </c>
      <c r="L25" s="1">
        <f>+'SV Allowance (Sch 26)'!B3</f>
        <v>2023</v>
      </c>
      <c r="M25" s="1">
        <f>+'SV Allowance (Sch 26)'!E3</f>
        <v>2024</v>
      </c>
    </row>
    <row r="26" spans="1:15" ht="13.2" x14ac:dyDescent="0.25">
      <c r="A26" s="26">
        <v>24</v>
      </c>
      <c r="B26" s="42">
        <v>21978.338597103633</v>
      </c>
      <c r="C26" s="44">
        <v>2907.7293128006145</v>
      </c>
      <c r="D26" s="45">
        <v>0.1323</v>
      </c>
      <c r="E26" s="13"/>
      <c r="F26" s="13"/>
      <c r="G26" s="20"/>
      <c r="K26" s="1">
        <v>7</v>
      </c>
      <c r="L26" s="389">
        <f>+'Residential Allowance (Sch 7)'!B23</f>
        <v>4.2805881213774294E-2</v>
      </c>
      <c r="M26" s="389">
        <f>+'Residential Allowance (Sch 7)'!E23</f>
        <v>4.4901949811167345E-2</v>
      </c>
    </row>
    <row r="27" spans="1:15" ht="13.2" x14ac:dyDescent="0.25">
      <c r="A27" s="26">
        <v>25</v>
      </c>
      <c r="B27" s="42">
        <v>393281.40317481343</v>
      </c>
      <c r="C27" s="44">
        <v>48916.767232217942</v>
      </c>
      <c r="D27" s="45">
        <v>0.12438100000000001</v>
      </c>
      <c r="E27" s="13"/>
      <c r="F27" s="40" t="s">
        <v>13</v>
      </c>
      <c r="G27" s="41"/>
      <c r="K27" s="1">
        <v>24</v>
      </c>
      <c r="L27" s="389">
        <f>+'SV Allowance (Sch 24)'!B23</f>
        <v>3.7621774598781688E-2</v>
      </c>
      <c r="M27" s="389">
        <f>+'SV Allowance (Sch 24)'!E23</f>
        <v>3.9458814321012212E-2</v>
      </c>
    </row>
    <row r="28" spans="1:15" ht="13.2" x14ac:dyDescent="0.25">
      <c r="A28" s="26">
        <v>26</v>
      </c>
      <c r="B28" s="42">
        <v>2321683.5889794817</v>
      </c>
      <c r="C28" s="44">
        <v>205040.44395944758</v>
      </c>
      <c r="D28" s="45">
        <v>8.8315000000000005E-2</v>
      </c>
      <c r="E28" s="46"/>
      <c r="F28" s="13"/>
      <c r="G28" s="20"/>
      <c r="K28" s="1">
        <v>25</v>
      </c>
      <c r="L28" s="389">
        <f>+'SV Allowance (Sch 25)'!B23</f>
        <v>3.5904812750179559E-2</v>
      </c>
      <c r="M28" s="389">
        <f>+'SV Allowance (Sch 25)'!E23</f>
        <v>3.7699382580218523E-2</v>
      </c>
    </row>
    <row r="29" spans="1:15" ht="13.2" x14ac:dyDescent="0.25">
      <c r="A29" s="26">
        <v>31</v>
      </c>
      <c r="B29" s="42">
        <v>2636592.2423294168</v>
      </c>
      <c r="C29" s="44">
        <v>218463.2844564135</v>
      </c>
      <c r="D29" s="45">
        <v>8.2858000000000001E-2</v>
      </c>
      <c r="E29" s="13"/>
      <c r="F29" s="13"/>
      <c r="G29" s="20"/>
      <c r="K29" s="1">
        <v>26</v>
      </c>
      <c r="L29" s="389">
        <f>+'SV Allowance (Sch 26)'!B23</f>
        <v>3.0669695197810997E-2</v>
      </c>
      <c r="M29" s="389">
        <f>+'SV Allowance (Sch 26)'!E23</f>
        <v>3.2098392957054314E-2</v>
      </c>
    </row>
    <row r="30" spans="1:15" ht="13.8" thickBot="1" x14ac:dyDescent="0.3">
      <c r="A30" s="47"/>
      <c r="B30" s="35"/>
      <c r="C30" s="35"/>
      <c r="D30" s="35"/>
      <c r="E30" s="35"/>
      <c r="F30" s="35"/>
      <c r="G30" s="36"/>
      <c r="K30" s="1">
        <v>31</v>
      </c>
      <c r="L30" s="389">
        <f>'SV Allowance (Sch 26)'!B23</f>
        <v>3.0669695197810997E-2</v>
      </c>
      <c r="M30" s="389">
        <f>'PV Allowance (Sch 31)'!E23</f>
        <v>3.1519619248479763E-2</v>
      </c>
    </row>
    <row r="32" spans="1:15" ht="10.8" thickBot="1" x14ac:dyDescent="0.25"/>
    <row r="33" spans="1:7" ht="10.8" thickBot="1" x14ac:dyDescent="0.25">
      <c r="A33" s="365" t="s">
        <v>35</v>
      </c>
      <c r="B33" s="363"/>
      <c r="C33" s="363"/>
      <c r="D33" s="363"/>
      <c r="E33" s="363"/>
      <c r="F33" s="363"/>
      <c r="G33" s="364"/>
    </row>
    <row r="34" spans="1:7" x14ac:dyDescent="0.2">
      <c r="A34" s="19"/>
      <c r="B34" s="13"/>
      <c r="C34" s="13"/>
      <c r="D34" s="13"/>
      <c r="E34" s="13"/>
      <c r="F34" s="13"/>
      <c r="G34" s="20"/>
    </row>
    <row r="35" spans="1:7" x14ac:dyDescent="0.2">
      <c r="A35" s="19"/>
      <c r="B35" s="13"/>
      <c r="C35" s="13"/>
      <c r="D35" s="13"/>
      <c r="E35" s="13"/>
      <c r="F35" s="13"/>
      <c r="G35" s="20"/>
    </row>
    <row r="36" spans="1:7" ht="20.399999999999999" x14ac:dyDescent="0.2">
      <c r="A36" s="37" t="s">
        <v>14</v>
      </c>
      <c r="B36" s="38" t="s">
        <v>10</v>
      </c>
      <c r="C36" s="38" t="s">
        <v>20</v>
      </c>
      <c r="D36" s="39" t="s">
        <v>11</v>
      </c>
      <c r="E36" s="13"/>
      <c r="F36" s="13"/>
      <c r="G36" s="20"/>
    </row>
    <row r="37" spans="1:7" x14ac:dyDescent="0.2">
      <c r="A37" s="26">
        <v>7</v>
      </c>
      <c r="B37" s="48">
        <v>10989.645363725405</v>
      </c>
      <c r="C37" s="49">
        <v>1932.2884421224992</v>
      </c>
      <c r="D37" s="13"/>
      <c r="E37" s="13"/>
      <c r="F37" s="40" t="s">
        <v>12</v>
      </c>
      <c r="G37" s="41"/>
    </row>
    <row r="38" spans="1:7" x14ac:dyDescent="0.2">
      <c r="A38" s="26">
        <v>24</v>
      </c>
      <c r="B38" s="48">
        <v>21123.386312461782</v>
      </c>
      <c r="C38" s="50">
        <v>3008.1946051109321</v>
      </c>
      <c r="D38" s="51">
        <v>0.14241100000000001</v>
      </c>
      <c r="E38" s="13"/>
      <c r="F38" s="13"/>
      <c r="G38" s="20"/>
    </row>
    <row r="39" spans="1:7" x14ac:dyDescent="0.2">
      <c r="A39" s="26">
        <v>25</v>
      </c>
      <c r="B39" s="48">
        <v>379893.41925685701</v>
      </c>
      <c r="C39" s="50">
        <v>40003.404573663967</v>
      </c>
      <c r="D39" s="51">
        <v>0.10530200000000001</v>
      </c>
      <c r="E39" s="13"/>
      <c r="F39" s="40" t="s">
        <v>13</v>
      </c>
      <c r="G39" s="41"/>
    </row>
    <row r="40" spans="1:7" x14ac:dyDescent="0.2">
      <c r="A40" s="26">
        <v>26</v>
      </c>
      <c r="B40" s="48">
        <v>2377797.6465889942</v>
      </c>
      <c r="C40" s="50">
        <v>173454.49797366009</v>
      </c>
      <c r="D40" s="51">
        <v>7.2947999999999999E-2</v>
      </c>
      <c r="E40" s="46"/>
      <c r="F40" s="13"/>
      <c r="G40" s="20"/>
    </row>
    <row r="41" spans="1:7" x14ac:dyDescent="0.2">
      <c r="A41" s="26">
        <v>31</v>
      </c>
      <c r="B41" s="48">
        <v>2710365.0928875962</v>
      </c>
      <c r="C41" s="50">
        <v>213996.95256191824</v>
      </c>
      <c r="D41" s="51">
        <v>7.8954999999999997E-2</v>
      </c>
      <c r="E41" s="13"/>
      <c r="F41" s="13"/>
      <c r="G41" s="20"/>
    </row>
    <row r="42" spans="1:7" ht="10.8" thickBot="1" x14ac:dyDescent="0.25">
      <c r="A42" s="47"/>
      <c r="B42" s="35"/>
      <c r="C42" s="35"/>
      <c r="D42" s="35"/>
      <c r="E42" s="35"/>
      <c r="F42" s="35"/>
      <c r="G42" s="36"/>
    </row>
    <row r="43" spans="1:7" ht="10.8" thickBot="1" x14ac:dyDescent="0.25"/>
    <row r="44" spans="1:7" ht="10.8" thickBot="1" x14ac:dyDescent="0.25">
      <c r="A44" s="365" t="s">
        <v>79</v>
      </c>
      <c r="B44" s="363"/>
      <c r="C44" s="363"/>
      <c r="D44" s="363"/>
      <c r="E44" s="363"/>
      <c r="F44" s="363"/>
      <c r="G44" s="364"/>
    </row>
    <row r="45" spans="1:7" x14ac:dyDescent="0.2">
      <c r="A45" s="19"/>
      <c r="B45" s="13"/>
      <c r="C45" s="13"/>
      <c r="D45" s="13"/>
      <c r="E45" s="13"/>
      <c r="F45" s="13"/>
      <c r="G45" s="20"/>
    </row>
    <row r="46" spans="1:7" x14ac:dyDescent="0.2">
      <c r="A46" s="19"/>
      <c r="B46" s="13"/>
      <c r="C46" s="13"/>
      <c r="D46" s="13"/>
      <c r="E46" s="13"/>
      <c r="F46" s="13"/>
      <c r="G46" s="20"/>
    </row>
    <row r="47" spans="1:7" ht="20.399999999999999" x14ac:dyDescent="0.2">
      <c r="A47" s="37" t="s">
        <v>14</v>
      </c>
      <c r="B47" s="38" t="s">
        <v>10</v>
      </c>
      <c r="C47" s="38" t="s">
        <v>20</v>
      </c>
      <c r="D47" s="39" t="s">
        <v>11</v>
      </c>
      <c r="E47" s="13"/>
      <c r="F47" s="13"/>
      <c r="G47" s="20"/>
    </row>
    <row r="48" spans="1:7" x14ac:dyDescent="0.2">
      <c r="A48" s="26">
        <v>7</v>
      </c>
      <c r="B48" s="48">
        <v>10546.58422214062</v>
      </c>
      <c r="C48" s="49">
        <v>5655.6906077348067</v>
      </c>
      <c r="D48" s="13"/>
      <c r="E48" s="13"/>
      <c r="F48" s="40" t="s">
        <v>12</v>
      </c>
      <c r="G48" s="41"/>
    </row>
    <row r="49" spans="1:7" x14ac:dyDescent="0.2">
      <c r="A49" s="26">
        <v>24</v>
      </c>
      <c r="B49" s="48">
        <v>22210.207740259844</v>
      </c>
      <c r="C49" s="50">
        <v>10432.044198895026</v>
      </c>
      <c r="D49" s="51">
        <v>0.46969593084828021</v>
      </c>
      <c r="E49" s="13"/>
      <c r="F49" s="13"/>
      <c r="G49" s="20"/>
    </row>
    <row r="50" spans="1:7" x14ac:dyDescent="0.2">
      <c r="A50" s="26">
        <v>25</v>
      </c>
      <c r="B50" s="48">
        <v>395296.93826001132</v>
      </c>
      <c r="C50" s="50">
        <v>144801.21546961326</v>
      </c>
      <c r="D50" s="51">
        <v>0.36630998486097183</v>
      </c>
      <c r="E50" s="13"/>
      <c r="F50" s="40" t="s">
        <v>13</v>
      </c>
      <c r="G50" s="41"/>
    </row>
    <row r="51" spans="1:7" x14ac:dyDescent="0.2">
      <c r="A51" s="26">
        <v>26</v>
      </c>
      <c r="B51" s="48">
        <v>2293288.909856895</v>
      </c>
      <c r="C51" s="50">
        <v>746792.48618784535</v>
      </c>
      <c r="D51" s="51">
        <v>0.32564256643723377</v>
      </c>
      <c r="E51" s="46"/>
      <c r="F51" s="13"/>
      <c r="G51" s="20"/>
    </row>
    <row r="52" spans="1:7" x14ac:dyDescent="0.2">
      <c r="A52" s="26">
        <v>31</v>
      </c>
      <c r="B52" s="48">
        <v>2890339.5239636675</v>
      </c>
      <c r="C52" s="50">
        <v>972536.79558011051</v>
      </c>
      <c r="D52" s="51">
        <v>0.33647839207707408</v>
      </c>
      <c r="E52" s="13"/>
      <c r="F52" s="13"/>
      <c r="G52" s="20"/>
    </row>
    <row r="53" spans="1:7" ht="10.8" thickBot="1" x14ac:dyDescent="0.25">
      <c r="A53" s="47"/>
      <c r="B53" s="35"/>
      <c r="C53" s="35"/>
      <c r="D53" s="35"/>
      <c r="E53" s="35"/>
      <c r="F53" s="35"/>
      <c r="G53" s="36"/>
    </row>
  </sheetData>
  <mergeCells count="7">
    <mergeCell ref="I1:O1"/>
    <mergeCell ref="A1:G1"/>
    <mergeCell ref="A44:G44"/>
    <mergeCell ref="I11:O11"/>
    <mergeCell ref="A21:G21"/>
    <mergeCell ref="A33:G33"/>
    <mergeCell ref="A11:G1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S67"/>
  <sheetViews>
    <sheetView workbookViewId="0">
      <pane xSplit="2" ySplit="7" topLeftCell="C15" activePane="bottomRight" state="frozen"/>
      <selection activeCell="G9" sqref="G9"/>
      <selection pane="topRight" activeCell="G9" sqref="G9"/>
      <selection pane="bottomLeft" activeCell="G9" sqref="G9"/>
      <selection pane="bottomRight" activeCell="I44" sqref="I44:I55"/>
    </sheetView>
  </sheetViews>
  <sheetFormatPr defaultColWidth="9.109375" defaultRowHeight="10.199999999999999" x14ac:dyDescent="0.2"/>
  <cols>
    <col min="1" max="2" width="9.109375" style="163"/>
    <col min="3" max="3" width="12.33203125" style="163" bestFit="1" customWidth="1"/>
    <col min="4" max="4" width="7.44140625" style="163" bestFit="1" customWidth="1"/>
    <col min="5" max="7" width="10.88671875" style="163" bestFit="1" customWidth="1"/>
    <col min="8" max="8" width="8.88671875" style="163" bestFit="1" customWidth="1"/>
    <col min="9" max="9" width="10.88671875" style="163" bestFit="1" customWidth="1"/>
    <col min="10" max="10" width="8.88671875" style="163" bestFit="1" customWidth="1"/>
    <col min="11" max="11" width="9.88671875" style="163" bestFit="1" customWidth="1"/>
    <col min="12" max="12" width="6.44140625" style="163" bestFit="1" customWidth="1"/>
    <col min="13" max="13" width="8.88671875" style="163" bestFit="1" customWidth="1"/>
    <col min="14" max="14" width="9.88671875" style="163" bestFit="1" customWidth="1"/>
    <col min="15" max="15" width="9.109375" style="163"/>
    <col min="16" max="16" width="11.33203125" style="163" bestFit="1" customWidth="1"/>
    <col min="17" max="17" width="11.109375" style="163" bestFit="1" customWidth="1"/>
    <col min="18" max="18" width="9.88671875" style="163" bestFit="1" customWidth="1"/>
    <col min="19" max="19" width="12.33203125" style="163" bestFit="1" customWidth="1"/>
    <col min="20" max="16384" width="9.109375" style="163"/>
  </cols>
  <sheetData>
    <row r="1" spans="1:19" s="191" customFormat="1" x14ac:dyDescent="0.2">
      <c r="A1" s="189" t="s">
        <v>233</v>
      </c>
      <c r="B1" s="189"/>
    </row>
    <row r="2" spans="1:19" s="191" customFormat="1" x14ac:dyDescent="0.2">
      <c r="A2" s="190" t="s">
        <v>230</v>
      </c>
      <c r="B2" s="189"/>
    </row>
    <row r="3" spans="1:19" s="191" customFormat="1" x14ac:dyDescent="0.2">
      <c r="A3" s="189" t="s">
        <v>232</v>
      </c>
      <c r="B3" s="189"/>
    </row>
    <row r="4" spans="1:19" s="191" customFormat="1" x14ac:dyDescent="0.2">
      <c r="A4" s="187"/>
      <c r="B4" s="189"/>
    </row>
    <row r="5" spans="1:19" s="191" customFormat="1" x14ac:dyDescent="0.2">
      <c r="A5" s="188"/>
      <c r="B5" s="187"/>
    </row>
    <row r="6" spans="1:19" s="191" customFormat="1" x14ac:dyDescent="0.2">
      <c r="A6" s="189"/>
      <c r="B6" s="189"/>
    </row>
    <row r="7" spans="1:19" s="191" customFormat="1" x14ac:dyDescent="0.2">
      <c r="A7" s="193" t="s">
        <v>226</v>
      </c>
      <c r="B7" s="193" t="s">
        <v>225</v>
      </c>
      <c r="C7" s="192">
        <v>7</v>
      </c>
      <c r="D7" s="192" t="s">
        <v>224</v>
      </c>
      <c r="E7" s="192" t="s">
        <v>223</v>
      </c>
      <c r="F7" s="192" t="s">
        <v>222</v>
      </c>
      <c r="G7" s="192" t="s">
        <v>221</v>
      </c>
      <c r="H7" s="192" t="s">
        <v>211</v>
      </c>
      <c r="I7" s="192" t="s">
        <v>220</v>
      </c>
      <c r="J7" s="192" t="s">
        <v>219</v>
      </c>
      <c r="K7" s="192" t="s">
        <v>218</v>
      </c>
      <c r="L7" s="192" t="s">
        <v>217</v>
      </c>
      <c r="M7" s="192" t="s">
        <v>210</v>
      </c>
      <c r="N7" s="192" t="s">
        <v>216</v>
      </c>
      <c r="O7" s="192" t="s">
        <v>215</v>
      </c>
      <c r="P7" s="192" t="s">
        <v>214</v>
      </c>
      <c r="Q7" s="192" t="s">
        <v>213</v>
      </c>
      <c r="R7" s="192" t="s">
        <v>212</v>
      </c>
      <c r="S7" s="192" t="s">
        <v>6</v>
      </c>
    </row>
    <row r="8" spans="1:19" x14ac:dyDescent="0.2">
      <c r="A8" s="182">
        <v>2021</v>
      </c>
      <c r="B8" s="182">
        <v>1</v>
      </c>
      <c r="C8" s="177">
        <v>1048013.95260441</v>
      </c>
      <c r="D8" s="177">
        <v>2.0473955857952402</v>
      </c>
      <c r="E8" s="177">
        <v>124119.5782069744</v>
      </c>
      <c r="F8" s="177">
        <v>7930.6848488570886</v>
      </c>
      <c r="G8" s="177">
        <v>817.26898195442152</v>
      </c>
      <c r="H8" s="177">
        <v>532.37638881669102</v>
      </c>
      <c r="I8" s="177">
        <v>479.25472601009699</v>
      </c>
      <c r="J8" s="177">
        <v>2</v>
      </c>
      <c r="K8" s="177">
        <v>146.69778566940201</v>
      </c>
      <c r="L8" s="177">
        <v>0</v>
      </c>
      <c r="M8" s="177">
        <v>6</v>
      </c>
      <c r="N8" s="177">
        <v>17</v>
      </c>
      <c r="O8" s="177">
        <v>8709.7659367179331</v>
      </c>
      <c r="P8" s="177">
        <v>8</v>
      </c>
      <c r="Q8" s="177">
        <v>16</v>
      </c>
      <c r="R8" s="177">
        <v>82</v>
      </c>
      <c r="S8" s="177">
        <f t="shared" ref="S8:S55" si="0">SUM(C8:R8)</f>
        <v>1190882.6268749957</v>
      </c>
    </row>
    <row r="9" spans="1:19" x14ac:dyDescent="0.2">
      <c r="A9" s="181"/>
      <c r="B9" s="180">
        <v>2</v>
      </c>
      <c r="C9" s="177">
        <v>1048671.95260441</v>
      </c>
      <c r="D9" s="177">
        <v>2.0473955857952402</v>
      </c>
      <c r="E9" s="177">
        <v>124401.1735044221</v>
      </c>
      <c r="F9" s="177">
        <v>7925.0091439645212</v>
      </c>
      <c r="G9" s="177">
        <v>816.78244436810701</v>
      </c>
      <c r="H9" s="177">
        <v>531.42185685829702</v>
      </c>
      <c r="I9" s="177">
        <v>477.37883633066701</v>
      </c>
      <c r="J9" s="177">
        <v>2</v>
      </c>
      <c r="K9" s="177">
        <v>147.13691085548001</v>
      </c>
      <c r="L9" s="177">
        <v>0</v>
      </c>
      <c r="M9" s="177">
        <v>6</v>
      </c>
      <c r="N9" s="177">
        <v>17</v>
      </c>
      <c r="O9" s="177">
        <v>8716.0835532008696</v>
      </c>
      <c r="P9" s="177">
        <v>8</v>
      </c>
      <c r="Q9" s="177">
        <v>16</v>
      </c>
      <c r="R9" s="177">
        <v>82</v>
      </c>
      <c r="S9" s="177">
        <f t="shared" si="0"/>
        <v>1191819.9862499961</v>
      </c>
    </row>
    <row r="10" spans="1:19" x14ac:dyDescent="0.2">
      <c r="A10" s="181"/>
      <c r="B10" s="180">
        <v>3</v>
      </c>
      <c r="C10" s="177">
        <v>1049586.95260441</v>
      </c>
      <c r="D10" s="177">
        <v>2.0473955857952402</v>
      </c>
      <c r="E10" s="177">
        <v>124544.72929308086</v>
      </c>
      <c r="F10" s="177">
        <v>7935.5570630754391</v>
      </c>
      <c r="G10" s="177">
        <v>816.79435081896042</v>
      </c>
      <c r="H10" s="177">
        <v>535.72351309477403</v>
      </c>
      <c r="I10" s="177">
        <v>476.67903298880498</v>
      </c>
      <c r="J10" s="177">
        <v>2</v>
      </c>
      <c r="K10" s="177">
        <v>147.272521956367</v>
      </c>
      <c r="L10" s="177">
        <v>0</v>
      </c>
      <c r="M10" s="177">
        <v>6</v>
      </c>
      <c r="N10" s="177">
        <v>17</v>
      </c>
      <c r="O10" s="177">
        <v>8731.5898499847372</v>
      </c>
      <c r="P10" s="177">
        <v>8</v>
      </c>
      <c r="Q10" s="177">
        <v>16</v>
      </c>
      <c r="R10" s="177">
        <v>82</v>
      </c>
      <c r="S10" s="177">
        <f t="shared" si="0"/>
        <v>1192908.3456249959</v>
      </c>
    </row>
    <row r="11" spans="1:19" x14ac:dyDescent="0.2">
      <c r="A11" s="181"/>
      <c r="B11" s="180">
        <v>4</v>
      </c>
      <c r="C11" s="177">
        <v>1050603.95260441</v>
      </c>
      <c r="D11" s="177">
        <v>2.0473955857952402</v>
      </c>
      <c r="E11" s="177">
        <v>124784.76670038457</v>
      </c>
      <c r="F11" s="177">
        <v>7953.2331613476572</v>
      </c>
      <c r="G11" s="177">
        <v>817.97032298750446</v>
      </c>
      <c r="H11" s="177">
        <v>570.94048250891694</v>
      </c>
      <c r="I11" s="177">
        <v>476.87869039627901</v>
      </c>
      <c r="J11" s="177">
        <v>2</v>
      </c>
      <c r="K11" s="177">
        <v>147.55961584919001</v>
      </c>
      <c r="L11" s="177">
        <v>0</v>
      </c>
      <c r="M11" s="177">
        <v>6</v>
      </c>
      <c r="N11" s="177">
        <v>17</v>
      </c>
      <c r="O11" s="177">
        <v>8756.3560265258784</v>
      </c>
      <c r="P11" s="177">
        <v>8</v>
      </c>
      <c r="Q11" s="177">
        <v>16</v>
      </c>
      <c r="R11" s="177">
        <v>82</v>
      </c>
      <c r="S11" s="177">
        <f t="shared" si="0"/>
        <v>1194244.7049999959</v>
      </c>
    </row>
    <row r="12" spans="1:19" x14ac:dyDescent="0.2">
      <c r="A12" s="181"/>
      <c r="B12" s="180">
        <v>5</v>
      </c>
      <c r="C12" s="177">
        <v>1051444.4355012299</v>
      </c>
      <c r="D12" s="177">
        <v>2.0473955857952402</v>
      </c>
      <c r="E12" s="177">
        <v>124889.64252663562</v>
      </c>
      <c r="F12" s="177">
        <v>7962.1006788095092</v>
      </c>
      <c r="G12" s="177">
        <v>820.09389490965134</v>
      </c>
      <c r="H12" s="177">
        <v>631.73100055056705</v>
      </c>
      <c r="I12" s="177">
        <v>478.11574290516205</v>
      </c>
      <c r="J12" s="177">
        <v>2</v>
      </c>
      <c r="K12" s="177">
        <v>147.62618500407399</v>
      </c>
      <c r="L12" s="177">
        <v>0</v>
      </c>
      <c r="M12" s="177">
        <v>6</v>
      </c>
      <c r="N12" s="177">
        <v>17</v>
      </c>
      <c r="O12" s="177">
        <v>8814.7737097995869</v>
      </c>
      <c r="P12" s="177">
        <v>8</v>
      </c>
      <c r="Q12" s="177">
        <v>16</v>
      </c>
      <c r="R12" s="177">
        <v>82</v>
      </c>
      <c r="S12" s="177">
        <f t="shared" si="0"/>
        <v>1195321.5666354299</v>
      </c>
    </row>
    <row r="13" spans="1:19" x14ac:dyDescent="0.2">
      <c r="A13" s="181"/>
      <c r="B13" s="180">
        <v>6</v>
      </c>
      <c r="C13" s="177">
        <v>1052284.9183980401</v>
      </c>
      <c r="D13" s="177">
        <v>2.0473955857952402</v>
      </c>
      <c r="E13" s="177">
        <v>125006.21195675484</v>
      </c>
      <c r="F13" s="177">
        <v>7967.9729809078381</v>
      </c>
      <c r="G13" s="177">
        <v>822.00185134932053</v>
      </c>
      <c r="H13" s="177">
        <v>661.91088462688401</v>
      </c>
      <c r="I13" s="177">
        <v>479.35331051262898</v>
      </c>
      <c r="J13" s="177">
        <v>2</v>
      </c>
      <c r="K13" s="177">
        <v>147.674167629181</v>
      </c>
      <c r="L13" s="177">
        <v>0</v>
      </c>
      <c r="M13" s="177">
        <v>6</v>
      </c>
      <c r="N13" s="177">
        <v>17</v>
      </c>
      <c r="O13" s="177">
        <v>8839.3373254478556</v>
      </c>
      <c r="P13" s="177">
        <v>8</v>
      </c>
      <c r="Q13" s="177">
        <v>16</v>
      </c>
      <c r="R13" s="177">
        <v>82</v>
      </c>
      <c r="S13" s="177">
        <f t="shared" si="0"/>
        <v>1196342.4282708545</v>
      </c>
    </row>
    <row r="14" spans="1:19" x14ac:dyDescent="0.2">
      <c r="A14" s="181"/>
      <c r="B14" s="180">
        <v>7</v>
      </c>
      <c r="C14" s="177">
        <v>1053125.4012948601</v>
      </c>
      <c r="D14" s="177">
        <v>2.0473955857952402</v>
      </c>
      <c r="E14" s="177">
        <v>125129.69485488988</v>
      </c>
      <c r="F14" s="177">
        <v>7974.4550646687594</v>
      </c>
      <c r="G14" s="177">
        <v>824.11398830687165</v>
      </c>
      <c r="H14" s="177">
        <v>684.32340410965196</v>
      </c>
      <c r="I14" s="177">
        <v>480.59139296179001</v>
      </c>
      <c r="J14" s="177">
        <v>2</v>
      </c>
      <c r="K14" s="177">
        <v>147.73540441680899</v>
      </c>
      <c r="L14" s="177">
        <v>0</v>
      </c>
      <c r="M14" s="177">
        <v>6</v>
      </c>
      <c r="N14" s="177">
        <v>17</v>
      </c>
      <c r="O14" s="177">
        <v>8863.9271064888035</v>
      </c>
      <c r="P14" s="177">
        <v>8</v>
      </c>
      <c r="Q14" s="177">
        <v>16</v>
      </c>
      <c r="R14" s="177">
        <v>82</v>
      </c>
      <c r="S14" s="177">
        <f t="shared" si="0"/>
        <v>1197363.2899062883</v>
      </c>
    </row>
    <row r="15" spans="1:19" x14ac:dyDescent="0.2">
      <c r="A15" s="181"/>
      <c r="B15" s="180">
        <v>8</v>
      </c>
      <c r="C15" s="177">
        <v>1054566.9823779699</v>
      </c>
      <c r="D15" s="177">
        <v>2.0473955857952402</v>
      </c>
      <c r="E15" s="177">
        <v>125185.6748768439</v>
      </c>
      <c r="F15" s="177">
        <v>7977.8981553730227</v>
      </c>
      <c r="G15" s="177">
        <v>824.57106514708198</v>
      </c>
      <c r="H15" s="177">
        <v>697.948729840238</v>
      </c>
      <c r="I15" s="177">
        <v>480.80583684778099</v>
      </c>
      <c r="J15" s="177">
        <v>2</v>
      </c>
      <c r="K15" s="177">
        <v>147.72270333927699</v>
      </c>
      <c r="L15" s="177">
        <v>0</v>
      </c>
      <c r="M15" s="177">
        <v>6</v>
      </c>
      <c r="N15" s="177">
        <v>17</v>
      </c>
      <c r="O15" s="177">
        <v>8884.8518693281821</v>
      </c>
      <c r="P15" s="177">
        <v>8</v>
      </c>
      <c r="Q15" s="177">
        <v>16</v>
      </c>
      <c r="R15" s="177">
        <v>82</v>
      </c>
      <c r="S15" s="177">
        <f t="shared" si="0"/>
        <v>1198899.5030102753</v>
      </c>
    </row>
    <row r="16" spans="1:19" x14ac:dyDescent="0.2">
      <c r="A16" s="181"/>
      <c r="B16" s="180">
        <v>9</v>
      </c>
      <c r="C16" s="177">
        <v>1056008.56346108</v>
      </c>
      <c r="D16" s="177">
        <v>2.0473955857952402</v>
      </c>
      <c r="E16" s="177">
        <v>125259.06459180401</v>
      </c>
      <c r="F16" s="177">
        <v>7985.4033139594239</v>
      </c>
      <c r="G16" s="177">
        <v>825.26583389544237</v>
      </c>
      <c r="H16" s="177">
        <v>690.02178799930596</v>
      </c>
      <c r="I16" s="177">
        <v>481.02037120756398</v>
      </c>
      <c r="J16" s="177">
        <v>2</v>
      </c>
      <c r="K16" s="177">
        <v>147.79205645456699</v>
      </c>
      <c r="L16" s="177">
        <v>0</v>
      </c>
      <c r="M16" s="177">
        <v>6</v>
      </c>
      <c r="N16" s="177">
        <v>17</v>
      </c>
      <c r="O16" s="177">
        <v>8905.5373022761614</v>
      </c>
      <c r="P16" s="177">
        <v>8</v>
      </c>
      <c r="Q16" s="177">
        <v>16</v>
      </c>
      <c r="R16" s="177">
        <v>82</v>
      </c>
      <c r="S16" s="177">
        <f t="shared" si="0"/>
        <v>1200435.7161142621</v>
      </c>
    </row>
    <row r="17" spans="1:19" x14ac:dyDescent="0.2">
      <c r="A17" s="181"/>
      <c r="B17" s="180">
        <v>10</v>
      </c>
      <c r="C17" s="177">
        <v>1057450.1445442</v>
      </c>
      <c r="D17" s="177">
        <v>2.0473955857952402</v>
      </c>
      <c r="E17" s="177">
        <v>125371.99956577232</v>
      </c>
      <c r="F17" s="177">
        <v>7997.8290678197855</v>
      </c>
      <c r="G17" s="177">
        <v>825.52953700757269</v>
      </c>
      <c r="H17" s="177">
        <v>637.36269537863905</v>
      </c>
      <c r="I17" s="177">
        <v>481.23499599604497</v>
      </c>
      <c r="J17" s="177">
        <v>2</v>
      </c>
      <c r="K17" s="177">
        <v>147.95313691946899</v>
      </c>
      <c r="L17" s="177">
        <v>0</v>
      </c>
      <c r="M17" s="177">
        <v>6</v>
      </c>
      <c r="N17" s="177">
        <v>17</v>
      </c>
      <c r="O17" s="177">
        <v>8926.8282795794676</v>
      </c>
      <c r="P17" s="177">
        <v>8</v>
      </c>
      <c r="Q17" s="177">
        <v>16</v>
      </c>
      <c r="R17" s="177">
        <v>82</v>
      </c>
      <c r="S17" s="177">
        <f t="shared" si="0"/>
        <v>1201971.9292182594</v>
      </c>
    </row>
    <row r="18" spans="1:19" x14ac:dyDescent="0.2">
      <c r="A18" s="181"/>
      <c r="B18" s="180">
        <v>11</v>
      </c>
      <c r="C18" s="177">
        <v>1059027.81269869</v>
      </c>
      <c r="D18" s="177">
        <v>2.0473955857952402</v>
      </c>
      <c r="E18" s="177">
        <v>125499.09952691224</v>
      </c>
      <c r="F18" s="177">
        <v>8009.8497578447659</v>
      </c>
      <c r="G18" s="177">
        <v>826.315356747436</v>
      </c>
      <c r="H18" s="177">
        <v>576.70173444612396</v>
      </c>
      <c r="I18" s="177">
        <v>481.52865349787896</v>
      </c>
      <c r="J18" s="177">
        <v>2</v>
      </c>
      <c r="K18" s="177">
        <v>148.109979729884</v>
      </c>
      <c r="L18" s="177">
        <v>0</v>
      </c>
      <c r="M18" s="177">
        <v>6</v>
      </c>
      <c r="N18" s="177">
        <v>17</v>
      </c>
      <c r="O18" s="177">
        <v>8943.6083953444595</v>
      </c>
      <c r="P18" s="177">
        <v>8</v>
      </c>
      <c r="Q18" s="177">
        <v>16</v>
      </c>
      <c r="R18" s="177">
        <v>82</v>
      </c>
      <c r="S18" s="177">
        <f t="shared" si="0"/>
        <v>1203646.0734987985</v>
      </c>
    </row>
    <row r="19" spans="1:19" x14ac:dyDescent="0.2">
      <c r="A19" s="179"/>
      <c r="B19" s="178">
        <v>12</v>
      </c>
      <c r="C19" s="177">
        <v>1060605.4808531799</v>
      </c>
      <c r="D19" s="177">
        <v>2.0473955857952402</v>
      </c>
      <c r="E19" s="177">
        <v>125583.87458179182</v>
      </c>
      <c r="F19" s="177">
        <v>8022.2162341169314</v>
      </c>
      <c r="G19" s="177">
        <v>826.95949294579054</v>
      </c>
      <c r="H19" s="177">
        <v>557.92099235279704</v>
      </c>
      <c r="I19" s="177">
        <v>481.822460160395</v>
      </c>
      <c r="J19" s="177">
        <v>2</v>
      </c>
      <c r="K19" s="177">
        <v>148.271537637943</v>
      </c>
      <c r="L19" s="177">
        <v>0</v>
      </c>
      <c r="M19" s="177">
        <v>6</v>
      </c>
      <c r="N19" s="177">
        <v>17</v>
      </c>
      <c r="O19" s="177">
        <v>8960.624231566615</v>
      </c>
      <c r="P19" s="177">
        <v>8</v>
      </c>
      <c r="Q19" s="177">
        <v>16</v>
      </c>
      <c r="R19" s="177">
        <v>82</v>
      </c>
      <c r="S19" s="177">
        <f t="shared" si="0"/>
        <v>1205320.2177793384</v>
      </c>
    </row>
    <row r="20" spans="1:19" x14ac:dyDescent="0.2">
      <c r="A20" s="182">
        <f>A8+1</f>
        <v>2022</v>
      </c>
      <c r="B20" s="182">
        <v>1</v>
      </c>
      <c r="C20" s="177">
        <v>1062183.1490076701</v>
      </c>
      <c r="D20" s="177">
        <v>2.0473955857952402</v>
      </c>
      <c r="E20" s="177">
        <v>125679.85656481954</v>
      </c>
      <c r="F20" s="177">
        <v>8025.7489428024855</v>
      </c>
      <c r="G20" s="177">
        <v>828.11963173377171</v>
      </c>
      <c r="H20" s="177">
        <v>538.07841375949602</v>
      </c>
      <c r="I20" s="177">
        <v>500.11641590927798</v>
      </c>
      <c r="J20" s="177">
        <v>2</v>
      </c>
      <c r="K20" s="177">
        <v>148.312649349286</v>
      </c>
      <c r="L20" s="177">
        <v>0</v>
      </c>
      <c r="M20" s="177">
        <v>6</v>
      </c>
      <c r="N20" s="177">
        <v>17</v>
      </c>
      <c r="O20" s="177">
        <v>8977.5684549146263</v>
      </c>
      <c r="P20" s="177">
        <v>8</v>
      </c>
      <c r="Q20" s="177">
        <v>16</v>
      </c>
      <c r="R20" s="177">
        <v>82</v>
      </c>
      <c r="S20" s="177">
        <f t="shared" si="0"/>
        <v>1207013.9974765445</v>
      </c>
    </row>
    <row r="21" spans="1:19" x14ac:dyDescent="0.2">
      <c r="A21" s="181"/>
      <c r="B21" s="180">
        <v>2</v>
      </c>
      <c r="C21" s="177">
        <v>1063051.91627604</v>
      </c>
      <c r="D21" s="177">
        <v>2.0473955857952402</v>
      </c>
      <c r="E21" s="177">
        <v>125856.01088028376</v>
      </c>
      <c r="F21" s="177">
        <v>8031.5452773987772</v>
      </c>
      <c r="G21" s="177">
        <v>829.05960355522336</v>
      </c>
      <c r="H21" s="177">
        <v>535.798550073466</v>
      </c>
      <c r="I21" s="177">
        <v>500.41598902861097</v>
      </c>
      <c r="J21" s="177">
        <v>2</v>
      </c>
      <c r="K21" s="177">
        <v>148.34870354170701</v>
      </c>
      <c r="L21" s="177">
        <v>0</v>
      </c>
      <c r="M21" s="177">
        <v>6</v>
      </c>
      <c r="N21" s="177">
        <v>17</v>
      </c>
      <c r="O21" s="177">
        <v>8997.2187885616459</v>
      </c>
      <c r="P21" s="177">
        <v>8</v>
      </c>
      <c r="Q21" s="177">
        <v>16</v>
      </c>
      <c r="R21" s="177">
        <v>82</v>
      </c>
      <c r="S21" s="177">
        <f t="shared" si="0"/>
        <v>1208083.361464069</v>
      </c>
    </row>
    <row r="22" spans="1:19" x14ac:dyDescent="0.2">
      <c r="A22" s="181"/>
      <c r="B22" s="180">
        <v>3</v>
      </c>
      <c r="C22" s="177">
        <v>1063920.6835444099</v>
      </c>
      <c r="D22" s="177">
        <v>2.0473955857952402</v>
      </c>
      <c r="E22" s="177">
        <v>126017.92273550357</v>
      </c>
      <c r="F22" s="177">
        <v>8044.5860146563509</v>
      </c>
      <c r="G22" s="177">
        <v>829.90807016625809</v>
      </c>
      <c r="H22" s="177">
        <v>540.28658311363301</v>
      </c>
      <c r="I22" s="177">
        <v>500.71571505359998</v>
      </c>
      <c r="J22" s="177">
        <v>2</v>
      </c>
      <c r="K22" s="177">
        <v>148.52692803172999</v>
      </c>
      <c r="L22" s="177">
        <v>0</v>
      </c>
      <c r="M22" s="177">
        <v>6</v>
      </c>
      <c r="N22" s="177">
        <v>17</v>
      </c>
      <c r="O22" s="177">
        <v>9017.0484650727722</v>
      </c>
      <c r="P22" s="177">
        <v>8</v>
      </c>
      <c r="Q22" s="177">
        <v>16</v>
      </c>
      <c r="R22" s="177">
        <v>82</v>
      </c>
      <c r="S22" s="177">
        <f t="shared" si="0"/>
        <v>1209152.725451594</v>
      </c>
    </row>
    <row r="23" spans="1:19" x14ac:dyDescent="0.2">
      <c r="A23" s="181"/>
      <c r="B23" s="180">
        <v>4</v>
      </c>
      <c r="C23" s="177">
        <v>1064789.4508127901</v>
      </c>
      <c r="D23" s="177">
        <v>2.0473955857952402</v>
      </c>
      <c r="E23" s="177">
        <v>126149.49053409821</v>
      </c>
      <c r="F23" s="177">
        <v>8056.6062001222963</v>
      </c>
      <c r="G23" s="177">
        <v>830.85412375530018</v>
      </c>
      <c r="H23" s="177">
        <v>575.29929620536996</v>
      </c>
      <c r="I23" s="177">
        <v>501.01559390810002</v>
      </c>
      <c r="J23" s="177">
        <v>2</v>
      </c>
      <c r="K23" s="177">
        <v>148.68615161659699</v>
      </c>
      <c r="L23" s="177">
        <v>0</v>
      </c>
      <c r="M23" s="177">
        <v>6</v>
      </c>
      <c r="N23" s="177">
        <v>17</v>
      </c>
      <c r="O23" s="177">
        <v>9037.6393310467192</v>
      </c>
      <c r="P23" s="177">
        <v>8</v>
      </c>
      <c r="Q23" s="177">
        <v>16</v>
      </c>
      <c r="R23" s="177">
        <v>82</v>
      </c>
      <c r="S23" s="177">
        <f t="shared" si="0"/>
        <v>1210222.0894391283</v>
      </c>
    </row>
    <row r="24" spans="1:19" x14ac:dyDescent="0.2">
      <c r="A24" s="181"/>
      <c r="B24" s="180">
        <v>5</v>
      </c>
      <c r="C24" s="177">
        <v>1065578.7917718501</v>
      </c>
      <c r="D24" s="177">
        <v>2.0473955857952402</v>
      </c>
      <c r="E24" s="177">
        <v>126303.14437060623</v>
      </c>
      <c r="F24" s="177">
        <v>8068.0132335451663</v>
      </c>
      <c r="G24" s="177">
        <v>832.0932760454026</v>
      </c>
      <c r="H24" s="177">
        <v>636.91304051175302</v>
      </c>
      <c r="I24" s="177">
        <v>501.27814221578097</v>
      </c>
      <c r="J24" s="177">
        <v>2</v>
      </c>
      <c r="K24" s="177">
        <v>148.837151047123</v>
      </c>
      <c r="L24" s="177">
        <v>0</v>
      </c>
      <c r="M24" s="177">
        <v>6</v>
      </c>
      <c r="N24" s="177">
        <v>17</v>
      </c>
      <c r="O24" s="177">
        <v>9057.016879035029</v>
      </c>
      <c r="P24" s="177">
        <v>8</v>
      </c>
      <c r="Q24" s="177">
        <v>16</v>
      </c>
      <c r="R24" s="177">
        <v>82</v>
      </c>
      <c r="S24" s="177">
        <f t="shared" si="0"/>
        <v>1211259.1352604423</v>
      </c>
    </row>
    <row r="25" spans="1:19" x14ac:dyDescent="0.2">
      <c r="A25" s="181"/>
      <c r="B25" s="180">
        <v>6</v>
      </c>
      <c r="C25" s="177">
        <v>1066368.1327309201</v>
      </c>
      <c r="D25" s="177">
        <v>2.0473955857952402</v>
      </c>
      <c r="E25" s="177">
        <v>126488.26432866005</v>
      </c>
      <c r="F25" s="177">
        <v>8078.6438988718673</v>
      </c>
      <c r="G25" s="177">
        <v>832.97959516039464</v>
      </c>
      <c r="H25" s="177">
        <v>667.715415491724</v>
      </c>
      <c r="I25" s="177">
        <v>501.54081294827495</v>
      </c>
      <c r="J25" s="177">
        <v>2</v>
      </c>
      <c r="K25" s="177">
        <v>148.96917468202099</v>
      </c>
      <c r="L25" s="177">
        <v>0</v>
      </c>
      <c r="M25" s="177">
        <v>6</v>
      </c>
      <c r="N25" s="177">
        <v>17</v>
      </c>
      <c r="O25" s="177">
        <v>9076.8877294458798</v>
      </c>
      <c r="P25" s="177">
        <v>8</v>
      </c>
      <c r="Q25" s="177">
        <v>16</v>
      </c>
      <c r="R25" s="177">
        <v>82</v>
      </c>
      <c r="S25" s="177">
        <f t="shared" si="0"/>
        <v>1212296.181081766</v>
      </c>
    </row>
    <row r="26" spans="1:19" x14ac:dyDescent="0.2">
      <c r="A26" s="181"/>
      <c r="B26" s="180">
        <v>7</v>
      </c>
      <c r="C26" s="177">
        <v>1067157.4736899899</v>
      </c>
      <c r="D26" s="177">
        <v>2.0473955857952402</v>
      </c>
      <c r="E26" s="177">
        <v>126680.29372761351</v>
      </c>
      <c r="F26" s="177">
        <v>8089.6626488342899</v>
      </c>
      <c r="G26" s="177">
        <v>834.35924906085052</v>
      </c>
      <c r="H26" s="177">
        <v>690.71021811155595</v>
      </c>
      <c r="I26" s="177">
        <v>501.80360604464801</v>
      </c>
      <c r="J26" s="177">
        <v>2</v>
      </c>
      <c r="K26" s="177">
        <v>149.114224056528</v>
      </c>
      <c r="L26" s="177">
        <v>0</v>
      </c>
      <c r="M26" s="177">
        <v>6</v>
      </c>
      <c r="N26" s="177">
        <v>17</v>
      </c>
      <c r="O26" s="177">
        <v>9096.7621437926646</v>
      </c>
      <c r="P26" s="177">
        <v>8</v>
      </c>
      <c r="Q26" s="177">
        <v>16</v>
      </c>
      <c r="R26" s="177">
        <v>82</v>
      </c>
      <c r="S26" s="177">
        <f t="shared" si="0"/>
        <v>1213333.2269030896</v>
      </c>
    </row>
    <row r="27" spans="1:19" x14ac:dyDescent="0.2">
      <c r="A27" s="181"/>
      <c r="B27" s="180">
        <v>8</v>
      </c>
      <c r="C27" s="177">
        <v>1068496.6780677701</v>
      </c>
      <c r="D27" s="177">
        <v>2.0473955857952402</v>
      </c>
      <c r="E27" s="177">
        <v>126766.43006658246</v>
      </c>
      <c r="F27" s="177">
        <v>8094.850780093816</v>
      </c>
      <c r="G27" s="177">
        <v>835.52934506745214</v>
      </c>
      <c r="H27" s="177">
        <v>704.65852458610505</v>
      </c>
      <c r="I27" s="177">
        <v>502.01067528108297</v>
      </c>
      <c r="J27" s="177">
        <v>2</v>
      </c>
      <c r="K27" s="177">
        <v>149.14284922726799</v>
      </c>
      <c r="L27" s="177">
        <v>0</v>
      </c>
      <c r="M27" s="177">
        <v>6</v>
      </c>
      <c r="N27" s="177">
        <v>17</v>
      </c>
      <c r="O27" s="177">
        <v>9117.4813256268008</v>
      </c>
      <c r="P27" s="177">
        <v>8</v>
      </c>
      <c r="Q27" s="177">
        <v>16</v>
      </c>
      <c r="R27" s="177">
        <v>82</v>
      </c>
      <c r="S27" s="177">
        <f t="shared" si="0"/>
        <v>1214799.8290298209</v>
      </c>
    </row>
    <row r="28" spans="1:19" x14ac:dyDescent="0.2">
      <c r="A28" s="181"/>
      <c r="B28" s="180">
        <v>9</v>
      </c>
      <c r="C28" s="177">
        <v>1069835.8824455601</v>
      </c>
      <c r="D28" s="177">
        <v>2.0473955857952402</v>
      </c>
      <c r="E28" s="177">
        <v>126870.04162026967</v>
      </c>
      <c r="F28" s="177">
        <v>8103.8800540662578</v>
      </c>
      <c r="G28" s="177">
        <v>837.30592191590006</v>
      </c>
      <c r="H28" s="177">
        <v>696.84674054346897</v>
      </c>
      <c r="I28" s="177">
        <v>502.21782751210799</v>
      </c>
      <c r="J28" s="177">
        <v>2</v>
      </c>
      <c r="K28" s="177">
        <v>149.25385634154</v>
      </c>
      <c r="L28" s="177">
        <v>0</v>
      </c>
      <c r="M28" s="177">
        <v>6</v>
      </c>
      <c r="N28" s="177">
        <v>17</v>
      </c>
      <c r="O28" s="177">
        <v>9137.9552947669617</v>
      </c>
      <c r="P28" s="177">
        <v>8</v>
      </c>
      <c r="Q28" s="177">
        <v>16</v>
      </c>
      <c r="R28" s="177">
        <v>82</v>
      </c>
      <c r="S28" s="177">
        <f t="shared" si="0"/>
        <v>1216266.4311565617</v>
      </c>
    </row>
    <row r="29" spans="1:19" x14ac:dyDescent="0.2">
      <c r="A29" s="181"/>
      <c r="B29" s="180">
        <v>10</v>
      </c>
      <c r="C29" s="177">
        <v>1071175.0868233501</v>
      </c>
      <c r="D29" s="177">
        <v>2.0473955857952402</v>
      </c>
      <c r="E29" s="177">
        <v>127013.89768886616</v>
      </c>
      <c r="F29" s="177">
        <v>8118.0701328538626</v>
      </c>
      <c r="G29" s="177">
        <v>838.18615071784188</v>
      </c>
      <c r="H29" s="177">
        <v>643.84143554971104</v>
      </c>
      <c r="I29" s="177">
        <v>502.42506269643701</v>
      </c>
      <c r="J29" s="177">
        <v>2</v>
      </c>
      <c r="K29" s="177">
        <v>149.45706857180201</v>
      </c>
      <c r="L29" s="177">
        <v>0</v>
      </c>
      <c r="M29" s="177">
        <v>6</v>
      </c>
      <c r="N29" s="177">
        <v>17</v>
      </c>
      <c r="O29" s="177">
        <v>9159.0215251111113</v>
      </c>
      <c r="P29" s="177">
        <v>8</v>
      </c>
      <c r="Q29" s="177">
        <v>16</v>
      </c>
      <c r="R29" s="177">
        <v>82</v>
      </c>
      <c r="S29" s="177">
        <f t="shared" si="0"/>
        <v>1217733.0332833028</v>
      </c>
    </row>
    <row r="30" spans="1:19" x14ac:dyDescent="0.2">
      <c r="A30" s="181"/>
      <c r="B30" s="180">
        <v>11</v>
      </c>
      <c r="C30" s="177">
        <v>1072692.2388860499</v>
      </c>
      <c r="D30" s="177">
        <v>2.0473955857952402</v>
      </c>
      <c r="E30" s="177">
        <v>127148.51601334591</v>
      </c>
      <c r="F30" s="177">
        <v>8130.0981453283584</v>
      </c>
      <c r="G30" s="177">
        <v>839.91679370014515</v>
      </c>
      <c r="H30" s="177">
        <v>582.60972030936398</v>
      </c>
      <c r="I30" s="177">
        <v>502.61856802924399</v>
      </c>
      <c r="J30" s="177">
        <v>2</v>
      </c>
      <c r="K30" s="177">
        <v>149.627283414239</v>
      </c>
      <c r="L30" s="177">
        <v>0</v>
      </c>
      <c r="M30" s="177">
        <v>6</v>
      </c>
      <c r="N30" s="177">
        <v>17</v>
      </c>
      <c r="O30" s="177">
        <v>9175.2605147355243</v>
      </c>
      <c r="P30" s="177">
        <v>8</v>
      </c>
      <c r="Q30" s="177">
        <v>16</v>
      </c>
      <c r="R30" s="177">
        <v>82</v>
      </c>
      <c r="S30" s="177">
        <f t="shared" si="0"/>
        <v>1219353.9333204983</v>
      </c>
    </row>
    <row r="31" spans="1:19" x14ac:dyDescent="0.2">
      <c r="A31" s="179"/>
      <c r="B31" s="178">
        <v>12</v>
      </c>
      <c r="C31" s="177">
        <v>1074209.3909487501</v>
      </c>
      <c r="D31" s="177">
        <v>2.0473955857952402</v>
      </c>
      <c r="E31" s="177">
        <v>127240.49328075416</v>
      </c>
      <c r="F31" s="177">
        <v>8142.4838805973577</v>
      </c>
      <c r="G31" s="177">
        <v>841.39347992896353</v>
      </c>
      <c r="H31" s="177">
        <v>563.68030840708195</v>
      </c>
      <c r="I31" s="177">
        <v>502.812142731069</v>
      </c>
      <c r="J31" s="177">
        <v>2</v>
      </c>
      <c r="K31" s="177">
        <v>149.80211752078799</v>
      </c>
      <c r="L31" s="177">
        <v>0</v>
      </c>
      <c r="M31" s="177">
        <v>6</v>
      </c>
      <c r="N31" s="177">
        <v>17</v>
      </c>
      <c r="O31" s="177">
        <v>9191.7298034192791</v>
      </c>
      <c r="P31" s="177">
        <v>8</v>
      </c>
      <c r="Q31" s="177">
        <v>16</v>
      </c>
      <c r="R31" s="177">
        <v>82</v>
      </c>
      <c r="S31" s="177">
        <f t="shared" si="0"/>
        <v>1220974.8333576948</v>
      </c>
    </row>
    <row r="32" spans="1:19" x14ac:dyDescent="0.2">
      <c r="A32" s="182">
        <f>A20+1</f>
        <v>2023</v>
      </c>
      <c r="B32" s="182">
        <v>1</v>
      </c>
      <c r="C32" s="177">
        <v>1075726.54301145</v>
      </c>
      <c r="D32" s="177">
        <v>2.0473955857952402</v>
      </c>
      <c r="E32" s="177">
        <v>127344.67318010992</v>
      </c>
      <c r="F32" s="177">
        <v>8143.9609800950175</v>
      </c>
      <c r="G32" s="177">
        <v>845.88361917013697</v>
      </c>
      <c r="H32" s="177">
        <v>543.675879674886</v>
      </c>
      <c r="I32" s="177">
        <v>504.005786767421</v>
      </c>
      <c r="J32" s="177">
        <v>2</v>
      </c>
      <c r="K32" s="177">
        <v>149.85550068530901</v>
      </c>
      <c r="L32" s="177">
        <v>0</v>
      </c>
      <c r="M32" s="177">
        <v>6</v>
      </c>
      <c r="N32" s="177">
        <v>17</v>
      </c>
      <c r="O32" s="177">
        <v>9208.1267913519405</v>
      </c>
      <c r="P32" s="177">
        <v>8</v>
      </c>
      <c r="Q32" s="177">
        <v>16</v>
      </c>
      <c r="R32" s="177">
        <v>82</v>
      </c>
      <c r="S32" s="177">
        <f t="shared" si="0"/>
        <v>1222599.7721448904</v>
      </c>
    </row>
    <row r="33" spans="1:19" x14ac:dyDescent="0.2">
      <c r="A33" s="181"/>
      <c r="B33" s="180">
        <v>2</v>
      </c>
      <c r="C33" s="177">
        <v>1076676.4003800801</v>
      </c>
      <c r="D33" s="177">
        <v>2.0473955857952402</v>
      </c>
      <c r="E33" s="177">
        <v>127512.18104609166</v>
      </c>
      <c r="F33" s="177">
        <v>8149.8877997115878</v>
      </c>
      <c r="G33" s="177">
        <v>848.51778766735993</v>
      </c>
      <c r="H33" s="177">
        <v>541.34383661881202</v>
      </c>
      <c r="I33" s="177">
        <v>504.19507649973002</v>
      </c>
      <c r="J33" s="177">
        <v>2</v>
      </c>
      <c r="K33" s="177">
        <v>149.884049372069</v>
      </c>
      <c r="L33" s="177">
        <v>0</v>
      </c>
      <c r="M33" s="177">
        <v>6</v>
      </c>
      <c r="N33" s="177">
        <v>17</v>
      </c>
      <c r="O33" s="177">
        <v>9227.04099805654</v>
      </c>
      <c r="P33" s="177">
        <v>8</v>
      </c>
      <c r="Q33" s="177">
        <v>16</v>
      </c>
      <c r="R33" s="177">
        <v>82</v>
      </c>
      <c r="S33" s="177">
        <f t="shared" si="0"/>
        <v>1223742.498369684</v>
      </c>
    </row>
    <row r="34" spans="1:19" x14ac:dyDescent="0.2">
      <c r="A34" s="181"/>
      <c r="B34" s="180">
        <v>3</v>
      </c>
      <c r="C34" s="177">
        <v>1077626.25774872</v>
      </c>
      <c r="D34" s="177">
        <v>2.0473955857952402</v>
      </c>
      <c r="E34" s="177">
        <v>127665.45226776073</v>
      </c>
      <c r="F34" s="177">
        <v>8163.2460393403881</v>
      </c>
      <c r="G34" s="177">
        <v>850.80139959724681</v>
      </c>
      <c r="H34" s="177">
        <v>545.84761880022995</v>
      </c>
      <c r="I34" s="177">
        <v>504.38443128102995</v>
      </c>
      <c r="J34" s="177">
        <v>2</v>
      </c>
      <c r="K34" s="177">
        <v>150.055678833657</v>
      </c>
      <c r="L34" s="177">
        <v>0</v>
      </c>
      <c r="M34" s="177">
        <v>6</v>
      </c>
      <c r="N34" s="177">
        <v>17</v>
      </c>
      <c r="O34" s="177">
        <v>9246.132014567549</v>
      </c>
      <c r="P34" s="177">
        <v>8</v>
      </c>
      <c r="Q34" s="177">
        <v>16</v>
      </c>
      <c r="R34" s="177">
        <v>82</v>
      </c>
      <c r="S34" s="177">
        <f t="shared" si="0"/>
        <v>1224885.2245944864</v>
      </c>
    </row>
    <row r="35" spans="1:19" x14ac:dyDescent="0.2">
      <c r="A35" s="181"/>
      <c r="B35" s="180">
        <v>4</v>
      </c>
      <c r="C35" s="177">
        <v>1078576.1151173499</v>
      </c>
      <c r="D35" s="177">
        <v>2.0473955857952402</v>
      </c>
      <c r="E35" s="177">
        <v>127788.03460646591</v>
      </c>
      <c r="F35" s="177">
        <v>8175.5121519485319</v>
      </c>
      <c r="G35" s="177">
        <v>853.29690887572463</v>
      </c>
      <c r="H35" s="177">
        <v>581.18783332656005</v>
      </c>
      <c r="I35" s="177">
        <v>504.57385107899501</v>
      </c>
      <c r="J35" s="177">
        <v>2</v>
      </c>
      <c r="K35" s="177">
        <v>150.20804453212099</v>
      </c>
      <c r="L35" s="177">
        <v>0</v>
      </c>
      <c r="M35" s="177">
        <v>6</v>
      </c>
      <c r="N35" s="177">
        <v>17</v>
      </c>
      <c r="O35" s="177">
        <v>9265.9749101162324</v>
      </c>
      <c r="P35" s="177">
        <v>8</v>
      </c>
      <c r="Q35" s="177">
        <v>16</v>
      </c>
      <c r="R35" s="177">
        <v>82</v>
      </c>
      <c r="S35" s="177">
        <f t="shared" si="0"/>
        <v>1226027.95081928</v>
      </c>
    </row>
    <row r="36" spans="1:19" x14ac:dyDescent="0.2">
      <c r="A36" s="181"/>
      <c r="B36" s="180">
        <v>5</v>
      </c>
      <c r="C36" s="177">
        <v>1079403.7682966799</v>
      </c>
      <c r="D36" s="177">
        <v>2.0473955857952402</v>
      </c>
      <c r="E36" s="177">
        <v>127933.27479651103</v>
      </c>
      <c r="F36" s="177">
        <v>8186.8102905340711</v>
      </c>
      <c r="G36" s="177">
        <v>856.8573995429806</v>
      </c>
      <c r="H36" s="177">
        <v>643.39934909329304</v>
      </c>
      <c r="I36" s="177">
        <v>505.758206581639</v>
      </c>
      <c r="J36" s="177">
        <v>2</v>
      </c>
      <c r="K36" s="177">
        <v>150.35290536314901</v>
      </c>
      <c r="L36" s="177">
        <v>0</v>
      </c>
      <c r="M36" s="177">
        <v>6</v>
      </c>
      <c r="N36" s="177">
        <v>17</v>
      </c>
      <c r="O36" s="177">
        <v>9284.5687368440485</v>
      </c>
      <c r="P36" s="177">
        <v>8</v>
      </c>
      <c r="Q36" s="177">
        <v>16</v>
      </c>
      <c r="R36" s="177">
        <v>82</v>
      </c>
      <c r="S36" s="177">
        <f t="shared" si="0"/>
        <v>1227097.8373767359</v>
      </c>
    </row>
    <row r="37" spans="1:19" x14ac:dyDescent="0.2">
      <c r="A37" s="181"/>
      <c r="B37" s="180">
        <v>6</v>
      </c>
      <c r="C37" s="177">
        <v>1080231.42147601</v>
      </c>
      <c r="D37" s="177">
        <v>2.0473955857952402</v>
      </c>
      <c r="E37" s="177">
        <v>128110.69239799806</v>
      </c>
      <c r="F37" s="177">
        <v>8197.6635384451547</v>
      </c>
      <c r="G37" s="177">
        <v>859.34700425575397</v>
      </c>
      <c r="H37" s="177">
        <v>674.48075351831096</v>
      </c>
      <c r="I37" s="177">
        <v>505.94262079152202</v>
      </c>
      <c r="J37" s="177">
        <v>2</v>
      </c>
      <c r="K37" s="177">
        <v>150.47854049698199</v>
      </c>
      <c r="L37" s="177">
        <v>0</v>
      </c>
      <c r="M37" s="177">
        <v>6</v>
      </c>
      <c r="N37" s="177">
        <v>17</v>
      </c>
      <c r="O37" s="177">
        <v>9303.6502070905244</v>
      </c>
      <c r="P37" s="177">
        <v>8</v>
      </c>
      <c r="Q37" s="177">
        <v>16</v>
      </c>
      <c r="R37" s="177">
        <v>82</v>
      </c>
      <c r="S37" s="177">
        <f t="shared" si="0"/>
        <v>1228166.7239341922</v>
      </c>
    </row>
    <row r="38" spans="1:19" x14ac:dyDescent="0.2">
      <c r="A38" s="181"/>
      <c r="B38" s="180">
        <v>7</v>
      </c>
      <c r="C38" s="177">
        <v>1081059.0746553501</v>
      </c>
      <c r="D38" s="177">
        <v>2.0473955857952402</v>
      </c>
      <c r="E38" s="177">
        <v>128294.61926472804</v>
      </c>
      <c r="F38" s="177">
        <v>8208.4284765211887</v>
      </c>
      <c r="G38" s="177">
        <v>863.28865271958944</v>
      </c>
      <c r="H38" s="177">
        <v>697.67207153490801</v>
      </c>
      <c r="I38" s="177">
        <v>506.12709367948099</v>
      </c>
      <c r="J38" s="177">
        <v>2</v>
      </c>
      <c r="K38" s="177">
        <v>150.617186288732</v>
      </c>
      <c r="L38" s="177">
        <v>0</v>
      </c>
      <c r="M38" s="177">
        <v>6</v>
      </c>
      <c r="N38" s="177">
        <v>17</v>
      </c>
      <c r="O38" s="177">
        <v>9322.7356952506198</v>
      </c>
      <c r="P38" s="177">
        <v>8</v>
      </c>
      <c r="Q38" s="177">
        <v>16</v>
      </c>
      <c r="R38" s="177">
        <v>82</v>
      </c>
      <c r="S38" s="177">
        <f t="shared" si="0"/>
        <v>1229235.6104916586</v>
      </c>
    </row>
    <row r="39" spans="1:19" x14ac:dyDescent="0.2">
      <c r="A39" s="181"/>
      <c r="B39" s="180">
        <v>8</v>
      </c>
      <c r="C39" s="177">
        <v>1082396.8389955999</v>
      </c>
      <c r="D39" s="177">
        <v>2.0473955857952402</v>
      </c>
      <c r="E39" s="177">
        <v>128379.75511154404</v>
      </c>
      <c r="F39" s="177">
        <v>8213.9295971018491</v>
      </c>
      <c r="G39" s="177">
        <v>866.91967567903839</v>
      </c>
      <c r="H39" s="177">
        <v>711.77063172011901</v>
      </c>
      <c r="I39" s="177">
        <v>506.30895374644399</v>
      </c>
      <c r="J39" s="177">
        <v>2</v>
      </c>
      <c r="K39" s="177">
        <v>150.64814560128099</v>
      </c>
      <c r="L39" s="177">
        <v>0</v>
      </c>
      <c r="M39" s="177">
        <v>6</v>
      </c>
      <c r="N39" s="177">
        <v>17</v>
      </c>
      <c r="O39" s="177">
        <v>9342.695191323488</v>
      </c>
      <c r="P39" s="177">
        <v>8</v>
      </c>
      <c r="Q39" s="177">
        <v>16</v>
      </c>
      <c r="R39" s="177">
        <v>82</v>
      </c>
      <c r="S39" s="177">
        <f t="shared" si="0"/>
        <v>1230701.9136979019</v>
      </c>
    </row>
    <row r="40" spans="1:19" x14ac:dyDescent="0.2">
      <c r="A40" s="181"/>
      <c r="B40" s="180">
        <v>9</v>
      </c>
      <c r="C40" s="177">
        <v>1083734.60333586</v>
      </c>
      <c r="D40" s="177">
        <v>2.0473955857952402</v>
      </c>
      <c r="E40" s="177">
        <v>128481.94898264075</v>
      </c>
      <c r="F40" s="177">
        <v>8222.7117570518858</v>
      </c>
      <c r="G40" s="177">
        <v>872.3515117404246</v>
      </c>
      <c r="H40" s="177">
        <v>703.88790002751603</v>
      </c>
      <c r="I40" s="177">
        <v>506.490866136281</v>
      </c>
      <c r="J40" s="177">
        <v>2</v>
      </c>
      <c r="K40" s="177">
        <v>150.76196443040101</v>
      </c>
      <c r="L40" s="177">
        <v>0</v>
      </c>
      <c r="M40" s="177">
        <v>6</v>
      </c>
      <c r="N40" s="177">
        <v>17</v>
      </c>
      <c r="O40" s="177">
        <v>9362.4131906828625</v>
      </c>
      <c r="P40" s="177">
        <v>8</v>
      </c>
      <c r="Q40" s="177">
        <v>16</v>
      </c>
      <c r="R40" s="177">
        <v>82</v>
      </c>
      <c r="S40" s="177">
        <f t="shared" si="0"/>
        <v>1232168.2169041557</v>
      </c>
    </row>
    <row r="41" spans="1:19" x14ac:dyDescent="0.2">
      <c r="A41" s="181"/>
      <c r="B41" s="180">
        <v>10</v>
      </c>
      <c r="C41" s="177">
        <v>1085072.36767611</v>
      </c>
      <c r="D41" s="177">
        <v>2.0473955857952402</v>
      </c>
      <c r="E41" s="177">
        <v>128625.71090270633</v>
      </c>
      <c r="F41" s="177">
        <v>8237.6093342211279</v>
      </c>
      <c r="G41" s="177">
        <v>875.07391382629442</v>
      </c>
      <c r="H41" s="177">
        <v>650.35270744170396</v>
      </c>
      <c r="I41" s="177">
        <v>506.67283082301401</v>
      </c>
      <c r="J41" s="177">
        <v>2</v>
      </c>
      <c r="K41" s="177">
        <v>150.96855192145699</v>
      </c>
      <c r="L41" s="177">
        <v>0</v>
      </c>
      <c r="M41" s="177">
        <v>6</v>
      </c>
      <c r="N41" s="177">
        <v>17</v>
      </c>
      <c r="O41" s="177">
        <v>9382.7167977639328</v>
      </c>
      <c r="P41" s="177">
        <v>8</v>
      </c>
      <c r="Q41" s="177">
        <v>16</v>
      </c>
      <c r="R41" s="177">
        <v>82</v>
      </c>
      <c r="S41" s="177">
        <f t="shared" si="0"/>
        <v>1233634.5201103997</v>
      </c>
    </row>
    <row r="42" spans="1:19" x14ac:dyDescent="0.2">
      <c r="A42" s="181"/>
      <c r="B42" s="180">
        <v>11</v>
      </c>
      <c r="C42" s="177">
        <v>1086612.5719619901</v>
      </c>
      <c r="D42" s="177">
        <v>2.0473955857952402</v>
      </c>
      <c r="E42" s="177">
        <v>128758.30029648273</v>
      </c>
      <c r="F42" s="177">
        <v>8249.2987217212431</v>
      </c>
      <c r="G42" s="177">
        <v>880.42929870403407</v>
      </c>
      <c r="H42" s="177">
        <v>588.50262594017101</v>
      </c>
      <c r="I42" s="177">
        <v>506.844133622394</v>
      </c>
      <c r="J42" s="177">
        <v>2</v>
      </c>
      <c r="K42" s="177">
        <v>151.14071415563799</v>
      </c>
      <c r="L42" s="177">
        <v>0</v>
      </c>
      <c r="M42" s="177">
        <v>6</v>
      </c>
      <c r="N42" s="177">
        <v>17</v>
      </c>
      <c r="O42" s="177">
        <v>9398.2186828943486</v>
      </c>
      <c r="P42" s="177">
        <v>8</v>
      </c>
      <c r="Q42" s="177">
        <v>16</v>
      </c>
      <c r="R42" s="177">
        <v>82</v>
      </c>
      <c r="S42" s="177">
        <f t="shared" si="0"/>
        <v>1235278.3538310963</v>
      </c>
    </row>
    <row r="43" spans="1:19" x14ac:dyDescent="0.2">
      <c r="A43" s="179"/>
      <c r="B43" s="178">
        <v>12</v>
      </c>
      <c r="C43" s="177">
        <v>1088152.7762478699</v>
      </c>
      <c r="D43" s="177">
        <v>2.0473955857952402</v>
      </c>
      <c r="E43" s="177">
        <v>128848.1166702164</v>
      </c>
      <c r="F43" s="177">
        <v>8261.5696539304154</v>
      </c>
      <c r="G43" s="177">
        <v>885.01370745056181</v>
      </c>
      <c r="H43" s="177">
        <v>569.38215615242905</v>
      </c>
      <c r="I43" s="177">
        <v>507.01548093018005</v>
      </c>
      <c r="J43" s="177">
        <v>2</v>
      </c>
      <c r="K43" s="177">
        <v>151.31742478501999</v>
      </c>
      <c r="L43" s="177">
        <v>0</v>
      </c>
      <c r="M43" s="177">
        <v>6</v>
      </c>
      <c r="N43" s="177">
        <v>17</v>
      </c>
      <c r="O43" s="177">
        <v>9413.9488148723158</v>
      </c>
      <c r="P43" s="177">
        <v>8</v>
      </c>
      <c r="Q43" s="177">
        <v>16</v>
      </c>
      <c r="R43" s="177">
        <v>82</v>
      </c>
      <c r="S43" s="177">
        <f t="shared" si="0"/>
        <v>1236922.1875517934</v>
      </c>
    </row>
    <row r="44" spans="1:19" x14ac:dyDescent="0.2">
      <c r="A44" s="182">
        <f>A32+1</f>
        <v>2024</v>
      </c>
      <c r="B44" s="182">
        <v>1</v>
      </c>
      <c r="C44" s="177">
        <v>1089692.98053375</v>
      </c>
      <c r="D44" s="177">
        <v>2.0473955857952402</v>
      </c>
      <c r="E44" s="177">
        <v>128950.56649453273</v>
      </c>
      <c r="F44" s="177">
        <v>8260.9351001249306</v>
      </c>
      <c r="G44" s="177">
        <v>894.46367163244406</v>
      </c>
      <c r="H44" s="177">
        <v>549.17657322075604</v>
      </c>
      <c r="I44" s="177">
        <v>507.186872724284</v>
      </c>
      <c r="J44" s="177">
        <v>2</v>
      </c>
      <c r="K44" s="177">
        <v>151.37167827613001</v>
      </c>
      <c r="L44" s="177">
        <v>0</v>
      </c>
      <c r="M44" s="177">
        <v>6</v>
      </c>
      <c r="N44" s="177">
        <v>17</v>
      </c>
      <c r="O44" s="177">
        <v>9429.6083693094661</v>
      </c>
      <c r="P44" s="177">
        <v>8</v>
      </c>
      <c r="Q44" s="177">
        <v>16</v>
      </c>
      <c r="R44" s="177">
        <v>82</v>
      </c>
      <c r="S44" s="177">
        <f t="shared" si="0"/>
        <v>1238569.3366891562</v>
      </c>
    </row>
    <row r="45" spans="1:19" x14ac:dyDescent="0.2">
      <c r="A45" s="181"/>
      <c r="B45" s="180">
        <v>2</v>
      </c>
      <c r="C45" s="177">
        <v>1090654.6298660999</v>
      </c>
      <c r="D45" s="177">
        <v>2.0473955857952402</v>
      </c>
      <c r="E45" s="177">
        <v>129115.98849278122</v>
      </c>
      <c r="F45" s="177">
        <v>8267.604755029417</v>
      </c>
      <c r="G45" s="177">
        <v>898.65563801223016</v>
      </c>
      <c r="H45" s="177">
        <v>546.81591231330196</v>
      </c>
      <c r="I45" s="177">
        <v>507.347898606792</v>
      </c>
      <c r="J45" s="177">
        <v>2</v>
      </c>
      <c r="K45" s="177">
        <v>151.39912501915401</v>
      </c>
      <c r="L45" s="177">
        <v>0</v>
      </c>
      <c r="M45" s="177">
        <v>6</v>
      </c>
      <c r="N45" s="177">
        <v>17</v>
      </c>
      <c r="O45" s="177">
        <v>9447.8188162088663</v>
      </c>
      <c r="P45" s="177">
        <v>8</v>
      </c>
      <c r="Q45" s="177">
        <v>16</v>
      </c>
      <c r="R45" s="177">
        <v>82</v>
      </c>
      <c r="S45" s="177">
        <f t="shared" si="0"/>
        <v>1239723.3078996567</v>
      </c>
    </row>
    <row r="46" spans="1:19" x14ac:dyDescent="0.2">
      <c r="A46" s="181"/>
      <c r="B46" s="180">
        <v>3</v>
      </c>
      <c r="C46" s="177">
        <v>1091616.27919844</v>
      </c>
      <c r="D46" s="177">
        <v>2.0473955857952402</v>
      </c>
      <c r="E46" s="177">
        <v>129267.24573888752</v>
      </c>
      <c r="F46" s="177">
        <v>8281.9394934244756</v>
      </c>
      <c r="G46" s="177">
        <v>902.12455814923851</v>
      </c>
      <c r="H46" s="177">
        <v>551.35842121258997</v>
      </c>
      <c r="I46" s="177">
        <v>507.50896327000999</v>
      </c>
      <c r="J46" s="177">
        <v>2</v>
      </c>
      <c r="K46" s="177">
        <v>151.57062030893999</v>
      </c>
      <c r="L46" s="177">
        <v>0</v>
      </c>
      <c r="M46" s="177">
        <v>6</v>
      </c>
      <c r="N46" s="177">
        <v>17</v>
      </c>
      <c r="O46" s="177">
        <v>9466.2047208683962</v>
      </c>
      <c r="P46" s="177">
        <v>8</v>
      </c>
      <c r="Q46" s="177">
        <v>16</v>
      </c>
      <c r="R46" s="177">
        <v>82</v>
      </c>
      <c r="S46" s="177">
        <f t="shared" si="0"/>
        <v>1240877.2791101469</v>
      </c>
    </row>
    <row r="47" spans="1:19" x14ac:dyDescent="0.2">
      <c r="A47" s="181"/>
      <c r="B47" s="180">
        <v>4</v>
      </c>
      <c r="C47" s="177">
        <v>1092577.9285307899</v>
      </c>
      <c r="D47" s="177">
        <v>2.0473955857952402</v>
      </c>
      <c r="E47" s="177">
        <v>129387.29244889988</v>
      </c>
      <c r="F47" s="177">
        <v>8294.9247187413421</v>
      </c>
      <c r="G47" s="177">
        <v>906.28261528902794</v>
      </c>
      <c r="H47" s="177">
        <v>587.04802754590401</v>
      </c>
      <c r="I47" s="177">
        <v>507.67006669470197</v>
      </c>
      <c r="J47" s="177">
        <v>2</v>
      </c>
      <c r="K47" s="177">
        <v>151.72261222227399</v>
      </c>
      <c r="L47" s="177">
        <v>0</v>
      </c>
      <c r="M47" s="177">
        <v>6</v>
      </c>
      <c r="N47" s="177">
        <v>17</v>
      </c>
      <c r="O47" s="177">
        <v>9485.3339048782036</v>
      </c>
      <c r="P47" s="177">
        <v>8</v>
      </c>
      <c r="Q47" s="177">
        <v>16</v>
      </c>
      <c r="R47" s="177">
        <v>82</v>
      </c>
      <c r="S47" s="177">
        <f t="shared" si="0"/>
        <v>1242031.2503206471</v>
      </c>
    </row>
    <row r="48" spans="1:19" x14ac:dyDescent="0.2">
      <c r="A48" s="181"/>
      <c r="B48" s="180">
        <v>5</v>
      </c>
      <c r="C48" s="177">
        <v>1093410.3638253</v>
      </c>
      <c r="D48" s="177">
        <v>2.0473955857952402</v>
      </c>
      <c r="E48" s="177">
        <v>129527.3328707029</v>
      </c>
      <c r="F48" s="177">
        <v>8305.9547216740211</v>
      </c>
      <c r="G48" s="177">
        <v>913.10661593175337</v>
      </c>
      <c r="H48" s="177">
        <v>649.86793572742897</v>
      </c>
      <c r="I48" s="177">
        <v>507.81649597815601</v>
      </c>
      <c r="J48" s="177">
        <v>2</v>
      </c>
      <c r="K48" s="177">
        <v>151.86451832235699</v>
      </c>
      <c r="L48" s="177">
        <v>0</v>
      </c>
      <c r="M48" s="177">
        <v>6</v>
      </c>
      <c r="N48" s="177">
        <v>17</v>
      </c>
      <c r="O48" s="177">
        <v>9503.2483099137844</v>
      </c>
      <c r="P48" s="177">
        <v>8</v>
      </c>
      <c r="Q48" s="177">
        <v>16</v>
      </c>
      <c r="R48" s="177">
        <v>82</v>
      </c>
      <c r="S48" s="177">
        <f t="shared" si="0"/>
        <v>1243102.6026891361</v>
      </c>
    </row>
    <row r="49" spans="1:19" x14ac:dyDescent="0.2">
      <c r="A49" s="181"/>
      <c r="B49" s="180">
        <v>6</v>
      </c>
      <c r="C49" s="177">
        <v>1094242.7991198101</v>
      </c>
      <c r="D49" s="177">
        <v>2.0473955857952402</v>
      </c>
      <c r="E49" s="177">
        <v>129700.72113291596</v>
      </c>
      <c r="F49" s="177">
        <v>8317.152602779528</v>
      </c>
      <c r="G49" s="177">
        <v>917.39791656858688</v>
      </c>
      <c r="H49" s="177">
        <v>681.24188479970496</v>
      </c>
      <c r="I49" s="177">
        <v>507.96295497082997</v>
      </c>
      <c r="J49" s="177">
        <v>2</v>
      </c>
      <c r="K49" s="177">
        <v>151.98696777533701</v>
      </c>
      <c r="L49" s="177">
        <v>0</v>
      </c>
      <c r="M49" s="177">
        <v>6</v>
      </c>
      <c r="N49" s="177">
        <v>17</v>
      </c>
      <c r="O49" s="177">
        <v>9521.6450824194289</v>
      </c>
      <c r="P49" s="177">
        <v>8</v>
      </c>
      <c r="Q49" s="177">
        <v>16</v>
      </c>
      <c r="R49" s="177">
        <v>82</v>
      </c>
      <c r="S49" s="177">
        <f t="shared" si="0"/>
        <v>1244173.9550576252</v>
      </c>
    </row>
    <row r="50" spans="1:19" x14ac:dyDescent="0.2">
      <c r="A50" s="181"/>
      <c r="B50" s="180">
        <v>7</v>
      </c>
      <c r="C50" s="177">
        <v>1095075.23441432</v>
      </c>
      <c r="D50" s="177">
        <v>2.0473955857952402</v>
      </c>
      <c r="E50" s="177">
        <v>129879.65832600181</v>
      </c>
      <c r="F50" s="177">
        <v>8327.4087481464849</v>
      </c>
      <c r="G50" s="177">
        <v>925.03544944252542</v>
      </c>
      <c r="H50" s="177">
        <v>704.64454380025597</v>
      </c>
      <c r="I50" s="177">
        <v>508.109443657996</v>
      </c>
      <c r="J50" s="177">
        <v>2</v>
      </c>
      <c r="K50" s="177">
        <v>152.12244097346101</v>
      </c>
      <c r="L50" s="177">
        <v>0</v>
      </c>
      <c r="M50" s="177">
        <v>6</v>
      </c>
      <c r="N50" s="177">
        <v>17</v>
      </c>
      <c r="O50" s="177">
        <v>9540.0466641859002</v>
      </c>
      <c r="P50" s="177">
        <v>8</v>
      </c>
      <c r="Q50" s="177">
        <v>16</v>
      </c>
      <c r="R50" s="177">
        <v>82</v>
      </c>
      <c r="S50" s="177">
        <f t="shared" si="0"/>
        <v>1245245.3074261141</v>
      </c>
    </row>
    <row r="51" spans="1:19" x14ac:dyDescent="0.2">
      <c r="A51" s="181"/>
      <c r="B51" s="180">
        <v>8</v>
      </c>
      <c r="C51" s="177">
        <v>1096409.99864443</v>
      </c>
      <c r="D51" s="177">
        <v>2.0473955857952402</v>
      </c>
      <c r="E51" s="177">
        <v>129957.12595379566</v>
      </c>
      <c r="F51" s="177">
        <v>8332.4757517924045</v>
      </c>
      <c r="G51" s="177">
        <v>931.8758320197004</v>
      </c>
      <c r="H51" s="177">
        <v>718.852844590529</v>
      </c>
      <c r="I51" s="177">
        <v>508.24024532088498</v>
      </c>
      <c r="J51" s="177">
        <v>2</v>
      </c>
      <c r="K51" s="177">
        <v>152.147114774963</v>
      </c>
      <c r="L51" s="177">
        <v>0</v>
      </c>
      <c r="M51" s="177">
        <v>6</v>
      </c>
      <c r="N51" s="177">
        <v>17</v>
      </c>
      <c r="O51" s="177">
        <v>9559.3371160383449</v>
      </c>
      <c r="P51" s="177">
        <v>8</v>
      </c>
      <c r="Q51" s="177">
        <v>16</v>
      </c>
      <c r="R51" s="177">
        <v>82</v>
      </c>
      <c r="S51" s="177">
        <f t="shared" si="0"/>
        <v>1246703.100898348</v>
      </c>
    </row>
    <row r="52" spans="1:19" x14ac:dyDescent="0.2">
      <c r="A52" s="181"/>
      <c r="B52" s="180">
        <v>9</v>
      </c>
      <c r="C52" s="177">
        <v>1097744.7628745399</v>
      </c>
      <c r="D52" s="177">
        <v>2.0473955857952402</v>
      </c>
      <c r="E52" s="177">
        <v>130050.69542561378</v>
      </c>
      <c r="F52" s="177">
        <v>8339.981186120036</v>
      </c>
      <c r="G52" s="177">
        <v>942.5317124990313</v>
      </c>
      <c r="H52" s="177">
        <v>710.85953523726596</v>
      </c>
      <c r="I52" s="177">
        <v>508.37106361634397</v>
      </c>
      <c r="J52" s="177">
        <v>2</v>
      </c>
      <c r="K52" s="177">
        <v>152.25518148878899</v>
      </c>
      <c r="L52" s="177">
        <v>0</v>
      </c>
      <c r="M52" s="177">
        <v>6</v>
      </c>
      <c r="N52" s="177">
        <v>17</v>
      </c>
      <c r="O52" s="177">
        <v>9578.3899958811471</v>
      </c>
      <c r="P52" s="177">
        <v>8</v>
      </c>
      <c r="Q52" s="177">
        <v>16</v>
      </c>
      <c r="R52" s="177">
        <v>82</v>
      </c>
      <c r="S52" s="177">
        <f t="shared" si="0"/>
        <v>1248160.8943705822</v>
      </c>
    </row>
    <row r="53" spans="1:19" x14ac:dyDescent="0.2">
      <c r="A53" s="181"/>
      <c r="B53" s="180">
        <v>10</v>
      </c>
      <c r="C53" s="177">
        <v>1099079.5271046499</v>
      </c>
      <c r="D53" s="177">
        <v>2.0473955857952402</v>
      </c>
      <c r="E53" s="177">
        <v>130187.98095937587</v>
      </c>
      <c r="F53" s="177">
        <v>8355.1379928410679</v>
      </c>
      <c r="G53" s="177">
        <v>947.25083568362641</v>
      </c>
      <c r="H53" s="177">
        <v>656.76311275403805</v>
      </c>
      <c r="I53" s="177">
        <v>508.50189853613301</v>
      </c>
      <c r="J53" s="177">
        <v>2</v>
      </c>
      <c r="K53" s="177">
        <v>152.456620774187</v>
      </c>
      <c r="L53" s="177">
        <v>0</v>
      </c>
      <c r="M53" s="177">
        <v>6</v>
      </c>
      <c r="N53" s="177">
        <v>17</v>
      </c>
      <c r="O53" s="177">
        <v>9598.0219226155696</v>
      </c>
      <c r="P53" s="177">
        <v>8</v>
      </c>
      <c r="Q53" s="177">
        <v>16</v>
      </c>
      <c r="R53" s="177">
        <v>82</v>
      </c>
      <c r="S53" s="177">
        <f t="shared" si="0"/>
        <v>1249618.6878428163</v>
      </c>
    </row>
    <row r="54" spans="1:19" x14ac:dyDescent="0.2">
      <c r="A54" s="181"/>
      <c r="B54" s="180">
        <v>11</v>
      </c>
      <c r="C54" s="177">
        <v>1100609.3869491599</v>
      </c>
      <c r="D54" s="177">
        <v>2.0473955857952402</v>
      </c>
      <c r="E54" s="177">
        <v>130311.27336272158</v>
      </c>
      <c r="F54" s="177">
        <v>8365.4782399947344</v>
      </c>
      <c r="G54" s="177">
        <v>957.55886595123218</v>
      </c>
      <c r="H54" s="177">
        <v>594.26941966753395</v>
      </c>
      <c r="I54" s="177">
        <v>508.619046508373</v>
      </c>
      <c r="J54" s="177">
        <v>2</v>
      </c>
      <c r="K54" s="177">
        <v>152.621756523035</v>
      </c>
      <c r="L54" s="177">
        <v>0</v>
      </c>
      <c r="M54" s="177">
        <v>6</v>
      </c>
      <c r="N54" s="177">
        <v>17</v>
      </c>
      <c r="O54" s="177">
        <v>9612.8776641141576</v>
      </c>
      <c r="P54" s="177">
        <v>8</v>
      </c>
      <c r="Q54" s="177">
        <v>16</v>
      </c>
      <c r="R54" s="177">
        <v>82</v>
      </c>
      <c r="S54" s="177">
        <f t="shared" si="0"/>
        <v>1251245.1327002263</v>
      </c>
    </row>
    <row r="55" spans="1:19" x14ac:dyDescent="0.2">
      <c r="A55" s="179"/>
      <c r="B55" s="178">
        <v>12</v>
      </c>
      <c r="C55" s="177">
        <v>1102139.2467936799</v>
      </c>
      <c r="D55" s="177">
        <v>2.0473955857952402</v>
      </c>
      <c r="E55" s="177">
        <v>130391.95573761043</v>
      </c>
      <c r="F55" s="177">
        <v>8376.7310268106066</v>
      </c>
      <c r="G55" s="177">
        <v>966.18096772126103</v>
      </c>
      <c r="H55" s="177">
        <v>574.92842371382301</v>
      </c>
      <c r="I55" s="177">
        <v>508.73620039296304</v>
      </c>
      <c r="J55" s="177">
        <v>2</v>
      </c>
      <c r="K55" s="177">
        <v>152.79138549048</v>
      </c>
      <c r="L55" s="177">
        <v>0</v>
      </c>
      <c r="M55" s="177">
        <v>6</v>
      </c>
      <c r="N55" s="177">
        <v>17</v>
      </c>
      <c r="O55" s="177">
        <v>9627.9596266412336</v>
      </c>
      <c r="P55" s="177">
        <v>8</v>
      </c>
      <c r="Q55" s="177">
        <v>16</v>
      </c>
      <c r="R55" s="177">
        <v>82</v>
      </c>
      <c r="S55" s="177">
        <f t="shared" si="0"/>
        <v>1252871.5775576462</v>
      </c>
    </row>
    <row r="56" spans="1:19" x14ac:dyDescent="0.2">
      <c r="A56" s="182">
        <f>A44+1</f>
        <v>2025</v>
      </c>
      <c r="B56" s="182">
        <v>1</v>
      </c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</row>
    <row r="57" spans="1:19" x14ac:dyDescent="0.2">
      <c r="A57" s="181"/>
      <c r="B57" s="180">
        <v>2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</row>
    <row r="58" spans="1:19" x14ac:dyDescent="0.2">
      <c r="A58" s="181"/>
      <c r="B58" s="180">
        <v>3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</row>
    <row r="59" spans="1:19" x14ac:dyDescent="0.2">
      <c r="A59" s="181"/>
      <c r="B59" s="180">
        <v>4</v>
      </c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</row>
    <row r="60" spans="1:19" x14ac:dyDescent="0.2">
      <c r="A60" s="181"/>
      <c r="B60" s="180">
        <v>5</v>
      </c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</row>
    <row r="61" spans="1:19" x14ac:dyDescent="0.2">
      <c r="A61" s="181"/>
      <c r="B61" s="180">
        <v>6</v>
      </c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</row>
    <row r="62" spans="1:19" x14ac:dyDescent="0.2">
      <c r="A62" s="181"/>
      <c r="B62" s="180">
        <v>7</v>
      </c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</row>
    <row r="63" spans="1:19" x14ac:dyDescent="0.2">
      <c r="A63" s="181"/>
      <c r="B63" s="180">
        <v>8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</row>
    <row r="64" spans="1:19" x14ac:dyDescent="0.2">
      <c r="A64" s="181"/>
      <c r="B64" s="180">
        <v>9</v>
      </c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</row>
    <row r="65" spans="1:19" x14ac:dyDescent="0.2">
      <c r="A65" s="181"/>
      <c r="B65" s="180">
        <v>10</v>
      </c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</row>
    <row r="66" spans="1:19" x14ac:dyDescent="0.2">
      <c r="A66" s="181"/>
      <c r="B66" s="180">
        <v>11</v>
      </c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</row>
    <row r="67" spans="1:19" x14ac:dyDescent="0.2">
      <c r="A67" s="179"/>
      <c r="B67" s="178">
        <v>12</v>
      </c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</row>
  </sheetData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C157"/>
  <sheetViews>
    <sheetView zoomScaleNormal="100" workbookViewId="0">
      <pane xSplit="3" ySplit="6" topLeftCell="D7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ColWidth="9.44140625" defaultRowHeight="10.199999999999999" x14ac:dyDescent="0.2"/>
  <cols>
    <col min="1" max="1" width="4.6640625" style="125" bestFit="1" customWidth="1"/>
    <col min="2" max="2" width="12.33203125" style="125" bestFit="1" customWidth="1"/>
    <col min="3" max="3" width="51.33203125" style="125" bestFit="1" customWidth="1"/>
    <col min="4" max="4" width="12.88671875" style="125" bestFit="1" customWidth="1"/>
    <col min="5" max="5" width="13.44140625" style="125" bestFit="1" customWidth="1"/>
    <col min="6" max="6" width="11" style="125" bestFit="1" customWidth="1"/>
    <col min="7" max="7" width="16" style="125" bestFit="1" customWidth="1"/>
    <col min="8" max="8" width="8.44140625" style="127" bestFit="1" customWidth="1"/>
    <col min="9" max="9" width="0.88671875" style="125" customWidth="1"/>
    <col min="10" max="10" width="11" style="125" bestFit="1" customWidth="1"/>
    <col min="11" max="11" width="7.33203125" style="125" bestFit="1" customWidth="1"/>
    <col min="12" max="12" width="13.6640625" style="125" bestFit="1" customWidth="1"/>
    <col min="13" max="13" width="0.88671875" style="125" customWidth="1"/>
    <col min="14" max="16" width="11" style="125" bestFit="1" customWidth="1"/>
    <col min="17" max="17" width="8.44140625" style="125" bestFit="1" customWidth="1"/>
    <col min="18" max="18" width="13.6640625" style="128" bestFit="1" customWidth="1"/>
    <col min="19" max="19" width="1" style="125" customWidth="1"/>
    <col min="20" max="22" width="11" style="125" bestFit="1" customWidth="1"/>
    <col min="23" max="23" width="8.44140625" style="125" bestFit="1" customWidth="1"/>
    <col min="24" max="24" width="13.6640625" style="128" bestFit="1" customWidth="1"/>
    <col min="25" max="25" width="1" style="125" customWidth="1"/>
    <col min="26" max="26" width="11" style="125" bestFit="1" customWidth="1"/>
    <col min="27" max="27" width="7.33203125" style="125" bestFit="1" customWidth="1"/>
    <col min="28" max="28" width="13.6640625" style="125" bestFit="1" customWidth="1"/>
    <col min="29" max="29" width="13" style="125" bestFit="1" customWidth="1"/>
    <col min="30" max="246" width="9.44140625" style="125"/>
    <col min="247" max="247" width="4.5546875" style="125" bestFit="1" customWidth="1"/>
    <col min="248" max="248" width="11.33203125" style="125" customWidth="1"/>
    <col min="249" max="249" width="64.109375" style="125" bestFit="1" customWidth="1"/>
    <col min="250" max="250" width="14.88671875" style="125" customWidth="1"/>
    <col min="251" max="251" width="12.88671875" style="125" bestFit="1" customWidth="1"/>
    <col min="252" max="252" width="13.44140625" style="125" customWidth="1"/>
    <col min="253" max="253" width="3.33203125" style="125" customWidth="1"/>
    <col min="254" max="254" width="14.88671875" style="125" bestFit="1" customWidth="1"/>
    <col min="255" max="255" width="17" style="125" bestFit="1" customWidth="1"/>
    <col min="256" max="256" width="14.88671875" style="125" bestFit="1" customWidth="1"/>
    <col min="257" max="502" width="9.44140625" style="125"/>
    <col min="503" max="503" width="4.5546875" style="125" bestFit="1" customWidth="1"/>
    <col min="504" max="504" width="11.33203125" style="125" customWidth="1"/>
    <col min="505" max="505" width="64.109375" style="125" bestFit="1" customWidth="1"/>
    <col min="506" max="506" width="14.88671875" style="125" customWidth="1"/>
    <col min="507" max="507" width="12.88671875" style="125" bestFit="1" customWidth="1"/>
    <col min="508" max="508" width="13.44140625" style="125" customWidth="1"/>
    <col min="509" max="509" width="3.33203125" style="125" customWidth="1"/>
    <col min="510" max="510" width="14.88671875" style="125" bestFit="1" customWidth="1"/>
    <col min="511" max="511" width="17" style="125" bestFit="1" customWidth="1"/>
    <col min="512" max="512" width="14.88671875" style="125" bestFit="1" customWidth="1"/>
    <col min="513" max="758" width="9.44140625" style="125"/>
    <col min="759" max="759" width="4.5546875" style="125" bestFit="1" customWidth="1"/>
    <col min="760" max="760" width="11.33203125" style="125" customWidth="1"/>
    <col min="761" max="761" width="64.109375" style="125" bestFit="1" customWidth="1"/>
    <col min="762" max="762" width="14.88671875" style="125" customWidth="1"/>
    <col min="763" max="763" width="12.88671875" style="125" bestFit="1" customWidth="1"/>
    <col min="764" max="764" width="13.44140625" style="125" customWidth="1"/>
    <col min="765" max="765" width="3.33203125" style="125" customWidth="1"/>
    <col min="766" max="766" width="14.88671875" style="125" bestFit="1" customWidth="1"/>
    <col min="767" max="767" width="17" style="125" bestFit="1" customWidth="1"/>
    <col min="768" max="768" width="14.88671875" style="125" bestFit="1" customWidth="1"/>
    <col min="769" max="1014" width="9.44140625" style="125"/>
    <col min="1015" max="1015" width="4.5546875" style="125" bestFit="1" customWidth="1"/>
    <col min="1016" max="1016" width="11.33203125" style="125" customWidth="1"/>
    <col min="1017" max="1017" width="64.109375" style="125" bestFit="1" customWidth="1"/>
    <col min="1018" max="1018" width="14.88671875" style="125" customWidth="1"/>
    <col min="1019" max="1019" width="12.88671875" style="125" bestFit="1" customWidth="1"/>
    <col min="1020" max="1020" width="13.44140625" style="125" customWidth="1"/>
    <col min="1021" max="1021" width="3.33203125" style="125" customWidth="1"/>
    <col min="1022" max="1022" width="14.88671875" style="125" bestFit="1" customWidth="1"/>
    <col min="1023" max="1023" width="17" style="125" bestFit="1" customWidth="1"/>
    <col min="1024" max="1024" width="14.88671875" style="125" bestFit="1" customWidth="1"/>
    <col min="1025" max="1270" width="9.44140625" style="125"/>
    <col min="1271" max="1271" width="4.5546875" style="125" bestFit="1" customWidth="1"/>
    <col min="1272" max="1272" width="11.33203125" style="125" customWidth="1"/>
    <col min="1273" max="1273" width="64.109375" style="125" bestFit="1" customWidth="1"/>
    <col min="1274" max="1274" width="14.88671875" style="125" customWidth="1"/>
    <col min="1275" max="1275" width="12.88671875" style="125" bestFit="1" customWidth="1"/>
    <col min="1276" max="1276" width="13.44140625" style="125" customWidth="1"/>
    <col min="1277" max="1277" width="3.33203125" style="125" customWidth="1"/>
    <col min="1278" max="1278" width="14.88671875" style="125" bestFit="1" customWidth="1"/>
    <col min="1279" max="1279" width="17" style="125" bestFit="1" customWidth="1"/>
    <col min="1280" max="1280" width="14.88671875" style="125" bestFit="1" customWidth="1"/>
    <col min="1281" max="1526" width="9.44140625" style="125"/>
    <col min="1527" max="1527" width="4.5546875" style="125" bestFit="1" customWidth="1"/>
    <col min="1528" max="1528" width="11.33203125" style="125" customWidth="1"/>
    <col min="1529" max="1529" width="64.109375" style="125" bestFit="1" customWidth="1"/>
    <col min="1530" max="1530" width="14.88671875" style="125" customWidth="1"/>
    <col min="1531" max="1531" width="12.88671875" style="125" bestFit="1" customWidth="1"/>
    <col min="1532" max="1532" width="13.44140625" style="125" customWidth="1"/>
    <col min="1533" max="1533" width="3.33203125" style="125" customWidth="1"/>
    <col min="1534" max="1534" width="14.88671875" style="125" bestFit="1" customWidth="1"/>
    <col min="1535" max="1535" width="17" style="125" bestFit="1" customWidth="1"/>
    <col min="1536" max="1536" width="14.88671875" style="125" bestFit="1" customWidth="1"/>
    <col min="1537" max="1782" width="9.44140625" style="125"/>
    <col min="1783" max="1783" width="4.5546875" style="125" bestFit="1" customWidth="1"/>
    <col min="1784" max="1784" width="11.33203125" style="125" customWidth="1"/>
    <col min="1785" max="1785" width="64.109375" style="125" bestFit="1" customWidth="1"/>
    <col min="1786" max="1786" width="14.88671875" style="125" customWidth="1"/>
    <col min="1787" max="1787" width="12.88671875" style="125" bestFit="1" customWidth="1"/>
    <col min="1788" max="1788" width="13.44140625" style="125" customWidth="1"/>
    <col min="1789" max="1789" width="3.33203125" style="125" customWidth="1"/>
    <col min="1790" max="1790" width="14.88671875" style="125" bestFit="1" customWidth="1"/>
    <col min="1791" max="1791" width="17" style="125" bestFit="1" customWidth="1"/>
    <col min="1792" max="1792" width="14.88671875" style="125" bestFit="1" customWidth="1"/>
    <col min="1793" max="2038" width="9.44140625" style="125"/>
    <col min="2039" max="2039" width="4.5546875" style="125" bestFit="1" customWidth="1"/>
    <col min="2040" max="2040" width="11.33203125" style="125" customWidth="1"/>
    <col min="2041" max="2041" width="64.109375" style="125" bestFit="1" customWidth="1"/>
    <col min="2042" max="2042" width="14.88671875" style="125" customWidth="1"/>
    <col min="2043" max="2043" width="12.88671875" style="125" bestFit="1" customWidth="1"/>
    <col min="2044" max="2044" width="13.44140625" style="125" customWidth="1"/>
    <col min="2045" max="2045" width="3.33203125" style="125" customWidth="1"/>
    <col min="2046" max="2046" width="14.88671875" style="125" bestFit="1" customWidth="1"/>
    <col min="2047" max="2047" width="17" style="125" bestFit="1" customWidth="1"/>
    <col min="2048" max="2048" width="14.88671875" style="125" bestFit="1" customWidth="1"/>
    <col min="2049" max="2294" width="9.44140625" style="125"/>
    <col min="2295" max="2295" width="4.5546875" style="125" bestFit="1" customWidth="1"/>
    <col min="2296" max="2296" width="11.33203125" style="125" customWidth="1"/>
    <col min="2297" max="2297" width="64.109375" style="125" bestFit="1" customWidth="1"/>
    <col min="2298" max="2298" width="14.88671875" style="125" customWidth="1"/>
    <col min="2299" max="2299" width="12.88671875" style="125" bestFit="1" customWidth="1"/>
    <col min="2300" max="2300" width="13.44140625" style="125" customWidth="1"/>
    <col min="2301" max="2301" width="3.33203125" style="125" customWidth="1"/>
    <col min="2302" max="2302" width="14.88671875" style="125" bestFit="1" customWidth="1"/>
    <col min="2303" max="2303" width="17" style="125" bestFit="1" customWidth="1"/>
    <col min="2304" max="2304" width="14.88671875" style="125" bestFit="1" customWidth="1"/>
    <col min="2305" max="2550" width="9.44140625" style="125"/>
    <col min="2551" max="2551" width="4.5546875" style="125" bestFit="1" customWidth="1"/>
    <col min="2552" max="2552" width="11.33203125" style="125" customWidth="1"/>
    <col min="2553" max="2553" width="64.109375" style="125" bestFit="1" customWidth="1"/>
    <col min="2554" max="2554" width="14.88671875" style="125" customWidth="1"/>
    <col min="2555" max="2555" width="12.88671875" style="125" bestFit="1" customWidth="1"/>
    <col min="2556" max="2556" width="13.44140625" style="125" customWidth="1"/>
    <col min="2557" max="2557" width="3.33203125" style="125" customWidth="1"/>
    <col min="2558" max="2558" width="14.88671875" style="125" bestFit="1" customWidth="1"/>
    <col min="2559" max="2559" width="17" style="125" bestFit="1" customWidth="1"/>
    <col min="2560" max="2560" width="14.88671875" style="125" bestFit="1" customWidth="1"/>
    <col min="2561" max="2806" width="9.44140625" style="125"/>
    <col min="2807" max="2807" width="4.5546875" style="125" bestFit="1" customWidth="1"/>
    <col min="2808" max="2808" width="11.33203125" style="125" customWidth="1"/>
    <col min="2809" max="2809" width="64.109375" style="125" bestFit="1" customWidth="1"/>
    <col min="2810" max="2810" width="14.88671875" style="125" customWidth="1"/>
    <col min="2811" max="2811" width="12.88671875" style="125" bestFit="1" customWidth="1"/>
    <col min="2812" max="2812" width="13.44140625" style="125" customWidth="1"/>
    <col min="2813" max="2813" width="3.33203125" style="125" customWidth="1"/>
    <col min="2814" max="2814" width="14.88671875" style="125" bestFit="1" customWidth="1"/>
    <col min="2815" max="2815" width="17" style="125" bestFit="1" customWidth="1"/>
    <col min="2816" max="2816" width="14.88671875" style="125" bestFit="1" customWidth="1"/>
    <col min="2817" max="3062" width="9.44140625" style="125"/>
    <col min="3063" max="3063" width="4.5546875" style="125" bestFit="1" customWidth="1"/>
    <col min="3064" max="3064" width="11.33203125" style="125" customWidth="1"/>
    <col min="3065" max="3065" width="64.109375" style="125" bestFit="1" customWidth="1"/>
    <col min="3066" max="3066" width="14.88671875" style="125" customWidth="1"/>
    <col min="3067" max="3067" width="12.88671875" style="125" bestFit="1" customWidth="1"/>
    <col min="3068" max="3068" width="13.44140625" style="125" customWidth="1"/>
    <col min="3069" max="3069" width="3.33203125" style="125" customWidth="1"/>
    <col min="3070" max="3070" width="14.88671875" style="125" bestFit="1" customWidth="1"/>
    <col min="3071" max="3071" width="17" style="125" bestFit="1" customWidth="1"/>
    <col min="3072" max="3072" width="14.88671875" style="125" bestFit="1" customWidth="1"/>
    <col min="3073" max="3318" width="9.44140625" style="125"/>
    <col min="3319" max="3319" width="4.5546875" style="125" bestFit="1" customWidth="1"/>
    <col min="3320" max="3320" width="11.33203125" style="125" customWidth="1"/>
    <col min="3321" max="3321" width="64.109375" style="125" bestFit="1" customWidth="1"/>
    <col min="3322" max="3322" width="14.88671875" style="125" customWidth="1"/>
    <col min="3323" max="3323" width="12.88671875" style="125" bestFit="1" customWidth="1"/>
    <col min="3324" max="3324" width="13.44140625" style="125" customWidth="1"/>
    <col min="3325" max="3325" width="3.33203125" style="125" customWidth="1"/>
    <col min="3326" max="3326" width="14.88671875" style="125" bestFit="1" customWidth="1"/>
    <col min="3327" max="3327" width="17" style="125" bestFit="1" customWidth="1"/>
    <col min="3328" max="3328" width="14.88671875" style="125" bestFit="1" customWidth="1"/>
    <col min="3329" max="3574" width="9.44140625" style="125"/>
    <col min="3575" max="3575" width="4.5546875" style="125" bestFit="1" customWidth="1"/>
    <col min="3576" max="3576" width="11.33203125" style="125" customWidth="1"/>
    <col min="3577" max="3577" width="64.109375" style="125" bestFit="1" customWidth="1"/>
    <col min="3578" max="3578" width="14.88671875" style="125" customWidth="1"/>
    <col min="3579" max="3579" width="12.88671875" style="125" bestFit="1" customWidth="1"/>
    <col min="3580" max="3580" width="13.44140625" style="125" customWidth="1"/>
    <col min="3581" max="3581" width="3.33203125" style="125" customWidth="1"/>
    <col min="3582" max="3582" width="14.88671875" style="125" bestFit="1" customWidth="1"/>
    <col min="3583" max="3583" width="17" style="125" bestFit="1" customWidth="1"/>
    <col min="3584" max="3584" width="14.88671875" style="125" bestFit="1" customWidth="1"/>
    <col min="3585" max="3830" width="9.44140625" style="125"/>
    <col min="3831" max="3831" width="4.5546875" style="125" bestFit="1" customWidth="1"/>
    <col min="3832" max="3832" width="11.33203125" style="125" customWidth="1"/>
    <col min="3833" max="3833" width="64.109375" style="125" bestFit="1" customWidth="1"/>
    <col min="3834" max="3834" width="14.88671875" style="125" customWidth="1"/>
    <col min="3835" max="3835" width="12.88671875" style="125" bestFit="1" customWidth="1"/>
    <col min="3836" max="3836" width="13.44140625" style="125" customWidth="1"/>
    <col min="3837" max="3837" width="3.33203125" style="125" customWidth="1"/>
    <col min="3838" max="3838" width="14.88671875" style="125" bestFit="1" customWidth="1"/>
    <col min="3839" max="3839" width="17" style="125" bestFit="1" customWidth="1"/>
    <col min="3840" max="3840" width="14.88671875" style="125" bestFit="1" customWidth="1"/>
    <col min="3841" max="4086" width="9.44140625" style="125"/>
    <col min="4087" max="4087" width="4.5546875" style="125" bestFit="1" customWidth="1"/>
    <col min="4088" max="4088" width="11.33203125" style="125" customWidth="1"/>
    <col min="4089" max="4089" width="64.109375" style="125" bestFit="1" customWidth="1"/>
    <col min="4090" max="4090" width="14.88671875" style="125" customWidth="1"/>
    <col min="4091" max="4091" width="12.88671875" style="125" bestFit="1" customWidth="1"/>
    <col min="4092" max="4092" width="13.44140625" style="125" customWidth="1"/>
    <col min="4093" max="4093" width="3.33203125" style="125" customWidth="1"/>
    <col min="4094" max="4094" width="14.88671875" style="125" bestFit="1" customWidth="1"/>
    <col min="4095" max="4095" width="17" style="125" bestFit="1" customWidth="1"/>
    <col min="4096" max="4096" width="14.88671875" style="125" bestFit="1" customWidth="1"/>
    <col min="4097" max="4342" width="9.44140625" style="125"/>
    <col min="4343" max="4343" width="4.5546875" style="125" bestFit="1" customWidth="1"/>
    <col min="4344" max="4344" width="11.33203125" style="125" customWidth="1"/>
    <col min="4345" max="4345" width="64.109375" style="125" bestFit="1" customWidth="1"/>
    <col min="4346" max="4346" width="14.88671875" style="125" customWidth="1"/>
    <col min="4347" max="4347" width="12.88671875" style="125" bestFit="1" customWidth="1"/>
    <col min="4348" max="4348" width="13.44140625" style="125" customWidth="1"/>
    <col min="4349" max="4349" width="3.33203125" style="125" customWidth="1"/>
    <col min="4350" max="4350" width="14.88671875" style="125" bestFit="1" customWidth="1"/>
    <col min="4351" max="4351" width="17" style="125" bestFit="1" customWidth="1"/>
    <col min="4352" max="4352" width="14.88671875" style="125" bestFit="1" customWidth="1"/>
    <col min="4353" max="4598" width="9.44140625" style="125"/>
    <col min="4599" max="4599" width="4.5546875" style="125" bestFit="1" customWidth="1"/>
    <col min="4600" max="4600" width="11.33203125" style="125" customWidth="1"/>
    <col min="4601" max="4601" width="64.109375" style="125" bestFit="1" customWidth="1"/>
    <col min="4602" max="4602" width="14.88671875" style="125" customWidth="1"/>
    <col min="4603" max="4603" width="12.88671875" style="125" bestFit="1" customWidth="1"/>
    <col min="4604" max="4604" width="13.44140625" style="125" customWidth="1"/>
    <col min="4605" max="4605" width="3.33203125" style="125" customWidth="1"/>
    <col min="4606" max="4606" width="14.88671875" style="125" bestFit="1" customWidth="1"/>
    <col min="4607" max="4607" width="17" style="125" bestFit="1" customWidth="1"/>
    <col min="4608" max="4608" width="14.88671875" style="125" bestFit="1" customWidth="1"/>
    <col min="4609" max="4854" width="9.44140625" style="125"/>
    <col min="4855" max="4855" width="4.5546875" style="125" bestFit="1" customWidth="1"/>
    <col min="4856" max="4856" width="11.33203125" style="125" customWidth="1"/>
    <col min="4857" max="4857" width="64.109375" style="125" bestFit="1" customWidth="1"/>
    <col min="4858" max="4858" width="14.88671875" style="125" customWidth="1"/>
    <col min="4859" max="4859" width="12.88671875" style="125" bestFit="1" customWidth="1"/>
    <col min="4860" max="4860" width="13.44140625" style="125" customWidth="1"/>
    <col min="4861" max="4861" width="3.33203125" style="125" customWidth="1"/>
    <col min="4862" max="4862" width="14.88671875" style="125" bestFit="1" customWidth="1"/>
    <col min="4863" max="4863" width="17" style="125" bestFit="1" customWidth="1"/>
    <col min="4864" max="4864" width="14.88671875" style="125" bestFit="1" customWidth="1"/>
    <col min="4865" max="5110" width="9.44140625" style="125"/>
    <col min="5111" max="5111" width="4.5546875" style="125" bestFit="1" customWidth="1"/>
    <col min="5112" max="5112" width="11.33203125" style="125" customWidth="1"/>
    <col min="5113" max="5113" width="64.109375" style="125" bestFit="1" customWidth="1"/>
    <col min="5114" max="5114" width="14.88671875" style="125" customWidth="1"/>
    <col min="5115" max="5115" width="12.88671875" style="125" bestFit="1" customWidth="1"/>
    <col min="5116" max="5116" width="13.44140625" style="125" customWidth="1"/>
    <col min="5117" max="5117" width="3.33203125" style="125" customWidth="1"/>
    <col min="5118" max="5118" width="14.88671875" style="125" bestFit="1" customWidth="1"/>
    <col min="5119" max="5119" width="17" style="125" bestFit="1" customWidth="1"/>
    <col min="5120" max="5120" width="14.88671875" style="125" bestFit="1" customWidth="1"/>
    <col min="5121" max="5366" width="9.44140625" style="125"/>
    <col min="5367" max="5367" width="4.5546875" style="125" bestFit="1" customWidth="1"/>
    <col min="5368" max="5368" width="11.33203125" style="125" customWidth="1"/>
    <col min="5369" max="5369" width="64.109375" style="125" bestFit="1" customWidth="1"/>
    <col min="5370" max="5370" width="14.88671875" style="125" customWidth="1"/>
    <col min="5371" max="5371" width="12.88671875" style="125" bestFit="1" customWidth="1"/>
    <col min="5372" max="5372" width="13.44140625" style="125" customWidth="1"/>
    <col min="5373" max="5373" width="3.33203125" style="125" customWidth="1"/>
    <col min="5374" max="5374" width="14.88671875" style="125" bestFit="1" customWidth="1"/>
    <col min="5375" max="5375" width="17" style="125" bestFit="1" customWidth="1"/>
    <col min="5376" max="5376" width="14.88671875" style="125" bestFit="1" customWidth="1"/>
    <col min="5377" max="5622" width="9.44140625" style="125"/>
    <col min="5623" max="5623" width="4.5546875" style="125" bestFit="1" customWidth="1"/>
    <col min="5624" max="5624" width="11.33203125" style="125" customWidth="1"/>
    <col min="5625" max="5625" width="64.109375" style="125" bestFit="1" customWidth="1"/>
    <col min="5626" max="5626" width="14.88671875" style="125" customWidth="1"/>
    <col min="5627" max="5627" width="12.88671875" style="125" bestFit="1" customWidth="1"/>
    <col min="5628" max="5628" width="13.44140625" style="125" customWidth="1"/>
    <col min="5629" max="5629" width="3.33203125" style="125" customWidth="1"/>
    <col min="5630" max="5630" width="14.88671875" style="125" bestFit="1" customWidth="1"/>
    <col min="5631" max="5631" width="17" style="125" bestFit="1" customWidth="1"/>
    <col min="5632" max="5632" width="14.88671875" style="125" bestFit="1" customWidth="1"/>
    <col min="5633" max="5878" width="9.44140625" style="125"/>
    <col min="5879" max="5879" width="4.5546875" style="125" bestFit="1" customWidth="1"/>
    <col min="5880" max="5880" width="11.33203125" style="125" customWidth="1"/>
    <col min="5881" max="5881" width="64.109375" style="125" bestFit="1" customWidth="1"/>
    <col min="5882" max="5882" width="14.88671875" style="125" customWidth="1"/>
    <col min="5883" max="5883" width="12.88671875" style="125" bestFit="1" customWidth="1"/>
    <col min="5884" max="5884" width="13.44140625" style="125" customWidth="1"/>
    <col min="5885" max="5885" width="3.33203125" style="125" customWidth="1"/>
    <col min="5886" max="5886" width="14.88671875" style="125" bestFit="1" customWidth="1"/>
    <col min="5887" max="5887" width="17" style="125" bestFit="1" customWidth="1"/>
    <col min="5888" max="5888" width="14.88671875" style="125" bestFit="1" customWidth="1"/>
    <col min="5889" max="6134" width="9.44140625" style="125"/>
    <col min="6135" max="6135" width="4.5546875" style="125" bestFit="1" customWidth="1"/>
    <col min="6136" max="6136" width="11.33203125" style="125" customWidth="1"/>
    <col min="6137" max="6137" width="64.109375" style="125" bestFit="1" customWidth="1"/>
    <col min="6138" max="6138" width="14.88671875" style="125" customWidth="1"/>
    <col min="6139" max="6139" width="12.88671875" style="125" bestFit="1" customWidth="1"/>
    <col min="6140" max="6140" width="13.44140625" style="125" customWidth="1"/>
    <col min="6141" max="6141" width="3.33203125" style="125" customWidth="1"/>
    <col min="6142" max="6142" width="14.88671875" style="125" bestFit="1" customWidth="1"/>
    <col min="6143" max="6143" width="17" style="125" bestFit="1" customWidth="1"/>
    <col min="6144" max="6144" width="14.88671875" style="125" bestFit="1" customWidth="1"/>
    <col min="6145" max="6390" width="9.44140625" style="125"/>
    <col min="6391" max="6391" width="4.5546875" style="125" bestFit="1" customWidth="1"/>
    <col min="6392" max="6392" width="11.33203125" style="125" customWidth="1"/>
    <col min="6393" max="6393" width="64.109375" style="125" bestFit="1" customWidth="1"/>
    <col min="6394" max="6394" width="14.88671875" style="125" customWidth="1"/>
    <col min="6395" max="6395" width="12.88671875" style="125" bestFit="1" customWidth="1"/>
    <col min="6396" max="6396" width="13.44140625" style="125" customWidth="1"/>
    <col min="6397" max="6397" width="3.33203125" style="125" customWidth="1"/>
    <col min="6398" max="6398" width="14.88671875" style="125" bestFit="1" customWidth="1"/>
    <col min="6399" max="6399" width="17" style="125" bestFit="1" customWidth="1"/>
    <col min="6400" max="6400" width="14.88671875" style="125" bestFit="1" customWidth="1"/>
    <col min="6401" max="6646" width="9.44140625" style="125"/>
    <col min="6647" max="6647" width="4.5546875" style="125" bestFit="1" customWidth="1"/>
    <col min="6648" max="6648" width="11.33203125" style="125" customWidth="1"/>
    <col min="6649" max="6649" width="64.109375" style="125" bestFit="1" customWidth="1"/>
    <col min="6650" max="6650" width="14.88671875" style="125" customWidth="1"/>
    <col min="6651" max="6651" width="12.88671875" style="125" bestFit="1" customWidth="1"/>
    <col min="6652" max="6652" width="13.44140625" style="125" customWidth="1"/>
    <col min="6653" max="6653" width="3.33203125" style="125" customWidth="1"/>
    <col min="6654" max="6654" width="14.88671875" style="125" bestFit="1" customWidth="1"/>
    <col min="6655" max="6655" width="17" style="125" bestFit="1" customWidth="1"/>
    <col min="6656" max="6656" width="14.88671875" style="125" bestFit="1" customWidth="1"/>
    <col min="6657" max="6902" width="9.44140625" style="125"/>
    <col min="6903" max="6903" width="4.5546875" style="125" bestFit="1" customWidth="1"/>
    <col min="6904" max="6904" width="11.33203125" style="125" customWidth="1"/>
    <col min="6905" max="6905" width="64.109375" style="125" bestFit="1" customWidth="1"/>
    <col min="6906" max="6906" width="14.88671875" style="125" customWidth="1"/>
    <col min="6907" max="6907" width="12.88671875" style="125" bestFit="1" customWidth="1"/>
    <col min="6908" max="6908" width="13.44140625" style="125" customWidth="1"/>
    <col min="6909" max="6909" width="3.33203125" style="125" customWidth="1"/>
    <col min="6910" max="6910" width="14.88671875" style="125" bestFit="1" customWidth="1"/>
    <col min="6911" max="6911" width="17" style="125" bestFit="1" customWidth="1"/>
    <col min="6912" max="6912" width="14.88671875" style="125" bestFit="1" customWidth="1"/>
    <col min="6913" max="7158" width="9.44140625" style="125"/>
    <col min="7159" max="7159" width="4.5546875" style="125" bestFit="1" customWidth="1"/>
    <col min="7160" max="7160" width="11.33203125" style="125" customWidth="1"/>
    <col min="7161" max="7161" width="64.109375" style="125" bestFit="1" customWidth="1"/>
    <col min="7162" max="7162" width="14.88671875" style="125" customWidth="1"/>
    <col min="7163" max="7163" width="12.88671875" style="125" bestFit="1" customWidth="1"/>
    <col min="7164" max="7164" width="13.44140625" style="125" customWidth="1"/>
    <col min="7165" max="7165" width="3.33203125" style="125" customWidth="1"/>
    <col min="7166" max="7166" width="14.88671875" style="125" bestFit="1" customWidth="1"/>
    <col min="7167" max="7167" width="17" style="125" bestFit="1" customWidth="1"/>
    <col min="7168" max="7168" width="14.88671875" style="125" bestFit="1" customWidth="1"/>
    <col min="7169" max="7414" width="9.44140625" style="125"/>
    <col min="7415" max="7415" width="4.5546875" style="125" bestFit="1" customWidth="1"/>
    <col min="7416" max="7416" width="11.33203125" style="125" customWidth="1"/>
    <col min="7417" max="7417" width="64.109375" style="125" bestFit="1" customWidth="1"/>
    <col min="7418" max="7418" width="14.88671875" style="125" customWidth="1"/>
    <col min="7419" max="7419" width="12.88671875" style="125" bestFit="1" customWidth="1"/>
    <col min="7420" max="7420" width="13.44140625" style="125" customWidth="1"/>
    <col min="7421" max="7421" width="3.33203125" style="125" customWidth="1"/>
    <col min="7422" max="7422" width="14.88671875" style="125" bestFit="1" customWidth="1"/>
    <col min="7423" max="7423" width="17" style="125" bestFit="1" customWidth="1"/>
    <col min="7424" max="7424" width="14.88671875" style="125" bestFit="1" customWidth="1"/>
    <col min="7425" max="7670" width="9.44140625" style="125"/>
    <col min="7671" max="7671" width="4.5546875" style="125" bestFit="1" customWidth="1"/>
    <col min="7672" max="7672" width="11.33203125" style="125" customWidth="1"/>
    <col min="7673" max="7673" width="64.109375" style="125" bestFit="1" customWidth="1"/>
    <col min="7674" max="7674" width="14.88671875" style="125" customWidth="1"/>
    <col min="7675" max="7675" width="12.88671875" style="125" bestFit="1" customWidth="1"/>
    <col min="7676" max="7676" width="13.44140625" style="125" customWidth="1"/>
    <col min="7677" max="7677" width="3.33203125" style="125" customWidth="1"/>
    <col min="7678" max="7678" width="14.88671875" style="125" bestFit="1" customWidth="1"/>
    <col min="7679" max="7679" width="17" style="125" bestFit="1" customWidth="1"/>
    <col min="7680" max="7680" width="14.88671875" style="125" bestFit="1" customWidth="1"/>
    <col min="7681" max="7926" width="9.44140625" style="125"/>
    <col min="7927" max="7927" width="4.5546875" style="125" bestFit="1" customWidth="1"/>
    <col min="7928" max="7928" width="11.33203125" style="125" customWidth="1"/>
    <col min="7929" max="7929" width="64.109375" style="125" bestFit="1" customWidth="1"/>
    <col min="7930" max="7930" width="14.88671875" style="125" customWidth="1"/>
    <col min="7931" max="7931" width="12.88671875" style="125" bestFit="1" customWidth="1"/>
    <col min="7932" max="7932" width="13.44140625" style="125" customWidth="1"/>
    <col min="7933" max="7933" width="3.33203125" style="125" customWidth="1"/>
    <col min="7934" max="7934" width="14.88671875" style="125" bestFit="1" customWidth="1"/>
    <col min="7935" max="7935" width="17" style="125" bestFit="1" customWidth="1"/>
    <col min="7936" max="7936" width="14.88671875" style="125" bestFit="1" customWidth="1"/>
    <col min="7937" max="8182" width="9.44140625" style="125"/>
    <col min="8183" max="8183" width="4.5546875" style="125" bestFit="1" customWidth="1"/>
    <col min="8184" max="8184" width="11.33203125" style="125" customWidth="1"/>
    <col min="8185" max="8185" width="64.109375" style="125" bestFit="1" customWidth="1"/>
    <col min="8186" max="8186" width="14.88671875" style="125" customWidth="1"/>
    <col min="8187" max="8187" width="12.88671875" style="125" bestFit="1" customWidth="1"/>
    <col min="8188" max="8188" width="13.44140625" style="125" customWidth="1"/>
    <col min="8189" max="8189" width="3.33203125" style="125" customWidth="1"/>
    <col min="8190" max="8190" width="14.88671875" style="125" bestFit="1" customWidth="1"/>
    <col min="8191" max="8191" width="17" style="125" bestFit="1" customWidth="1"/>
    <col min="8192" max="8192" width="14.88671875" style="125" bestFit="1" customWidth="1"/>
    <col min="8193" max="8438" width="9.44140625" style="125"/>
    <col min="8439" max="8439" width="4.5546875" style="125" bestFit="1" customWidth="1"/>
    <col min="8440" max="8440" width="11.33203125" style="125" customWidth="1"/>
    <col min="8441" max="8441" width="64.109375" style="125" bestFit="1" customWidth="1"/>
    <col min="8442" max="8442" width="14.88671875" style="125" customWidth="1"/>
    <col min="8443" max="8443" width="12.88671875" style="125" bestFit="1" customWidth="1"/>
    <col min="8444" max="8444" width="13.44140625" style="125" customWidth="1"/>
    <col min="8445" max="8445" width="3.33203125" style="125" customWidth="1"/>
    <col min="8446" max="8446" width="14.88671875" style="125" bestFit="1" customWidth="1"/>
    <col min="8447" max="8447" width="17" style="125" bestFit="1" customWidth="1"/>
    <col min="8448" max="8448" width="14.88671875" style="125" bestFit="1" customWidth="1"/>
    <col min="8449" max="8694" width="9.44140625" style="125"/>
    <col min="8695" max="8695" width="4.5546875" style="125" bestFit="1" customWidth="1"/>
    <col min="8696" max="8696" width="11.33203125" style="125" customWidth="1"/>
    <col min="8697" max="8697" width="64.109375" style="125" bestFit="1" customWidth="1"/>
    <col min="8698" max="8698" width="14.88671875" style="125" customWidth="1"/>
    <col min="8699" max="8699" width="12.88671875" style="125" bestFit="1" customWidth="1"/>
    <col min="8700" max="8700" width="13.44140625" style="125" customWidth="1"/>
    <col min="8701" max="8701" width="3.33203125" style="125" customWidth="1"/>
    <col min="8702" max="8702" width="14.88671875" style="125" bestFit="1" customWidth="1"/>
    <col min="8703" max="8703" width="17" style="125" bestFit="1" customWidth="1"/>
    <col min="8704" max="8704" width="14.88671875" style="125" bestFit="1" customWidth="1"/>
    <col min="8705" max="8950" width="9.44140625" style="125"/>
    <col min="8951" max="8951" width="4.5546875" style="125" bestFit="1" customWidth="1"/>
    <col min="8952" max="8952" width="11.33203125" style="125" customWidth="1"/>
    <col min="8953" max="8953" width="64.109375" style="125" bestFit="1" customWidth="1"/>
    <col min="8954" max="8954" width="14.88671875" style="125" customWidth="1"/>
    <col min="8955" max="8955" width="12.88671875" style="125" bestFit="1" customWidth="1"/>
    <col min="8956" max="8956" width="13.44140625" style="125" customWidth="1"/>
    <col min="8957" max="8957" width="3.33203125" style="125" customWidth="1"/>
    <col min="8958" max="8958" width="14.88671875" style="125" bestFit="1" customWidth="1"/>
    <col min="8959" max="8959" width="17" style="125" bestFit="1" customWidth="1"/>
    <col min="8960" max="8960" width="14.88671875" style="125" bestFit="1" customWidth="1"/>
    <col min="8961" max="9206" width="9.44140625" style="125"/>
    <col min="9207" max="9207" width="4.5546875" style="125" bestFit="1" customWidth="1"/>
    <col min="9208" max="9208" width="11.33203125" style="125" customWidth="1"/>
    <col min="9209" max="9209" width="64.109375" style="125" bestFit="1" customWidth="1"/>
    <col min="9210" max="9210" width="14.88671875" style="125" customWidth="1"/>
    <col min="9211" max="9211" width="12.88671875" style="125" bestFit="1" customWidth="1"/>
    <col min="9212" max="9212" width="13.44140625" style="125" customWidth="1"/>
    <col min="9213" max="9213" width="3.33203125" style="125" customWidth="1"/>
    <col min="9214" max="9214" width="14.88671875" style="125" bestFit="1" customWidth="1"/>
    <col min="9215" max="9215" width="17" style="125" bestFit="1" customWidth="1"/>
    <col min="9216" max="9216" width="14.88671875" style="125" bestFit="1" customWidth="1"/>
    <col min="9217" max="9462" width="9.44140625" style="125"/>
    <col min="9463" max="9463" width="4.5546875" style="125" bestFit="1" customWidth="1"/>
    <col min="9464" max="9464" width="11.33203125" style="125" customWidth="1"/>
    <col min="9465" max="9465" width="64.109375" style="125" bestFit="1" customWidth="1"/>
    <col min="9466" max="9466" width="14.88671875" style="125" customWidth="1"/>
    <col min="9467" max="9467" width="12.88671875" style="125" bestFit="1" customWidth="1"/>
    <col min="9468" max="9468" width="13.44140625" style="125" customWidth="1"/>
    <col min="9469" max="9469" width="3.33203125" style="125" customWidth="1"/>
    <col min="9470" max="9470" width="14.88671875" style="125" bestFit="1" customWidth="1"/>
    <col min="9471" max="9471" width="17" style="125" bestFit="1" customWidth="1"/>
    <col min="9472" max="9472" width="14.88671875" style="125" bestFit="1" customWidth="1"/>
    <col min="9473" max="9718" width="9.44140625" style="125"/>
    <col min="9719" max="9719" width="4.5546875" style="125" bestFit="1" customWidth="1"/>
    <col min="9720" max="9720" width="11.33203125" style="125" customWidth="1"/>
    <col min="9721" max="9721" width="64.109375" style="125" bestFit="1" customWidth="1"/>
    <col min="9722" max="9722" width="14.88671875" style="125" customWidth="1"/>
    <col min="9723" max="9723" width="12.88671875" style="125" bestFit="1" customWidth="1"/>
    <col min="9724" max="9724" width="13.44140625" style="125" customWidth="1"/>
    <col min="9725" max="9725" width="3.33203125" style="125" customWidth="1"/>
    <col min="9726" max="9726" width="14.88671875" style="125" bestFit="1" customWidth="1"/>
    <col min="9727" max="9727" width="17" style="125" bestFit="1" customWidth="1"/>
    <col min="9728" max="9728" width="14.88671875" style="125" bestFit="1" customWidth="1"/>
    <col min="9729" max="9974" width="9.44140625" style="125"/>
    <col min="9975" max="9975" width="4.5546875" style="125" bestFit="1" customWidth="1"/>
    <col min="9976" max="9976" width="11.33203125" style="125" customWidth="1"/>
    <col min="9977" max="9977" width="64.109375" style="125" bestFit="1" customWidth="1"/>
    <col min="9978" max="9978" width="14.88671875" style="125" customWidth="1"/>
    <col min="9979" max="9979" width="12.88671875" style="125" bestFit="1" customWidth="1"/>
    <col min="9980" max="9980" width="13.44140625" style="125" customWidth="1"/>
    <col min="9981" max="9981" width="3.33203125" style="125" customWidth="1"/>
    <col min="9982" max="9982" width="14.88671875" style="125" bestFit="1" customWidth="1"/>
    <col min="9983" max="9983" width="17" style="125" bestFit="1" customWidth="1"/>
    <col min="9984" max="9984" width="14.88671875" style="125" bestFit="1" customWidth="1"/>
    <col min="9985" max="10230" width="9.44140625" style="125"/>
    <col min="10231" max="10231" width="4.5546875" style="125" bestFit="1" customWidth="1"/>
    <col min="10232" max="10232" width="11.33203125" style="125" customWidth="1"/>
    <col min="10233" max="10233" width="64.109375" style="125" bestFit="1" customWidth="1"/>
    <col min="10234" max="10234" width="14.88671875" style="125" customWidth="1"/>
    <col min="10235" max="10235" width="12.88671875" style="125" bestFit="1" customWidth="1"/>
    <col min="10236" max="10236" width="13.44140625" style="125" customWidth="1"/>
    <col min="10237" max="10237" width="3.33203125" style="125" customWidth="1"/>
    <col min="10238" max="10238" width="14.88671875" style="125" bestFit="1" customWidth="1"/>
    <col min="10239" max="10239" width="17" style="125" bestFit="1" customWidth="1"/>
    <col min="10240" max="10240" width="14.88671875" style="125" bestFit="1" customWidth="1"/>
    <col min="10241" max="10486" width="9.44140625" style="125"/>
    <col min="10487" max="10487" width="4.5546875" style="125" bestFit="1" customWidth="1"/>
    <col min="10488" max="10488" width="11.33203125" style="125" customWidth="1"/>
    <col min="10489" max="10489" width="64.109375" style="125" bestFit="1" customWidth="1"/>
    <col min="10490" max="10490" width="14.88671875" style="125" customWidth="1"/>
    <col min="10491" max="10491" width="12.88671875" style="125" bestFit="1" customWidth="1"/>
    <col min="10492" max="10492" width="13.44140625" style="125" customWidth="1"/>
    <col min="10493" max="10493" width="3.33203125" style="125" customWidth="1"/>
    <col min="10494" max="10494" width="14.88671875" style="125" bestFit="1" customWidth="1"/>
    <col min="10495" max="10495" width="17" style="125" bestFit="1" customWidth="1"/>
    <col min="10496" max="10496" width="14.88671875" style="125" bestFit="1" customWidth="1"/>
    <col min="10497" max="10742" width="9.44140625" style="125"/>
    <col min="10743" max="10743" width="4.5546875" style="125" bestFit="1" customWidth="1"/>
    <col min="10744" max="10744" width="11.33203125" style="125" customWidth="1"/>
    <col min="10745" max="10745" width="64.109375" style="125" bestFit="1" customWidth="1"/>
    <col min="10746" max="10746" width="14.88671875" style="125" customWidth="1"/>
    <col min="10747" max="10747" width="12.88671875" style="125" bestFit="1" customWidth="1"/>
    <col min="10748" max="10748" width="13.44140625" style="125" customWidth="1"/>
    <col min="10749" max="10749" width="3.33203125" style="125" customWidth="1"/>
    <col min="10750" max="10750" width="14.88671875" style="125" bestFit="1" customWidth="1"/>
    <col min="10751" max="10751" width="17" style="125" bestFit="1" customWidth="1"/>
    <col min="10752" max="10752" width="14.88671875" style="125" bestFit="1" customWidth="1"/>
    <col min="10753" max="10998" width="9.44140625" style="125"/>
    <col min="10999" max="10999" width="4.5546875" style="125" bestFit="1" customWidth="1"/>
    <col min="11000" max="11000" width="11.33203125" style="125" customWidth="1"/>
    <col min="11001" max="11001" width="64.109375" style="125" bestFit="1" customWidth="1"/>
    <col min="11002" max="11002" width="14.88671875" style="125" customWidth="1"/>
    <col min="11003" max="11003" width="12.88671875" style="125" bestFit="1" customWidth="1"/>
    <col min="11004" max="11004" width="13.44140625" style="125" customWidth="1"/>
    <col min="11005" max="11005" width="3.33203125" style="125" customWidth="1"/>
    <col min="11006" max="11006" width="14.88671875" style="125" bestFit="1" customWidth="1"/>
    <col min="11007" max="11007" width="17" style="125" bestFit="1" customWidth="1"/>
    <col min="11008" max="11008" width="14.88671875" style="125" bestFit="1" customWidth="1"/>
    <col min="11009" max="11254" width="9.44140625" style="125"/>
    <col min="11255" max="11255" width="4.5546875" style="125" bestFit="1" customWidth="1"/>
    <col min="11256" max="11256" width="11.33203125" style="125" customWidth="1"/>
    <col min="11257" max="11257" width="64.109375" style="125" bestFit="1" customWidth="1"/>
    <col min="11258" max="11258" width="14.88671875" style="125" customWidth="1"/>
    <col min="11259" max="11259" width="12.88671875" style="125" bestFit="1" customWidth="1"/>
    <col min="11260" max="11260" width="13.44140625" style="125" customWidth="1"/>
    <col min="11261" max="11261" width="3.33203125" style="125" customWidth="1"/>
    <col min="11262" max="11262" width="14.88671875" style="125" bestFit="1" customWidth="1"/>
    <col min="11263" max="11263" width="17" style="125" bestFit="1" customWidth="1"/>
    <col min="11264" max="11264" width="14.88671875" style="125" bestFit="1" customWidth="1"/>
    <col min="11265" max="11510" width="9.44140625" style="125"/>
    <col min="11511" max="11511" width="4.5546875" style="125" bestFit="1" customWidth="1"/>
    <col min="11512" max="11512" width="11.33203125" style="125" customWidth="1"/>
    <col min="11513" max="11513" width="64.109375" style="125" bestFit="1" customWidth="1"/>
    <col min="11514" max="11514" width="14.88671875" style="125" customWidth="1"/>
    <col min="11515" max="11515" width="12.88671875" style="125" bestFit="1" customWidth="1"/>
    <col min="11516" max="11516" width="13.44140625" style="125" customWidth="1"/>
    <col min="11517" max="11517" width="3.33203125" style="125" customWidth="1"/>
    <col min="11518" max="11518" width="14.88671875" style="125" bestFit="1" customWidth="1"/>
    <col min="11519" max="11519" width="17" style="125" bestFit="1" customWidth="1"/>
    <col min="11520" max="11520" width="14.88671875" style="125" bestFit="1" customWidth="1"/>
    <col min="11521" max="11766" width="9.44140625" style="125"/>
    <col min="11767" max="11767" width="4.5546875" style="125" bestFit="1" customWidth="1"/>
    <col min="11768" max="11768" width="11.33203125" style="125" customWidth="1"/>
    <col min="11769" max="11769" width="64.109375" style="125" bestFit="1" customWidth="1"/>
    <col min="11770" max="11770" width="14.88671875" style="125" customWidth="1"/>
    <col min="11771" max="11771" width="12.88671875" style="125" bestFit="1" customWidth="1"/>
    <col min="11772" max="11772" width="13.44140625" style="125" customWidth="1"/>
    <col min="11773" max="11773" width="3.33203125" style="125" customWidth="1"/>
    <col min="11774" max="11774" width="14.88671875" style="125" bestFit="1" customWidth="1"/>
    <col min="11775" max="11775" width="17" style="125" bestFit="1" customWidth="1"/>
    <col min="11776" max="11776" width="14.88671875" style="125" bestFit="1" customWidth="1"/>
    <col min="11777" max="12022" width="9.44140625" style="125"/>
    <col min="12023" max="12023" width="4.5546875" style="125" bestFit="1" customWidth="1"/>
    <col min="12024" max="12024" width="11.33203125" style="125" customWidth="1"/>
    <col min="12025" max="12025" width="64.109375" style="125" bestFit="1" customWidth="1"/>
    <col min="12026" max="12026" width="14.88671875" style="125" customWidth="1"/>
    <col min="12027" max="12027" width="12.88671875" style="125" bestFit="1" customWidth="1"/>
    <col min="12028" max="12028" width="13.44140625" style="125" customWidth="1"/>
    <col min="12029" max="12029" width="3.33203125" style="125" customWidth="1"/>
    <col min="12030" max="12030" width="14.88671875" style="125" bestFit="1" customWidth="1"/>
    <col min="12031" max="12031" width="17" style="125" bestFit="1" customWidth="1"/>
    <col min="12032" max="12032" width="14.88671875" style="125" bestFit="1" customWidth="1"/>
    <col min="12033" max="12278" width="9.44140625" style="125"/>
    <col min="12279" max="12279" width="4.5546875" style="125" bestFit="1" customWidth="1"/>
    <col min="12280" max="12280" width="11.33203125" style="125" customWidth="1"/>
    <col min="12281" max="12281" width="64.109375" style="125" bestFit="1" customWidth="1"/>
    <col min="12282" max="12282" width="14.88671875" style="125" customWidth="1"/>
    <col min="12283" max="12283" width="12.88671875" style="125" bestFit="1" customWidth="1"/>
    <col min="12284" max="12284" width="13.44140625" style="125" customWidth="1"/>
    <col min="12285" max="12285" width="3.33203125" style="125" customWidth="1"/>
    <col min="12286" max="12286" width="14.88671875" style="125" bestFit="1" customWidth="1"/>
    <col min="12287" max="12287" width="17" style="125" bestFit="1" customWidth="1"/>
    <col min="12288" max="12288" width="14.88671875" style="125" bestFit="1" customWidth="1"/>
    <col min="12289" max="12534" width="9.44140625" style="125"/>
    <col min="12535" max="12535" width="4.5546875" style="125" bestFit="1" customWidth="1"/>
    <col min="12536" max="12536" width="11.33203125" style="125" customWidth="1"/>
    <col min="12537" max="12537" width="64.109375" style="125" bestFit="1" customWidth="1"/>
    <col min="12538" max="12538" width="14.88671875" style="125" customWidth="1"/>
    <col min="12539" max="12539" width="12.88671875" style="125" bestFit="1" customWidth="1"/>
    <col min="12540" max="12540" width="13.44140625" style="125" customWidth="1"/>
    <col min="12541" max="12541" width="3.33203125" style="125" customWidth="1"/>
    <col min="12542" max="12542" width="14.88671875" style="125" bestFit="1" customWidth="1"/>
    <col min="12543" max="12543" width="17" style="125" bestFit="1" customWidth="1"/>
    <col min="12544" max="12544" width="14.88671875" style="125" bestFit="1" customWidth="1"/>
    <col min="12545" max="12790" width="9.44140625" style="125"/>
    <col min="12791" max="12791" width="4.5546875" style="125" bestFit="1" customWidth="1"/>
    <col min="12792" max="12792" width="11.33203125" style="125" customWidth="1"/>
    <col min="12793" max="12793" width="64.109375" style="125" bestFit="1" customWidth="1"/>
    <col min="12794" max="12794" width="14.88671875" style="125" customWidth="1"/>
    <col min="12795" max="12795" width="12.88671875" style="125" bestFit="1" customWidth="1"/>
    <col min="12796" max="12796" width="13.44140625" style="125" customWidth="1"/>
    <col min="12797" max="12797" width="3.33203125" style="125" customWidth="1"/>
    <col min="12798" max="12798" width="14.88671875" style="125" bestFit="1" customWidth="1"/>
    <col min="12799" max="12799" width="17" style="125" bestFit="1" customWidth="1"/>
    <col min="12800" max="12800" width="14.88671875" style="125" bestFit="1" customWidth="1"/>
    <col min="12801" max="13046" width="9.44140625" style="125"/>
    <col min="13047" max="13047" width="4.5546875" style="125" bestFit="1" customWidth="1"/>
    <col min="13048" max="13048" width="11.33203125" style="125" customWidth="1"/>
    <col min="13049" max="13049" width="64.109375" style="125" bestFit="1" customWidth="1"/>
    <col min="13050" max="13050" width="14.88671875" style="125" customWidth="1"/>
    <col min="13051" max="13051" width="12.88671875" style="125" bestFit="1" customWidth="1"/>
    <col min="13052" max="13052" width="13.44140625" style="125" customWidth="1"/>
    <col min="13053" max="13053" width="3.33203125" style="125" customWidth="1"/>
    <col min="13054" max="13054" width="14.88671875" style="125" bestFit="1" customWidth="1"/>
    <col min="13055" max="13055" width="17" style="125" bestFit="1" customWidth="1"/>
    <col min="13056" max="13056" width="14.88671875" style="125" bestFit="1" customWidth="1"/>
    <col min="13057" max="13302" width="9.44140625" style="125"/>
    <col min="13303" max="13303" width="4.5546875" style="125" bestFit="1" customWidth="1"/>
    <col min="13304" max="13304" width="11.33203125" style="125" customWidth="1"/>
    <col min="13305" max="13305" width="64.109375" style="125" bestFit="1" customWidth="1"/>
    <col min="13306" max="13306" width="14.88671875" style="125" customWidth="1"/>
    <col min="13307" max="13307" width="12.88671875" style="125" bestFit="1" customWidth="1"/>
    <col min="13308" max="13308" width="13.44140625" style="125" customWidth="1"/>
    <col min="13309" max="13309" width="3.33203125" style="125" customWidth="1"/>
    <col min="13310" max="13310" width="14.88671875" style="125" bestFit="1" customWidth="1"/>
    <col min="13311" max="13311" width="17" style="125" bestFit="1" customWidth="1"/>
    <col min="13312" max="13312" width="14.88671875" style="125" bestFit="1" customWidth="1"/>
    <col min="13313" max="13558" width="9.44140625" style="125"/>
    <col min="13559" max="13559" width="4.5546875" style="125" bestFit="1" customWidth="1"/>
    <col min="13560" max="13560" width="11.33203125" style="125" customWidth="1"/>
    <col min="13561" max="13561" width="64.109375" style="125" bestFit="1" customWidth="1"/>
    <col min="13562" max="13562" width="14.88671875" style="125" customWidth="1"/>
    <col min="13563" max="13563" width="12.88671875" style="125" bestFit="1" customWidth="1"/>
    <col min="13564" max="13564" width="13.44140625" style="125" customWidth="1"/>
    <col min="13565" max="13565" width="3.33203125" style="125" customWidth="1"/>
    <col min="13566" max="13566" width="14.88671875" style="125" bestFit="1" customWidth="1"/>
    <col min="13567" max="13567" width="17" style="125" bestFit="1" customWidth="1"/>
    <col min="13568" max="13568" width="14.88671875" style="125" bestFit="1" customWidth="1"/>
    <col min="13569" max="13814" width="9.44140625" style="125"/>
    <col min="13815" max="13815" width="4.5546875" style="125" bestFit="1" customWidth="1"/>
    <col min="13816" max="13816" width="11.33203125" style="125" customWidth="1"/>
    <col min="13817" max="13817" width="64.109375" style="125" bestFit="1" customWidth="1"/>
    <col min="13818" max="13818" width="14.88671875" style="125" customWidth="1"/>
    <col min="13819" max="13819" width="12.88671875" style="125" bestFit="1" customWidth="1"/>
    <col min="13820" max="13820" width="13.44140625" style="125" customWidth="1"/>
    <col min="13821" max="13821" width="3.33203125" style="125" customWidth="1"/>
    <col min="13822" max="13822" width="14.88671875" style="125" bestFit="1" customWidth="1"/>
    <col min="13823" max="13823" width="17" style="125" bestFit="1" customWidth="1"/>
    <col min="13824" max="13824" width="14.88671875" style="125" bestFit="1" customWidth="1"/>
    <col min="13825" max="14070" width="9.44140625" style="125"/>
    <col min="14071" max="14071" width="4.5546875" style="125" bestFit="1" customWidth="1"/>
    <col min="14072" max="14072" width="11.33203125" style="125" customWidth="1"/>
    <col min="14073" max="14073" width="64.109375" style="125" bestFit="1" customWidth="1"/>
    <col min="14074" max="14074" width="14.88671875" style="125" customWidth="1"/>
    <col min="14075" max="14075" width="12.88671875" style="125" bestFit="1" customWidth="1"/>
    <col min="14076" max="14076" width="13.44140625" style="125" customWidth="1"/>
    <col min="14077" max="14077" width="3.33203125" style="125" customWidth="1"/>
    <col min="14078" max="14078" width="14.88671875" style="125" bestFit="1" customWidth="1"/>
    <col min="14079" max="14079" width="17" style="125" bestFit="1" customWidth="1"/>
    <col min="14080" max="14080" width="14.88671875" style="125" bestFit="1" customWidth="1"/>
    <col min="14081" max="14326" width="9.44140625" style="125"/>
    <col min="14327" max="14327" width="4.5546875" style="125" bestFit="1" customWidth="1"/>
    <col min="14328" max="14328" width="11.33203125" style="125" customWidth="1"/>
    <col min="14329" max="14329" width="64.109375" style="125" bestFit="1" customWidth="1"/>
    <col min="14330" max="14330" width="14.88671875" style="125" customWidth="1"/>
    <col min="14331" max="14331" width="12.88671875" style="125" bestFit="1" customWidth="1"/>
    <col min="14332" max="14332" width="13.44140625" style="125" customWidth="1"/>
    <col min="14333" max="14333" width="3.33203125" style="125" customWidth="1"/>
    <col min="14334" max="14334" width="14.88671875" style="125" bestFit="1" customWidth="1"/>
    <col min="14335" max="14335" width="17" style="125" bestFit="1" customWidth="1"/>
    <col min="14336" max="14336" width="14.88671875" style="125" bestFit="1" customWidth="1"/>
    <col min="14337" max="14582" width="9.44140625" style="125"/>
    <col min="14583" max="14583" width="4.5546875" style="125" bestFit="1" customWidth="1"/>
    <col min="14584" max="14584" width="11.33203125" style="125" customWidth="1"/>
    <col min="14585" max="14585" width="64.109375" style="125" bestFit="1" customWidth="1"/>
    <col min="14586" max="14586" width="14.88671875" style="125" customWidth="1"/>
    <col min="14587" max="14587" width="12.88671875" style="125" bestFit="1" customWidth="1"/>
    <col min="14588" max="14588" width="13.44140625" style="125" customWidth="1"/>
    <col min="14589" max="14589" width="3.33203125" style="125" customWidth="1"/>
    <col min="14590" max="14590" width="14.88671875" style="125" bestFit="1" customWidth="1"/>
    <col min="14591" max="14591" width="17" style="125" bestFit="1" customWidth="1"/>
    <col min="14592" max="14592" width="14.88671875" style="125" bestFit="1" customWidth="1"/>
    <col min="14593" max="14838" width="9.44140625" style="125"/>
    <col min="14839" max="14839" width="4.5546875" style="125" bestFit="1" customWidth="1"/>
    <col min="14840" max="14840" width="11.33203125" style="125" customWidth="1"/>
    <col min="14841" max="14841" width="64.109375" style="125" bestFit="1" customWidth="1"/>
    <col min="14842" max="14842" width="14.88671875" style="125" customWidth="1"/>
    <col min="14843" max="14843" width="12.88671875" style="125" bestFit="1" customWidth="1"/>
    <col min="14844" max="14844" width="13.44140625" style="125" customWidth="1"/>
    <col min="14845" max="14845" width="3.33203125" style="125" customWidth="1"/>
    <col min="14846" max="14846" width="14.88671875" style="125" bestFit="1" customWidth="1"/>
    <col min="14847" max="14847" width="17" style="125" bestFit="1" customWidth="1"/>
    <col min="14848" max="14848" width="14.88671875" style="125" bestFit="1" customWidth="1"/>
    <col min="14849" max="15094" width="9.44140625" style="125"/>
    <col min="15095" max="15095" width="4.5546875" style="125" bestFit="1" customWidth="1"/>
    <col min="15096" max="15096" width="11.33203125" style="125" customWidth="1"/>
    <col min="15097" max="15097" width="64.109375" style="125" bestFit="1" customWidth="1"/>
    <col min="15098" max="15098" width="14.88671875" style="125" customWidth="1"/>
    <col min="15099" max="15099" width="12.88671875" style="125" bestFit="1" customWidth="1"/>
    <col min="15100" max="15100" width="13.44140625" style="125" customWidth="1"/>
    <col min="15101" max="15101" width="3.33203125" style="125" customWidth="1"/>
    <col min="15102" max="15102" width="14.88671875" style="125" bestFit="1" customWidth="1"/>
    <col min="15103" max="15103" width="17" style="125" bestFit="1" customWidth="1"/>
    <col min="15104" max="15104" width="14.88671875" style="125" bestFit="1" customWidth="1"/>
    <col min="15105" max="15350" width="9.44140625" style="125"/>
    <col min="15351" max="15351" width="4.5546875" style="125" bestFit="1" customWidth="1"/>
    <col min="15352" max="15352" width="11.33203125" style="125" customWidth="1"/>
    <col min="15353" max="15353" width="64.109375" style="125" bestFit="1" customWidth="1"/>
    <col min="15354" max="15354" width="14.88671875" style="125" customWidth="1"/>
    <col min="15355" max="15355" width="12.88671875" style="125" bestFit="1" customWidth="1"/>
    <col min="15356" max="15356" width="13.44140625" style="125" customWidth="1"/>
    <col min="15357" max="15357" width="3.33203125" style="125" customWidth="1"/>
    <col min="15358" max="15358" width="14.88671875" style="125" bestFit="1" customWidth="1"/>
    <col min="15359" max="15359" width="17" style="125" bestFit="1" customWidth="1"/>
    <col min="15360" max="15360" width="14.88671875" style="125" bestFit="1" customWidth="1"/>
    <col min="15361" max="15606" width="9.44140625" style="125"/>
    <col min="15607" max="15607" width="4.5546875" style="125" bestFit="1" customWidth="1"/>
    <col min="15608" max="15608" width="11.33203125" style="125" customWidth="1"/>
    <col min="15609" max="15609" width="64.109375" style="125" bestFit="1" customWidth="1"/>
    <col min="15610" max="15610" width="14.88671875" style="125" customWidth="1"/>
    <col min="15611" max="15611" width="12.88671875" style="125" bestFit="1" customWidth="1"/>
    <col min="15612" max="15612" width="13.44140625" style="125" customWidth="1"/>
    <col min="15613" max="15613" width="3.33203125" style="125" customWidth="1"/>
    <col min="15614" max="15614" width="14.88671875" style="125" bestFit="1" customWidth="1"/>
    <col min="15615" max="15615" width="17" style="125" bestFit="1" customWidth="1"/>
    <col min="15616" max="15616" width="14.88671875" style="125" bestFit="1" customWidth="1"/>
    <col min="15617" max="15862" width="9.44140625" style="125"/>
    <col min="15863" max="15863" width="4.5546875" style="125" bestFit="1" customWidth="1"/>
    <col min="15864" max="15864" width="11.33203125" style="125" customWidth="1"/>
    <col min="15865" max="15865" width="64.109375" style="125" bestFit="1" customWidth="1"/>
    <col min="15866" max="15866" width="14.88671875" style="125" customWidth="1"/>
    <col min="15867" max="15867" width="12.88671875" style="125" bestFit="1" customWidth="1"/>
    <col min="15868" max="15868" width="13.44140625" style="125" customWidth="1"/>
    <col min="15869" max="15869" width="3.33203125" style="125" customWidth="1"/>
    <col min="15870" max="15870" width="14.88671875" style="125" bestFit="1" customWidth="1"/>
    <col min="15871" max="15871" width="17" style="125" bestFit="1" customWidth="1"/>
    <col min="15872" max="15872" width="14.88671875" style="125" bestFit="1" customWidth="1"/>
    <col min="15873" max="16118" width="9.44140625" style="125"/>
    <col min="16119" max="16119" width="4.5546875" style="125" bestFit="1" customWidth="1"/>
    <col min="16120" max="16120" width="11.33203125" style="125" customWidth="1"/>
    <col min="16121" max="16121" width="64.109375" style="125" bestFit="1" customWidth="1"/>
    <col min="16122" max="16122" width="14.88671875" style="125" customWidth="1"/>
    <col min="16123" max="16123" width="12.88671875" style="125" bestFit="1" customWidth="1"/>
    <col min="16124" max="16124" width="13.44140625" style="125" customWidth="1"/>
    <col min="16125" max="16125" width="3.33203125" style="125" customWidth="1"/>
    <col min="16126" max="16126" width="14.88671875" style="125" bestFit="1" customWidth="1"/>
    <col min="16127" max="16127" width="17" style="125" bestFit="1" customWidth="1"/>
    <col min="16128" max="16128" width="14.88671875" style="125" bestFit="1" customWidth="1"/>
    <col min="16129" max="16384" width="9.44140625" style="125"/>
  </cols>
  <sheetData>
    <row r="1" spans="1:29" s="117" customFormat="1" x14ac:dyDescent="0.2">
      <c r="A1" s="374" t="s">
        <v>7</v>
      </c>
      <c r="B1" s="374"/>
      <c r="C1" s="374"/>
      <c r="D1" s="374"/>
      <c r="E1" s="374"/>
      <c r="H1" s="118"/>
      <c r="R1" s="119"/>
      <c r="X1" s="119"/>
    </row>
    <row r="2" spans="1:29" s="117" customFormat="1" x14ac:dyDescent="0.2">
      <c r="A2" s="374" t="s">
        <v>85</v>
      </c>
      <c r="B2" s="374"/>
      <c r="C2" s="374"/>
      <c r="D2" s="374"/>
      <c r="E2" s="374"/>
      <c r="H2" s="118"/>
      <c r="R2" s="119"/>
      <c r="X2" s="119"/>
    </row>
    <row r="3" spans="1:29" s="117" customFormat="1" ht="15.75" customHeight="1" x14ac:dyDescent="0.2">
      <c r="A3" s="119"/>
      <c r="B3" s="119"/>
      <c r="C3" s="119"/>
      <c r="D3" s="119"/>
      <c r="E3" s="119"/>
      <c r="F3" s="119"/>
      <c r="H3" s="118"/>
      <c r="R3" s="119"/>
      <c r="X3" s="119"/>
    </row>
    <row r="4" spans="1:29" s="117" customFormat="1" x14ac:dyDescent="0.2">
      <c r="A4" s="120"/>
      <c r="B4" s="120"/>
      <c r="C4" s="120"/>
      <c r="D4" s="120"/>
      <c r="E4" s="120"/>
      <c r="F4" s="120"/>
      <c r="H4" s="118"/>
      <c r="J4" s="373" t="s">
        <v>86</v>
      </c>
      <c r="K4" s="373"/>
      <c r="L4" s="373"/>
      <c r="N4" s="373" t="s">
        <v>87</v>
      </c>
      <c r="O4" s="373"/>
      <c r="P4" s="373"/>
      <c r="Q4" s="373"/>
      <c r="R4" s="373"/>
      <c r="T4" s="373" t="s">
        <v>88</v>
      </c>
      <c r="U4" s="373"/>
      <c r="V4" s="373"/>
      <c r="W4" s="373"/>
      <c r="X4" s="373"/>
      <c r="Z4" s="373" t="s">
        <v>89</v>
      </c>
      <c r="AA4" s="373"/>
      <c r="AB4" s="373"/>
    </row>
    <row r="5" spans="1:29" s="123" customFormat="1" ht="51" x14ac:dyDescent="0.2">
      <c r="A5" s="121" t="s">
        <v>15</v>
      </c>
      <c r="B5" s="121" t="s">
        <v>90</v>
      </c>
      <c r="C5" s="122" t="s">
        <v>91</v>
      </c>
      <c r="D5" s="121" t="s">
        <v>92</v>
      </c>
      <c r="E5" s="121" t="s">
        <v>93</v>
      </c>
      <c r="F5" s="121" t="s">
        <v>94</v>
      </c>
      <c r="G5" s="121" t="s">
        <v>95</v>
      </c>
      <c r="H5" s="121" t="s">
        <v>96</v>
      </c>
      <c r="J5" s="121" t="s">
        <v>97</v>
      </c>
      <c r="K5" s="121" t="s">
        <v>91</v>
      </c>
      <c r="L5" s="121" t="s">
        <v>98</v>
      </c>
      <c r="N5" s="121" t="s">
        <v>97</v>
      </c>
      <c r="O5" s="121" t="s">
        <v>99</v>
      </c>
      <c r="P5" s="121" t="s">
        <v>100</v>
      </c>
      <c r="Q5" s="121" t="s">
        <v>91</v>
      </c>
      <c r="R5" s="121" t="s">
        <v>101</v>
      </c>
      <c r="S5" s="124"/>
      <c r="T5" s="121" t="s">
        <v>97</v>
      </c>
      <c r="U5" s="121" t="s">
        <v>99</v>
      </c>
      <c r="V5" s="121" t="s">
        <v>100</v>
      </c>
      <c r="W5" s="121" t="s">
        <v>91</v>
      </c>
      <c r="X5" s="121" t="s">
        <v>102</v>
      </c>
      <c r="Z5" s="121" t="s">
        <v>97</v>
      </c>
      <c r="AA5" s="121" t="s">
        <v>91</v>
      </c>
      <c r="AB5" s="121" t="s">
        <v>103</v>
      </c>
    </row>
    <row r="6" spans="1:29" x14ac:dyDescent="0.2">
      <c r="D6" s="126" t="s">
        <v>104</v>
      </c>
      <c r="E6" s="126" t="s">
        <v>105</v>
      </c>
      <c r="F6" s="126" t="s">
        <v>106</v>
      </c>
    </row>
    <row r="7" spans="1:29" x14ac:dyDescent="0.2">
      <c r="A7" s="128">
        <v>1</v>
      </c>
      <c r="B7" s="129" t="s">
        <v>107</v>
      </c>
      <c r="C7" s="125" t="s">
        <v>31</v>
      </c>
    </row>
    <row r="8" spans="1:29" x14ac:dyDescent="0.2">
      <c r="A8" s="128">
        <f t="shared" ref="A8:A71" si="0">+A7+1</f>
        <v>2</v>
      </c>
      <c r="B8" s="128" t="str">
        <f>+B7</f>
        <v>7</v>
      </c>
      <c r="C8" s="130" t="s">
        <v>108</v>
      </c>
      <c r="D8" s="150">
        <v>7.49</v>
      </c>
      <c r="E8" s="195">
        <v>7.49</v>
      </c>
      <c r="F8" s="131">
        <f>+E8-D8</f>
        <v>0</v>
      </c>
      <c r="G8" s="132" t="s">
        <v>109</v>
      </c>
      <c r="H8" s="132" t="s">
        <v>109</v>
      </c>
    </row>
    <row r="9" spans="1:29" x14ac:dyDescent="0.2">
      <c r="A9" s="128">
        <f t="shared" si="0"/>
        <v>3</v>
      </c>
      <c r="B9" s="128" t="str">
        <f>+B8</f>
        <v>7</v>
      </c>
      <c r="C9" s="130" t="s">
        <v>110</v>
      </c>
      <c r="D9" s="150">
        <v>17.989999999999998</v>
      </c>
      <c r="E9" s="195">
        <v>17.989999999999998</v>
      </c>
      <c r="F9" s="131">
        <f>+E9-D9</f>
        <v>0</v>
      </c>
      <c r="G9" s="132" t="s">
        <v>109</v>
      </c>
      <c r="H9" s="132" t="s">
        <v>109</v>
      </c>
      <c r="J9" s="152"/>
    </row>
    <row r="10" spans="1:29" x14ac:dyDescent="0.2">
      <c r="A10" s="128">
        <f t="shared" si="0"/>
        <v>4</v>
      </c>
      <c r="B10" s="128" t="str">
        <f>+B9</f>
        <v>7</v>
      </c>
      <c r="C10" s="130"/>
      <c r="D10" s="150"/>
      <c r="E10" s="150"/>
      <c r="F10" s="131"/>
      <c r="J10" s="152"/>
    </row>
    <row r="11" spans="1:29" x14ac:dyDescent="0.2">
      <c r="A11" s="128">
        <f t="shared" si="0"/>
        <v>5</v>
      </c>
      <c r="B11" s="128" t="str">
        <f>+B10</f>
        <v>7</v>
      </c>
      <c r="C11" s="130" t="s">
        <v>111</v>
      </c>
      <c r="D11" s="151">
        <v>9.1343999999999995E-2</v>
      </c>
      <c r="E11" s="151">
        <v>8.9437000000000003E-2</v>
      </c>
      <c r="F11" s="133">
        <f>+E11-D11</f>
        <v>-1.906999999999992E-3</v>
      </c>
      <c r="G11" s="132" t="s">
        <v>48</v>
      </c>
      <c r="H11" s="127">
        <v>7</v>
      </c>
      <c r="J11" s="151">
        <v>2.6689999999999999E-3</v>
      </c>
      <c r="K11" s="133" t="s">
        <v>112</v>
      </c>
      <c r="L11" s="132" t="s">
        <v>113</v>
      </c>
      <c r="N11" s="151">
        <v>1.0007E-2</v>
      </c>
      <c r="O11" s="151">
        <v>5.8910000000000004E-3</v>
      </c>
      <c r="P11" s="133"/>
      <c r="Q11" s="133" t="s">
        <v>112</v>
      </c>
      <c r="R11" s="132" t="s">
        <v>114</v>
      </c>
      <c r="T11" s="151">
        <v>5.0289999999999996E-3</v>
      </c>
      <c r="U11" s="151">
        <v>1.0742E-2</v>
      </c>
      <c r="V11" s="133"/>
      <c r="W11" s="133" t="s">
        <v>112</v>
      </c>
      <c r="X11" s="132" t="s">
        <v>115</v>
      </c>
      <c r="Z11" s="151">
        <v>1.828E-3</v>
      </c>
      <c r="AA11" s="133" t="s">
        <v>112</v>
      </c>
      <c r="AB11" s="132" t="s">
        <v>116</v>
      </c>
      <c r="AC11" s="134"/>
    </row>
    <row r="12" spans="1:29" x14ac:dyDescent="0.2">
      <c r="A12" s="128">
        <f t="shared" si="0"/>
        <v>6</v>
      </c>
      <c r="B12" s="128" t="str">
        <f>+B11</f>
        <v>7</v>
      </c>
      <c r="C12" s="130" t="s">
        <v>117</v>
      </c>
      <c r="D12" s="151">
        <v>0.111175</v>
      </c>
      <c r="E12" s="151">
        <v>0.10885400000000001</v>
      </c>
      <c r="F12" s="133">
        <f>+E12-D12</f>
        <v>-2.3209999999999897E-3</v>
      </c>
      <c r="G12" s="132" t="s">
        <v>48</v>
      </c>
      <c r="H12" s="127">
        <v>7</v>
      </c>
      <c r="J12" s="151"/>
      <c r="K12" s="133"/>
      <c r="L12" s="127"/>
      <c r="N12" s="151"/>
      <c r="O12" s="151"/>
      <c r="P12" s="133"/>
      <c r="Q12" s="133"/>
      <c r="R12" s="127"/>
      <c r="T12" s="151"/>
      <c r="U12" s="151"/>
      <c r="V12" s="133"/>
      <c r="W12" s="133"/>
      <c r="X12" s="127"/>
      <c r="Z12" s="151"/>
      <c r="AA12" s="133"/>
      <c r="AB12" s="127"/>
      <c r="AC12" s="134"/>
    </row>
    <row r="13" spans="1:29" x14ac:dyDescent="0.2">
      <c r="A13" s="128">
        <f t="shared" si="0"/>
        <v>7</v>
      </c>
      <c r="D13" s="152"/>
      <c r="E13" s="152"/>
      <c r="J13" s="152"/>
      <c r="K13" s="133"/>
      <c r="L13" s="127"/>
      <c r="N13" s="152"/>
      <c r="O13" s="152"/>
      <c r="P13" s="133"/>
      <c r="Q13" s="133"/>
      <c r="R13" s="127"/>
      <c r="T13" s="152"/>
      <c r="U13" s="152"/>
      <c r="V13" s="133"/>
      <c r="W13" s="133"/>
      <c r="X13" s="127"/>
      <c r="Z13" s="152"/>
      <c r="AA13" s="133"/>
      <c r="AB13" s="127"/>
      <c r="AC13" s="134"/>
    </row>
    <row r="14" spans="1:29" x14ac:dyDescent="0.2">
      <c r="A14" s="128">
        <f t="shared" si="0"/>
        <v>8</v>
      </c>
      <c r="B14" s="128" t="s">
        <v>118</v>
      </c>
      <c r="C14" s="132" t="s">
        <v>119</v>
      </c>
      <c r="D14" s="150"/>
      <c r="E14" s="150"/>
      <c r="F14" s="131"/>
      <c r="J14" s="152"/>
      <c r="K14" s="133"/>
      <c r="L14" s="127"/>
      <c r="N14" s="152"/>
      <c r="O14" s="152"/>
      <c r="P14" s="133"/>
      <c r="Q14" s="133"/>
      <c r="R14" s="127"/>
      <c r="T14" s="152"/>
      <c r="U14" s="152"/>
      <c r="V14" s="133"/>
      <c r="W14" s="133"/>
      <c r="X14" s="127"/>
      <c r="Z14" s="152"/>
      <c r="AA14" s="133"/>
      <c r="AB14" s="127"/>
      <c r="AC14" s="134"/>
    </row>
    <row r="15" spans="1:29" x14ac:dyDescent="0.2">
      <c r="A15" s="128">
        <f t="shared" si="0"/>
        <v>9</v>
      </c>
      <c r="B15" s="128" t="str">
        <f>+$B$14</f>
        <v>24 (08)</v>
      </c>
      <c r="C15" s="130" t="s">
        <v>108</v>
      </c>
      <c r="D15" s="150">
        <v>10.210000000000001</v>
      </c>
      <c r="E15" s="195">
        <v>10.210000000000001</v>
      </c>
      <c r="F15" s="131">
        <f>+E15-D15</f>
        <v>0</v>
      </c>
      <c r="G15" s="125" t="s">
        <v>120</v>
      </c>
      <c r="H15" s="127">
        <v>24</v>
      </c>
      <c r="J15" s="152"/>
      <c r="K15" s="133"/>
      <c r="L15" s="127"/>
      <c r="N15" s="152"/>
      <c r="O15" s="152"/>
      <c r="P15" s="133"/>
      <c r="Q15" s="133"/>
      <c r="R15" s="127"/>
      <c r="T15" s="152"/>
      <c r="U15" s="152"/>
      <c r="V15" s="133"/>
      <c r="W15" s="133"/>
      <c r="X15" s="127"/>
      <c r="Z15" s="152"/>
      <c r="AA15" s="133"/>
      <c r="AB15" s="127"/>
      <c r="AC15" s="134"/>
    </row>
    <row r="16" spans="1:29" x14ac:dyDescent="0.2">
      <c r="A16" s="128">
        <f t="shared" si="0"/>
        <v>10</v>
      </c>
      <c r="B16" s="128" t="str">
        <f>+$B$14</f>
        <v>24 (08)</v>
      </c>
      <c r="C16" s="130" t="s">
        <v>110</v>
      </c>
      <c r="D16" s="150">
        <v>25.95</v>
      </c>
      <c r="E16" s="195">
        <v>25.95</v>
      </c>
      <c r="F16" s="131">
        <f>+E16-D16</f>
        <v>0</v>
      </c>
      <c r="G16" s="125" t="s">
        <v>120</v>
      </c>
      <c r="H16" s="127">
        <v>24</v>
      </c>
      <c r="J16" s="152"/>
      <c r="K16" s="133"/>
      <c r="L16" s="127"/>
      <c r="N16" s="152"/>
      <c r="O16" s="152"/>
      <c r="P16" s="133"/>
      <c r="Q16" s="133"/>
      <c r="R16" s="127"/>
      <c r="T16" s="152"/>
      <c r="U16" s="152"/>
      <c r="V16" s="133"/>
      <c r="W16" s="133"/>
      <c r="X16" s="127"/>
      <c r="Z16" s="152"/>
      <c r="AA16" s="133"/>
      <c r="AB16" s="127"/>
      <c r="AC16" s="134"/>
    </row>
    <row r="17" spans="1:29" x14ac:dyDescent="0.2">
      <c r="A17" s="128">
        <f t="shared" si="0"/>
        <v>11</v>
      </c>
      <c r="B17" s="128" t="str">
        <f>+$B$14</f>
        <v>24 (08)</v>
      </c>
      <c r="C17" s="130"/>
      <c r="D17" s="150"/>
      <c r="E17" s="150"/>
      <c r="F17" s="131"/>
      <c r="J17" s="152"/>
      <c r="K17" s="133"/>
      <c r="L17" s="127"/>
      <c r="N17" s="152"/>
      <c r="O17" s="152"/>
      <c r="P17" s="133"/>
      <c r="Q17" s="133"/>
      <c r="R17" s="127"/>
      <c r="T17" s="152"/>
      <c r="U17" s="152"/>
      <c r="V17" s="133"/>
      <c r="W17" s="133"/>
      <c r="X17" s="127"/>
      <c r="Z17" s="152"/>
      <c r="AA17" s="133"/>
      <c r="AB17" s="127"/>
      <c r="AC17" s="134"/>
    </row>
    <row r="18" spans="1:29" x14ac:dyDescent="0.2">
      <c r="A18" s="128">
        <f t="shared" si="0"/>
        <v>12</v>
      </c>
      <c r="B18" s="128" t="str">
        <f>+$B$14</f>
        <v>24 (08)</v>
      </c>
      <c r="C18" s="130" t="s">
        <v>121</v>
      </c>
      <c r="D18" s="151">
        <v>9.4531000000000004E-2</v>
      </c>
      <c r="E18" s="151">
        <v>9.2536999999999994E-2</v>
      </c>
      <c r="F18" s="133">
        <f>+E18-D18</f>
        <v>-1.9940000000000097E-3</v>
      </c>
      <c r="G18" s="125" t="s">
        <v>120</v>
      </c>
      <c r="H18" s="127">
        <v>24</v>
      </c>
      <c r="J18" s="151">
        <v>2.346E-3</v>
      </c>
      <c r="K18" s="133" t="s">
        <v>112</v>
      </c>
      <c r="L18" s="132" t="str">
        <f>+$L$11</f>
        <v>Sheet No. 141COL</v>
      </c>
      <c r="N18" s="151">
        <v>7.803E-3</v>
      </c>
      <c r="O18" s="151">
        <v>4.581E-3</v>
      </c>
      <c r="P18" s="133"/>
      <c r="Q18" s="133" t="s">
        <v>112</v>
      </c>
      <c r="R18" s="132" t="str">
        <f>+$R$11</f>
        <v>Sheet No. 141N</v>
      </c>
      <c r="T18" s="151">
        <v>3.9220000000000001E-3</v>
      </c>
      <c r="U18" s="151">
        <v>8.3529999999999993E-3</v>
      </c>
      <c r="V18" s="133"/>
      <c r="W18" s="133" t="s">
        <v>112</v>
      </c>
      <c r="X18" s="132" t="str">
        <f>+$X$11</f>
        <v>Sheet No. 141R</v>
      </c>
      <c r="Z18" s="151">
        <v>1.748E-3</v>
      </c>
      <c r="AA18" s="133" t="s">
        <v>112</v>
      </c>
      <c r="AB18" s="132" t="s">
        <v>116</v>
      </c>
      <c r="AC18" s="134"/>
    </row>
    <row r="19" spans="1:29" x14ac:dyDescent="0.2">
      <c r="A19" s="128">
        <f t="shared" si="0"/>
        <v>13</v>
      </c>
      <c r="B19" s="128" t="str">
        <f>+$B$14</f>
        <v>24 (08)</v>
      </c>
      <c r="C19" s="130" t="s">
        <v>122</v>
      </c>
      <c r="D19" s="151">
        <v>9.1261999999999996E-2</v>
      </c>
      <c r="E19" s="151">
        <v>8.9337E-2</v>
      </c>
      <c r="F19" s="133">
        <f>+E19-D19</f>
        <v>-1.9249999999999962E-3</v>
      </c>
      <c r="G19" s="125" t="s">
        <v>120</v>
      </c>
      <c r="H19" s="127">
        <v>24</v>
      </c>
      <c r="J19" s="152"/>
      <c r="K19" s="133"/>
      <c r="L19" s="127"/>
      <c r="N19" s="152"/>
      <c r="O19" s="152"/>
      <c r="P19" s="133"/>
      <c r="Q19" s="133"/>
      <c r="R19" s="127"/>
      <c r="T19" s="152"/>
      <c r="U19" s="152"/>
      <c r="V19" s="133"/>
      <c r="W19" s="133"/>
      <c r="X19" s="127"/>
      <c r="Z19" s="152"/>
      <c r="AA19" s="133"/>
      <c r="AB19" s="127"/>
      <c r="AC19" s="134"/>
    </row>
    <row r="20" spans="1:29" x14ac:dyDescent="0.2">
      <c r="A20" s="128">
        <f t="shared" si="0"/>
        <v>14</v>
      </c>
      <c r="D20" s="152"/>
      <c r="E20" s="152"/>
      <c r="J20" s="152"/>
      <c r="K20" s="133"/>
      <c r="L20" s="127"/>
      <c r="N20" s="152"/>
      <c r="O20" s="152"/>
      <c r="P20" s="133"/>
      <c r="Q20" s="133"/>
      <c r="R20" s="127"/>
      <c r="T20" s="152"/>
      <c r="U20" s="152"/>
      <c r="V20" s="133"/>
      <c r="W20" s="133"/>
      <c r="X20" s="127"/>
      <c r="Z20" s="152"/>
      <c r="AA20" s="133"/>
      <c r="AB20" s="127"/>
      <c r="AC20" s="134"/>
    </row>
    <row r="21" spans="1:29" x14ac:dyDescent="0.2">
      <c r="A21" s="128">
        <f t="shared" si="0"/>
        <v>15</v>
      </c>
      <c r="B21" s="129" t="s">
        <v>123</v>
      </c>
      <c r="C21" s="132" t="s">
        <v>124</v>
      </c>
      <c r="D21" s="152"/>
      <c r="E21" s="152"/>
      <c r="J21" s="152"/>
      <c r="K21" s="133"/>
      <c r="L21" s="127"/>
      <c r="N21" s="152"/>
      <c r="O21" s="152"/>
      <c r="P21" s="133"/>
      <c r="Q21" s="133"/>
      <c r="R21" s="127"/>
      <c r="T21" s="152"/>
      <c r="U21" s="152"/>
      <c r="V21" s="133"/>
      <c r="W21" s="133"/>
      <c r="X21" s="127"/>
      <c r="Z21" s="152"/>
      <c r="AA21" s="133"/>
      <c r="AB21" s="127"/>
      <c r="AC21" s="134"/>
    </row>
    <row r="22" spans="1:29" x14ac:dyDescent="0.2">
      <c r="A22" s="128">
        <f t="shared" si="0"/>
        <v>16</v>
      </c>
      <c r="B22" s="129" t="str">
        <f t="shared" ref="B22:B32" si="1">+$B$21</f>
        <v>25 (7A) (11)</v>
      </c>
      <c r="C22" s="130" t="s">
        <v>125</v>
      </c>
      <c r="D22" s="150">
        <v>53.95</v>
      </c>
      <c r="E22" s="195">
        <v>53.95</v>
      </c>
      <c r="F22" s="131">
        <f>+E22-D22</f>
        <v>0</v>
      </c>
      <c r="G22" s="125" t="s">
        <v>126</v>
      </c>
      <c r="H22" s="132" t="s">
        <v>127</v>
      </c>
      <c r="J22" s="152"/>
      <c r="K22" s="133"/>
      <c r="L22" s="127"/>
      <c r="N22" s="152"/>
      <c r="O22" s="152"/>
      <c r="P22" s="133"/>
      <c r="Q22" s="133"/>
      <c r="R22" s="127"/>
      <c r="T22" s="152"/>
      <c r="U22" s="152"/>
      <c r="V22" s="133"/>
      <c r="W22" s="133"/>
      <c r="X22" s="127"/>
      <c r="Z22" s="152"/>
      <c r="AA22" s="133"/>
      <c r="AB22" s="127"/>
      <c r="AC22" s="134"/>
    </row>
    <row r="23" spans="1:29" x14ac:dyDescent="0.2">
      <c r="A23" s="128">
        <f t="shared" si="0"/>
        <v>17</v>
      </c>
      <c r="B23" s="129" t="str">
        <f t="shared" si="1"/>
        <v>25 (7A) (11)</v>
      </c>
      <c r="C23" s="130"/>
      <c r="D23" s="150"/>
      <c r="E23" s="150"/>
      <c r="F23" s="131"/>
      <c r="J23" s="152"/>
      <c r="K23" s="133"/>
      <c r="L23" s="127"/>
      <c r="N23" s="152"/>
      <c r="O23" s="152"/>
      <c r="P23" s="133"/>
      <c r="Q23" s="133"/>
      <c r="R23" s="127"/>
      <c r="T23" s="152"/>
      <c r="U23" s="152"/>
      <c r="V23" s="133"/>
      <c r="W23" s="133"/>
      <c r="X23" s="127"/>
      <c r="Z23" s="152"/>
      <c r="AA23" s="133"/>
      <c r="AB23" s="127"/>
      <c r="AC23" s="134"/>
    </row>
    <row r="24" spans="1:29" x14ac:dyDescent="0.2">
      <c r="A24" s="128">
        <f t="shared" si="0"/>
        <v>18</v>
      </c>
      <c r="B24" s="129" t="str">
        <f t="shared" si="1"/>
        <v>25 (7A) (11)</v>
      </c>
      <c r="C24" s="130" t="s">
        <v>128</v>
      </c>
      <c r="D24" s="151">
        <v>9.2719999999999997E-2</v>
      </c>
      <c r="E24" s="151">
        <v>9.0594999999999995E-2</v>
      </c>
      <c r="F24" s="133">
        <f>+E24-D24</f>
        <v>-2.1250000000000019E-3</v>
      </c>
      <c r="G24" s="125" t="s">
        <v>126</v>
      </c>
      <c r="H24" s="132" t="s">
        <v>127</v>
      </c>
      <c r="J24" s="151">
        <v>4.6700000000000002E-4</v>
      </c>
      <c r="K24" s="133" t="s">
        <v>112</v>
      </c>
      <c r="L24" s="132" t="str">
        <f>+$L$11</f>
        <v>Sheet No. 141COL</v>
      </c>
      <c r="N24" s="151">
        <v>6.8989999999999998E-3</v>
      </c>
      <c r="O24" s="151">
        <v>4.0489999999999996E-3</v>
      </c>
      <c r="P24" s="133"/>
      <c r="Q24" s="133" t="s">
        <v>112</v>
      </c>
      <c r="R24" s="132" t="str">
        <f>+$R$11</f>
        <v>Sheet No. 141N</v>
      </c>
      <c r="T24" s="151">
        <v>3.4680000000000002E-3</v>
      </c>
      <c r="U24" s="151">
        <v>7.3819999999999997E-3</v>
      </c>
      <c r="V24" s="133"/>
      <c r="W24" s="133" t="s">
        <v>112</v>
      </c>
      <c r="X24" s="132" t="str">
        <f>+$X$11</f>
        <v>Sheet No. 141R</v>
      </c>
      <c r="Z24" s="151">
        <v>1.7420000000000001E-3</v>
      </c>
      <c r="AA24" s="133" t="s">
        <v>112</v>
      </c>
      <c r="AB24" s="132" t="s">
        <v>116</v>
      </c>
      <c r="AC24" s="134"/>
    </row>
    <row r="25" spans="1:29" x14ac:dyDescent="0.2">
      <c r="A25" s="128">
        <f t="shared" si="0"/>
        <v>19</v>
      </c>
      <c r="B25" s="129" t="str">
        <f t="shared" si="1"/>
        <v>25 (7A) (11)</v>
      </c>
      <c r="C25" s="130" t="s">
        <v>129</v>
      </c>
      <c r="D25" s="151">
        <v>8.3563999999999999E-2</v>
      </c>
      <c r="E25" s="151">
        <v>8.1648999999999999E-2</v>
      </c>
      <c r="F25" s="133">
        <f>+E25-D25</f>
        <v>-1.915E-3</v>
      </c>
      <c r="G25" s="125" t="s">
        <v>126</v>
      </c>
      <c r="H25" s="132" t="s">
        <v>127</v>
      </c>
      <c r="J25" s="152"/>
      <c r="K25" s="133"/>
      <c r="L25" s="127"/>
      <c r="N25" s="152"/>
      <c r="O25" s="152"/>
      <c r="P25" s="133"/>
      <c r="Q25" s="133"/>
      <c r="R25" s="127"/>
      <c r="T25" s="152"/>
      <c r="U25" s="152"/>
      <c r="V25" s="133"/>
      <c r="W25" s="133"/>
      <c r="X25" s="127"/>
      <c r="Z25" s="152"/>
      <c r="AA25" s="133"/>
      <c r="AB25" s="127"/>
      <c r="AC25" s="134"/>
    </row>
    <row r="26" spans="1:29" x14ac:dyDescent="0.2">
      <c r="A26" s="128">
        <f t="shared" si="0"/>
        <v>20</v>
      </c>
      <c r="B26" s="129" t="str">
        <f t="shared" si="1"/>
        <v>25 (7A) (11)</v>
      </c>
      <c r="C26" s="130" t="s">
        <v>130</v>
      </c>
      <c r="D26" s="151">
        <v>6.6092999999999999E-2</v>
      </c>
      <c r="E26" s="151">
        <v>6.4577999999999997E-2</v>
      </c>
      <c r="F26" s="133">
        <f>+E26-D26</f>
        <v>-1.5150000000000025E-3</v>
      </c>
      <c r="G26" s="125" t="s">
        <v>126</v>
      </c>
      <c r="H26" s="132" t="s">
        <v>127</v>
      </c>
      <c r="J26" s="152"/>
      <c r="K26" s="133"/>
      <c r="L26" s="127"/>
      <c r="N26" s="152"/>
      <c r="O26" s="152"/>
      <c r="P26" s="133"/>
      <c r="Q26" s="133"/>
      <c r="R26" s="127"/>
      <c r="T26" s="152"/>
      <c r="U26" s="152"/>
      <c r="V26" s="133"/>
      <c r="W26" s="133"/>
      <c r="X26" s="127"/>
      <c r="Z26" s="152"/>
      <c r="AA26" s="133"/>
      <c r="AB26" s="127"/>
      <c r="AC26" s="134"/>
    </row>
    <row r="27" spans="1:29" x14ac:dyDescent="0.2">
      <c r="A27" s="128">
        <f t="shared" si="0"/>
        <v>21</v>
      </c>
      <c r="B27" s="129" t="str">
        <f t="shared" si="1"/>
        <v>25 (7A) (11)</v>
      </c>
      <c r="C27" s="135"/>
      <c r="D27" s="152"/>
      <c r="E27" s="152"/>
      <c r="J27" s="152"/>
      <c r="L27" s="127"/>
      <c r="N27" s="152"/>
      <c r="O27" s="152"/>
      <c r="R27" s="127"/>
      <c r="T27" s="152"/>
      <c r="U27" s="152"/>
      <c r="X27" s="127"/>
      <c r="Z27" s="152"/>
      <c r="AB27" s="127"/>
      <c r="AC27" s="134"/>
    </row>
    <row r="28" spans="1:29" x14ac:dyDescent="0.2">
      <c r="A28" s="128">
        <f t="shared" si="0"/>
        <v>22</v>
      </c>
      <c r="B28" s="129" t="str">
        <f t="shared" si="1"/>
        <v>25 (7A) (11)</v>
      </c>
      <c r="C28" s="130" t="s">
        <v>131</v>
      </c>
      <c r="D28" s="150">
        <v>0</v>
      </c>
      <c r="E28" s="150">
        <v>0</v>
      </c>
      <c r="F28" s="131">
        <f>+E28-D28</f>
        <v>0</v>
      </c>
      <c r="G28" s="132" t="s">
        <v>109</v>
      </c>
      <c r="H28" s="132" t="s">
        <v>109</v>
      </c>
      <c r="J28" s="152"/>
      <c r="K28" s="133"/>
      <c r="L28" s="127"/>
      <c r="N28" s="152"/>
      <c r="O28" s="152"/>
      <c r="P28" s="133"/>
      <c r="Q28" s="133"/>
      <c r="R28" s="127"/>
      <c r="T28" s="152"/>
      <c r="U28" s="152"/>
      <c r="V28" s="133"/>
      <c r="W28" s="133"/>
      <c r="X28" s="127"/>
      <c r="Z28" s="152"/>
      <c r="AA28" s="133"/>
      <c r="AB28" s="127"/>
      <c r="AC28" s="134"/>
    </row>
    <row r="29" spans="1:29" x14ac:dyDescent="0.2">
      <c r="A29" s="128">
        <f t="shared" si="0"/>
        <v>23</v>
      </c>
      <c r="B29" s="129" t="str">
        <f t="shared" si="1"/>
        <v>25 (7A) (11)</v>
      </c>
      <c r="C29" s="130" t="s">
        <v>132</v>
      </c>
      <c r="D29" s="150">
        <v>10.119999999999999</v>
      </c>
      <c r="E29" s="150">
        <v>10.119999999999999</v>
      </c>
      <c r="F29" s="131">
        <f>+E29-D29</f>
        <v>0</v>
      </c>
      <c r="G29" s="125" t="s">
        <v>126</v>
      </c>
      <c r="H29" s="132" t="s">
        <v>127</v>
      </c>
      <c r="J29" s="150">
        <v>1.2</v>
      </c>
      <c r="K29" s="133" t="s">
        <v>133</v>
      </c>
      <c r="L29" s="132" t="str">
        <f>+$L$11</f>
        <v>Sheet No. 141COL</v>
      </c>
      <c r="N29" s="150">
        <v>0.77</v>
      </c>
      <c r="O29" s="150">
        <v>0.45</v>
      </c>
      <c r="P29" s="133"/>
      <c r="Q29" s="133" t="s">
        <v>133</v>
      </c>
      <c r="R29" s="132" t="str">
        <f>+$R$11</f>
        <v>Sheet No. 141N</v>
      </c>
      <c r="T29" s="150">
        <v>0.39</v>
      </c>
      <c r="U29" s="150">
        <v>0.82</v>
      </c>
      <c r="V29" s="133"/>
      <c r="W29" s="133" t="s">
        <v>133</v>
      </c>
      <c r="X29" s="132" t="str">
        <f>+$X$11</f>
        <v>Sheet No. 141R</v>
      </c>
      <c r="Z29" s="150">
        <v>0</v>
      </c>
      <c r="AA29" s="133"/>
      <c r="AB29" s="127"/>
      <c r="AC29" s="134"/>
    </row>
    <row r="30" spans="1:29" x14ac:dyDescent="0.2">
      <c r="A30" s="128">
        <f t="shared" si="0"/>
        <v>24</v>
      </c>
      <c r="B30" s="129" t="str">
        <f t="shared" si="1"/>
        <v>25 (7A) (11)</v>
      </c>
      <c r="C30" s="130" t="s">
        <v>134</v>
      </c>
      <c r="D30" s="150">
        <v>6.75</v>
      </c>
      <c r="E30" s="150">
        <v>6.75</v>
      </c>
      <c r="F30" s="131">
        <f>+E30-D30</f>
        <v>0</v>
      </c>
      <c r="G30" s="125" t="s">
        <v>126</v>
      </c>
      <c r="H30" s="132" t="s">
        <v>127</v>
      </c>
      <c r="J30" s="150">
        <v>1.2</v>
      </c>
      <c r="K30" s="133" t="s">
        <v>133</v>
      </c>
      <c r="L30" s="132" t="str">
        <f>+$L$11</f>
        <v>Sheet No. 141COL</v>
      </c>
      <c r="N30" s="150">
        <v>0.77</v>
      </c>
      <c r="O30" s="150">
        <v>0.45</v>
      </c>
      <c r="P30" s="133"/>
      <c r="Q30" s="133" t="s">
        <v>133</v>
      </c>
      <c r="R30" s="132" t="str">
        <f>+$R$11</f>
        <v>Sheet No. 141N</v>
      </c>
      <c r="T30" s="150">
        <v>0.39</v>
      </c>
      <c r="U30" s="150">
        <v>0.82</v>
      </c>
      <c r="V30" s="133"/>
      <c r="W30" s="133" t="s">
        <v>133</v>
      </c>
      <c r="X30" s="132" t="str">
        <f>+$X$11</f>
        <v>Sheet No. 141R</v>
      </c>
      <c r="Z30" s="150">
        <v>0</v>
      </c>
      <c r="AA30" s="133"/>
      <c r="AB30" s="127"/>
      <c r="AC30" s="134"/>
    </row>
    <row r="31" spans="1:29" x14ac:dyDescent="0.2">
      <c r="A31" s="128">
        <f t="shared" si="0"/>
        <v>25</v>
      </c>
      <c r="B31" s="129" t="str">
        <f t="shared" si="1"/>
        <v>25 (7A) (11)</v>
      </c>
      <c r="C31" s="130"/>
      <c r="D31" s="150"/>
      <c r="E31" s="150"/>
      <c r="F31" s="131"/>
      <c r="J31" s="152"/>
      <c r="K31" s="133"/>
      <c r="L31" s="127"/>
      <c r="N31" s="152"/>
      <c r="O31" s="152"/>
      <c r="P31" s="133"/>
      <c r="Q31" s="133"/>
      <c r="R31" s="127"/>
      <c r="T31" s="152"/>
      <c r="U31" s="152"/>
      <c r="V31" s="133"/>
      <c r="W31" s="133"/>
      <c r="X31" s="127"/>
      <c r="Z31" s="152"/>
      <c r="AA31" s="133"/>
      <c r="AB31" s="127"/>
      <c r="AC31" s="134"/>
    </row>
    <row r="32" spans="1:29" x14ac:dyDescent="0.2">
      <c r="A32" s="128">
        <f t="shared" si="0"/>
        <v>26</v>
      </c>
      <c r="B32" s="129" t="str">
        <f t="shared" si="1"/>
        <v>25 (7A) (11)</v>
      </c>
      <c r="C32" s="130" t="s">
        <v>135</v>
      </c>
      <c r="D32" s="153">
        <v>3.1800000000000001E-3</v>
      </c>
      <c r="E32" s="153">
        <v>3.1800000000000001E-3</v>
      </c>
      <c r="F32" s="136">
        <f>+E32-D32</f>
        <v>0</v>
      </c>
      <c r="G32" s="125" t="s">
        <v>126</v>
      </c>
      <c r="H32" s="132" t="s">
        <v>136</v>
      </c>
      <c r="J32" s="152"/>
      <c r="K32" s="133"/>
      <c r="L32" s="127"/>
      <c r="N32" s="152"/>
      <c r="O32" s="152"/>
      <c r="P32" s="133"/>
      <c r="Q32" s="133"/>
      <c r="R32" s="127"/>
      <c r="T32" s="152"/>
      <c r="U32" s="152"/>
      <c r="V32" s="133"/>
      <c r="W32" s="133"/>
      <c r="X32" s="127"/>
      <c r="Z32" s="152"/>
      <c r="AA32" s="133"/>
      <c r="AB32" s="127"/>
      <c r="AC32" s="134"/>
    </row>
    <row r="33" spans="1:29" x14ac:dyDescent="0.2">
      <c r="A33" s="128">
        <f t="shared" si="0"/>
        <v>27</v>
      </c>
      <c r="D33" s="152"/>
      <c r="E33" s="152"/>
      <c r="J33" s="152"/>
      <c r="K33" s="133"/>
      <c r="L33" s="127"/>
      <c r="N33" s="152"/>
      <c r="O33" s="152"/>
      <c r="P33" s="133"/>
      <c r="Q33" s="133"/>
      <c r="R33" s="127"/>
      <c r="T33" s="152"/>
      <c r="U33" s="152"/>
      <c r="V33" s="133"/>
      <c r="W33" s="133"/>
      <c r="X33" s="127"/>
      <c r="Z33" s="152"/>
      <c r="AA33" s="133"/>
      <c r="AB33" s="127"/>
      <c r="AC33" s="134"/>
    </row>
    <row r="34" spans="1:29" x14ac:dyDescent="0.2">
      <c r="A34" s="128">
        <f t="shared" si="0"/>
        <v>28</v>
      </c>
      <c r="B34" s="128" t="s">
        <v>137</v>
      </c>
      <c r="C34" s="132" t="s">
        <v>138</v>
      </c>
      <c r="D34" s="152"/>
      <c r="E34" s="152"/>
      <c r="J34" s="152"/>
      <c r="K34" s="133"/>
      <c r="L34" s="127"/>
      <c r="N34" s="152"/>
      <c r="O34" s="152"/>
      <c r="P34" s="133"/>
      <c r="Q34" s="133"/>
      <c r="R34" s="127"/>
      <c r="T34" s="152"/>
      <c r="U34" s="152"/>
      <c r="V34" s="133"/>
      <c r="W34" s="133"/>
      <c r="X34" s="127"/>
      <c r="Z34" s="152"/>
      <c r="AA34" s="133"/>
      <c r="AB34" s="127"/>
      <c r="AC34" s="134"/>
    </row>
    <row r="35" spans="1:29" x14ac:dyDescent="0.2">
      <c r="A35" s="128">
        <f t="shared" si="0"/>
        <v>29</v>
      </c>
      <c r="B35" s="128" t="str">
        <f t="shared" ref="B35:B56" si="2">+$B$34</f>
        <v>26 (12)</v>
      </c>
      <c r="C35" s="130" t="s">
        <v>125</v>
      </c>
      <c r="D35" s="150">
        <v>109.08</v>
      </c>
      <c r="E35" s="195">
        <v>109.08</v>
      </c>
      <c r="F35" s="131">
        <f>+E35-D35</f>
        <v>0</v>
      </c>
      <c r="G35" s="125" t="s">
        <v>139</v>
      </c>
      <c r="H35" s="127">
        <v>26</v>
      </c>
      <c r="J35" s="152"/>
      <c r="K35" s="133"/>
      <c r="L35" s="127"/>
      <c r="N35" s="152"/>
      <c r="O35" s="152"/>
      <c r="P35" s="133"/>
      <c r="Q35" s="133"/>
      <c r="R35" s="127"/>
      <c r="T35" s="152"/>
      <c r="U35" s="152"/>
      <c r="V35" s="133"/>
      <c r="W35" s="133"/>
      <c r="X35" s="127"/>
      <c r="Z35" s="152"/>
      <c r="AA35" s="133"/>
      <c r="AB35" s="127"/>
      <c r="AC35" s="134"/>
    </row>
    <row r="36" spans="1:29" x14ac:dyDescent="0.2">
      <c r="A36" s="128">
        <f t="shared" si="0"/>
        <v>30</v>
      </c>
      <c r="B36" s="128" t="str">
        <f t="shared" si="2"/>
        <v>26 (12)</v>
      </c>
      <c r="C36" s="130"/>
      <c r="D36" s="150"/>
      <c r="E36" s="150"/>
      <c r="F36" s="131"/>
      <c r="J36" s="152"/>
      <c r="K36" s="133"/>
      <c r="L36" s="127"/>
      <c r="N36" s="152"/>
      <c r="O36" s="152"/>
      <c r="P36" s="133"/>
      <c r="Q36" s="133"/>
      <c r="R36" s="127"/>
      <c r="T36" s="152"/>
      <c r="U36" s="152"/>
      <c r="V36" s="133"/>
      <c r="W36" s="133"/>
      <c r="X36" s="127"/>
      <c r="Z36" s="152"/>
      <c r="AA36" s="133"/>
      <c r="AB36" s="127"/>
      <c r="AC36" s="134"/>
    </row>
    <row r="37" spans="1:29" x14ac:dyDescent="0.2">
      <c r="A37" s="128">
        <f t="shared" si="0"/>
        <v>31</v>
      </c>
      <c r="B37" s="128" t="str">
        <f t="shared" si="2"/>
        <v>26 (12)</v>
      </c>
      <c r="C37" s="130" t="s">
        <v>140</v>
      </c>
      <c r="D37" s="151">
        <v>5.9096000000000003E-2</v>
      </c>
      <c r="E37" s="151">
        <v>5.7457000000000001E-2</v>
      </c>
      <c r="F37" s="133">
        <f>+E37-D37</f>
        <v>-1.6390000000000016E-3</v>
      </c>
      <c r="G37" s="125" t="s">
        <v>139</v>
      </c>
      <c r="H37" s="127">
        <v>26</v>
      </c>
      <c r="J37" s="151">
        <v>4.2900000000000002E-4</v>
      </c>
      <c r="K37" s="133" t="s">
        <v>112</v>
      </c>
      <c r="L37" s="132" t="str">
        <f>+$L$11</f>
        <v>Sheet No. 141COL</v>
      </c>
      <c r="N37" s="151">
        <v>4.9719999999999999E-3</v>
      </c>
      <c r="O37" s="151">
        <v>2.918E-3</v>
      </c>
      <c r="P37" s="133"/>
      <c r="Q37" s="133" t="s">
        <v>112</v>
      </c>
      <c r="R37" s="132" t="str">
        <f>+$R$11</f>
        <v>Sheet No. 141N</v>
      </c>
      <c r="T37" s="151">
        <v>2.4989999999999999E-3</v>
      </c>
      <c r="U37" s="151">
        <v>5.3200000000000001E-3</v>
      </c>
      <c r="V37" s="133"/>
      <c r="W37" s="133" t="s">
        <v>112</v>
      </c>
      <c r="X37" s="132" t="str">
        <f>+$X$11</f>
        <v>Sheet No. 141R</v>
      </c>
      <c r="Z37" s="151">
        <v>1.72E-3</v>
      </c>
      <c r="AA37" s="133" t="s">
        <v>112</v>
      </c>
      <c r="AB37" s="132" t="s">
        <v>116</v>
      </c>
      <c r="AC37" s="134"/>
    </row>
    <row r="38" spans="1:29" x14ac:dyDescent="0.2">
      <c r="A38" s="128">
        <f t="shared" si="0"/>
        <v>32</v>
      </c>
      <c r="B38" s="128" t="str">
        <f t="shared" si="2"/>
        <v>26 (12)</v>
      </c>
      <c r="C38" s="135"/>
      <c r="D38" s="152"/>
      <c r="E38" s="152"/>
      <c r="J38" s="152"/>
      <c r="K38" s="133"/>
      <c r="L38" s="127"/>
      <c r="N38" s="152"/>
      <c r="O38" s="152"/>
      <c r="P38" s="133"/>
      <c r="Q38" s="133"/>
      <c r="R38" s="127"/>
      <c r="T38" s="152"/>
      <c r="U38" s="152"/>
      <c r="V38" s="133"/>
      <c r="W38" s="133"/>
      <c r="X38" s="127"/>
      <c r="Z38" s="152"/>
      <c r="AA38" s="133"/>
      <c r="AB38" s="127"/>
      <c r="AC38" s="134"/>
    </row>
    <row r="39" spans="1:29" x14ac:dyDescent="0.2">
      <c r="A39" s="128">
        <f t="shared" si="0"/>
        <v>33</v>
      </c>
      <c r="B39" s="128" t="str">
        <f t="shared" si="2"/>
        <v>26 (12)</v>
      </c>
      <c r="C39" s="130" t="s">
        <v>141</v>
      </c>
      <c r="D39" s="150">
        <v>12.23</v>
      </c>
      <c r="E39" s="150">
        <v>12.23</v>
      </c>
      <c r="F39" s="131">
        <f t="shared" ref="F39:F44" si="3">+E39-D39</f>
        <v>0</v>
      </c>
      <c r="G39" s="125" t="s">
        <v>139</v>
      </c>
      <c r="H39" s="127">
        <v>26</v>
      </c>
      <c r="J39" s="150">
        <v>0.71</v>
      </c>
      <c r="K39" s="133" t="s">
        <v>133</v>
      </c>
      <c r="L39" s="132" t="str">
        <f>+$L$11</f>
        <v>Sheet No. 141COL</v>
      </c>
      <c r="N39" s="150">
        <v>0.88</v>
      </c>
      <c r="O39" s="150">
        <v>0.52</v>
      </c>
      <c r="P39" s="133"/>
      <c r="Q39" s="133" t="s">
        <v>133</v>
      </c>
      <c r="R39" s="132" t="str">
        <f>+$R$11</f>
        <v>Sheet No. 141N</v>
      </c>
      <c r="T39" s="150">
        <v>0.44</v>
      </c>
      <c r="U39" s="150">
        <v>0.95</v>
      </c>
      <c r="V39" s="133"/>
      <c r="W39" s="133" t="s">
        <v>133</v>
      </c>
      <c r="X39" s="132" t="str">
        <f>+$X$11</f>
        <v>Sheet No. 141R</v>
      </c>
      <c r="Z39" s="150">
        <v>0</v>
      </c>
      <c r="AA39" s="133"/>
      <c r="AB39" s="127"/>
      <c r="AC39" s="134"/>
    </row>
    <row r="40" spans="1:29" x14ac:dyDescent="0.2">
      <c r="A40" s="128">
        <f t="shared" si="0"/>
        <v>34</v>
      </c>
      <c r="B40" s="128" t="str">
        <f t="shared" si="2"/>
        <v>26 (12)</v>
      </c>
      <c r="C40" s="137" t="s">
        <v>142</v>
      </c>
      <c r="D40" s="150">
        <v>5.12</v>
      </c>
      <c r="E40" s="150">
        <v>5.79</v>
      </c>
      <c r="F40" s="131">
        <f t="shared" si="3"/>
        <v>0.66999999999999993</v>
      </c>
      <c r="G40" s="125" t="s">
        <v>139</v>
      </c>
      <c r="H40" s="127" t="s">
        <v>143</v>
      </c>
      <c r="J40" s="152"/>
      <c r="K40" s="133"/>
      <c r="L40" s="127"/>
      <c r="N40" s="152"/>
      <c r="O40" s="152"/>
      <c r="P40" s="133"/>
      <c r="Q40" s="133"/>
      <c r="R40" s="127"/>
      <c r="T40" s="152"/>
      <c r="U40" s="152"/>
      <c r="V40" s="133"/>
      <c r="W40" s="133"/>
      <c r="X40" s="127"/>
      <c r="Z40" s="152"/>
      <c r="AA40" s="133"/>
      <c r="AB40" s="127"/>
      <c r="AC40" s="134"/>
    </row>
    <row r="41" spans="1:29" x14ac:dyDescent="0.2">
      <c r="A41" s="128">
        <f t="shared" si="0"/>
        <v>35</v>
      </c>
      <c r="B41" s="128" t="str">
        <f t="shared" si="2"/>
        <v>26 (12)</v>
      </c>
      <c r="C41" s="137" t="s">
        <v>144</v>
      </c>
      <c r="D41" s="150">
        <v>7.11</v>
      </c>
      <c r="E41" s="150">
        <v>6.44</v>
      </c>
      <c r="F41" s="131">
        <f t="shared" si="3"/>
        <v>-0.66999999999999993</v>
      </c>
      <c r="G41" s="125" t="s">
        <v>139</v>
      </c>
      <c r="H41" s="127" t="s">
        <v>143</v>
      </c>
      <c r="J41" s="152"/>
      <c r="K41" s="133"/>
      <c r="L41" s="127"/>
      <c r="N41" s="152"/>
      <c r="O41" s="152"/>
      <c r="P41" s="133"/>
      <c r="Q41" s="133"/>
      <c r="R41" s="127"/>
      <c r="T41" s="152"/>
      <c r="U41" s="152"/>
      <c r="V41" s="133"/>
      <c r="W41" s="133"/>
      <c r="X41" s="127"/>
      <c r="Z41" s="152"/>
      <c r="AA41" s="133"/>
      <c r="AB41" s="127"/>
      <c r="AC41" s="134"/>
    </row>
    <row r="42" spans="1:29" x14ac:dyDescent="0.2">
      <c r="A42" s="128">
        <f t="shared" si="0"/>
        <v>36</v>
      </c>
      <c r="B42" s="128" t="str">
        <f t="shared" si="2"/>
        <v>26 (12)</v>
      </c>
      <c r="C42" s="130" t="s">
        <v>145</v>
      </c>
      <c r="D42" s="150">
        <v>8.15</v>
      </c>
      <c r="E42" s="150">
        <v>8.15</v>
      </c>
      <c r="F42" s="131">
        <f t="shared" si="3"/>
        <v>0</v>
      </c>
      <c r="G42" s="125" t="s">
        <v>139</v>
      </c>
      <c r="H42" s="127">
        <v>26</v>
      </c>
      <c r="J42" s="150">
        <v>0.71</v>
      </c>
      <c r="K42" s="133" t="s">
        <v>133</v>
      </c>
      <c r="L42" s="132" t="str">
        <f>+$L$11</f>
        <v>Sheet No. 141COL</v>
      </c>
      <c r="N42" s="150">
        <v>0.88</v>
      </c>
      <c r="O42" s="150">
        <v>0.52</v>
      </c>
      <c r="P42" s="133"/>
      <c r="Q42" s="133" t="s">
        <v>133</v>
      </c>
      <c r="R42" s="132" t="str">
        <f>+$R$11</f>
        <v>Sheet No. 141N</v>
      </c>
      <c r="T42" s="150">
        <v>0.44</v>
      </c>
      <c r="U42" s="150">
        <v>0.95</v>
      </c>
      <c r="V42" s="133"/>
      <c r="W42" s="133" t="s">
        <v>133</v>
      </c>
      <c r="X42" s="132" t="str">
        <f>+$X$11</f>
        <v>Sheet No. 141R</v>
      </c>
      <c r="Z42" s="150">
        <v>0</v>
      </c>
      <c r="AA42" s="133"/>
      <c r="AB42" s="127"/>
      <c r="AC42" s="134"/>
    </row>
    <row r="43" spans="1:29" x14ac:dyDescent="0.2">
      <c r="A43" s="128">
        <f t="shared" si="0"/>
        <v>37</v>
      </c>
      <c r="B43" s="128" t="str">
        <f t="shared" si="2"/>
        <v>26 (12)</v>
      </c>
      <c r="C43" s="137" t="s">
        <v>142</v>
      </c>
      <c r="D43" s="150">
        <v>3.41</v>
      </c>
      <c r="E43" s="150">
        <v>3.86</v>
      </c>
      <c r="F43" s="131">
        <f t="shared" si="3"/>
        <v>0.44999999999999973</v>
      </c>
      <c r="G43" s="125" t="s">
        <v>139</v>
      </c>
      <c r="H43" s="127" t="s">
        <v>143</v>
      </c>
      <c r="J43" s="152"/>
      <c r="K43" s="133"/>
      <c r="L43" s="127"/>
      <c r="N43" s="152"/>
      <c r="O43" s="152"/>
      <c r="P43" s="133"/>
      <c r="Q43" s="133"/>
      <c r="R43" s="127"/>
      <c r="T43" s="152"/>
      <c r="U43" s="152"/>
      <c r="V43" s="133"/>
      <c r="W43" s="133"/>
      <c r="X43" s="127"/>
      <c r="Z43" s="152"/>
      <c r="AA43" s="133"/>
      <c r="AB43" s="127"/>
      <c r="AC43" s="134"/>
    </row>
    <row r="44" spans="1:29" x14ac:dyDescent="0.2">
      <c r="A44" s="128">
        <f t="shared" si="0"/>
        <v>38</v>
      </c>
      <c r="B44" s="128" t="str">
        <f t="shared" si="2"/>
        <v>26 (12)</v>
      </c>
      <c r="C44" s="137" t="s">
        <v>144</v>
      </c>
      <c r="D44" s="150">
        <v>4.74</v>
      </c>
      <c r="E44" s="150">
        <v>4.29</v>
      </c>
      <c r="F44" s="131">
        <f t="shared" si="3"/>
        <v>-0.45000000000000018</v>
      </c>
      <c r="G44" s="125" t="s">
        <v>139</v>
      </c>
      <c r="H44" s="127" t="s">
        <v>143</v>
      </c>
      <c r="J44" s="152"/>
      <c r="K44" s="133"/>
      <c r="L44" s="127"/>
      <c r="N44" s="152"/>
      <c r="O44" s="152"/>
      <c r="P44" s="133"/>
      <c r="Q44" s="133"/>
      <c r="R44" s="127"/>
      <c r="T44" s="152"/>
      <c r="U44" s="152"/>
      <c r="V44" s="133"/>
      <c r="W44" s="133"/>
      <c r="X44" s="127"/>
      <c r="Z44" s="152"/>
      <c r="AA44" s="133"/>
      <c r="AB44" s="127"/>
      <c r="AC44" s="134"/>
    </row>
    <row r="45" spans="1:29" x14ac:dyDescent="0.2">
      <c r="A45" s="128">
        <f t="shared" si="0"/>
        <v>39</v>
      </c>
      <c r="B45" s="128" t="str">
        <f t="shared" si="2"/>
        <v>26 (12)</v>
      </c>
      <c r="C45" s="130"/>
      <c r="D45" s="150"/>
      <c r="E45" s="150"/>
      <c r="F45" s="131"/>
      <c r="J45" s="152"/>
      <c r="K45" s="133"/>
      <c r="L45" s="127"/>
      <c r="N45" s="152"/>
      <c r="O45" s="152"/>
      <c r="P45" s="133"/>
      <c r="Q45" s="133"/>
      <c r="R45" s="127"/>
      <c r="T45" s="152"/>
      <c r="U45" s="152"/>
      <c r="V45" s="133"/>
      <c r="W45" s="133"/>
      <c r="X45" s="127"/>
      <c r="Z45" s="152"/>
      <c r="AA45" s="133"/>
      <c r="AB45" s="127"/>
      <c r="AC45" s="134"/>
    </row>
    <row r="46" spans="1:29" x14ac:dyDescent="0.2">
      <c r="A46" s="128">
        <f t="shared" si="0"/>
        <v>40</v>
      </c>
      <c r="B46" s="128" t="str">
        <f t="shared" si="2"/>
        <v>26 (12)</v>
      </c>
      <c r="C46" s="130" t="s">
        <v>135</v>
      </c>
      <c r="D46" s="153">
        <v>1.2999999999999999E-3</v>
      </c>
      <c r="E46" s="153">
        <v>1.2999999999999999E-3</v>
      </c>
      <c r="F46" s="136">
        <f>+E46-D46</f>
        <v>0</v>
      </c>
      <c r="G46" s="125" t="s">
        <v>139</v>
      </c>
      <c r="H46" s="127">
        <v>26</v>
      </c>
      <c r="J46" s="152"/>
      <c r="K46" s="133"/>
      <c r="L46" s="127"/>
      <c r="N46" s="152"/>
      <c r="O46" s="152"/>
      <c r="P46" s="133"/>
      <c r="Q46" s="133"/>
      <c r="R46" s="127"/>
      <c r="T46" s="152"/>
      <c r="U46" s="152"/>
      <c r="V46" s="133"/>
      <c r="W46" s="133"/>
      <c r="X46" s="127"/>
      <c r="Z46" s="152"/>
      <c r="AA46" s="133"/>
      <c r="AB46" s="127"/>
      <c r="AC46" s="134"/>
    </row>
    <row r="47" spans="1:29" x14ac:dyDescent="0.2">
      <c r="A47" s="128">
        <f t="shared" si="0"/>
        <v>41</v>
      </c>
      <c r="B47" s="128" t="str">
        <f t="shared" si="2"/>
        <v>26 (12)</v>
      </c>
      <c r="C47" s="130"/>
      <c r="D47" s="153"/>
      <c r="E47" s="153"/>
      <c r="F47" s="136"/>
      <c r="J47" s="152"/>
      <c r="K47" s="133"/>
      <c r="L47" s="127"/>
      <c r="N47" s="152"/>
      <c r="O47" s="152"/>
      <c r="P47" s="133"/>
      <c r="Q47" s="133"/>
      <c r="R47" s="127"/>
      <c r="T47" s="152"/>
      <c r="U47" s="152"/>
      <c r="V47" s="133"/>
      <c r="W47" s="133"/>
      <c r="X47" s="127"/>
      <c r="Z47" s="152"/>
      <c r="AA47" s="133"/>
      <c r="AB47" s="127"/>
      <c r="AC47" s="134"/>
    </row>
    <row r="48" spans="1:29" x14ac:dyDescent="0.2">
      <c r="A48" s="128">
        <f t="shared" si="0"/>
        <v>42</v>
      </c>
      <c r="B48" s="128" t="str">
        <f t="shared" si="2"/>
        <v>26 (12)</v>
      </c>
      <c r="C48" s="130" t="s">
        <v>146</v>
      </c>
      <c r="D48" s="153"/>
      <c r="E48" s="153"/>
      <c r="F48" s="136"/>
      <c r="J48" s="152"/>
      <c r="K48" s="133"/>
      <c r="L48" s="127"/>
      <c r="N48" s="152"/>
      <c r="O48" s="152"/>
      <c r="P48" s="133"/>
      <c r="Q48" s="133"/>
      <c r="R48" s="127"/>
      <c r="T48" s="152"/>
      <c r="U48" s="152"/>
      <c r="V48" s="133"/>
      <c r="W48" s="133"/>
      <c r="X48" s="127"/>
      <c r="Z48" s="152"/>
      <c r="AA48" s="133"/>
      <c r="AB48" s="127"/>
      <c r="AC48" s="134"/>
    </row>
    <row r="49" spans="1:29" x14ac:dyDescent="0.2">
      <c r="A49" s="128">
        <f t="shared" si="0"/>
        <v>43</v>
      </c>
      <c r="B49" s="128" t="str">
        <f t="shared" si="2"/>
        <v>26 (12)</v>
      </c>
      <c r="C49" s="130" t="s">
        <v>147</v>
      </c>
      <c r="D49" s="150">
        <v>249.03000000000003</v>
      </c>
      <c r="E49" s="150">
        <v>249.03000000000003</v>
      </c>
      <c r="F49" s="131">
        <f t="shared" ref="F49:F56" si="4">+E49-D49</f>
        <v>0</v>
      </c>
      <c r="G49" s="125" t="s">
        <v>139</v>
      </c>
      <c r="H49" s="127">
        <v>26</v>
      </c>
      <c r="J49" s="152"/>
      <c r="K49" s="133"/>
      <c r="L49" s="127"/>
      <c r="N49" s="152"/>
      <c r="O49" s="152"/>
      <c r="P49" s="133"/>
      <c r="Q49" s="133"/>
      <c r="R49" s="127"/>
      <c r="T49" s="152"/>
      <c r="U49" s="152"/>
      <c r="V49" s="133"/>
      <c r="W49" s="133"/>
      <c r="X49" s="127"/>
      <c r="Z49" s="152"/>
      <c r="AA49" s="133"/>
      <c r="AB49" s="127"/>
      <c r="AC49" s="134"/>
    </row>
    <row r="50" spans="1:29" x14ac:dyDescent="0.2">
      <c r="A50" s="128">
        <f t="shared" si="0"/>
        <v>44</v>
      </c>
      <c r="B50" s="128" t="str">
        <f t="shared" si="2"/>
        <v>26 (12)</v>
      </c>
      <c r="C50" s="130" t="s">
        <v>148</v>
      </c>
      <c r="D50" s="150">
        <v>-0.25</v>
      </c>
      <c r="E50" s="150">
        <v>-0.25</v>
      </c>
      <c r="F50" s="131">
        <f t="shared" si="4"/>
        <v>0</v>
      </c>
      <c r="G50" s="125" t="s">
        <v>139</v>
      </c>
      <c r="H50" s="127">
        <v>26</v>
      </c>
      <c r="J50" s="152"/>
      <c r="K50" s="133"/>
      <c r="L50" s="127"/>
      <c r="N50" s="152"/>
      <c r="O50" s="152"/>
      <c r="P50" s="133"/>
      <c r="Q50" s="133"/>
      <c r="R50" s="127"/>
      <c r="T50" s="152"/>
      <c r="U50" s="152"/>
      <c r="V50" s="133"/>
      <c r="W50" s="133"/>
      <c r="X50" s="127"/>
      <c r="Z50" s="152"/>
      <c r="AA50" s="133"/>
      <c r="AB50" s="127"/>
      <c r="AC50" s="134"/>
    </row>
    <row r="51" spans="1:29" x14ac:dyDescent="0.2">
      <c r="A51" s="128">
        <f t="shared" si="0"/>
        <v>45</v>
      </c>
      <c r="B51" s="128" t="str">
        <f t="shared" si="2"/>
        <v>26 (12)</v>
      </c>
      <c r="C51" s="130" t="s">
        <v>149</v>
      </c>
      <c r="D51" s="154">
        <v>2.4400000000000002E-2</v>
      </c>
      <c r="E51" s="154">
        <v>2.4400000000000002E-2</v>
      </c>
      <c r="F51" s="138">
        <f t="shared" si="4"/>
        <v>0</v>
      </c>
      <c r="G51" s="125" t="s">
        <v>139</v>
      </c>
      <c r="H51" s="127">
        <v>26</v>
      </c>
      <c r="J51" s="152"/>
      <c r="K51" s="133"/>
      <c r="L51" s="127"/>
      <c r="N51" s="152"/>
      <c r="O51" s="152"/>
      <c r="P51" s="133"/>
      <c r="Q51" s="133"/>
      <c r="R51" s="127"/>
      <c r="T51" s="152"/>
      <c r="U51" s="152"/>
      <c r="V51" s="133"/>
      <c r="W51" s="133"/>
      <c r="X51" s="127"/>
      <c r="Z51" s="152"/>
      <c r="AA51" s="133"/>
      <c r="AB51" s="127"/>
      <c r="AC51" s="134"/>
    </row>
    <row r="52" spans="1:29" x14ac:dyDescent="0.2">
      <c r="A52" s="128">
        <f t="shared" si="0"/>
        <v>46</v>
      </c>
      <c r="B52" s="128" t="str">
        <f t="shared" si="2"/>
        <v>26 (12)</v>
      </c>
      <c r="C52" s="139" t="s">
        <v>150</v>
      </c>
      <c r="D52" s="150">
        <v>358.11</v>
      </c>
      <c r="E52" s="150">
        <v>358.11</v>
      </c>
      <c r="F52" s="131">
        <f t="shared" si="4"/>
        <v>0</v>
      </c>
      <c r="G52" s="132" t="s">
        <v>109</v>
      </c>
      <c r="H52" s="132" t="s">
        <v>109</v>
      </c>
      <c r="J52" s="152"/>
      <c r="K52" s="133"/>
      <c r="L52" s="127"/>
      <c r="N52" s="152"/>
      <c r="O52" s="152"/>
      <c r="P52" s="133"/>
      <c r="Q52" s="133"/>
      <c r="R52" s="127"/>
      <c r="T52" s="152"/>
      <c r="U52" s="152"/>
      <c r="V52" s="133"/>
      <c r="W52" s="133"/>
      <c r="X52" s="127"/>
      <c r="Z52" s="152"/>
      <c r="AA52" s="133"/>
      <c r="AB52" s="127"/>
      <c r="AC52" s="134"/>
    </row>
    <row r="53" spans="1:29" x14ac:dyDescent="0.2">
      <c r="A53" s="128">
        <f t="shared" si="0"/>
        <v>47</v>
      </c>
      <c r="B53" s="128" t="str">
        <f t="shared" si="2"/>
        <v>26 (12)</v>
      </c>
      <c r="C53" s="130" t="s">
        <v>151</v>
      </c>
      <c r="D53" s="150">
        <v>11.98</v>
      </c>
      <c r="E53" s="150">
        <v>11.98</v>
      </c>
      <c r="F53" s="131">
        <f t="shared" si="4"/>
        <v>0</v>
      </c>
      <c r="G53" s="132" t="s">
        <v>109</v>
      </c>
      <c r="H53" s="132" t="s">
        <v>109</v>
      </c>
      <c r="J53" s="150">
        <v>0.71</v>
      </c>
      <c r="K53" s="133" t="s">
        <v>133</v>
      </c>
      <c r="L53" s="132" t="str">
        <f>+$L$11</f>
        <v>Sheet No. 141COL</v>
      </c>
      <c r="N53" s="150">
        <v>0.88</v>
      </c>
      <c r="O53" s="150">
        <v>0.52</v>
      </c>
      <c r="P53" s="133"/>
      <c r="Q53" s="133" t="s">
        <v>133</v>
      </c>
      <c r="R53" s="132" t="str">
        <f>+$R$11</f>
        <v>Sheet No. 141N</v>
      </c>
      <c r="T53" s="150">
        <v>0.44</v>
      </c>
      <c r="U53" s="150">
        <v>0.95</v>
      </c>
      <c r="V53" s="133"/>
      <c r="W53" s="133"/>
      <c r="X53" s="127"/>
      <c r="Z53" s="150">
        <v>0</v>
      </c>
      <c r="AA53" s="133"/>
      <c r="AB53" s="127"/>
      <c r="AC53" s="134"/>
    </row>
    <row r="54" spans="1:29" x14ac:dyDescent="0.2">
      <c r="A54" s="128">
        <f t="shared" si="0"/>
        <v>48</v>
      </c>
      <c r="B54" s="128" t="str">
        <f t="shared" si="2"/>
        <v>26 (12)</v>
      </c>
      <c r="C54" s="130" t="s">
        <v>152</v>
      </c>
      <c r="D54" s="150">
        <v>7.9</v>
      </c>
      <c r="E54" s="150">
        <v>7.9</v>
      </c>
      <c r="F54" s="131">
        <f t="shared" si="4"/>
        <v>0</v>
      </c>
      <c r="G54" s="132" t="s">
        <v>109</v>
      </c>
      <c r="H54" s="132" t="s">
        <v>109</v>
      </c>
      <c r="J54" s="150">
        <v>0.71</v>
      </c>
      <c r="K54" s="133" t="s">
        <v>133</v>
      </c>
      <c r="L54" s="132" t="str">
        <f>+$L$11</f>
        <v>Sheet No. 141COL</v>
      </c>
      <c r="N54" s="150">
        <v>0.88</v>
      </c>
      <c r="O54" s="150">
        <v>0.52</v>
      </c>
      <c r="P54" s="133"/>
      <c r="Q54" s="133" t="s">
        <v>133</v>
      </c>
      <c r="R54" s="132" t="str">
        <f>+$R$11</f>
        <v>Sheet No. 141N</v>
      </c>
      <c r="T54" s="150">
        <v>0.44</v>
      </c>
      <c r="U54" s="150">
        <v>0.95</v>
      </c>
      <c r="V54" s="133"/>
      <c r="W54" s="133"/>
      <c r="X54" s="127"/>
      <c r="Z54" s="150">
        <v>0</v>
      </c>
      <c r="AA54" s="133"/>
      <c r="AB54" s="127"/>
      <c r="AC54" s="134"/>
    </row>
    <row r="55" spans="1:29" x14ac:dyDescent="0.2">
      <c r="A55" s="128">
        <f t="shared" si="0"/>
        <v>49</v>
      </c>
      <c r="B55" s="128" t="str">
        <f t="shared" si="2"/>
        <v>26 (12)</v>
      </c>
      <c r="C55" s="139" t="s">
        <v>153</v>
      </c>
      <c r="D55" s="151">
        <v>5.7654000000000004E-2</v>
      </c>
      <c r="E55" s="151">
        <v>5.6055000000000001E-2</v>
      </c>
      <c r="F55" s="133">
        <f t="shared" si="4"/>
        <v>-1.5990000000000032E-3</v>
      </c>
      <c r="G55" s="132" t="s">
        <v>109</v>
      </c>
      <c r="H55" s="132" t="s">
        <v>109</v>
      </c>
      <c r="J55" s="151">
        <v>4.2900000000000002E-4</v>
      </c>
      <c r="K55" s="133" t="s">
        <v>112</v>
      </c>
      <c r="L55" s="132" t="str">
        <f>+$L$11</f>
        <v>Sheet No. 141COL</v>
      </c>
      <c r="N55" s="151">
        <v>4.9719999999999999E-3</v>
      </c>
      <c r="O55" s="151">
        <v>2.918E-3</v>
      </c>
      <c r="P55" s="133"/>
      <c r="Q55" s="133" t="s">
        <v>112</v>
      </c>
      <c r="R55" s="132" t="str">
        <f>+$R$11</f>
        <v>Sheet No. 141N</v>
      </c>
      <c r="T55" s="151">
        <v>2.4989999999999999E-3</v>
      </c>
      <c r="U55" s="151">
        <v>5.3200000000000001E-3</v>
      </c>
      <c r="V55" s="133"/>
      <c r="W55" s="133" t="s">
        <v>112</v>
      </c>
      <c r="X55" s="132" t="str">
        <f>+$X$11</f>
        <v>Sheet No. 141R</v>
      </c>
      <c r="Z55" s="151">
        <v>1.72E-3</v>
      </c>
      <c r="AA55" s="133" t="s">
        <v>112</v>
      </c>
      <c r="AB55" s="132" t="s">
        <v>116</v>
      </c>
      <c r="AC55" s="134"/>
    </row>
    <row r="56" spans="1:29" x14ac:dyDescent="0.2">
      <c r="A56" s="128">
        <f t="shared" si="0"/>
        <v>50</v>
      </c>
      <c r="B56" s="128" t="str">
        <f t="shared" si="2"/>
        <v>26 (12)</v>
      </c>
      <c r="C56" s="130" t="s">
        <v>154</v>
      </c>
      <c r="D56" s="153">
        <v>1.2699999999999999E-3</v>
      </c>
      <c r="E56" s="153">
        <v>1.2699999999999999E-3</v>
      </c>
      <c r="F56" s="136">
        <f t="shared" si="4"/>
        <v>0</v>
      </c>
      <c r="G56" s="132" t="s">
        <v>109</v>
      </c>
      <c r="H56" s="132" t="s">
        <v>109</v>
      </c>
      <c r="J56" s="152"/>
      <c r="L56" s="127"/>
      <c r="N56" s="152"/>
      <c r="O56" s="152"/>
      <c r="R56" s="127"/>
      <c r="T56" s="152"/>
      <c r="U56" s="152"/>
      <c r="X56" s="127"/>
      <c r="Z56" s="152"/>
      <c r="AB56" s="132"/>
      <c r="AC56" s="134"/>
    </row>
    <row r="57" spans="1:29" x14ac:dyDescent="0.2">
      <c r="A57" s="128">
        <f t="shared" si="0"/>
        <v>51</v>
      </c>
      <c r="D57" s="152"/>
      <c r="E57" s="152"/>
      <c r="J57" s="152"/>
      <c r="L57" s="127"/>
      <c r="N57" s="152"/>
      <c r="O57" s="152"/>
      <c r="R57" s="127"/>
      <c r="T57" s="152"/>
      <c r="U57" s="152"/>
      <c r="X57" s="127"/>
      <c r="Z57" s="152"/>
      <c r="AB57" s="127"/>
      <c r="AC57" s="134"/>
    </row>
    <row r="58" spans="1:29" x14ac:dyDescent="0.2">
      <c r="A58" s="128">
        <f t="shared" si="0"/>
        <v>52</v>
      </c>
      <c r="B58" s="128">
        <v>29</v>
      </c>
      <c r="C58" s="132" t="s">
        <v>124</v>
      </c>
      <c r="D58" s="152"/>
      <c r="E58" s="152"/>
      <c r="J58" s="152"/>
      <c r="L58" s="127"/>
      <c r="N58" s="152"/>
      <c r="O58" s="152"/>
      <c r="R58" s="127"/>
      <c r="T58" s="152"/>
      <c r="U58" s="152"/>
      <c r="X58" s="127"/>
      <c r="Z58" s="152"/>
      <c r="AB58" s="127"/>
      <c r="AC58" s="134"/>
    </row>
    <row r="59" spans="1:29" x14ac:dyDescent="0.2">
      <c r="A59" s="128">
        <f t="shared" si="0"/>
        <v>53</v>
      </c>
      <c r="B59" s="128">
        <f t="shared" ref="B59:B71" si="5">+$B$58</f>
        <v>29</v>
      </c>
      <c r="C59" s="130" t="s">
        <v>108</v>
      </c>
      <c r="D59" s="150">
        <v>9.99</v>
      </c>
      <c r="E59" s="150">
        <v>9.99</v>
      </c>
      <c r="F59" s="131">
        <f>+E59-D59</f>
        <v>0</v>
      </c>
      <c r="G59" s="125" t="s">
        <v>155</v>
      </c>
      <c r="H59" s="127">
        <v>29</v>
      </c>
      <c r="J59" s="152"/>
      <c r="L59" s="127"/>
      <c r="N59" s="152"/>
      <c r="O59" s="152"/>
      <c r="R59" s="127"/>
      <c r="T59" s="152"/>
      <c r="U59" s="152"/>
      <c r="X59" s="127"/>
      <c r="Z59" s="152"/>
      <c r="AB59" s="127"/>
      <c r="AC59" s="134"/>
    </row>
    <row r="60" spans="1:29" x14ac:dyDescent="0.2">
      <c r="A60" s="128">
        <f t="shared" si="0"/>
        <v>54</v>
      </c>
      <c r="B60" s="128">
        <f t="shared" si="5"/>
        <v>29</v>
      </c>
      <c r="C60" s="130" t="s">
        <v>110</v>
      </c>
      <c r="D60" s="150">
        <v>25.36</v>
      </c>
      <c r="E60" s="150">
        <v>25.36</v>
      </c>
      <c r="F60" s="131">
        <f>+E60-D60</f>
        <v>0</v>
      </c>
      <c r="G60" s="125" t="s">
        <v>155</v>
      </c>
      <c r="H60" s="127">
        <v>29</v>
      </c>
      <c r="J60" s="152"/>
      <c r="L60" s="127"/>
      <c r="N60" s="152"/>
      <c r="O60" s="152"/>
      <c r="R60" s="127"/>
      <c r="T60" s="152"/>
      <c r="U60" s="152"/>
      <c r="X60" s="127"/>
      <c r="Z60" s="152"/>
      <c r="AB60" s="127"/>
      <c r="AC60" s="134"/>
    </row>
    <row r="61" spans="1:29" x14ac:dyDescent="0.2">
      <c r="A61" s="128">
        <f t="shared" si="0"/>
        <v>55</v>
      </c>
      <c r="B61" s="128">
        <f t="shared" si="5"/>
        <v>29</v>
      </c>
      <c r="C61" s="130"/>
      <c r="D61" s="150"/>
      <c r="E61" s="150"/>
      <c r="F61" s="131"/>
      <c r="J61" s="152"/>
      <c r="L61" s="127"/>
      <c r="N61" s="152"/>
      <c r="O61" s="152"/>
      <c r="R61" s="127"/>
      <c r="T61" s="152"/>
      <c r="U61" s="152"/>
      <c r="X61" s="127"/>
      <c r="Z61" s="152"/>
      <c r="AB61" s="127"/>
      <c r="AC61" s="134"/>
    </row>
    <row r="62" spans="1:29" x14ac:dyDescent="0.2">
      <c r="A62" s="128">
        <f t="shared" si="0"/>
        <v>56</v>
      </c>
      <c r="B62" s="128">
        <f t="shared" si="5"/>
        <v>29</v>
      </c>
      <c r="C62" s="130" t="s">
        <v>128</v>
      </c>
      <c r="D62" s="151">
        <v>9.3538999999999997E-2</v>
      </c>
      <c r="E62" s="151">
        <v>9.1401999999999997E-2</v>
      </c>
      <c r="F62" s="133">
        <f>+E62-D62</f>
        <v>-2.137E-3</v>
      </c>
      <c r="G62" s="125" t="s">
        <v>155</v>
      </c>
      <c r="H62" s="127">
        <v>29</v>
      </c>
      <c r="J62" s="151">
        <v>4.8299999999999998E-4</v>
      </c>
      <c r="K62" s="133" t="s">
        <v>112</v>
      </c>
      <c r="L62" s="132" t="str">
        <f>+$L$11</f>
        <v>Sheet No. 141COL</v>
      </c>
      <c r="N62" s="151">
        <v>7.8169999999999993E-3</v>
      </c>
      <c r="O62" s="151">
        <v>4.5869999999999999E-3</v>
      </c>
      <c r="P62" s="133"/>
      <c r="Q62" s="133" t="s">
        <v>112</v>
      </c>
      <c r="R62" s="132" t="str">
        <f>+$R$11</f>
        <v>Sheet No. 141N</v>
      </c>
      <c r="T62" s="151">
        <v>3.9290000000000002E-3</v>
      </c>
      <c r="U62" s="151">
        <v>8.3639999999999999E-3</v>
      </c>
      <c r="V62" s="133"/>
      <c r="W62" s="133" t="s">
        <v>112</v>
      </c>
      <c r="X62" s="132" t="str">
        <f>+$X$11</f>
        <v>Sheet No. 141R</v>
      </c>
      <c r="Z62" s="151">
        <v>1.7420000000000001E-3</v>
      </c>
      <c r="AA62" s="133" t="s">
        <v>112</v>
      </c>
      <c r="AB62" s="132" t="s">
        <v>116</v>
      </c>
      <c r="AC62" s="134"/>
    </row>
    <row r="63" spans="1:29" x14ac:dyDescent="0.2">
      <c r="A63" s="128">
        <f t="shared" si="0"/>
        <v>57</v>
      </c>
      <c r="B63" s="128">
        <f t="shared" si="5"/>
        <v>29</v>
      </c>
      <c r="C63" s="130" t="s">
        <v>156</v>
      </c>
      <c r="D63" s="151">
        <v>7.1040000000000006E-2</v>
      </c>
      <c r="E63" s="151">
        <v>6.9417000000000006E-2</v>
      </c>
      <c r="F63" s="133">
        <f>+E63-D63</f>
        <v>-1.6229999999999994E-3</v>
      </c>
      <c r="G63" s="125" t="s">
        <v>155</v>
      </c>
      <c r="H63" s="127">
        <v>29</v>
      </c>
      <c r="J63" s="152"/>
      <c r="K63" s="133"/>
      <c r="L63" s="127"/>
      <c r="N63" s="152"/>
      <c r="O63" s="152"/>
      <c r="P63" s="133"/>
      <c r="Q63" s="133"/>
      <c r="R63" s="127"/>
      <c r="T63" s="152"/>
      <c r="U63" s="152"/>
      <c r="V63" s="133"/>
      <c r="W63" s="133"/>
      <c r="X63" s="127"/>
      <c r="Z63" s="152"/>
      <c r="AA63" s="133"/>
      <c r="AB63" s="127"/>
      <c r="AC63" s="134"/>
    </row>
    <row r="64" spans="1:29" x14ac:dyDescent="0.2">
      <c r="A64" s="128">
        <f t="shared" si="0"/>
        <v>58</v>
      </c>
      <c r="B64" s="128">
        <f t="shared" si="5"/>
        <v>29</v>
      </c>
      <c r="C64" s="130" t="s">
        <v>129</v>
      </c>
      <c r="D64" s="151">
        <v>6.4817E-2</v>
      </c>
      <c r="E64" s="151">
        <v>6.3336000000000003E-2</v>
      </c>
      <c r="F64" s="133">
        <f>+E64-D64</f>
        <v>-1.4809999999999962E-3</v>
      </c>
      <c r="G64" s="125" t="s">
        <v>155</v>
      </c>
      <c r="H64" s="127">
        <v>29</v>
      </c>
      <c r="J64" s="152"/>
      <c r="K64" s="133"/>
      <c r="L64" s="127"/>
      <c r="N64" s="152"/>
      <c r="O64" s="152"/>
      <c r="P64" s="133"/>
      <c r="Q64" s="133"/>
      <c r="R64" s="127"/>
      <c r="T64" s="152"/>
      <c r="U64" s="152"/>
      <c r="V64" s="133"/>
      <c r="W64" s="133"/>
      <c r="X64" s="127"/>
      <c r="Z64" s="152"/>
      <c r="AA64" s="133"/>
      <c r="AB64" s="127"/>
      <c r="AC64" s="134"/>
    </row>
    <row r="65" spans="1:29" x14ac:dyDescent="0.2">
      <c r="A65" s="128">
        <f t="shared" si="0"/>
        <v>59</v>
      </c>
      <c r="B65" s="128">
        <f t="shared" si="5"/>
        <v>29</v>
      </c>
      <c r="C65" s="130" t="s">
        <v>157</v>
      </c>
      <c r="D65" s="151">
        <v>5.5537000000000003E-2</v>
      </c>
      <c r="E65" s="151">
        <v>5.4267999999999997E-2</v>
      </c>
      <c r="F65" s="133">
        <f>+E65-D65</f>
        <v>-1.2690000000000062E-3</v>
      </c>
      <c r="G65" s="125" t="s">
        <v>155</v>
      </c>
      <c r="H65" s="127">
        <v>29</v>
      </c>
      <c r="J65" s="152"/>
      <c r="K65" s="133"/>
      <c r="L65" s="127"/>
      <c r="N65" s="152"/>
      <c r="O65" s="152"/>
      <c r="P65" s="133"/>
      <c r="Q65" s="133"/>
      <c r="R65" s="127"/>
      <c r="T65" s="152"/>
      <c r="U65" s="152"/>
      <c r="V65" s="133"/>
      <c r="W65" s="133"/>
      <c r="X65" s="127"/>
      <c r="Z65" s="152"/>
      <c r="AA65" s="133"/>
      <c r="AB65" s="127"/>
      <c r="AC65" s="134"/>
    </row>
    <row r="66" spans="1:29" x14ac:dyDescent="0.2">
      <c r="A66" s="128">
        <f t="shared" si="0"/>
        <v>60</v>
      </c>
      <c r="B66" s="128">
        <f t="shared" si="5"/>
        <v>29</v>
      </c>
      <c r="C66" s="135"/>
      <c r="D66" s="152"/>
      <c r="E66" s="152"/>
      <c r="J66" s="152"/>
      <c r="K66" s="133"/>
      <c r="L66" s="127"/>
      <c r="N66" s="152"/>
      <c r="O66" s="152"/>
      <c r="P66" s="133"/>
      <c r="Q66" s="133"/>
      <c r="R66" s="127"/>
      <c r="T66" s="152"/>
      <c r="U66" s="152"/>
      <c r="V66" s="133"/>
      <c r="W66" s="133"/>
      <c r="X66" s="127"/>
      <c r="Z66" s="152"/>
      <c r="AA66" s="133"/>
      <c r="AB66" s="127"/>
      <c r="AC66" s="134"/>
    </row>
    <row r="67" spans="1:29" x14ac:dyDescent="0.2">
      <c r="A67" s="128">
        <f t="shared" si="0"/>
        <v>61</v>
      </c>
      <c r="B67" s="128">
        <f t="shared" si="5"/>
        <v>29</v>
      </c>
      <c r="C67" s="130" t="s">
        <v>158</v>
      </c>
      <c r="D67" s="150">
        <v>0</v>
      </c>
      <c r="E67" s="150">
        <v>0</v>
      </c>
      <c r="F67" s="131">
        <f>+E67-D67</f>
        <v>0</v>
      </c>
      <c r="G67" s="132" t="s">
        <v>109</v>
      </c>
      <c r="H67" s="132" t="s">
        <v>109</v>
      </c>
      <c r="J67" s="152"/>
      <c r="K67" s="133"/>
      <c r="L67" s="127"/>
      <c r="N67" s="152"/>
      <c r="O67" s="152"/>
      <c r="P67" s="133"/>
      <c r="Q67" s="133"/>
      <c r="R67" s="127"/>
      <c r="T67" s="152"/>
      <c r="U67" s="152"/>
      <c r="V67" s="133"/>
      <c r="W67" s="133"/>
      <c r="X67" s="127"/>
      <c r="Z67" s="152"/>
      <c r="AA67" s="133"/>
      <c r="AB67" s="127"/>
      <c r="AC67" s="134"/>
    </row>
    <row r="68" spans="1:29" x14ac:dyDescent="0.2">
      <c r="A68" s="128">
        <f t="shared" si="0"/>
        <v>62</v>
      </c>
      <c r="B68" s="128">
        <f t="shared" si="5"/>
        <v>29</v>
      </c>
      <c r="C68" s="130" t="s">
        <v>132</v>
      </c>
      <c r="D68" s="150">
        <v>9.2200000000000006</v>
      </c>
      <c r="E68" s="150">
        <v>9.2200000000000006</v>
      </c>
      <c r="F68" s="131">
        <f>+E68-D68</f>
        <v>0</v>
      </c>
      <c r="G68" s="125" t="s">
        <v>155</v>
      </c>
      <c r="H68" s="127">
        <v>29</v>
      </c>
      <c r="J68" s="150">
        <v>4.67</v>
      </c>
      <c r="K68" s="133" t="s">
        <v>133</v>
      </c>
      <c r="L68" s="132" t="str">
        <f>+$L$11</f>
        <v>Sheet No. 141COL</v>
      </c>
      <c r="N68" s="150">
        <v>0.66</v>
      </c>
      <c r="O68" s="150">
        <v>0.39</v>
      </c>
      <c r="P68" s="133"/>
      <c r="Q68" s="133" t="s">
        <v>133</v>
      </c>
      <c r="R68" s="132" t="str">
        <f>+$R$11</f>
        <v>Sheet No. 141N</v>
      </c>
      <c r="T68" s="150">
        <v>0.33</v>
      </c>
      <c r="U68" s="150">
        <v>0.71</v>
      </c>
      <c r="V68" s="133"/>
      <c r="W68" s="133" t="s">
        <v>133</v>
      </c>
      <c r="X68" s="132" t="str">
        <f>+$X$11</f>
        <v>Sheet No. 141R</v>
      </c>
      <c r="Z68" s="150">
        <v>0</v>
      </c>
      <c r="AA68" s="133"/>
      <c r="AB68" s="127"/>
      <c r="AC68" s="134"/>
    </row>
    <row r="69" spans="1:29" x14ac:dyDescent="0.2">
      <c r="A69" s="128">
        <f t="shared" si="0"/>
        <v>63</v>
      </c>
      <c r="B69" s="128">
        <f t="shared" si="5"/>
        <v>29</v>
      </c>
      <c r="C69" s="130" t="s">
        <v>134</v>
      </c>
      <c r="D69" s="150">
        <v>4.54</v>
      </c>
      <c r="E69" s="150">
        <v>4.54</v>
      </c>
      <c r="F69" s="131">
        <f>+E69-D69</f>
        <v>0</v>
      </c>
      <c r="G69" s="125" t="s">
        <v>155</v>
      </c>
      <c r="H69" s="127">
        <v>29</v>
      </c>
      <c r="J69" s="150">
        <v>4.67</v>
      </c>
      <c r="K69" s="133" t="s">
        <v>133</v>
      </c>
      <c r="L69" s="132" t="str">
        <f>+$L$11</f>
        <v>Sheet No. 141COL</v>
      </c>
      <c r="N69" s="150">
        <v>0.66</v>
      </c>
      <c r="O69" s="150">
        <v>0.39</v>
      </c>
      <c r="P69" s="133"/>
      <c r="Q69" s="133" t="s">
        <v>133</v>
      </c>
      <c r="R69" s="132" t="str">
        <f>+$R$11</f>
        <v>Sheet No. 141N</v>
      </c>
      <c r="T69" s="150">
        <v>0.33</v>
      </c>
      <c r="U69" s="150">
        <v>0.71</v>
      </c>
      <c r="V69" s="133"/>
      <c r="W69" s="133" t="s">
        <v>133</v>
      </c>
      <c r="X69" s="132" t="str">
        <f>+$X$11</f>
        <v>Sheet No. 141R</v>
      </c>
      <c r="Z69" s="150">
        <v>0</v>
      </c>
      <c r="AA69" s="133"/>
      <c r="AB69" s="127"/>
      <c r="AC69" s="134"/>
    </row>
    <row r="70" spans="1:29" x14ac:dyDescent="0.2">
      <c r="A70" s="128">
        <f t="shared" si="0"/>
        <v>64</v>
      </c>
      <c r="B70" s="128">
        <f t="shared" si="5"/>
        <v>29</v>
      </c>
      <c r="C70" s="130"/>
      <c r="D70" s="150"/>
      <c r="E70" s="150"/>
      <c r="F70" s="131"/>
      <c r="J70" s="152"/>
      <c r="K70" s="133"/>
      <c r="L70" s="127"/>
      <c r="N70" s="152"/>
      <c r="O70" s="152"/>
      <c r="P70" s="133"/>
      <c r="Q70" s="133"/>
      <c r="R70" s="127"/>
      <c r="T70" s="152"/>
      <c r="U70" s="152"/>
      <c r="V70" s="133"/>
      <c r="W70" s="133"/>
      <c r="X70" s="127"/>
      <c r="Z70" s="152"/>
      <c r="AA70" s="133"/>
      <c r="AB70" s="127"/>
      <c r="AC70" s="134"/>
    </row>
    <row r="71" spans="1:29" x14ac:dyDescent="0.2">
      <c r="A71" s="128">
        <f t="shared" si="0"/>
        <v>65</v>
      </c>
      <c r="B71" s="128">
        <f t="shared" si="5"/>
        <v>29</v>
      </c>
      <c r="C71" s="130" t="s">
        <v>135</v>
      </c>
      <c r="D71" s="153">
        <v>2.9299999999999999E-3</v>
      </c>
      <c r="E71" s="153">
        <v>2.9299999999999999E-3</v>
      </c>
      <c r="F71" s="136">
        <f>+E71-D71</f>
        <v>0</v>
      </c>
      <c r="G71" s="125" t="s">
        <v>155</v>
      </c>
      <c r="H71" s="127">
        <v>29</v>
      </c>
      <c r="J71" s="152"/>
      <c r="K71" s="133"/>
      <c r="L71" s="127"/>
      <c r="N71" s="152"/>
      <c r="O71" s="152"/>
      <c r="P71" s="133"/>
      <c r="Q71" s="133"/>
      <c r="R71" s="127"/>
      <c r="T71" s="152"/>
      <c r="U71" s="152"/>
      <c r="V71" s="133"/>
      <c r="W71" s="133"/>
      <c r="X71" s="127"/>
      <c r="Z71" s="152"/>
      <c r="AA71" s="133"/>
      <c r="AB71" s="127"/>
      <c r="AC71" s="134"/>
    </row>
    <row r="72" spans="1:29" x14ac:dyDescent="0.2">
      <c r="A72" s="128">
        <f t="shared" ref="A72:A135" si="6">+A71+1</f>
        <v>66</v>
      </c>
      <c r="D72" s="152"/>
      <c r="E72" s="152"/>
      <c r="J72" s="152"/>
      <c r="K72" s="133"/>
      <c r="L72" s="127"/>
      <c r="N72" s="152"/>
      <c r="O72" s="152"/>
      <c r="P72" s="133"/>
      <c r="Q72" s="133"/>
      <c r="R72" s="127"/>
      <c r="T72" s="152"/>
      <c r="U72" s="152"/>
      <c r="V72" s="133"/>
      <c r="W72" s="133"/>
      <c r="X72" s="127"/>
      <c r="Z72" s="152"/>
      <c r="AA72" s="133"/>
      <c r="AB72" s="127"/>
      <c r="AC72" s="134"/>
    </row>
    <row r="73" spans="1:29" x14ac:dyDescent="0.2">
      <c r="A73" s="128">
        <f t="shared" si="6"/>
        <v>67</v>
      </c>
      <c r="B73" s="128" t="s">
        <v>159</v>
      </c>
      <c r="C73" s="132" t="s">
        <v>160</v>
      </c>
      <c r="D73" s="152"/>
      <c r="E73" s="152"/>
      <c r="J73" s="152"/>
      <c r="K73" s="133"/>
      <c r="L73" s="127"/>
      <c r="N73" s="152"/>
      <c r="O73" s="152"/>
      <c r="P73" s="133"/>
      <c r="Q73" s="133"/>
      <c r="R73" s="127"/>
      <c r="T73" s="152"/>
      <c r="U73" s="152"/>
      <c r="V73" s="133"/>
      <c r="W73" s="133"/>
      <c r="X73" s="127"/>
      <c r="Z73" s="152"/>
      <c r="AA73" s="133"/>
      <c r="AB73" s="127"/>
      <c r="AC73" s="134"/>
    </row>
    <row r="74" spans="1:29" x14ac:dyDescent="0.2">
      <c r="A74" s="128">
        <f t="shared" si="6"/>
        <v>68</v>
      </c>
      <c r="B74" s="128" t="str">
        <f t="shared" ref="B74:B85" si="7">+$B$73</f>
        <v>31 (10)</v>
      </c>
      <c r="C74" s="130" t="s">
        <v>125</v>
      </c>
      <c r="D74" s="150">
        <v>358.11</v>
      </c>
      <c r="E74" s="195">
        <v>358.11</v>
      </c>
      <c r="F74" s="131">
        <f>+E74-D74</f>
        <v>0</v>
      </c>
      <c r="G74" s="125" t="s">
        <v>161</v>
      </c>
      <c r="H74" s="127">
        <v>31</v>
      </c>
      <c r="J74" s="152"/>
      <c r="K74" s="133"/>
      <c r="L74" s="127"/>
      <c r="N74" s="152"/>
      <c r="O74" s="152"/>
      <c r="P74" s="133"/>
      <c r="Q74" s="133"/>
      <c r="R74" s="127"/>
      <c r="T74" s="152"/>
      <c r="U74" s="152"/>
      <c r="V74" s="133"/>
      <c r="W74" s="133"/>
      <c r="X74" s="127"/>
      <c r="Z74" s="152"/>
      <c r="AA74" s="133"/>
      <c r="AB74" s="127"/>
      <c r="AC74" s="134"/>
    </row>
    <row r="75" spans="1:29" x14ac:dyDescent="0.2">
      <c r="A75" s="128">
        <f t="shared" si="6"/>
        <v>69</v>
      </c>
      <c r="B75" s="128" t="str">
        <f t="shared" si="7"/>
        <v>31 (10)</v>
      </c>
      <c r="C75" s="130"/>
      <c r="D75" s="150"/>
      <c r="E75" s="150"/>
      <c r="F75" s="131"/>
      <c r="J75" s="152"/>
      <c r="L75" s="127"/>
      <c r="N75" s="152"/>
      <c r="O75" s="152"/>
      <c r="R75" s="127"/>
      <c r="T75" s="152"/>
      <c r="U75" s="152"/>
      <c r="X75" s="127"/>
      <c r="Z75" s="152"/>
      <c r="AB75" s="127"/>
      <c r="AC75" s="134"/>
    </row>
    <row r="76" spans="1:29" x14ac:dyDescent="0.2">
      <c r="A76" s="128">
        <f t="shared" si="6"/>
        <v>70</v>
      </c>
      <c r="B76" s="128" t="str">
        <f t="shared" si="7"/>
        <v>31 (10)</v>
      </c>
      <c r="C76" s="130" t="s">
        <v>162</v>
      </c>
      <c r="D76" s="151">
        <v>5.7328999999999998E-2</v>
      </c>
      <c r="E76" s="151">
        <v>5.5718999999999998E-2</v>
      </c>
      <c r="F76" s="133">
        <f>+E76-D76</f>
        <v>-1.6100000000000003E-3</v>
      </c>
      <c r="G76" s="125" t="s">
        <v>161</v>
      </c>
      <c r="H76" s="127">
        <v>31</v>
      </c>
      <c r="J76" s="151">
        <v>4.1199999999999999E-4</v>
      </c>
      <c r="K76" s="133" t="s">
        <v>112</v>
      </c>
      <c r="L76" s="132" t="str">
        <f>+$L$11</f>
        <v>Sheet No. 141COL</v>
      </c>
      <c r="N76" s="151">
        <v>4.7759999999999999E-3</v>
      </c>
      <c r="O76" s="151">
        <v>2.8300000000000001E-3</v>
      </c>
      <c r="P76" s="133"/>
      <c r="Q76" s="133" t="s">
        <v>112</v>
      </c>
      <c r="R76" s="132" t="str">
        <f>+$R$11</f>
        <v>Sheet No. 141N</v>
      </c>
      <c r="T76" s="151">
        <v>2.3999999999999998E-3</v>
      </c>
      <c r="U76" s="151">
        <v>5.1609999999999998E-3</v>
      </c>
      <c r="V76" s="133"/>
      <c r="W76" s="133" t="s">
        <v>112</v>
      </c>
      <c r="X76" s="132" t="str">
        <f>+$X$11</f>
        <v>Sheet No. 141R</v>
      </c>
      <c r="Z76" s="151">
        <v>1.6620000000000001E-3</v>
      </c>
      <c r="AA76" s="133" t="s">
        <v>112</v>
      </c>
      <c r="AB76" s="132" t="s">
        <v>116</v>
      </c>
      <c r="AC76" s="134"/>
    </row>
    <row r="77" spans="1:29" x14ac:dyDescent="0.2">
      <c r="A77" s="128">
        <f t="shared" si="6"/>
        <v>71</v>
      </c>
      <c r="B77" s="128" t="str">
        <f t="shared" si="7"/>
        <v>31 (10)</v>
      </c>
      <c r="C77" s="135"/>
      <c r="D77" s="152"/>
      <c r="E77" s="152"/>
      <c r="J77" s="152"/>
      <c r="K77" s="133"/>
      <c r="L77" s="127"/>
      <c r="N77" s="152"/>
      <c r="O77" s="152"/>
      <c r="P77" s="133"/>
      <c r="Q77" s="133"/>
      <c r="R77" s="127"/>
      <c r="T77" s="152"/>
      <c r="U77" s="152"/>
      <c r="V77" s="133"/>
      <c r="W77" s="133"/>
      <c r="X77" s="127"/>
      <c r="Z77" s="152"/>
      <c r="AA77" s="133"/>
      <c r="AB77" s="127"/>
      <c r="AC77" s="134"/>
    </row>
    <row r="78" spans="1:29" x14ac:dyDescent="0.2">
      <c r="A78" s="128">
        <f t="shared" si="6"/>
        <v>72</v>
      </c>
      <c r="B78" s="128" t="str">
        <f t="shared" si="7"/>
        <v>31 (10)</v>
      </c>
      <c r="C78" s="130" t="s">
        <v>141</v>
      </c>
      <c r="D78" s="150">
        <v>11.94</v>
      </c>
      <c r="E78" s="150">
        <v>11.94</v>
      </c>
      <c r="F78" s="131">
        <f t="shared" ref="F78:F83" si="8">+E78-D78</f>
        <v>0</v>
      </c>
      <c r="G78" s="125" t="s">
        <v>161</v>
      </c>
      <c r="H78" s="127">
        <v>31</v>
      </c>
      <c r="J78" s="150">
        <v>0.67</v>
      </c>
      <c r="K78" s="133" t="s">
        <v>133</v>
      </c>
      <c r="L78" s="132" t="str">
        <f>+$L$11</f>
        <v>Sheet No. 141COL</v>
      </c>
      <c r="N78" s="150">
        <v>0.85</v>
      </c>
      <c r="O78" s="150">
        <v>0.51</v>
      </c>
      <c r="P78" s="133"/>
      <c r="Q78" s="133" t="s">
        <v>133</v>
      </c>
      <c r="R78" s="132" t="str">
        <f>+$R$11</f>
        <v>Sheet No. 141N</v>
      </c>
      <c r="T78" s="150">
        <v>0.43</v>
      </c>
      <c r="U78" s="150">
        <v>0.93</v>
      </c>
      <c r="V78" s="133"/>
      <c r="W78" s="133" t="s">
        <v>133</v>
      </c>
      <c r="X78" s="132" t="str">
        <f>+$X$11</f>
        <v>Sheet No. 141R</v>
      </c>
      <c r="Z78" s="150">
        <v>0</v>
      </c>
      <c r="AA78" s="133"/>
      <c r="AB78" s="127"/>
      <c r="AC78" s="134"/>
    </row>
    <row r="79" spans="1:29" x14ac:dyDescent="0.2">
      <c r="A79" s="128">
        <f t="shared" si="6"/>
        <v>73</v>
      </c>
      <c r="B79" s="128" t="str">
        <f t="shared" si="7"/>
        <v>31 (10)</v>
      </c>
      <c r="C79" s="137" t="s">
        <v>142</v>
      </c>
      <c r="D79" s="150">
        <v>5.31</v>
      </c>
      <c r="E79" s="150">
        <v>5.85</v>
      </c>
      <c r="F79" s="131">
        <f t="shared" si="8"/>
        <v>0.54</v>
      </c>
      <c r="G79" s="125" t="s">
        <v>161</v>
      </c>
      <c r="H79" s="127" t="s">
        <v>163</v>
      </c>
      <c r="J79" s="152"/>
      <c r="K79" s="133"/>
      <c r="L79" s="127"/>
      <c r="N79" s="152"/>
      <c r="O79" s="152"/>
      <c r="P79" s="133"/>
      <c r="Q79" s="133"/>
      <c r="R79" s="127"/>
      <c r="T79" s="152"/>
      <c r="U79" s="152"/>
      <c r="V79" s="133"/>
      <c r="W79" s="133"/>
      <c r="X79" s="127"/>
      <c r="Z79" s="152"/>
      <c r="AA79" s="133"/>
      <c r="AB79" s="127"/>
      <c r="AC79" s="134"/>
    </row>
    <row r="80" spans="1:29" x14ac:dyDescent="0.2">
      <c r="A80" s="128">
        <f t="shared" si="6"/>
        <v>74</v>
      </c>
      <c r="B80" s="128" t="str">
        <f t="shared" si="7"/>
        <v>31 (10)</v>
      </c>
      <c r="C80" s="137" t="s">
        <v>144</v>
      </c>
      <c r="D80" s="150">
        <v>6.63</v>
      </c>
      <c r="E80" s="150">
        <v>6.09</v>
      </c>
      <c r="F80" s="131">
        <f t="shared" si="8"/>
        <v>-0.54</v>
      </c>
      <c r="G80" s="125" t="s">
        <v>161</v>
      </c>
      <c r="H80" s="127" t="s">
        <v>163</v>
      </c>
      <c r="J80" s="152"/>
      <c r="K80" s="133"/>
      <c r="L80" s="127"/>
      <c r="N80" s="152"/>
      <c r="O80" s="152"/>
      <c r="P80" s="133"/>
      <c r="Q80" s="133"/>
      <c r="R80" s="127"/>
      <c r="T80" s="152"/>
      <c r="U80" s="152"/>
      <c r="V80" s="133"/>
      <c r="W80" s="133"/>
      <c r="X80" s="127"/>
      <c r="Z80" s="152"/>
      <c r="AA80" s="133"/>
      <c r="AB80" s="127"/>
      <c r="AC80" s="134"/>
    </row>
    <row r="81" spans="1:29" x14ac:dyDescent="0.2">
      <c r="A81" s="128">
        <f t="shared" si="6"/>
        <v>75</v>
      </c>
      <c r="B81" s="128" t="str">
        <f t="shared" si="7"/>
        <v>31 (10)</v>
      </c>
      <c r="C81" s="130" t="s">
        <v>145</v>
      </c>
      <c r="D81" s="150">
        <v>7.96</v>
      </c>
      <c r="E81" s="150">
        <v>7.96</v>
      </c>
      <c r="F81" s="131">
        <f t="shared" si="8"/>
        <v>0</v>
      </c>
      <c r="G81" s="125" t="s">
        <v>161</v>
      </c>
      <c r="H81" s="127">
        <v>31</v>
      </c>
      <c r="J81" s="150">
        <v>0.67</v>
      </c>
      <c r="K81" s="133" t="s">
        <v>133</v>
      </c>
      <c r="L81" s="132" t="str">
        <f>+$L$11</f>
        <v>Sheet No. 141COL</v>
      </c>
      <c r="N81" s="150">
        <v>0.85</v>
      </c>
      <c r="O81" s="150">
        <v>0.51</v>
      </c>
      <c r="P81" s="133"/>
      <c r="Q81" s="133" t="s">
        <v>133</v>
      </c>
      <c r="R81" s="132" t="str">
        <f>+$R$11</f>
        <v>Sheet No. 141N</v>
      </c>
      <c r="T81" s="150">
        <v>0.43</v>
      </c>
      <c r="U81" s="150">
        <v>0.93</v>
      </c>
      <c r="V81" s="133"/>
      <c r="W81" s="133" t="s">
        <v>133</v>
      </c>
      <c r="X81" s="132" t="str">
        <f>+$X$11</f>
        <v>Sheet No. 141R</v>
      </c>
      <c r="Z81" s="150">
        <v>0</v>
      </c>
      <c r="AA81" s="133"/>
      <c r="AB81" s="127"/>
      <c r="AC81" s="134"/>
    </row>
    <row r="82" spans="1:29" x14ac:dyDescent="0.2">
      <c r="A82" s="128">
        <f t="shared" si="6"/>
        <v>76</v>
      </c>
      <c r="B82" s="128" t="str">
        <f t="shared" si="7"/>
        <v>31 (10)</v>
      </c>
      <c r="C82" s="137" t="s">
        <v>142</v>
      </c>
      <c r="D82" s="150">
        <v>3.54</v>
      </c>
      <c r="E82" s="150">
        <v>3.9</v>
      </c>
      <c r="F82" s="131">
        <f t="shared" si="8"/>
        <v>0.35999999999999988</v>
      </c>
      <c r="G82" s="125" t="s">
        <v>161</v>
      </c>
      <c r="H82" s="127" t="s">
        <v>163</v>
      </c>
      <c r="J82" s="152"/>
      <c r="K82" s="133"/>
      <c r="L82" s="127"/>
      <c r="N82" s="152"/>
      <c r="O82" s="152"/>
      <c r="P82" s="133"/>
      <c r="Q82" s="133"/>
      <c r="R82" s="127"/>
      <c r="T82" s="152"/>
      <c r="U82" s="152"/>
      <c r="V82" s="133"/>
      <c r="W82" s="133"/>
      <c r="X82" s="127"/>
      <c r="Z82" s="152"/>
      <c r="AA82" s="133"/>
      <c r="AB82" s="127"/>
      <c r="AC82" s="134"/>
    </row>
    <row r="83" spans="1:29" x14ac:dyDescent="0.2">
      <c r="A83" s="128">
        <f t="shared" si="6"/>
        <v>77</v>
      </c>
      <c r="B83" s="128" t="str">
        <f t="shared" si="7"/>
        <v>31 (10)</v>
      </c>
      <c r="C83" s="137" t="s">
        <v>144</v>
      </c>
      <c r="D83" s="150">
        <v>4.42</v>
      </c>
      <c r="E83" s="150">
        <v>4.0599999999999996</v>
      </c>
      <c r="F83" s="131">
        <f t="shared" si="8"/>
        <v>-0.36000000000000032</v>
      </c>
      <c r="G83" s="125" t="s">
        <v>161</v>
      </c>
      <c r="H83" s="127" t="s">
        <v>163</v>
      </c>
      <c r="J83" s="152"/>
      <c r="K83" s="133"/>
      <c r="L83" s="127"/>
      <c r="N83" s="152"/>
      <c r="O83" s="152"/>
      <c r="P83" s="133"/>
      <c r="Q83" s="133"/>
      <c r="R83" s="127"/>
      <c r="T83" s="152"/>
      <c r="U83" s="152"/>
      <c r="V83" s="133"/>
      <c r="W83" s="133"/>
      <c r="X83" s="127"/>
      <c r="Z83" s="152"/>
      <c r="AA83" s="133"/>
      <c r="AB83" s="127"/>
      <c r="AC83" s="134"/>
    </row>
    <row r="84" spans="1:29" x14ac:dyDescent="0.2">
      <c r="A84" s="128">
        <f t="shared" si="6"/>
        <v>78</v>
      </c>
      <c r="B84" s="128" t="str">
        <f t="shared" si="7"/>
        <v>31 (10)</v>
      </c>
      <c r="C84" s="130"/>
      <c r="D84" s="150"/>
      <c r="E84" s="150"/>
      <c r="F84" s="131"/>
      <c r="J84" s="152"/>
      <c r="K84" s="133"/>
      <c r="L84" s="127"/>
      <c r="N84" s="152"/>
      <c r="O84" s="152"/>
      <c r="P84" s="133"/>
      <c r="Q84" s="133"/>
      <c r="R84" s="127"/>
      <c r="T84" s="152"/>
      <c r="U84" s="152"/>
      <c r="V84" s="133"/>
      <c r="W84" s="133"/>
      <c r="X84" s="127"/>
      <c r="Z84" s="152"/>
      <c r="AA84" s="133"/>
      <c r="AB84" s="127"/>
      <c r="AC84" s="134"/>
    </row>
    <row r="85" spans="1:29" x14ac:dyDescent="0.2">
      <c r="A85" s="128">
        <f t="shared" si="6"/>
        <v>79</v>
      </c>
      <c r="B85" s="128" t="str">
        <f t="shared" si="7"/>
        <v>31 (10)</v>
      </c>
      <c r="C85" s="130" t="s">
        <v>135</v>
      </c>
      <c r="D85" s="153">
        <v>1.1199999999999999E-3</v>
      </c>
      <c r="E85" s="153">
        <v>1.1199999999999999E-3</v>
      </c>
      <c r="F85" s="136">
        <f>+E85-D85</f>
        <v>0</v>
      </c>
      <c r="G85" s="125" t="s">
        <v>161</v>
      </c>
      <c r="H85" s="127">
        <v>31</v>
      </c>
      <c r="J85" s="152"/>
      <c r="K85" s="133"/>
      <c r="L85" s="127"/>
      <c r="N85" s="152"/>
      <c r="O85" s="152"/>
      <c r="P85" s="133"/>
      <c r="Q85" s="133"/>
      <c r="R85" s="127"/>
      <c r="T85" s="152"/>
      <c r="U85" s="152"/>
      <c r="V85" s="133"/>
      <c r="W85" s="133"/>
      <c r="X85" s="127"/>
      <c r="Z85" s="152"/>
      <c r="AA85" s="133"/>
      <c r="AB85" s="127"/>
      <c r="AC85" s="134"/>
    </row>
    <row r="86" spans="1:29" x14ac:dyDescent="0.2">
      <c r="A86" s="128">
        <f t="shared" si="6"/>
        <v>80</v>
      </c>
      <c r="D86" s="152"/>
      <c r="E86" s="152"/>
      <c r="J86" s="152"/>
      <c r="K86" s="133"/>
      <c r="L86" s="127"/>
      <c r="N86" s="152"/>
      <c r="O86" s="152"/>
      <c r="P86" s="133"/>
      <c r="Q86" s="133"/>
      <c r="R86" s="127"/>
      <c r="T86" s="152"/>
      <c r="U86" s="152"/>
      <c r="V86" s="133"/>
      <c r="W86" s="133"/>
      <c r="X86" s="127"/>
      <c r="Z86" s="152"/>
      <c r="AA86" s="133"/>
      <c r="AB86" s="127"/>
      <c r="AC86" s="134"/>
    </row>
    <row r="87" spans="1:29" x14ac:dyDescent="0.2">
      <c r="A87" s="128">
        <f t="shared" si="6"/>
        <v>81</v>
      </c>
      <c r="B87" s="128">
        <v>35</v>
      </c>
      <c r="C87" s="132" t="s">
        <v>164</v>
      </c>
      <c r="D87" s="152"/>
      <c r="E87" s="152"/>
      <c r="J87" s="152"/>
      <c r="K87" s="133"/>
      <c r="L87" s="127"/>
      <c r="N87" s="152"/>
      <c r="O87" s="152"/>
      <c r="P87" s="133"/>
      <c r="Q87" s="133"/>
      <c r="R87" s="127"/>
      <c r="T87" s="152"/>
      <c r="U87" s="152"/>
      <c r="V87" s="133"/>
      <c r="W87" s="133"/>
      <c r="X87" s="127"/>
      <c r="Z87" s="152"/>
      <c r="AA87" s="133"/>
      <c r="AB87" s="127"/>
      <c r="AC87" s="134"/>
    </row>
    <row r="88" spans="1:29" x14ac:dyDescent="0.2">
      <c r="A88" s="128">
        <f t="shared" si="6"/>
        <v>82</v>
      </c>
      <c r="B88" s="128">
        <f t="shared" ref="B88:B95" si="9">+$B$87</f>
        <v>35</v>
      </c>
      <c r="C88" s="130" t="s">
        <v>125</v>
      </c>
      <c r="D88" s="150">
        <v>358.11</v>
      </c>
      <c r="E88" s="150">
        <v>358.11</v>
      </c>
      <c r="F88" s="131">
        <f>+E88-D88</f>
        <v>0</v>
      </c>
      <c r="G88" s="125" t="s">
        <v>165</v>
      </c>
      <c r="H88" s="127">
        <v>35</v>
      </c>
      <c r="J88" s="152"/>
      <c r="L88" s="127"/>
      <c r="N88" s="152"/>
      <c r="O88" s="152"/>
      <c r="R88" s="127"/>
      <c r="T88" s="152"/>
      <c r="U88" s="152"/>
      <c r="X88" s="127"/>
      <c r="Z88" s="152"/>
      <c r="AB88" s="127"/>
      <c r="AC88" s="134"/>
    </row>
    <row r="89" spans="1:29" x14ac:dyDescent="0.2">
      <c r="A89" s="128">
        <f t="shared" si="6"/>
        <v>83</v>
      </c>
      <c r="B89" s="128">
        <f t="shared" si="9"/>
        <v>35</v>
      </c>
      <c r="C89" s="130"/>
      <c r="D89" s="150"/>
      <c r="E89" s="150"/>
      <c r="F89" s="131"/>
      <c r="J89" s="152"/>
      <c r="L89" s="127"/>
      <c r="N89" s="152"/>
      <c r="O89" s="152"/>
      <c r="R89" s="127"/>
      <c r="T89" s="152"/>
      <c r="U89" s="152"/>
      <c r="X89" s="127"/>
      <c r="Z89" s="152"/>
      <c r="AB89" s="127"/>
      <c r="AC89" s="134"/>
    </row>
    <row r="90" spans="1:29" x14ac:dyDescent="0.2">
      <c r="A90" s="128">
        <f t="shared" si="6"/>
        <v>84</v>
      </c>
      <c r="B90" s="128">
        <f t="shared" si="9"/>
        <v>35</v>
      </c>
      <c r="C90" s="130" t="s">
        <v>162</v>
      </c>
      <c r="D90" s="151">
        <v>5.3178000000000003E-2</v>
      </c>
      <c r="E90" s="151">
        <v>5.3178000000000003E-2</v>
      </c>
      <c r="F90" s="133">
        <f>+E90-D90</f>
        <v>0</v>
      </c>
      <c r="G90" s="125" t="s">
        <v>165</v>
      </c>
      <c r="H90" s="127">
        <v>35</v>
      </c>
      <c r="J90" s="151">
        <v>2.8299999999999999E-4</v>
      </c>
      <c r="K90" s="133" t="s">
        <v>112</v>
      </c>
      <c r="L90" s="132" t="str">
        <f>+$L$11</f>
        <v>Sheet No. 141COL</v>
      </c>
      <c r="N90" s="151">
        <v>8.5900000000000004E-3</v>
      </c>
      <c r="O90" s="151">
        <v>5.0689999999999997E-3</v>
      </c>
      <c r="P90" s="133"/>
      <c r="Q90" s="133" t="s">
        <v>112</v>
      </c>
      <c r="R90" s="132" t="str">
        <f>+$R$76</f>
        <v>Sheet No. 141N</v>
      </c>
      <c r="T90" s="151">
        <v>4.3169999999999997E-3</v>
      </c>
      <c r="U90" s="151">
        <v>9.2429999999999995E-3</v>
      </c>
      <c r="V90" s="133"/>
      <c r="W90" s="133" t="s">
        <v>112</v>
      </c>
      <c r="X90" s="132" t="str">
        <f>+$X$11</f>
        <v>Sheet No. 141R</v>
      </c>
      <c r="Z90" s="151">
        <v>1.5900000000000001E-3</v>
      </c>
      <c r="AA90" s="133" t="s">
        <v>112</v>
      </c>
      <c r="AB90" s="132" t="s">
        <v>116</v>
      </c>
      <c r="AC90" s="134"/>
    </row>
    <row r="91" spans="1:29" x14ac:dyDescent="0.2">
      <c r="A91" s="128">
        <f t="shared" si="6"/>
        <v>85</v>
      </c>
      <c r="B91" s="128">
        <f t="shared" si="9"/>
        <v>35</v>
      </c>
      <c r="C91" s="135"/>
      <c r="D91" s="152"/>
      <c r="E91" s="152"/>
      <c r="J91" s="152"/>
      <c r="K91" s="133"/>
      <c r="L91" s="127"/>
      <c r="N91" s="152"/>
      <c r="O91" s="152"/>
      <c r="P91" s="133"/>
      <c r="Q91" s="133"/>
      <c r="R91" s="127"/>
      <c r="T91" s="152"/>
      <c r="U91" s="152"/>
      <c r="V91" s="133"/>
      <c r="W91" s="133"/>
      <c r="X91" s="127"/>
      <c r="Z91" s="152"/>
      <c r="AA91" s="133"/>
      <c r="AB91" s="127"/>
      <c r="AC91" s="134"/>
    </row>
    <row r="92" spans="1:29" x14ac:dyDescent="0.2">
      <c r="A92" s="128">
        <f t="shared" si="6"/>
        <v>86</v>
      </c>
      <c r="B92" s="128">
        <f t="shared" si="9"/>
        <v>35</v>
      </c>
      <c r="C92" s="130" t="s">
        <v>166</v>
      </c>
      <c r="D92" s="150">
        <v>4.92</v>
      </c>
      <c r="E92" s="150">
        <v>4.92</v>
      </c>
      <c r="F92" s="131">
        <f>+E92-D92</f>
        <v>0</v>
      </c>
      <c r="G92" s="125" t="s">
        <v>165</v>
      </c>
      <c r="H92" s="127">
        <v>35</v>
      </c>
      <c r="J92" s="150">
        <v>0.62</v>
      </c>
      <c r="K92" s="133" t="s">
        <v>133</v>
      </c>
      <c r="L92" s="132" t="str">
        <f>+$L$11</f>
        <v>Sheet No. 141COL</v>
      </c>
      <c r="N92" s="150">
        <v>0.6</v>
      </c>
      <c r="O92" s="150">
        <v>0.35</v>
      </c>
      <c r="P92" s="133"/>
      <c r="Q92" s="133" t="s">
        <v>133</v>
      </c>
      <c r="R92" s="132" t="str">
        <f>+$R$11</f>
        <v>Sheet No. 141N</v>
      </c>
      <c r="T92" s="150">
        <v>0.3</v>
      </c>
      <c r="U92" s="150">
        <v>0.64</v>
      </c>
      <c r="V92" s="133"/>
      <c r="W92" s="133" t="s">
        <v>133</v>
      </c>
      <c r="X92" s="132" t="str">
        <f>+$X$11</f>
        <v>Sheet No. 141R</v>
      </c>
      <c r="Z92" s="150">
        <v>0</v>
      </c>
      <c r="AA92" s="133"/>
      <c r="AB92" s="127"/>
      <c r="AC92" s="134"/>
    </row>
    <row r="93" spans="1:29" x14ac:dyDescent="0.2">
      <c r="A93" s="128">
        <f t="shared" si="6"/>
        <v>87</v>
      </c>
      <c r="B93" s="128">
        <f t="shared" si="9"/>
        <v>35</v>
      </c>
      <c r="C93" s="130" t="s">
        <v>167</v>
      </c>
      <c r="D93" s="150">
        <v>3.28</v>
      </c>
      <c r="E93" s="150">
        <v>3.28</v>
      </c>
      <c r="F93" s="131">
        <f>+E93-D93</f>
        <v>0</v>
      </c>
      <c r="G93" s="125" t="s">
        <v>165</v>
      </c>
      <c r="H93" s="127">
        <v>35</v>
      </c>
      <c r="J93" s="150">
        <v>0.62</v>
      </c>
      <c r="K93" s="133" t="s">
        <v>133</v>
      </c>
      <c r="L93" s="132" t="str">
        <f>+$L$11</f>
        <v>Sheet No. 141COL</v>
      </c>
      <c r="N93" s="150">
        <v>0.6</v>
      </c>
      <c r="O93" s="150">
        <v>0.35</v>
      </c>
      <c r="P93" s="133"/>
      <c r="Q93" s="133" t="s">
        <v>133</v>
      </c>
      <c r="R93" s="132" t="str">
        <f>+$R$11</f>
        <v>Sheet No. 141N</v>
      </c>
      <c r="T93" s="150">
        <v>0.3</v>
      </c>
      <c r="U93" s="150">
        <v>0.64</v>
      </c>
      <c r="V93" s="133"/>
      <c r="W93" s="133" t="s">
        <v>133</v>
      </c>
      <c r="X93" s="132" t="str">
        <f>+$X$11</f>
        <v>Sheet No. 141R</v>
      </c>
      <c r="Z93" s="150">
        <v>0</v>
      </c>
      <c r="AA93" s="133"/>
      <c r="AB93" s="127"/>
      <c r="AC93" s="134"/>
    </row>
    <row r="94" spans="1:29" x14ac:dyDescent="0.2">
      <c r="A94" s="128">
        <f t="shared" si="6"/>
        <v>88</v>
      </c>
      <c r="B94" s="128">
        <f t="shared" si="9"/>
        <v>35</v>
      </c>
      <c r="C94" s="130"/>
      <c r="D94" s="150"/>
      <c r="E94" s="150"/>
      <c r="F94" s="131"/>
      <c r="J94" s="152"/>
      <c r="K94" s="133"/>
      <c r="L94" s="127"/>
      <c r="N94" s="152"/>
      <c r="O94" s="152"/>
      <c r="P94" s="133"/>
      <c r="Q94" s="133"/>
      <c r="R94" s="127"/>
      <c r="T94" s="152"/>
      <c r="U94" s="152"/>
      <c r="V94" s="133"/>
      <c r="W94" s="133"/>
      <c r="X94" s="127"/>
      <c r="Z94" s="152"/>
      <c r="AA94" s="133"/>
      <c r="AB94" s="127"/>
      <c r="AC94" s="134"/>
    </row>
    <row r="95" spans="1:29" x14ac:dyDescent="0.2">
      <c r="A95" s="128">
        <f t="shared" si="6"/>
        <v>89</v>
      </c>
      <c r="B95" s="128">
        <f t="shared" si="9"/>
        <v>35</v>
      </c>
      <c r="C95" s="130" t="s">
        <v>135</v>
      </c>
      <c r="D95" s="153">
        <v>1.1800000000000001E-3</v>
      </c>
      <c r="E95" s="153">
        <v>1.1800000000000001E-3</v>
      </c>
      <c r="F95" s="136">
        <f>+E95-D95</f>
        <v>0</v>
      </c>
      <c r="G95" s="125" t="s">
        <v>165</v>
      </c>
      <c r="H95" s="127">
        <v>35</v>
      </c>
      <c r="J95" s="152"/>
      <c r="K95" s="133"/>
      <c r="L95" s="127"/>
      <c r="N95" s="152"/>
      <c r="O95" s="152"/>
      <c r="P95" s="133"/>
      <c r="Q95" s="133"/>
      <c r="R95" s="127"/>
      <c r="T95" s="152"/>
      <c r="U95" s="152"/>
      <c r="V95" s="133"/>
      <c r="W95" s="133"/>
      <c r="X95" s="127"/>
      <c r="Z95" s="152"/>
      <c r="AA95" s="133"/>
      <c r="AB95" s="127"/>
      <c r="AC95" s="134"/>
    </row>
    <row r="96" spans="1:29" x14ac:dyDescent="0.2">
      <c r="A96" s="128">
        <f t="shared" si="6"/>
        <v>90</v>
      </c>
      <c r="D96" s="152"/>
      <c r="E96" s="152"/>
      <c r="J96" s="152"/>
      <c r="K96" s="133"/>
      <c r="L96" s="127"/>
      <c r="N96" s="152"/>
      <c r="O96" s="152"/>
      <c r="P96" s="133"/>
      <c r="Q96" s="133"/>
      <c r="R96" s="127"/>
      <c r="T96" s="152"/>
      <c r="U96" s="152"/>
      <c r="V96" s="133"/>
      <c r="W96" s="133"/>
      <c r="X96" s="127"/>
      <c r="Z96" s="152"/>
      <c r="AA96" s="133"/>
      <c r="AB96" s="127"/>
      <c r="AC96" s="134"/>
    </row>
    <row r="97" spans="1:29" x14ac:dyDescent="0.2">
      <c r="A97" s="128">
        <f t="shared" si="6"/>
        <v>91</v>
      </c>
      <c r="B97" s="128">
        <v>43</v>
      </c>
      <c r="C97" s="132" t="s">
        <v>168</v>
      </c>
      <c r="D97" s="152"/>
      <c r="E97" s="152"/>
      <c r="J97" s="152"/>
      <c r="K97" s="133"/>
      <c r="L97" s="127"/>
      <c r="N97" s="152"/>
      <c r="O97" s="152"/>
      <c r="P97" s="133"/>
      <c r="Q97" s="133"/>
      <c r="R97" s="127"/>
      <c r="T97" s="152"/>
      <c r="U97" s="152"/>
      <c r="V97" s="133"/>
      <c r="W97" s="133"/>
      <c r="X97" s="127"/>
      <c r="Z97" s="152"/>
      <c r="AA97" s="133"/>
      <c r="AB97" s="127"/>
      <c r="AC97" s="134"/>
    </row>
    <row r="98" spans="1:29" x14ac:dyDescent="0.2">
      <c r="A98" s="128">
        <f t="shared" si="6"/>
        <v>92</v>
      </c>
      <c r="B98" s="128">
        <f t="shared" ref="B98:B106" si="10">+$B$97</f>
        <v>43</v>
      </c>
      <c r="C98" s="130" t="s">
        <v>125</v>
      </c>
      <c r="D98" s="150">
        <v>358.11</v>
      </c>
      <c r="E98" s="150">
        <v>358.11</v>
      </c>
      <c r="F98" s="131">
        <f>+E98-D98</f>
        <v>0</v>
      </c>
      <c r="G98" s="125" t="s">
        <v>169</v>
      </c>
      <c r="H98" s="127" t="s">
        <v>170</v>
      </c>
      <c r="J98" s="152"/>
      <c r="K98" s="133"/>
      <c r="L98" s="127"/>
      <c r="N98" s="152"/>
      <c r="O98" s="152"/>
      <c r="P98" s="133"/>
      <c r="Q98" s="133"/>
      <c r="R98" s="127"/>
      <c r="T98" s="152"/>
      <c r="U98" s="152"/>
      <c r="V98" s="133"/>
      <c r="W98" s="133"/>
      <c r="X98" s="127"/>
      <c r="Z98" s="152"/>
      <c r="AA98" s="133"/>
      <c r="AB98" s="127"/>
      <c r="AC98" s="134"/>
    </row>
    <row r="99" spans="1:29" x14ac:dyDescent="0.2">
      <c r="A99" s="128">
        <f t="shared" si="6"/>
        <v>93</v>
      </c>
      <c r="B99" s="128">
        <f t="shared" si="10"/>
        <v>43</v>
      </c>
      <c r="C99" s="130"/>
      <c r="D99" s="150"/>
      <c r="E99" s="150"/>
      <c r="F99" s="131"/>
      <c r="J99" s="152"/>
      <c r="K99" s="133"/>
      <c r="L99" s="127"/>
      <c r="N99" s="152"/>
      <c r="O99" s="152"/>
      <c r="P99" s="133"/>
      <c r="Q99" s="133"/>
      <c r="R99" s="127"/>
      <c r="T99" s="152"/>
      <c r="U99" s="152"/>
      <c r="V99" s="133"/>
      <c r="W99" s="133"/>
      <c r="X99" s="127"/>
      <c r="Z99" s="152"/>
      <c r="AA99" s="133"/>
      <c r="AB99" s="127"/>
      <c r="AC99" s="134"/>
    </row>
    <row r="100" spans="1:29" x14ac:dyDescent="0.2">
      <c r="A100" s="128">
        <f t="shared" si="6"/>
        <v>94</v>
      </c>
      <c r="B100" s="128">
        <f t="shared" si="10"/>
        <v>43</v>
      </c>
      <c r="C100" s="130" t="s">
        <v>162</v>
      </c>
      <c r="D100" s="151">
        <v>5.9549999999999999E-2</v>
      </c>
      <c r="E100" s="151">
        <v>5.7393E-2</v>
      </c>
      <c r="F100" s="133">
        <f>+E100-D100</f>
        <v>-2.1569999999999992E-3</v>
      </c>
      <c r="G100" s="125" t="s">
        <v>169</v>
      </c>
      <c r="H100" s="127" t="s">
        <v>170</v>
      </c>
      <c r="J100" s="151">
        <v>8.7999999999999998E-5</v>
      </c>
      <c r="K100" s="133" t="s">
        <v>112</v>
      </c>
      <c r="L100" s="132" t="str">
        <f>+$L$90</f>
        <v>Sheet No. 141COL</v>
      </c>
      <c r="N100" s="151">
        <v>4.3119999999999999E-3</v>
      </c>
      <c r="O100" s="151">
        <v>2.5279999999999999E-3</v>
      </c>
      <c r="P100" s="133"/>
      <c r="Q100" s="133" t="s">
        <v>112</v>
      </c>
      <c r="R100" s="132" t="str">
        <f>+$R$76</f>
        <v>Sheet No. 141N</v>
      </c>
      <c r="T100" s="151">
        <v>2.1670000000000001E-3</v>
      </c>
      <c r="U100" s="151">
        <v>4.6100000000000004E-3</v>
      </c>
      <c r="V100" s="133"/>
      <c r="W100" s="133" t="s">
        <v>112</v>
      </c>
      <c r="X100" s="132" t="str">
        <f>+$X$11</f>
        <v>Sheet No. 141R</v>
      </c>
      <c r="Z100" s="151">
        <v>1.5989999999999999E-3</v>
      </c>
      <c r="AA100" s="133" t="s">
        <v>112</v>
      </c>
      <c r="AB100" s="132" t="s">
        <v>116</v>
      </c>
      <c r="AC100" s="134"/>
    </row>
    <row r="101" spans="1:29" x14ac:dyDescent="0.2">
      <c r="A101" s="128">
        <f t="shared" si="6"/>
        <v>95</v>
      </c>
      <c r="B101" s="128">
        <f t="shared" si="10"/>
        <v>43</v>
      </c>
      <c r="C101" s="135"/>
      <c r="D101" s="152"/>
      <c r="E101" s="152"/>
      <c r="J101" s="151"/>
      <c r="K101" s="133"/>
      <c r="L101" s="127"/>
      <c r="N101" s="151"/>
      <c r="O101" s="151"/>
      <c r="P101" s="133"/>
      <c r="Q101" s="133"/>
      <c r="R101" s="127"/>
      <c r="T101" s="151"/>
      <c r="U101" s="151"/>
      <c r="V101" s="133"/>
      <c r="W101" s="133"/>
      <c r="X101" s="127"/>
      <c r="Z101" s="151"/>
      <c r="AA101" s="133"/>
      <c r="AB101" s="127"/>
      <c r="AC101" s="134"/>
    </row>
    <row r="102" spans="1:29" x14ac:dyDescent="0.2">
      <c r="A102" s="128">
        <f t="shared" si="6"/>
        <v>96</v>
      </c>
      <c r="B102" s="128">
        <f t="shared" si="10"/>
        <v>43</v>
      </c>
      <c r="C102" s="130" t="s">
        <v>171</v>
      </c>
      <c r="D102" s="150">
        <v>5.01</v>
      </c>
      <c r="E102" s="150">
        <v>5.01</v>
      </c>
      <c r="F102" s="131">
        <f>+E102-D102</f>
        <v>0</v>
      </c>
      <c r="G102" s="125" t="s">
        <v>169</v>
      </c>
      <c r="H102" s="127" t="s">
        <v>170</v>
      </c>
      <c r="J102" s="150">
        <v>7.0000000000000007E-2</v>
      </c>
      <c r="K102" s="133" t="s">
        <v>133</v>
      </c>
      <c r="L102" s="132" t="str">
        <f>+$L$11</f>
        <v>Sheet No. 141COL</v>
      </c>
      <c r="N102" s="150">
        <v>0.38</v>
      </c>
      <c r="O102" s="150">
        <v>0.22</v>
      </c>
      <c r="P102" s="133"/>
      <c r="Q102" s="133" t="s">
        <v>133</v>
      </c>
      <c r="R102" s="132" t="str">
        <f>+$R$11</f>
        <v>Sheet No. 141N</v>
      </c>
      <c r="T102" s="150">
        <v>0.19</v>
      </c>
      <c r="U102" s="150">
        <v>0.4</v>
      </c>
      <c r="V102" s="133"/>
      <c r="W102" s="133" t="s">
        <v>133</v>
      </c>
      <c r="X102" s="132" t="str">
        <f>+$X$11</f>
        <v>Sheet No. 141R</v>
      </c>
      <c r="Z102" s="150">
        <v>0</v>
      </c>
      <c r="AA102" s="133"/>
      <c r="AB102" s="127"/>
      <c r="AC102" s="134"/>
    </row>
    <row r="103" spans="1:29" x14ac:dyDescent="0.2">
      <c r="A103" s="128">
        <f t="shared" si="6"/>
        <v>97</v>
      </c>
      <c r="B103" s="128">
        <f t="shared" si="10"/>
        <v>43</v>
      </c>
      <c r="C103" s="130"/>
      <c r="D103" s="150"/>
      <c r="E103" s="150"/>
      <c r="F103" s="131"/>
      <c r="J103" s="152"/>
      <c r="K103" s="133"/>
      <c r="L103" s="127"/>
      <c r="N103" s="152"/>
      <c r="O103" s="152"/>
      <c r="P103" s="133"/>
      <c r="Q103" s="133"/>
      <c r="R103" s="127"/>
      <c r="T103" s="152"/>
      <c r="U103" s="152"/>
      <c r="V103" s="133"/>
      <c r="W103" s="133"/>
      <c r="X103" s="127"/>
      <c r="Z103" s="152"/>
      <c r="AA103" s="133"/>
      <c r="AB103" s="127"/>
      <c r="AC103" s="134"/>
    </row>
    <row r="104" spans="1:29" x14ac:dyDescent="0.2">
      <c r="A104" s="128">
        <f t="shared" si="6"/>
        <v>98</v>
      </c>
      <c r="B104" s="128">
        <f t="shared" si="10"/>
        <v>43</v>
      </c>
      <c r="C104" s="130" t="s">
        <v>172</v>
      </c>
      <c r="D104" s="150">
        <v>6.93</v>
      </c>
      <c r="E104" s="150">
        <v>6.93</v>
      </c>
      <c r="F104" s="131">
        <f>+E104-D104</f>
        <v>0</v>
      </c>
      <c r="G104" s="125" t="s">
        <v>169</v>
      </c>
      <c r="H104" s="127" t="s">
        <v>170</v>
      </c>
      <c r="J104" s="152"/>
      <c r="K104" s="133"/>
      <c r="L104" s="127"/>
      <c r="N104" s="152"/>
      <c r="O104" s="152"/>
      <c r="P104" s="133"/>
      <c r="Q104" s="133"/>
      <c r="R104" s="127"/>
      <c r="T104" s="152"/>
      <c r="U104" s="152"/>
      <c r="V104" s="133"/>
      <c r="W104" s="133"/>
      <c r="X104" s="127"/>
      <c r="Z104" s="152"/>
      <c r="AA104" s="133"/>
      <c r="AB104" s="127"/>
      <c r="AC104" s="134"/>
    </row>
    <row r="105" spans="1:29" x14ac:dyDescent="0.2">
      <c r="A105" s="128">
        <f t="shared" si="6"/>
        <v>99</v>
      </c>
      <c r="B105" s="128">
        <f t="shared" si="10"/>
        <v>43</v>
      </c>
      <c r="D105" s="150"/>
      <c r="E105" s="150"/>
      <c r="F105" s="131"/>
      <c r="J105" s="152"/>
      <c r="K105" s="133"/>
      <c r="L105" s="127"/>
      <c r="N105" s="152"/>
      <c r="O105" s="152"/>
      <c r="P105" s="133"/>
      <c r="Q105" s="133"/>
      <c r="R105" s="127"/>
      <c r="T105" s="152"/>
      <c r="U105" s="152"/>
      <c r="V105" s="133"/>
      <c r="W105" s="133"/>
      <c r="X105" s="127"/>
      <c r="Z105" s="152"/>
      <c r="AA105" s="133"/>
      <c r="AB105" s="127"/>
      <c r="AC105" s="134"/>
    </row>
    <row r="106" spans="1:29" x14ac:dyDescent="0.2">
      <c r="A106" s="128">
        <f t="shared" si="6"/>
        <v>100</v>
      </c>
      <c r="B106" s="128">
        <f t="shared" si="10"/>
        <v>43</v>
      </c>
      <c r="C106" s="130" t="s">
        <v>135</v>
      </c>
      <c r="D106" s="153">
        <v>3.1700000000000001E-3</v>
      </c>
      <c r="E106" s="153">
        <v>3.1700000000000001E-3</v>
      </c>
      <c r="F106" s="136">
        <f>+E106-D106</f>
        <v>0</v>
      </c>
      <c r="G106" s="125" t="s">
        <v>169</v>
      </c>
      <c r="H106" s="127" t="s">
        <v>170</v>
      </c>
      <c r="J106" s="152"/>
      <c r="K106" s="133"/>
      <c r="L106" s="127"/>
      <c r="N106" s="152"/>
      <c r="O106" s="152"/>
      <c r="P106" s="133"/>
      <c r="Q106" s="133"/>
      <c r="R106" s="127"/>
      <c r="T106" s="152"/>
      <c r="U106" s="152"/>
      <c r="V106" s="133"/>
      <c r="W106" s="133"/>
      <c r="X106" s="127"/>
      <c r="Z106" s="152"/>
      <c r="AA106" s="133"/>
      <c r="AB106" s="127"/>
      <c r="AC106" s="134"/>
    </row>
    <row r="107" spans="1:29" x14ac:dyDescent="0.2">
      <c r="A107" s="128">
        <f t="shared" si="6"/>
        <v>101</v>
      </c>
      <c r="D107" s="152"/>
      <c r="E107" s="152"/>
      <c r="J107" s="152"/>
      <c r="K107" s="133"/>
      <c r="L107" s="127"/>
      <c r="N107" s="152"/>
      <c r="O107" s="152"/>
      <c r="P107" s="133"/>
      <c r="Q107" s="133"/>
      <c r="R107" s="127"/>
      <c r="T107" s="152"/>
      <c r="U107" s="152"/>
      <c r="V107" s="133"/>
      <c r="W107" s="133"/>
      <c r="X107" s="127"/>
      <c r="Z107" s="152"/>
      <c r="AA107" s="133"/>
      <c r="AB107" s="127"/>
      <c r="AC107" s="134"/>
    </row>
    <row r="108" spans="1:29" x14ac:dyDescent="0.2">
      <c r="A108" s="128">
        <f t="shared" si="6"/>
        <v>102</v>
      </c>
      <c r="B108" s="140"/>
      <c r="C108" s="140"/>
      <c r="D108" s="155"/>
      <c r="E108" s="155"/>
      <c r="F108" s="140"/>
      <c r="J108" s="152"/>
      <c r="K108" s="133"/>
      <c r="L108" s="127"/>
      <c r="N108" s="152"/>
      <c r="O108" s="152"/>
      <c r="P108" s="133"/>
      <c r="Q108" s="133"/>
      <c r="R108" s="127"/>
      <c r="T108" s="152"/>
      <c r="U108" s="152"/>
      <c r="V108" s="133"/>
      <c r="W108" s="133"/>
      <c r="X108" s="127"/>
      <c r="Z108" s="152"/>
      <c r="AA108" s="133"/>
      <c r="AB108" s="127"/>
      <c r="AC108" s="134"/>
    </row>
    <row r="109" spans="1:29" x14ac:dyDescent="0.2">
      <c r="A109" s="128">
        <f t="shared" si="6"/>
        <v>103</v>
      </c>
      <c r="B109" s="141" t="s">
        <v>173</v>
      </c>
      <c r="C109" s="142" t="s">
        <v>9</v>
      </c>
      <c r="D109" s="156">
        <v>236</v>
      </c>
      <c r="E109" s="150">
        <v>307</v>
      </c>
      <c r="F109" s="131">
        <f>+E109-D109</f>
        <v>71</v>
      </c>
      <c r="G109" s="132" t="s">
        <v>109</v>
      </c>
      <c r="H109" s="132" t="s">
        <v>109</v>
      </c>
      <c r="J109" s="152"/>
      <c r="L109" s="127"/>
      <c r="N109" s="152"/>
      <c r="O109" s="152"/>
      <c r="R109" s="127"/>
      <c r="S109" s="131"/>
      <c r="T109" s="152"/>
      <c r="U109" s="152"/>
      <c r="X109" s="127"/>
      <c r="Z109" s="152"/>
      <c r="AB109" s="127"/>
      <c r="AC109" s="134"/>
    </row>
    <row r="110" spans="1:29" x14ac:dyDescent="0.2">
      <c r="A110" s="128">
        <f t="shared" si="6"/>
        <v>104</v>
      </c>
      <c r="B110" s="141" t="str">
        <f t="shared" ref="B110:B122" si="11">+B109</f>
        <v>Special Contract</v>
      </c>
      <c r="C110" s="142" t="s">
        <v>32</v>
      </c>
      <c r="D110" s="152"/>
      <c r="E110" s="157"/>
      <c r="F110" s="143"/>
      <c r="J110" s="151">
        <v>0</v>
      </c>
      <c r="K110" s="133" t="s">
        <v>112</v>
      </c>
      <c r="L110" s="132" t="str">
        <f>+$L$90</f>
        <v>Sheet No. 141COL</v>
      </c>
      <c r="N110" s="151">
        <v>1.8029999999999999E-3</v>
      </c>
      <c r="O110" s="151">
        <v>1.0709999999999999E-3</v>
      </c>
      <c r="P110" s="133"/>
      <c r="Q110" s="133" t="s">
        <v>112</v>
      </c>
      <c r="R110" s="132" t="s">
        <v>174</v>
      </c>
      <c r="T110" s="151">
        <v>9.0600000000000001E-4</v>
      </c>
      <c r="U110" s="151">
        <v>1.9530000000000001E-3</v>
      </c>
      <c r="V110" s="133"/>
      <c r="W110" s="133" t="s">
        <v>112</v>
      </c>
      <c r="X110" s="132" t="str">
        <f>+$X$11</f>
        <v>Sheet No. 141R</v>
      </c>
      <c r="Z110" s="151" t="s">
        <v>352</v>
      </c>
      <c r="AA110" s="133" t="s">
        <v>112</v>
      </c>
      <c r="AB110" s="132" t="s">
        <v>116</v>
      </c>
      <c r="AC110" s="134"/>
    </row>
    <row r="111" spans="1:29" x14ac:dyDescent="0.2">
      <c r="A111" s="128">
        <f t="shared" si="6"/>
        <v>105</v>
      </c>
      <c r="B111" s="141" t="str">
        <f t="shared" si="11"/>
        <v>Special Contract</v>
      </c>
      <c r="C111" s="142" t="s">
        <v>175</v>
      </c>
      <c r="D111" s="158">
        <v>6.9099999999999995E-2</v>
      </c>
      <c r="E111" s="158">
        <v>7.6899999999999996E-2</v>
      </c>
      <c r="F111" s="144">
        <f>+E111-D111</f>
        <v>7.8000000000000014E-3</v>
      </c>
      <c r="G111" s="132" t="s">
        <v>109</v>
      </c>
      <c r="H111" s="132" t="s">
        <v>109</v>
      </c>
      <c r="J111" s="152"/>
      <c r="L111" s="127"/>
      <c r="N111" s="152"/>
      <c r="O111" s="152"/>
      <c r="R111" s="127"/>
      <c r="T111" s="152"/>
      <c r="U111" s="152"/>
      <c r="X111" s="127"/>
      <c r="Z111" s="152"/>
      <c r="AB111" s="127"/>
      <c r="AC111" s="134"/>
    </row>
    <row r="112" spans="1:29" x14ac:dyDescent="0.2">
      <c r="A112" s="128">
        <f t="shared" si="6"/>
        <v>106</v>
      </c>
      <c r="B112" s="141" t="str">
        <f t="shared" si="11"/>
        <v>Special Contract</v>
      </c>
      <c r="C112" s="145" t="s">
        <v>176</v>
      </c>
      <c r="D112" s="159">
        <v>0.46</v>
      </c>
      <c r="E112" s="159">
        <v>0.55000000000000004</v>
      </c>
      <c r="F112" s="146">
        <f>+E112-D112</f>
        <v>9.0000000000000024E-2</v>
      </c>
      <c r="G112" s="132" t="s">
        <v>109</v>
      </c>
      <c r="H112" s="132" t="s">
        <v>109</v>
      </c>
      <c r="J112" s="152"/>
      <c r="L112" s="127"/>
      <c r="N112" s="152"/>
      <c r="O112" s="152"/>
      <c r="R112" s="127"/>
      <c r="T112" s="152"/>
      <c r="U112" s="152"/>
      <c r="X112" s="127"/>
      <c r="Z112" s="152"/>
      <c r="AB112" s="127"/>
      <c r="AC112" s="134"/>
    </row>
    <row r="113" spans="1:29" x14ac:dyDescent="0.2">
      <c r="A113" s="128">
        <f t="shared" si="6"/>
        <v>107</v>
      </c>
      <c r="B113" s="141" t="str">
        <f t="shared" si="11"/>
        <v>Special Contract</v>
      </c>
      <c r="C113" s="142" t="s">
        <v>177</v>
      </c>
      <c r="D113" s="157">
        <v>3.1786000000000002E-2</v>
      </c>
      <c r="E113" s="157">
        <v>4.2294999999999999E-2</v>
      </c>
      <c r="F113" s="143">
        <f>+E113-D113</f>
        <v>1.0508999999999998E-2</v>
      </c>
      <c r="G113" s="132" t="s">
        <v>109</v>
      </c>
      <c r="H113" s="132" t="s">
        <v>109</v>
      </c>
      <c r="J113" s="152"/>
      <c r="L113" s="127"/>
      <c r="N113" s="152"/>
      <c r="O113" s="152"/>
      <c r="R113" s="127"/>
      <c r="T113" s="152"/>
      <c r="U113" s="152"/>
      <c r="X113" s="127"/>
      <c r="Z113" s="152"/>
      <c r="AB113" s="127"/>
      <c r="AC113" s="134"/>
    </row>
    <row r="114" spans="1:29" x14ac:dyDescent="0.2">
      <c r="A114" s="128">
        <f t="shared" si="6"/>
        <v>108</v>
      </c>
      <c r="B114" s="141" t="str">
        <f t="shared" si="11"/>
        <v>Special Contract</v>
      </c>
      <c r="C114" s="145" t="s">
        <v>178</v>
      </c>
      <c r="D114" s="158">
        <v>0.18290000000000001</v>
      </c>
      <c r="E114" s="158">
        <v>0.08</v>
      </c>
      <c r="F114" s="144">
        <f>+E114-D114</f>
        <v>-0.10290000000000001</v>
      </c>
      <c r="G114" s="132" t="s">
        <v>109</v>
      </c>
      <c r="H114" s="132" t="s">
        <v>109</v>
      </c>
      <c r="J114" s="152"/>
      <c r="L114" s="127"/>
      <c r="N114" s="152"/>
      <c r="O114" s="152"/>
      <c r="R114" s="127"/>
      <c r="T114" s="152"/>
      <c r="U114" s="152"/>
      <c r="X114" s="127"/>
      <c r="Z114" s="152"/>
      <c r="AB114" s="127"/>
      <c r="AC114" s="134"/>
    </row>
    <row r="115" spans="1:29" x14ac:dyDescent="0.2">
      <c r="A115" s="128">
        <f t="shared" si="6"/>
        <v>109</v>
      </c>
      <c r="B115" s="141" t="str">
        <f t="shared" si="11"/>
        <v>Special Contract</v>
      </c>
      <c r="C115" s="145" t="s">
        <v>179</v>
      </c>
      <c r="D115" s="158">
        <v>4.2200000000000001E-2</v>
      </c>
      <c r="E115" s="158">
        <v>1.66E-2</v>
      </c>
      <c r="F115" s="144">
        <f>+E115-D115</f>
        <v>-2.5600000000000001E-2</v>
      </c>
      <c r="G115" s="132" t="s">
        <v>109</v>
      </c>
      <c r="H115" s="132" t="s">
        <v>109</v>
      </c>
      <c r="J115" s="152"/>
      <c r="L115" s="127"/>
      <c r="N115" s="152"/>
      <c r="O115" s="152"/>
      <c r="R115" s="127"/>
      <c r="T115" s="152"/>
      <c r="U115" s="152"/>
      <c r="X115" s="127"/>
      <c r="Z115" s="152"/>
      <c r="AB115" s="127"/>
      <c r="AC115" s="134"/>
    </row>
    <row r="116" spans="1:29" x14ac:dyDescent="0.2">
      <c r="A116" s="128">
        <f t="shared" si="6"/>
        <v>110</v>
      </c>
      <c r="B116" s="141" t="str">
        <f t="shared" si="11"/>
        <v>Special Contract</v>
      </c>
      <c r="C116" s="142"/>
      <c r="D116" s="158"/>
      <c r="E116" s="157"/>
      <c r="F116" s="143"/>
      <c r="J116" s="152"/>
      <c r="L116" s="127"/>
      <c r="N116" s="152"/>
      <c r="O116" s="152"/>
      <c r="R116" s="127"/>
      <c r="T116" s="152"/>
      <c r="U116" s="152"/>
      <c r="X116" s="127"/>
      <c r="Z116" s="152"/>
      <c r="AB116" s="127"/>
      <c r="AC116" s="134"/>
    </row>
    <row r="117" spans="1:29" x14ac:dyDescent="0.2">
      <c r="A117" s="128">
        <f t="shared" si="6"/>
        <v>111</v>
      </c>
      <c r="B117" s="141" t="str">
        <f t="shared" si="11"/>
        <v>Special Contract</v>
      </c>
      <c r="C117" s="145" t="s">
        <v>180</v>
      </c>
      <c r="D117" s="157">
        <v>8.9180203175745251E-2</v>
      </c>
      <c r="E117" s="157">
        <v>8.6976839394570127E-2</v>
      </c>
      <c r="F117" s="143">
        <f>+E117-D117</f>
        <v>-2.2033637811751244E-3</v>
      </c>
      <c r="G117" s="132" t="s">
        <v>109</v>
      </c>
      <c r="H117" s="132" t="s">
        <v>109</v>
      </c>
      <c r="J117" s="152"/>
      <c r="L117" s="127"/>
      <c r="N117" s="152"/>
      <c r="O117" s="152"/>
      <c r="R117" s="127"/>
      <c r="T117" s="152"/>
      <c r="U117" s="152"/>
      <c r="X117" s="127"/>
      <c r="Z117" s="152"/>
      <c r="AB117" s="127"/>
      <c r="AC117" s="134"/>
    </row>
    <row r="118" spans="1:29" x14ac:dyDescent="0.2">
      <c r="A118" s="128">
        <f t="shared" si="6"/>
        <v>112</v>
      </c>
      <c r="B118" s="141" t="str">
        <f t="shared" si="11"/>
        <v>Special Contract</v>
      </c>
      <c r="C118" s="142"/>
      <c r="D118" s="158"/>
      <c r="E118" s="157"/>
      <c r="F118" s="143"/>
      <c r="J118" s="152"/>
      <c r="L118" s="127"/>
      <c r="N118" s="152"/>
      <c r="O118" s="152"/>
      <c r="R118" s="127"/>
      <c r="T118" s="152"/>
      <c r="U118" s="152"/>
      <c r="X118" s="127"/>
      <c r="Z118" s="152"/>
      <c r="AB118" s="127"/>
      <c r="AC118" s="134"/>
    </row>
    <row r="119" spans="1:29" x14ac:dyDescent="0.2">
      <c r="A119" s="128">
        <f t="shared" si="6"/>
        <v>113</v>
      </c>
      <c r="B119" s="141" t="str">
        <f t="shared" si="11"/>
        <v>Special Contract</v>
      </c>
      <c r="C119" s="142" t="s">
        <v>181</v>
      </c>
      <c r="D119" s="158"/>
      <c r="E119" s="157"/>
      <c r="F119" s="143"/>
      <c r="J119" s="152"/>
      <c r="L119" s="127"/>
      <c r="N119" s="152"/>
      <c r="O119" s="152"/>
      <c r="R119" s="127"/>
      <c r="T119" s="152"/>
      <c r="U119" s="152"/>
      <c r="X119" s="127"/>
      <c r="Z119" s="152"/>
      <c r="AB119" s="127"/>
      <c r="AC119" s="134"/>
    </row>
    <row r="120" spans="1:29" x14ac:dyDescent="0.2">
      <c r="A120" s="128">
        <f t="shared" si="6"/>
        <v>114</v>
      </c>
      <c r="B120" s="141" t="str">
        <f t="shared" si="11"/>
        <v>Special Contract</v>
      </c>
      <c r="C120" s="147" t="s">
        <v>182</v>
      </c>
      <c r="D120" s="151">
        <v>1.3393E-2</v>
      </c>
      <c r="E120" s="151">
        <v>2.0899867673275771E-2</v>
      </c>
      <c r="F120" s="133">
        <f>+E120-D120</f>
        <v>7.5068676732757706E-3</v>
      </c>
      <c r="G120" s="132" t="s">
        <v>109</v>
      </c>
      <c r="H120" s="132" t="s">
        <v>109</v>
      </c>
      <c r="J120" s="152"/>
      <c r="L120" s="127"/>
      <c r="N120" s="152"/>
      <c r="O120" s="152"/>
      <c r="R120" s="127"/>
      <c r="T120" s="152"/>
      <c r="U120" s="152"/>
      <c r="X120" s="127"/>
      <c r="Z120" s="152"/>
      <c r="AB120" s="127"/>
      <c r="AC120" s="134"/>
    </row>
    <row r="121" spans="1:29" x14ac:dyDescent="0.2">
      <c r="A121" s="128">
        <f t="shared" si="6"/>
        <v>115</v>
      </c>
      <c r="B121" s="141" t="str">
        <f t="shared" si="11"/>
        <v>Special Contract</v>
      </c>
      <c r="C121" s="147" t="s">
        <v>183</v>
      </c>
      <c r="D121" s="151">
        <v>9.9410000000000002E-3</v>
      </c>
      <c r="E121" s="151">
        <v>1.881489888613579E-2</v>
      </c>
      <c r="F121" s="133">
        <f>+E121-D121</f>
        <v>8.8738988861357896E-3</v>
      </c>
      <c r="G121" s="132" t="s">
        <v>109</v>
      </c>
      <c r="H121" s="132" t="s">
        <v>109</v>
      </c>
      <c r="J121" s="152"/>
      <c r="L121" s="127"/>
      <c r="N121" s="152"/>
      <c r="O121" s="152"/>
      <c r="R121" s="127"/>
      <c r="T121" s="152"/>
      <c r="U121" s="152"/>
      <c r="X121" s="127"/>
      <c r="Z121" s="152"/>
      <c r="AB121" s="127"/>
      <c r="AC121" s="134"/>
    </row>
    <row r="122" spans="1:29" x14ac:dyDescent="0.2">
      <c r="A122" s="128">
        <f t="shared" si="6"/>
        <v>116</v>
      </c>
      <c r="B122" s="141" t="str">
        <f t="shared" si="11"/>
        <v>Special Contract</v>
      </c>
      <c r="C122" s="147" t="s">
        <v>184</v>
      </c>
      <c r="D122" s="151">
        <v>1.4907E-2</v>
      </c>
      <c r="E122" s="151">
        <v>2.2430385926815701E-2</v>
      </c>
      <c r="F122" s="133">
        <f>+E122-D122</f>
        <v>7.5233859268157011E-3</v>
      </c>
      <c r="G122" s="132" t="s">
        <v>109</v>
      </c>
      <c r="H122" s="132" t="s">
        <v>109</v>
      </c>
      <c r="J122" s="152"/>
      <c r="L122" s="127"/>
      <c r="N122" s="152"/>
      <c r="O122" s="152"/>
      <c r="R122" s="127"/>
      <c r="T122" s="152"/>
      <c r="U122" s="152"/>
      <c r="X122" s="127"/>
      <c r="Z122" s="152"/>
      <c r="AB122" s="127"/>
      <c r="AC122" s="134"/>
    </row>
    <row r="123" spans="1:29" x14ac:dyDescent="0.2">
      <c r="A123" s="128">
        <f t="shared" si="6"/>
        <v>117</v>
      </c>
      <c r="D123" s="152"/>
      <c r="E123" s="152"/>
      <c r="J123" s="152"/>
      <c r="L123" s="127"/>
      <c r="N123" s="152"/>
      <c r="O123" s="152"/>
      <c r="R123" s="127"/>
      <c r="T123" s="152"/>
      <c r="U123" s="152"/>
      <c r="X123" s="127"/>
      <c r="Z123" s="152"/>
      <c r="AB123" s="127"/>
      <c r="AC123" s="134"/>
    </row>
    <row r="124" spans="1:29" x14ac:dyDescent="0.2">
      <c r="A124" s="128">
        <f t="shared" si="6"/>
        <v>118</v>
      </c>
      <c r="B124" s="128">
        <v>46</v>
      </c>
      <c r="C124" s="132" t="s">
        <v>185</v>
      </c>
      <c r="D124" s="152"/>
      <c r="E124" s="152"/>
      <c r="J124" s="152"/>
      <c r="L124" s="127"/>
      <c r="N124" s="152"/>
      <c r="O124" s="152"/>
      <c r="R124" s="127"/>
      <c r="T124" s="152"/>
      <c r="U124" s="152"/>
      <c r="X124" s="127"/>
      <c r="Z124" s="152"/>
      <c r="AB124" s="127"/>
      <c r="AC124" s="134"/>
    </row>
    <row r="125" spans="1:29" x14ac:dyDescent="0.2">
      <c r="A125" s="128">
        <f t="shared" si="6"/>
        <v>119</v>
      </c>
      <c r="B125" s="128">
        <f t="shared" ref="B125:B130" si="12">+$B$124</f>
        <v>46</v>
      </c>
      <c r="C125" s="130" t="s">
        <v>162</v>
      </c>
      <c r="D125" s="151">
        <v>5.2347999999999999E-2</v>
      </c>
      <c r="E125" s="151">
        <v>5.0422000000000002E-2</v>
      </c>
      <c r="F125" s="133">
        <f>+E125-D125</f>
        <v>-1.9259999999999972E-3</v>
      </c>
      <c r="G125" s="125" t="s">
        <v>186</v>
      </c>
      <c r="H125" s="127">
        <v>46</v>
      </c>
      <c r="J125" s="151">
        <v>1.02E-4</v>
      </c>
      <c r="K125" s="133" t="s">
        <v>112</v>
      </c>
      <c r="L125" s="132" t="str">
        <f>+$L$90</f>
        <v>Sheet No. 141COL</v>
      </c>
      <c r="N125" s="151">
        <v>2.9840000000000001E-3</v>
      </c>
      <c r="O125" s="151">
        <v>1.789E-3</v>
      </c>
      <c r="P125" s="133"/>
      <c r="Q125" s="133" t="s">
        <v>112</v>
      </c>
      <c r="R125" s="132" t="str">
        <f>+$R$76</f>
        <v>Sheet No. 141N</v>
      </c>
      <c r="T125" s="151">
        <v>1.5E-3</v>
      </c>
      <c r="U125" s="151">
        <v>3.2620000000000001E-3</v>
      </c>
      <c r="V125" s="133"/>
      <c r="W125" s="133" t="s">
        <v>112</v>
      </c>
      <c r="X125" s="132" t="str">
        <f>+$X$11</f>
        <v>Sheet No. 141R</v>
      </c>
      <c r="Z125" s="151">
        <v>1.7340000000000001E-3</v>
      </c>
      <c r="AA125" s="133" t="s">
        <v>112</v>
      </c>
      <c r="AB125" s="132" t="s">
        <v>116</v>
      </c>
      <c r="AC125" s="134"/>
    </row>
    <row r="126" spans="1:29" x14ac:dyDescent="0.2">
      <c r="A126" s="128">
        <f t="shared" si="6"/>
        <v>120</v>
      </c>
      <c r="B126" s="128">
        <f t="shared" si="12"/>
        <v>46</v>
      </c>
      <c r="C126" s="135"/>
      <c r="D126" s="152"/>
      <c r="E126" s="152"/>
      <c r="J126" s="152"/>
      <c r="K126" s="133"/>
      <c r="L126" s="127"/>
      <c r="N126" s="152"/>
      <c r="O126" s="152"/>
      <c r="P126" s="133"/>
      <c r="Q126" s="133"/>
      <c r="R126" s="127"/>
      <c r="T126" s="152"/>
      <c r="U126" s="152"/>
      <c r="V126" s="133"/>
      <c r="W126" s="133"/>
      <c r="X126" s="127"/>
      <c r="Z126" s="152"/>
      <c r="AA126" s="133"/>
      <c r="AB126" s="127"/>
      <c r="AC126" s="134"/>
    </row>
    <row r="127" spans="1:29" x14ac:dyDescent="0.2">
      <c r="A127" s="128">
        <f t="shared" si="6"/>
        <v>121</v>
      </c>
      <c r="B127" s="128">
        <f t="shared" si="12"/>
        <v>46</v>
      </c>
      <c r="C127" s="130" t="s">
        <v>187</v>
      </c>
      <c r="D127" s="150">
        <v>3.04</v>
      </c>
      <c r="E127" s="150">
        <v>3.04</v>
      </c>
      <c r="F127" s="131">
        <f>+E127-D127</f>
        <v>0</v>
      </c>
      <c r="G127" s="125" t="s">
        <v>186</v>
      </c>
      <c r="H127" s="127">
        <v>46</v>
      </c>
      <c r="J127" s="150">
        <v>0.1</v>
      </c>
      <c r="K127" s="133" t="s">
        <v>188</v>
      </c>
      <c r="L127" s="132" t="str">
        <f>+$L$11</f>
        <v>Sheet No. 141COL</v>
      </c>
      <c r="N127" s="150">
        <v>0.18</v>
      </c>
      <c r="O127" s="150">
        <v>0.11</v>
      </c>
      <c r="P127" s="133"/>
      <c r="Q127" s="133" t="s">
        <v>188</v>
      </c>
      <c r="R127" s="132" t="str">
        <f>+$R$11</f>
        <v>Sheet No. 141N</v>
      </c>
      <c r="T127" s="150">
        <v>0.09</v>
      </c>
      <c r="U127" s="150">
        <v>0.2</v>
      </c>
      <c r="V127" s="133"/>
      <c r="W127" s="133" t="s">
        <v>188</v>
      </c>
      <c r="X127" s="132" t="str">
        <f>+$X$11</f>
        <v>Sheet No. 141R</v>
      </c>
      <c r="Z127" s="150">
        <v>0</v>
      </c>
      <c r="AA127" s="133"/>
      <c r="AB127" s="127"/>
      <c r="AC127" s="134"/>
    </row>
    <row r="128" spans="1:29" x14ac:dyDescent="0.2">
      <c r="A128" s="128">
        <f t="shared" si="6"/>
        <v>122</v>
      </c>
      <c r="B128" s="128">
        <f t="shared" si="12"/>
        <v>46</v>
      </c>
      <c r="C128" s="130"/>
      <c r="D128" s="150"/>
      <c r="E128" s="150"/>
      <c r="F128" s="131"/>
      <c r="J128" s="152"/>
      <c r="K128" s="133"/>
      <c r="L128" s="127"/>
      <c r="N128" s="152"/>
      <c r="O128" s="152"/>
      <c r="P128" s="133"/>
      <c r="Q128" s="133"/>
      <c r="R128" s="127"/>
      <c r="T128" s="152"/>
      <c r="U128" s="152"/>
      <c r="V128" s="133"/>
      <c r="W128" s="133"/>
      <c r="X128" s="127"/>
      <c r="Z128" s="152"/>
      <c r="AA128" s="133"/>
      <c r="AB128" s="127"/>
      <c r="AC128" s="134"/>
    </row>
    <row r="129" spans="1:29" x14ac:dyDescent="0.2">
      <c r="A129" s="128">
        <f t="shared" si="6"/>
        <v>123</v>
      </c>
      <c r="B129" s="128">
        <f t="shared" si="12"/>
        <v>46</v>
      </c>
      <c r="C129" s="139" t="s">
        <v>189</v>
      </c>
      <c r="D129" s="150">
        <v>36.479999999999997</v>
      </c>
      <c r="E129" s="150">
        <v>36.479999999999997</v>
      </c>
      <c r="F129" s="131">
        <f>+E129-D129</f>
        <v>0</v>
      </c>
      <c r="G129" s="125" t="s">
        <v>186</v>
      </c>
      <c r="H129" s="127" t="s">
        <v>190</v>
      </c>
      <c r="J129" s="152"/>
      <c r="K129" s="133"/>
      <c r="L129" s="127"/>
      <c r="N129" s="152"/>
      <c r="O129" s="152"/>
      <c r="P129" s="133"/>
      <c r="Q129" s="133"/>
      <c r="R129" s="127"/>
      <c r="T129" s="152"/>
      <c r="U129" s="152"/>
      <c r="V129" s="133"/>
      <c r="W129" s="133"/>
      <c r="X129" s="127"/>
      <c r="Z129" s="152"/>
      <c r="AA129" s="133"/>
      <c r="AB129" s="127"/>
      <c r="AC129" s="134"/>
    </row>
    <row r="130" spans="1:29" x14ac:dyDescent="0.2">
      <c r="A130" s="128">
        <f t="shared" si="6"/>
        <v>124</v>
      </c>
      <c r="B130" s="128">
        <f t="shared" si="12"/>
        <v>46</v>
      </c>
      <c r="C130" s="130" t="s">
        <v>191</v>
      </c>
      <c r="D130" s="151">
        <v>4.7113000000000002E-2</v>
      </c>
      <c r="E130" s="151">
        <v>4.5379999999999997E-2</v>
      </c>
      <c r="F130" s="133">
        <f>+E130-D130</f>
        <v>-1.7330000000000054E-3</v>
      </c>
      <c r="G130" s="125" t="s">
        <v>186</v>
      </c>
      <c r="H130" s="127" t="s">
        <v>190</v>
      </c>
      <c r="J130" s="152"/>
      <c r="K130" s="133"/>
      <c r="L130" s="127"/>
      <c r="N130" s="152"/>
      <c r="O130" s="152"/>
      <c r="P130" s="133"/>
      <c r="Q130" s="133"/>
      <c r="R130" s="127"/>
      <c r="T130" s="152"/>
      <c r="U130" s="152"/>
      <c r="V130" s="133"/>
      <c r="W130" s="133"/>
      <c r="X130" s="127"/>
      <c r="Z130" s="152"/>
      <c r="AA130" s="133"/>
      <c r="AB130" s="127"/>
      <c r="AC130" s="134"/>
    </row>
    <row r="131" spans="1:29" x14ac:dyDescent="0.2">
      <c r="A131" s="128">
        <f t="shared" si="6"/>
        <v>125</v>
      </c>
      <c r="D131" s="152"/>
      <c r="E131" s="152"/>
      <c r="J131" s="152"/>
      <c r="K131" s="133"/>
      <c r="L131" s="127"/>
      <c r="N131" s="152"/>
      <c r="O131" s="152"/>
      <c r="P131" s="133"/>
      <c r="Q131" s="133"/>
      <c r="R131" s="127"/>
      <c r="T131" s="152"/>
      <c r="U131" s="152"/>
      <c r="V131" s="133"/>
      <c r="W131" s="133"/>
      <c r="X131" s="127"/>
      <c r="Z131" s="152"/>
      <c r="AA131" s="133"/>
      <c r="AB131" s="127"/>
      <c r="AC131" s="134"/>
    </row>
    <row r="132" spans="1:29" x14ac:dyDescent="0.2">
      <c r="A132" s="128">
        <f t="shared" si="6"/>
        <v>126</v>
      </c>
      <c r="B132" s="128">
        <v>49</v>
      </c>
      <c r="C132" s="127" t="s">
        <v>192</v>
      </c>
      <c r="D132" s="152"/>
      <c r="E132" s="152"/>
      <c r="J132" s="152"/>
      <c r="L132" s="127"/>
      <c r="N132" s="152"/>
      <c r="O132" s="152"/>
      <c r="R132" s="127"/>
      <c r="T132" s="152"/>
      <c r="U132" s="152"/>
      <c r="X132" s="127"/>
      <c r="Z132" s="152"/>
      <c r="AB132" s="127"/>
      <c r="AC132" s="134"/>
    </row>
    <row r="133" spans="1:29" x14ac:dyDescent="0.2">
      <c r="A133" s="128">
        <f t="shared" si="6"/>
        <v>127</v>
      </c>
      <c r="B133" s="128">
        <f>+$B$132</f>
        <v>49</v>
      </c>
      <c r="C133" s="130" t="s">
        <v>162</v>
      </c>
      <c r="D133" s="151">
        <v>5.2347999999999999E-2</v>
      </c>
      <c r="E133" s="151">
        <v>5.0422000000000002E-2</v>
      </c>
      <c r="F133" s="133">
        <f>+E133-D133</f>
        <v>-1.9259999999999972E-3</v>
      </c>
      <c r="G133" s="125" t="s">
        <v>193</v>
      </c>
      <c r="H133" s="127">
        <v>49</v>
      </c>
      <c r="J133" s="151">
        <v>3.8400000000000001E-4</v>
      </c>
      <c r="K133" s="133" t="s">
        <v>112</v>
      </c>
      <c r="L133" s="132" t="str">
        <f>+$L$90</f>
        <v>Sheet No. 141COL</v>
      </c>
      <c r="N133" s="151">
        <v>2.9260000000000002E-3</v>
      </c>
      <c r="O133" s="151">
        <v>1.755E-3</v>
      </c>
      <c r="P133" s="133"/>
      <c r="Q133" s="133" t="s">
        <v>112</v>
      </c>
      <c r="R133" s="132" t="str">
        <f>+$R$76</f>
        <v>Sheet No. 141N</v>
      </c>
      <c r="T133" s="151">
        <v>1.4710000000000001E-3</v>
      </c>
      <c r="U133" s="151">
        <v>3.199E-3</v>
      </c>
      <c r="V133" s="133"/>
      <c r="W133" s="133" t="s">
        <v>112</v>
      </c>
      <c r="X133" s="132" t="str">
        <f>+$X$125</f>
        <v>Sheet No. 141R</v>
      </c>
      <c r="Z133" s="151">
        <v>1.7340000000000001E-3</v>
      </c>
      <c r="AA133" s="133" t="s">
        <v>112</v>
      </c>
      <c r="AB133" s="132" t="s">
        <v>116</v>
      </c>
      <c r="AC133" s="134"/>
    </row>
    <row r="134" spans="1:29" x14ac:dyDescent="0.2">
      <c r="A134" s="128">
        <f t="shared" si="6"/>
        <v>128</v>
      </c>
      <c r="B134" s="128">
        <f>+$B$132</f>
        <v>49</v>
      </c>
      <c r="C134" s="135"/>
      <c r="D134" s="152"/>
      <c r="E134" s="152"/>
      <c r="J134" s="152"/>
      <c r="N134" s="152"/>
      <c r="O134" s="152"/>
      <c r="P134" s="133"/>
      <c r="Q134" s="133"/>
      <c r="T134" s="152"/>
      <c r="U134" s="152"/>
      <c r="V134" s="133"/>
      <c r="W134" s="133"/>
      <c r="Z134" s="152"/>
      <c r="AC134" s="134"/>
    </row>
    <row r="135" spans="1:29" x14ac:dyDescent="0.2">
      <c r="A135" s="128">
        <f t="shared" si="6"/>
        <v>129</v>
      </c>
      <c r="B135" s="128">
        <f>+$B$132</f>
        <v>49</v>
      </c>
      <c r="C135" s="130" t="s">
        <v>194</v>
      </c>
      <c r="D135" s="150">
        <v>5.65</v>
      </c>
      <c r="E135" s="150">
        <v>5.65</v>
      </c>
      <c r="F135" s="131">
        <f>+E135-D135</f>
        <v>0</v>
      </c>
      <c r="G135" s="125" t="s">
        <v>193</v>
      </c>
      <c r="H135" s="127">
        <v>49</v>
      </c>
      <c r="J135" s="150">
        <v>0.62</v>
      </c>
      <c r="K135" s="133" t="s">
        <v>188</v>
      </c>
      <c r="L135" s="132" t="str">
        <f>+$L$11</f>
        <v>Sheet No. 141COL</v>
      </c>
      <c r="N135" s="150">
        <v>0.33</v>
      </c>
      <c r="O135" s="150">
        <v>0.2</v>
      </c>
      <c r="P135" s="133"/>
      <c r="Q135" s="133" t="s">
        <v>188</v>
      </c>
      <c r="R135" s="132" t="str">
        <f>+$R$11</f>
        <v>Sheet No. 141N</v>
      </c>
      <c r="T135" s="150">
        <v>0.16</v>
      </c>
      <c r="U135" s="150">
        <v>0.36</v>
      </c>
      <c r="V135" s="133"/>
      <c r="W135" s="133" t="s">
        <v>188</v>
      </c>
      <c r="X135" s="132" t="str">
        <f>+$X$11</f>
        <v>Sheet No. 141R</v>
      </c>
      <c r="Z135" s="150">
        <v>0</v>
      </c>
      <c r="AC135" s="134"/>
    </row>
    <row r="136" spans="1:29" x14ac:dyDescent="0.2">
      <c r="A136" s="128">
        <f t="shared" ref="A136:A141" si="13">+A135+1</f>
        <v>130</v>
      </c>
      <c r="D136" s="152"/>
      <c r="E136" s="152"/>
      <c r="J136" s="152"/>
      <c r="N136" s="152"/>
      <c r="O136" s="152"/>
      <c r="P136" s="133"/>
      <c r="Q136" s="133"/>
      <c r="T136" s="152"/>
      <c r="U136" s="152"/>
      <c r="V136" s="133"/>
      <c r="W136" s="133"/>
      <c r="Z136" s="152"/>
      <c r="AC136" s="134"/>
    </row>
    <row r="137" spans="1:29" x14ac:dyDescent="0.2">
      <c r="A137" s="128">
        <f t="shared" si="13"/>
        <v>131</v>
      </c>
      <c r="B137" s="128" t="s">
        <v>195</v>
      </c>
      <c r="C137" s="132" t="s">
        <v>196</v>
      </c>
      <c r="D137" s="152"/>
      <c r="E137" s="152"/>
      <c r="J137" s="152"/>
      <c r="N137" s="152"/>
      <c r="O137" s="152"/>
      <c r="P137" s="133"/>
      <c r="Q137" s="133"/>
      <c r="T137" s="152"/>
      <c r="U137" s="152"/>
      <c r="V137" s="133"/>
      <c r="W137" s="133"/>
      <c r="Z137" s="152"/>
      <c r="AC137" s="134"/>
    </row>
    <row r="138" spans="1:29" x14ac:dyDescent="0.2">
      <c r="A138" s="128">
        <f t="shared" si="13"/>
        <v>132</v>
      </c>
      <c r="B138" s="128" t="str">
        <f>+$B$137</f>
        <v>448 / 458</v>
      </c>
      <c r="C138" s="139" t="s">
        <v>197</v>
      </c>
      <c r="D138" s="150">
        <v>2277</v>
      </c>
      <c r="E138" s="150">
        <v>1791</v>
      </c>
      <c r="F138" s="131">
        <f>+E138-D138</f>
        <v>-486</v>
      </c>
      <c r="G138" s="132" t="s">
        <v>198</v>
      </c>
      <c r="H138" s="132" t="s">
        <v>199</v>
      </c>
      <c r="J138" s="152" t="s">
        <v>352</v>
      </c>
      <c r="N138" s="152">
        <v>484</v>
      </c>
      <c r="O138" s="152">
        <v>288</v>
      </c>
      <c r="P138" s="131"/>
      <c r="Q138" s="148" t="s">
        <v>200</v>
      </c>
      <c r="R138" s="132" t="str">
        <f>+$R$110</f>
        <v>Sheet No. 141N-B</v>
      </c>
      <c r="S138" s="131"/>
      <c r="T138" s="152">
        <v>243</v>
      </c>
      <c r="U138" s="152">
        <v>525</v>
      </c>
      <c r="V138" s="131"/>
      <c r="W138" s="133" t="s">
        <v>200</v>
      </c>
      <c r="X138" s="132" t="str">
        <f>+$X$110</f>
        <v>Sheet No. 141R</v>
      </c>
      <c r="Z138" s="152" t="s">
        <v>352</v>
      </c>
      <c r="AB138" s="132" t="s">
        <v>116</v>
      </c>
      <c r="AC138" s="134"/>
    </row>
    <row r="139" spans="1:29" x14ac:dyDescent="0.2">
      <c r="A139" s="128">
        <f t="shared" si="13"/>
        <v>133</v>
      </c>
      <c r="D139" s="150"/>
      <c r="E139" s="150"/>
      <c r="F139" s="131"/>
      <c r="J139" s="152"/>
      <c r="N139" s="152"/>
      <c r="O139" s="152"/>
      <c r="P139" s="131"/>
      <c r="Q139" s="133"/>
      <c r="T139" s="152"/>
      <c r="U139" s="152"/>
      <c r="V139" s="131"/>
      <c r="W139" s="133"/>
      <c r="Z139" s="152"/>
      <c r="AC139" s="134"/>
    </row>
    <row r="140" spans="1:29" x14ac:dyDescent="0.2">
      <c r="A140" s="128">
        <f t="shared" si="13"/>
        <v>134</v>
      </c>
      <c r="B140" s="129" t="s">
        <v>201</v>
      </c>
      <c r="C140" s="132" t="s">
        <v>202</v>
      </c>
      <c r="D140" s="152"/>
      <c r="E140" s="152"/>
      <c r="J140" s="152"/>
      <c r="N140" s="152"/>
      <c r="O140" s="152"/>
      <c r="P140" s="131"/>
      <c r="Q140" s="133"/>
      <c r="T140" s="152"/>
      <c r="U140" s="152"/>
      <c r="V140" s="131"/>
      <c r="W140" s="133"/>
      <c r="Z140" s="152"/>
      <c r="AC140" s="134"/>
    </row>
    <row r="141" spans="1:29" x14ac:dyDescent="0.2">
      <c r="A141" s="128">
        <f t="shared" si="13"/>
        <v>135</v>
      </c>
      <c r="B141" s="128" t="str">
        <f>+$B$140</f>
        <v>449 / 459</v>
      </c>
      <c r="C141" s="139" t="s">
        <v>197</v>
      </c>
      <c r="D141" s="150">
        <v>2277</v>
      </c>
      <c r="E141" s="150">
        <v>1791</v>
      </c>
      <c r="F141" s="131">
        <f>+E141-D141</f>
        <v>-486</v>
      </c>
      <c r="G141" s="132" t="s">
        <v>203</v>
      </c>
      <c r="H141" s="132" t="s">
        <v>204</v>
      </c>
      <c r="J141" s="152" t="s">
        <v>352</v>
      </c>
      <c r="N141" s="152">
        <v>484</v>
      </c>
      <c r="O141" s="152">
        <v>288</v>
      </c>
      <c r="P141" s="131"/>
      <c r="Q141" s="133" t="s">
        <v>200</v>
      </c>
      <c r="R141" s="132" t="str">
        <f>+$R$110</f>
        <v>Sheet No. 141N-B</v>
      </c>
      <c r="T141" s="152">
        <v>243</v>
      </c>
      <c r="U141" s="152">
        <v>525</v>
      </c>
      <c r="V141" s="131"/>
      <c r="W141" s="133" t="s">
        <v>200</v>
      </c>
      <c r="X141" s="132" t="str">
        <f>+$X$110</f>
        <v>Sheet No. 141R</v>
      </c>
      <c r="Z141" s="152" t="s">
        <v>352</v>
      </c>
      <c r="AB141" s="132" t="s">
        <v>116</v>
      </c>
      <c r="AC141" s="134"/>
    </row>
    <row r="142" spans="1:29" x14ac:dyDescent="0.2">
      <c r="D142" s="152"/>
      <c r="E142" s="152"/>
      <c r="J142" s="152"/>
      <c r="N142" s="133"/>
      <c r="O142" s="133"/>
      <c r="P142" s="133"/>
      <c r="Q142" s="133"/>
      <c r="T142" s="133"/>
      <c r="U142" s="133"/>
      <c r="V142" s="133"/>
      <c r="W142" s="133"/>
      <c r="AC142" s="134"/>
    </row>
    <row r="143" spans="1:29" x14ac:dyDescent="0.2">
      <c r="B143" s="149"/>
      <c r="J143" s="152"/>
      <c r="N143" s="133"/>
      <c r="O143" s="133"/>
      <c r="P143" s="133"/>
      <c r="Q143" s="133"/>
      <c r="T143" s="133"/>
      <c r="U143" s="133"/>
      <c r="V143" s="133"/>
      <c r="W143" s="133"/>
      <c r="AC143" s="134"/>
    </row>
    <row r="144" spans="1:29" x14ac:dyDescent="0.2">
      <c r="J144" s="152"/>
      <c r="N144" s="133"/>
      <c r="O144" s="133"/>
      <c r="P144" s="133"/>
      <c r="Q144" s="133"/>
      <c r="T144" s="133"/>
      <c r="U144" s="133"/>
      <c r="V144" s="133"/>
      <c r="W144" s="133"/>
      <c r="AC144" s="134"/>
    </row>
    <row r="145" spans="14:23" x14ac:dyDescent="0.2">
      <c r="N145" s="133"/>
      <c r="O145" s="133"/>
      <c r="P145" s="133"/>
      <c r="Q145" s="133"/>
      <c r="T145" s="133"/>
      <c r="U145" s="133"/>
      <c r="V145" s="133"/>
      <c r="W145" s="133"/>
    </row>
    <row r="146" spans="14:23" x14ac:dyDescent="0.2">
      <c r="N146" s="133"/>
      <c r="O146" s="133"/>
      <c r="P146" s="133"/>
      <c r="Q146" s="133"/>
      <c r="T146" s="133"/>
      <c r="U146" s="133"/>
      <c r="V146" s="133"/>
      <c r="W146" s="133"/>
    </row>
    <row r="147" spans="14:23" x14ac:dyDescent="0.2">
      <c r="N147" s="133"/>
      <c r="O147" s="133"/>
      <c r="P147" s="133"/>
      <c r="Q147" s="133"/>
      <c r="T147" s="133"/>
      <c r="U147" s="133"/>
      <c r="V147" s="133"/>
      <c r="W147" s="133"/>
    </row>
    <row r="148" spans="14:23" x14ac:dyDescent="0.2">
      <c r="N148" s="133"/>
      <c r="O148" s="133"/>
      <c r="P148" s="133"/>
      <c r="Q148" s="133"/>
      <c r="T148" s="133"/>
      <c r="U148" s="133"/>
      <c r="V148" s="133"/>
      <c r="W148" s="133"/>
    </row>
    <row r="150" spans="14:23" x14ac:dyDescent="0.2">
      <c r="N150" s="133"/>
      <c r="O150" s="133"/>
      <c r="P150" s="133"/>
      <c r="Q150" s="133"/>
      <c r="T150" s="133"/>
      <c r="U150" s="133"/>
      <c r="V150" s="133"/>
      <c r="W150" s="133"/>
    </row>
    <row r="151" spans="14:23" x14ac:dyDescent="0.2">
      <c r="N151" s="133"/>
      <c r="O151" s="133"/>
      <c r="P151" s="133"/>
      <c r="Q151" s="133"/>
      <c r="T151" s="133"/>
      <c r="U151" s="133"/>
      <c r="V151" s="133"/>
      <c r="W151" s="133"/>
    </row>
    <row r="152" spans="14:23" x14ac:dyDescent="0.2">
      <c r="N152" s="133"/>
      <c r="O152" s="133"/>
      <c r="P152" s="133"/>
      <c r="Q152" s="133"/>
      <c r="T152" s="133"/>
      <c r="U152" s="133"/>
      <c r="V152" s="133"/>
      <c r="W152" s="133"/>
    </row>
    <row r="153" spans="14:23" x14ac:dyDescent="0.2">
      <c r="N153" s="133"/>
      <c r="O153" s="133"/>
      <c r="P153" s="133"/>
      <c r="Q153" s="133"/>
      <c r="T153" s="133"/>
      <c r="U153" s="133"/>
      <c r="V153" s="133"/>
      <c r="W153" s="133"/>
    </row>
    <row r="154" spans="14:23" x14ac:dyDescent="0.2">
      <c r="N154" s="133"/>
      <c r="O154" s="133"/>
      <c r="P154" s="133"/>
      <c r="Q154" s="133"/>
      <c r="T154" s="133"/>
      <c r="U154" s="133"/>
      <c r="V154" s="133"/>
      <c r="W154" s="133"/>
    </row>
    <row r="155" spans="14:23" x14ac:dyDescent="0.2">
      <c r="N155" s="133"/>
      <c r="O155" s="133"/>
      <c r="P155" s="133"/>
      <c r="Q155" s="133"/>
      <c r="T155" s="133"/>
      <c r="U155" s="133"/>
      <c r="V155" s="133"/>
      <c r="W155" s="133"/>
    </row>
    <row r="156" spans="14:23" x14ac:dyDescent="0.2">
      <c r="N156" s="133"/>
      <c r="O156" s="133"/>
      <c r="P156" s="133"/>
      <c r="Q156" s="133"/>
      <c r="T156" s="133"/>
      <c r="U156" s="133"/>
      <c r="V156" s="133"/>
      <c r="W156" s="133"/>
    </row>
    <row r="157" spans="14:23" x14ac:dyDescent="0.2">
      <c r="N157" s="133"/>
      <c r="O157" s="133"/>
      <c r="P157" s="133"/>
      <c r="Q157" s="133"/>
      <c r="T157" s="133"/>
      <c r="U157" s="133"/>
      <c r="V157" s="133"/>
      <c r="W157" s="133"/>
    </row>
  </sheetData>
  <mergeCells count="6">
    <mergeCell ref="Z4:AB4"/>
    <mergeCell ref="A1:E1"/>
    <mergeCell ref="A2:E2"/>
    <mergeCell ref="J4:L4"/>
    <mergeCell ref="N4:R4"/>
    <mergeCell ref="T4:X4"/>
  </mergeCells>
  <printOptions horizontalCentered="1"/>
  <pageMargins left="0.7" right="0.7" top="0.75" bottom="0.75" header="0.3" footer="0.3"/>
  <pageSetup scale="52" fitToHeight="0" orientation="landscape" r:id="rId1"/>
  <headerFooter alignWithMargins="0">
    <oddFooter>&amp;L&amp;A&amp;RExhibit No.___(BDJ-5)
Page &amp;P of &amp;N</oddFooter>
  </headerFooter>
  <rowBreaks count="2" manualBreakCount="2">
    <brk id="57" max="23" man="1"/>
    <brk id="107" max="23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7" tint="0.79998168889431442"/>
    <pageSetUpPr fitToPage="1"/>
  </sheetPr>
  <dimension ref="A1:N42"/>
  <sheetViews>
    <sheetView zoomScaleNormal="100" zoomScaleSheetLayoutView="80" workbookViewId="0">
      <pane xSplit="2" ySplit="11" topLeftCell="C12" activePane="bottomRight" state="frozen"/>
      <selection activeCell="E8" sqref="E8"/>
      <selection pane="topRight" activeCell="E8" sqref="E8"/>
      <selection pane="bottomLeft" activeCell="E8" sqref="E8"/>
      <selection pane="bottomRight" activeCell="J20" sqref="J20"/>
    </sheetView>
  </sheetViews>
  <sheetFormatPr defaultColWidth="11.6640625" defaultRowHeight="10.199999999999999" x14ac:dyDescent="0.2"/>
  <cols>
    <col min="1" max="1" width="31.44140625" style="202" bestFit="1" customWidth="1"/>
    <col min="2" max="2" width="1.88671875" style="202" customWidth="1"/>
    <col min="3" max="3" width="12.88671875" style="202" bestFit="1" customWidth="1"/>
    <col min="4" max="4" width="9.44140625" style="202" bestFit="1" customWidth="1"/>
    <col min="5" max="5" width="1" style="202" customWidth="1"/>
    <col min="6" max="6" width="12.88671875" style="202" bestFit="1" customWidth="1"/>
    <col min="7" max="7" width="10" style="202" customWidth="1"/>
    <col min="8" max="8" width="0.88671875" style="202" customWidth="1"/>
    <col min="9" max="9" width="12.88671875" style="202" bestFit="1" customWidth="1"/>
    <col min="10" max="10" width="36.5546875" style="202" customWidth="1"/>
    <col min="11" max="11" width="1.88671875" style="202" customWidth="1"/>
    <col min="12" max="16384" width="11.6640625" style="202"/>
  </cols>
  <sheetData>
    <row r="1" spans="1:14" x14ac:dyDescent="0.2">
      <c r="A1" s="375" t="s">
        <v>272</v>
      </c>
      <c r="B1" s="375"/>
      <c r="C1" s="375"/>
      <c r="D1" s="375"/>
      <c r="E1" s="375"/>
      <c r="F1" s="375"/>
      <c r="G1" s="375"/>
      <c r="H1" s="375"/>
      <c r="I1" s="375"/>
      <c r="J1" s="375"/>
      <c r="K1" s="212"/>
    </row>
    <row r="2" spans="1:14" x14ac:dyDescent="0.2">
      <c r="A2" s="375" t="s">
        <v>271</v>
      </c>
      <c r="B2" s="375"/>
      <c r="C2" s="375"/>
      <c r="D2" s="375"/>
      <c r="E2" s="375"/>
      <c r="F2" s="375"/>
      <c r="G2" s="375"/>
      <c r="H2" s="375"/>
      <c r="I2" s="375"/>
      <c r="J2" s="375"/>
      <c r="K2" s="212"/>
    </row>
    <row r="3" spans="1:14" x14ac:dyDescent="0.2">
      <c r="A3" s="380" t="s">
        <v>353</v>
      </c>
      <c r="B3" s="380"/>
      <c r="C3" s="380"/>
      <c r="D3" s="380"/>
      <c r="E3" s="380"/>
      <c r="F3" s="380"/>
      <c r="G3" s="380"/>
      <c r="H3" s="380"/>
      <c r="I3" s="380"/>
      <c r="J3" s="380"/>
      <c r="K3" s="212"/>
    </row>
    <row r="4" spans="1:14" x14ac:dyDescent="0.2">
      <c r="A4" s="381" t="s">
        <v>270</v>
      </c>
      <c r="B4" s="381"/>
      <c r="C4" s="381"/>
      <c r="D4" s="381"/>
      <c r="E4" s="381"/>
      <c r="F4" s="381"/>
      <c r="G4" s="381"/>
      <c r="H4" s="381"/>
      <c r="I4" s="381"/>
      <c r="J4" s="381"/>
      <c r="K4" s="212"/>
    </row>
    <row r="5" spans="1:14" x14ac:dyDescent="0.2">
      <c r="A5" s="381" t="s">
        <v>269</v>
      </c>
      <c r="B5" s="381"/>
      <c r="C5" s="381"/>
      <c r="D5" s="381"/>
      <c r="E5" s="381"/>
      <c r="F5" s="381"/>
      <c r="G5" s="381"/>
      <c r="H5" s="381"/>
      <c r="I5" s="381"/>
      <c r="J5" s="381"/>
      <c r="K5" s="212"/>
    </row>
    <row r="6" spans="1:14" x14ac:dyDescent="0.2">
      <c r="A6" s="266"/>
      <c r="B6" s="264"/>
      <c r="C6" s="264"/>
      <c r="D6" s="265"/>
      <c r="E6" s="265"/>
      <c r="F6" s="264"/>
      <c r="G6" s="265"/>
      <c r="H6" s="264"/>
      <c r="I6" s="264"/>
      <c r="J6" s="264"/>
      <c r="K6" s="212"/>
    </row>
    <row r="7" spans="1:14" x14ac:dyDescent="0.2">
      <c r="A7" s="264"/>
      <c r="B7" s="264"/>
      <c r="C7" s="264"/>
      <c r="D7" s="265"/>
      <c r="E7" s="265"/>
      <c r="F7" s="264"/>
      <c r="G7" s="265"/>
      <c r="H7" s="264"/>
      <c r="I7" s="264"/>
      <c r="J7" s="264"/>
      <c r="K7" s="212"/>
    </row>
    <row r="8" spans="1:14" x14ac:dyDescent="0.2">
      <c r="A8" s="262"/>
      <c r="B8" s="262"/>
      <c r="C8" s="263"/>
      <c r="D8" s="376" t="s">
        <v>268</v>
      </c>
      <c r="E8" s="376"/>
      <c r="F8" s="376"/>
      <c r="G8" s="378" t="s">
        <v>267</v>
      </c>
      <c r="H8" s="378"/>
      <c r="I8" s="378"/>
      <c r="J8" s="259"/>
      <c r="K8" s="212"/>
    </row>
    <row r="9" spans="1:14" x14ac:dyDescent="0.2">
      <c r="A9" s="262"/>
      <c r="B9" s="262"/>
      <c r="C9" s="263" t="s">
        <v>266</v>
      </c>
      <c r="D9" s="377"/>
      <c r="E9" s="377"/>
      <c r="F9" s="377"/>
      <c r="G9" s="379"/>
      <c r="H9" s="379"/>
      <c r="I9" s="379"/>
      <c r="J9" s="259"/>
      <c r="K9" s="212"/>
    </row>
    <row r="10" spans="1:14" x14ac:dyDescent="0.2">
      <c r="A10" s="262"/>
      <c r="B10" s="262"/>
      <c r="C10" s="261" t="s">
        <v>265</v>
      </c>
      <c r="D10" s="258" t="s">
        <v>264</v>
      </c>
      <c r="E10" s="260"/>
      <c r="F10" s="259" t="s">
        <v>263</v>
      </c>
      <c r="G10" s="258" t="s">
        <v>264</v>
      </c>
      <c r="H10" s="258"/>
      <c r="I10" s="258" t="s">
        <v>263</v>
      </c>
      <c r="J10" s="258"/>
      <c r="K10" s="212"/>
    </row>
    <row r="11" spans="1:14" x14ac:dyDescent="0.2">
      <c r="A11" s="257" t="s">
        <v>262</v>
      </c>
      <c r="B11" s="230"/>
      <c r="C11" s="253" t="s">
        <v>261</v>
      </c>
      <c r="D11" s="256" t="s">
        <v>260</v>
      </c>
      <c r="E11" s="253"/>
      <c r="F11" s="255" t="s">
        <v>259</v>
      </c>
      <c r="G11" s="254" t="s">
        <v>258</v>
      </c>
      <c r="H11" s="253"/>
      <c r="I11" s="253" t="s">
        <v>257</v>
      </c>
      <c r="J11" s="253"/>
      <c r="K11" s="252"/>
    </row>
    <row r="12" spans="1:14" x14ac:dyDescent="0.2">
      <c r="A12" s="251" t="s">
        <v>31</v>
      </c>
      <c r="B12" s="230"/>
      <c r="C12" s="230"/>
      <c r="D12" s="229"/>
      <c r="E12" s="230"/>
      <c r="F12" s="230"/>
      <c r="G12" s="229"/>
      <c r="H12" s="230"/>
      <c r="I12" s="230"/>
      <c r="J12" s="230"/>
      <c r="K12" s="250"/>
    </row>
    <row r="13" spans="1:14" x14ac:dyDescent="0.2">
      <c r="A13" s="230" t="s">
        <v>9</v>
      </c>
      <c r="B13" s="230"/>
      <c r="C13" s="234"/>
      <c r="D13" s="229"/>
      <c r="E13" s="230"/>
      <c r="F13" s="230"/>
      <c r="G13" s="229"/>
      <c r="H13" s="230"/>
      <c r="I13" s="230"/>
      <c r="J13" s="230"/>
      <c r="K13" s="212"/>
    </row>
    <row r="14" spans="1:14" x14ac:dyDescent="0.2">
      <c r="A14" s="230" t="s">
        <v>256</v>
      </c>
      <c r="B14" s="230"/>
      <c r="C14" s="234">
        <v>12758626</v>
      </c>
      <c r="D14" s="249">
        <v>7.49</v>
      </c>
      <c r="E14" s="230"/>
      <c r="F14" s="206">
        <f>ROUND(D14*$C14,0)</f>
        <v>95562109</v>
      </c>
      <c r="G14" s="249">
        <f>D14</f>
        <v>7.49</v>
      </c>
      <c r="H14" s="230"/>
      <c r="I14" s="206">
        <f>ROUND(G14*$C14,0)</f>
        <v>95562109</v>
      </c>
      <c r="J14" s="227" t="s">
        <v>254</v>
      </c>
      <c r="M14" s="227"/>
      <c r="N14" s="248"/>
    </row>
    <row r="15" spans="1:14" ht="15.6" customHeight="1" x14ac:dyDescent="0.2">
      <c r="A15" s="230" t="s">
        <v>255</v>
      </c>
      <c r="B15" s="230"/>
      <c r="C15" s="234">
        <v>3835</v>
      </c>
      <c r="D15" s="249">
        <v>17.989999999999998</v>
      </c>
      <c r="E15" s="230"/>
      <c r="F15" s="206">
        <f>ROUND(D15*$C15,0)</f>
        <v>68992</v>
      </c>
      <c r="G15" s="249">
        <f>D15</f>
        <v>17.989999999999998</v>
      </c>
      <c r="H15" s="230"/>
      <c r="I15" s="206">
        <f>ROUND(G15*$C15,0)</f>
        <v>68992</v>
      </c>
      <c r="J15" s="227" t="s">
        <v>254</v>
      </c>
      <c r="N15" s="248"/>
    </row>
    <row r="16" spans="1:14" x14ac:dyDescent="0.2">
      <c r="A16" s="235" t="s">
        <v>246</v>
      </c>
      <c r="B16" s="230"/>
      <c r="C16" s="242">
        <f>SUM(C14:C15)</f>
        <v>12762461</v>
      </c>
      <c r="D16" s="246"/>
      <c r="E16" s="230"/>
      <c r="F16" s="240">
        <f>SUM(F14:F15)</f>
        <v>95631101</v>
      </c>
      <c r="G16" s="246"/>
      <c r="H16" s="230"/>
      <c r="I16" s="240">
        <f>SUM(I14:I15)</f>
        <v>95631101</v>
      </c>
      <c r="J16" s="227"/>
    </row>
    <row r="17" spans="1:13" x14ac:dyDescent="0.2">
      <c r="A17" s="230" t="s">
        <v>32</v>
      </c>
      <c r="B17" s="230"/>
      <c r="C17" s="247"/>
      <c r="D17" s="246"/>
      <c r="E17" s="230"/>
      <c r="F17" s="245"/>
      <c r="G17" s="246"/>
      <c r="H17" s="230"/>
      <c r="I17" s="245"/>
      <c r="J17" s="244"/>
    </row>
    <row r="18" spans="1:13" x14ac:dyDescent="0.2">
      <c r="A18" s="243" t="s">
        <v>253</v>
      </c>
      <c r="B18" s="230"/>
      <c r="C18" s="234">
        <v>6379788603</v>
      </c>
      <c r="D18" s="232">
        <v>9.1343999999999995E-2</v>
      </c>
      <c r="E18" s="230"/>
      <c r="F18" s="206">
        <f>ROUND(D18*$C18,0)</f>
        <v>582755410</v>
      </c>
      <c r="G18" s="232">
        <f>ROUND(D18*(1+$I$38),6)+0</f>
        <v>8.9437000000000003E-2</v>
      </c>
      <c r="H18" s="230"/>
      <c r="I18" s="206">
        <f>ROUND(G18*$C18,0)</f>
        <v>570589153</v>
      </c>
      <c r="J18" s="236" t="s">
        <v>251</v>
      </c>
    </row>
    <row r="19" spans="1:13" ht="15.6" customHeight="1" x14ac:dyDescent="0.2">
      <c r="A19" s="243" t="s">
        <v>252</v>
      </c>
      <c r="B19" s="230"/>
      <c r="C19" s="234">
        <v>4787766669</v>
      </c>
      <c r="D19" s="232">
        <v>0.111175</v>
      </c>
      <c r="E19" s="230"/>
      <c r="F19" s="206">
        <f>ROUND(D19*$C19,0)</f>
        <v>532279959</v>
      </c>
      <c r="G19" s="232">
        <f>ROUND(D19*(1+$I$38),6)</f>
        <v>0.10885400000000001</v>
      </c>
      <c r="H19" s="230"/>
      <c r="I19" s="206">
        <f>ROUND(G19*$C19,0)</f>
        <v>521167553</v>
      </c>
      <c r="J19" s="236" t="s">
        <v>251</v>
      </c>
    </row>
    <row r="20" spans="1:13" x14ac:dyDescent="0.2">
      <c r="A20" s="235" t="s">
        <v>246</v>
      </c>
      <c r="B20" s="234"/>
      <c r="C20" s="242">
        <f>SUM(C18:C19)</f>
        <v>11167555272</v>
      </c>
      <c r="D20" s="241"/>
      <c r="E20" s="228"/>
      <c r="F20" s="240">
        <f>SUM(F18:F19)</f>
        <v>1115035369</v>
      </c>
      <c r="G20" s="228"/>
      <c r="H20" s="228"/>
      <c r="I20" s="240">
        <f>SUM(I18:I19)</f>
        <v>1091756706</v>
      </c>
      <c r="J20" s="227"/>
    </row>
    <row r="21" spans="1:13" ht="15.6" customHeight="1" x14ac:dyDescent="0.2">
      <c r="A21" s="238" t="s">
        <v>250</v>
      </c>
      <c r="B21" s="230"/>
      <c r="C21" s="234">
        <v>21461011.603521049</v>
      </c>
      <c r="D21" s="232">
        <f>D19</f>
        <v>0.111175</v>
      </c>
      <c r="E21" s="230"/>
      <c r="F21" s="206">
        <f>ROUND(D21*$C21,0)</f>
        <v>2385928</v>
      </c>
      <c r="G21" s="232">
        <f>G19</f>
        <v>0.10885400000000001</v>
      </c>
      <c r="H21" s="230"/>
      <c r="I21" s="206">
        <f>ROUND(G21*$C21,0)</f>
        <v>2336117</v>
      </c>
      <c r="J21" s="239" t="s">
        <v>249</v>
      </c>
    </row>
    <row r="22" spans="1:13" x14ac:dyDescent="0.2">
      <c r="A22" s="238" t="s">
        <v>248</v>
      </c>
      <c r="B22" s="234"/>
      <c r="C22" s="234">
        <v>166338288</v>
      </c>
      <c r="D22" s="232">
        <f>F22/C22</f>
        <v>0.10822994643301848</v>
      </c>
      <c r="E22" s="230"/>
      <c r="F22" s="237">
        <v>18002784</v>
      </c>
      <c r="G22" s="232">
        <f>ROUND(I22/C22,6)</f>
        <v>0.105963</v>
      </c>
      <c r="H22" s="230"/>
      <c r="I22" s="237">
        <f>F22*(1+I38)-1255</f>
        <v>17625749.001869369</v>
      </c>
      <c r="J22" s="236" t="s">
        <v>247</v>
      </c>
    </row>
    <row r="23" spans="1:13" ht="10.8" thickBot="1" x14ac:dyDescent="0.25">
      <c r="A23" s="235" t="s">
        <v>246</v>
      </c>
      <c r="B23" s="234"/>
      <c r="C23" s="233">
        <f>SUM(C20:C22)</f>
        <v>11355354571.603521</v>
      </c>
      <c r="D23" s="232"/>
      <c r="E23" s="230"/>
      <c r="F23" s="206">
        <f>SUM(F20:F22)</f>
        <v>1135424081</v>
      </c>
      <c r="G23" s="232"/>
      <c r="H23" s="230"/>
      <c r="I23" s="206">
        <f>SUM(I20:I22)</f>
        <v>1111718572.0018694</v>
      </c>
      <c r="J23" s="227"/>
    </row>
    <row r="24" spans="1:13" ht="11.4" thickTop="1" thickBot="1" x14ac:dyDescent="0.25">
      <c r="A24" s="230" t="s">
        <v>6</v>
      </c>
      <c r="B24" s="230"/>
      <c r="D24" s="232"/>
      <c r="E24" s="230"/>
      <c r="F24" s="231">
        <f>SUM(F23,F16)</f>
        <v>1231055182</v>
      </c>
      <c r="G24" s="230"/>
      <c r="H24" s="230"/>
      <c r="I24" s="231">
        <f>SUM(I23,I16)</f>
        <v>1207349673.0018694</v>
      </c>
      <c r="J24" s="227"/>
    </row>
    <row r="25" spans="1:13" ht="10.8" thickTop="1" x14ac:dyDescent="0.2">
      <c r="A25" s="230"/>
      <c r="B25" s="230"/>
      <c r="C25" s="216"/>
      <c r="D25" s="204"/>
      <c r="E25" s="204"/>
      <c r="F25" s="204"/>
      <c r="G25" s="204"/>
      <c r="H25" s="204"/>
      <c r="I25" s="204"/>
      <c r="J25" s="227"/>
    </row>
    <row r="26" spans="1:13" x14ac:dyDescent="0.2">
      <c r="C26" s="229"/>
      <c r="D26" s="230"/>
      <c r="E26" s="229"/>
      <c r="F26" s="228"/>
      <c r="G26" s="230" t="s">
        <v>241</v>
      </c>
      <c r="H26" s="229"/>
      <c r="I26" s="206"/>
      <c r="J26" s="227"/>
      <c r="M26" s="220"/>
    </row>
    <row r="27" spans="1:13" x14ac:dyDescent="0.2">
      <c r="C27" s="229"/>
      <c r="D27" s="230"/>
      <c r="E27" s="229"/>
      <c r="F27" s="228"/>
      <c r="G27" s="230"/>
      <c r="H27" s="229"/>
      <c r="I27" s="228"/>
      <c r="J27" s="227"/>
      <c r="M27" s="220"/>
    </row>
    <row r="28" spans="1:13" x14ac:dyDescent="0.2">
      <c r="C28" s="229"/>
      <c r="D28" s="230"/>
      <c r="E28" s="229"/>
      <c r="F28" s="228"/>
      <c r="G28" s="230"/>
      <c r="H28" s="229"/>
      <c r="I28" s="228"/>
      <c r="J28" s="227"/>
      <c r="M28" s="220"/>
    </row>
    <row r="29" spans="1:13" ht="10.8" thickBot="1" x14ac:dyDescent="0.25">
      <c r="C29" s="229"/>
      <c r="D29" s="230"/>
      <c r="E29" s="229"/>
      <c r="F29" s="228"/>
      <c r="G29" s="230"/>
      <c r="H29" s="229"/>
      <c r="I29" s="228"/>
      <c r="J29" s="227"/>
      <c r="M29" s="220"/>
    </row>
    <row r="30" spans="1:13" x14ac:dyDescent="0.2">
      <c r="A30" s="226" t="s">
        <v>245</v>
      </c>
      <c r="B30" s="225"/>
      <c r="C30" s="225"/>
      <c r="D30" s="225"/>
      <c r="E30" s="224"/>
      <c r="F30" s="224"/>
      <c r="G30" s="224"/>
      <c r="H30" s="224"/>
      <c r="I30" s="223">
        <v>1207354977.6851754</v>
      </c>
      <c r="J30" s="206"/>
      <c r="M30" s="220"/>
    </row>
    <row r="31" spans="1:13" x14ac:dyDescent="0.2">
      <c r="A31" s="222" t="s">
        <v>244</v>
      </c>
      <c r="B31" s="212"/>
      <c r="C31" s="212"/>
      <c r="D31" s="212"/>
      <c r="E31" s="217"/>
      <c r="F31" s="204"/>
      <c r="G31" s="217" t="s">
        <v>241</v>
      </c>
      <c r="H31" s="217"/>
      <c r="I31" s="214">
        <f>I30-F24</f>
        <v>-23700204.314824581</v>
      </c>
      <c r="J31" s="206"/>
      <c r="M31" s="220"/>
    </row>
    <row r="32" spans="1:13" x14ac:dyDescent="0.2">
      <c r="A32" s="222" t="s">
        <v>243</v>
      </c>
      <c r="B32" s="212"/>
      <c r="C32" s="212"/>
      <c r="D32" s="212"/>
      <c r="E32" s="217"/>
      <c r="F32" s="204"/>
      <c r="G32" s="217"/>
      <c r="H32" s="217"/>
      <c r="I32" s="221">
        <f>I31/F24</f>
        <v>-1.9251943098375732E-2</v>
      </c>
      <c r="J32" s="206"/>
      <c r="M32" s="220"/>
    </row>
    <row r="33" spans="1:11" x14ac:dyDescent="0.2">
      <c r="A33" s="219" t="s">
        <v>242</v>
      </c>
      <c r="B33" s="212"/>
      <c r="C33" s="212"/>
      <c r="D33" s="212"/>
      <c r="E33" s="212"/>
      <c r="F33" s="204"/>
      <c r="G33" s="212"/>
      <c r="H33" s="212"/>
      <c r="I33" s="214">
        <f>I30-I24</f>
        <v>5304.683305978775</v>
      </c>
      <c r="J33" s="206"/>
    </row>
    <row r="34" spans="1:11" x14ac:dyDescent="0.2">
      <c r="A34" s="218"/>
      <c r="B34" s="212"/>
      <c r="C34" s="212"/>
      <c r="D34" s="212"/>
      <c r="E34" s="216"/>
      <c r="F34" s="204"/>
      <c r="G34" s="217" t="s">
        <v>241</v>
      </c>
      <c r="H34" s="216"/>
      <c r="I34" s="215"/>
      <c r="J34" s="206"/>
    </row>
    <row r="35" spans="1:11" x14ac:dyDescent="0.2">
      <c r="A35" s="213" t="s">
        <v>240</v>
      </c>
      <c r="B35" s="212"/>
      <c r="C35" s="212"/>
      <c r="D35" s="212"/>
      <c r="E35" s="212"/>
      <c r="F35" s="204"/>
      <c r="G35" s="212"/>
      <c r="H35" s="212"/>
      <c r="I35" s="214">
        <f>I14-F14</f>
        <v>0</v>
      </c>
      <c r="J35" s="206"/>
    </row>
    <row r="36" spans="1:11" x14ac:dyDescent="0.2">
      <c r="A36" s="213" t="s">
        <v>239</v>
      </c>
      <c r="B36" s="212"/>
      <c r="C36" s="212"/>
      <c r="D36" s="212"/>
      <c r="E36" s="212"/>
      <c r="F36" s="204"/>
      <c r="G36" s="212"/>
      <c r="H36" s="212"/>
      <c r="I36" s="214">
        <f>I31-I35</f>
        <v>-23700204.314824581</v>
      </c>
      <c r="J36" s="206"/>
    </row>
    <row r="37" spans="1:11" ht="10.8" thickBot="1" x14ac:dyDescent="0.25">
      <c r="A37" s="213" t="s">
        <v>238</v>
      </c>
      <c r="B37" s="212"/>
      <c r="C37" s="212"/>
      <c r="D37" s="212"/>
      <c r="E37" s="212"/>
      <c r="F37" s="204"/>
      <c r="G37" s="212"/>
      <c r="H37" s="212"/>
      <c r="I37" s="214">
        <f>F23</f>
        <v>1135424081</v>
      </c>
      <c r="J37" s="206"/>
    </row>
    <row r="38" spans="1:11" x14ac:dyDescent="0.2">
      <c r="A38" s="213" t="s">
        <v>237</v>
      </c>
      <c r="B38" s="212"/>
      <c r="C38" s="212"/>
      <c r="D38" s="212"/>
      <c r="E38" s="212"/>
      <c r="F38" s="204"/>
      <c r="G38" s="212"/>
      <c r="H38" s="212"/>
      <c r="I38" s="211">
        <f>I36/I37</f>
        <v>-2.0873438137714275E-2</v>
      </c>
      <c r="J38" s="206"/>
    </row>
    <row r="39" spans="1:11" ht="10.8" thickBot="1" x14ac:dyDescent="0.25">
      <c r="A39" s="210"/>
      <c r="B39" s="208"/>
      <c r="C39" s="208"/>
      <c r="D39" s="208"/>
      <c r="E39" s="208"/>
      <c r="F39" s="209"/>
      <c r="G39" s="208"/>
      <c r="H39" s="208"/>
      <c r="I39" s="207" t="s">
        <v>104</v>
      </c>
      <c r="J39" s="206"/>
    </row>
    <row r="40" spans="1:11" x14ac:dyDescent="0.2">
      <c r="G40" s="205"/>
      <c r="I40" s="204"/>
      <c r="J40" s="204"/>
      <c r="K40" s="204"/>
    </row>
    <row r="41" spans="1:11" x14ac:dyDescent="0.2">
      <c r="G41" s="205"/>
      <c r="I41" s="204"/>
      <c r="J41" s="204"/>
      <c r="K41" s="204"/>
    </row>
    <row r="42" spans="1:11" x14ac:dyDescent="0.2">
      <c r="A42" s="203"/>
    </row>
  </sheetData>
  <mergeCells count="7">
    <mergeCell ref="A1:J1"/>
    <mergeCell ref="D8:F9"/>
    <mergeCell ref="G8:I9"/>
    <mergeCell ref="A2:J2"/>
    <mergeCell ref="A3:J3"/>
    <mergeCell ref="A4:J4"/>
    <mergeCell ref="A5:J5"/>
  </mergeCells>
  <printOptions horizontalCentered="1"/>
  <pageMargins left="0.7" right="0.7" top="0.75" bottom="0.8" header="0.3" footer="0.3"/>
  <pageSetup scale="66" orientation="landscape" r:id="rId1"/>
  <headerFooter alignWithMargins="0">
    <oddFooter>&amp;L&amp;A&amp;RExhibit No. ___(BDJ-5)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7" tint="0.79998168889431442"/>
  </sheetPr>
  <dimension ref="A1:R180"/>
  <sheetViews>
    <sheetView zoomScaleNormal="100" zoomScaleSheetLayoutView="80" workbookViewId="0">
      <pane xSplit="6" ySplit="10" topLeftCell="G11" activePane="bottomRight" state="frozen"/>
      <selection activeCell="J20" sqref="J20"/>
      <selection pane="topRight" activeCell="J20" sqref="J20"/>
      <selection pane="bottomLeft" activeCell="J20" sqref="J20"/>
      <selection pane="bottomRight" activeCell="M41" sqref="M41"/>
    </sheetView>
  </sheetViews>
  <sheetFormatPr defaultColWidth="11.6640625" defaultRowHeight="10.199999999999999" x14ac:dyDescent="0.2"/>
  <cols>
    <col min="1" max="1" width="31.6640625" style="202" customWidth="1"/>
    <col min="2" max="2" width="1.44140625" style="202" customWidth="1"/>
    <col min="3" max="3" width="12" style="202" bestFit="1" customWidth="1"/>
    <col min="4" max="4" width="10" style="202" bestFit="1" customWidth="1"/>
    <col min="5" max="5" width="1.44140625" style="202" customWidth="1"/>
    <col min="6" max="6" width="11.5546875" style="202" bestFit="1" customWidth="1"/>
    <col min="7" max="7" width="11.33203125" style="202" customWidth="1"/>
    <col min="8" max="8" width="1.44140625" style="202" customWidth="1"/>
    <col min="9" max="9" width="12.109375" style="202" bestFit="1" customWidth="1"/>
    <col min="10" max="10" width="1.44140625" style="202" customWidth="1"/>
    <col min="11" max="11" width="28.6640625" style="202" bestFit="1" customWidth="1"/>
    <col min="12" max="16384" width="11.6640625" style="202"/>
  </cols>
  <sheetData>
    <row r="1" spans="1:18" x14ac:dyDescent="0.2">
      <c r="A1" s="382" t="s">
        <v>272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8" x14ac:dyDescent="0.2">
      <c r="A2" s="382" t="s">
        <v>271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8" x14ac:dyDescent="0.2">
      <c r="A3" s="382" t="s">
        <v>353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8" x14ac:dyDescent="0.2">
      <c r="A4" s="382" t="s">
        <v>270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</row>
    <row r="5" spans="1:18" x14ac:dyDescent="0.2">
      <c r="A5" s="382" t="s">
        <v>351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</row>
    <row r="6" spans="1:18" x14ac:dyDescent="0.2">
      <c r="A6" s="358"/>
      <c r="B6" s="259"/>
      <c r="C6" s="259"/>
      <c r="D6" s="263"/>
      <c r="E6" s="263"/>
      <c r="F6" s="259"/>
      <c r="G6" s="263"/>
      <c r="H6" s="259"/>
      <c r="I6" s="259"/>
      <c r="J6" s="259"/>
    </row>
    <row r="7" spans="1:18" x14ac:dyDescent="0.2">
      <c r="A7" s="259"/>
      <c r="B7" s="259"/>
      <c r="C7" s="259"/>
      <c r="D7" s="263"/>
      <c r="E7" s="263"/>
      <c r="F7" s="259"/>
      <c r="G7" s="263"/>
      <c r="H7" s="259"/>
      <c r="I7" s="259"/>
      <c r="J7" s="259"/>
    </row>
    <row r="8" spans="1:18" x14ac:dyDescent="0.2">
      <c r="A8" s="262"/>
      <c r="B8" s="262"/>
      <c r="C8" s="263"/>
      <c r="D8" s="262"/>
      <c r="E8" s="262"/>
      <c r="G8" s="262"/>
      <c r="H8" s="259"/>
      <c r="I8" s="259"/>
      <c r="J8" s="259"/>
      <c r="K8" s="212"/>
    </row>
    <row r="9" spans="1:18" x14ac:dyDescent="0.2">
      <c r="A9" s="262"/>
      <c r="B9" s="262"/>
      <c r="C9" s="263" t="s">
        <v>266</v>
      </c>
      <c r="D9" s="357" t="s">
        <v>268</v>
      </c>
      <c r="E9" s="355"/>
      <c r="F9" s="354"/>
      <c r="G9" s="356" t="str">
        <f>'Exhibit BDJ-5 Res'!$G$8</f>
        <v>Proposed Effective 
January 2023</v>
      </c>
      <c r="H9" s="355"/>
      <c r="I9" s="354"/>
      <c r="J9" s="259"/>
      <c r="K9" s="212"/>
    </row>
    <row r="10" spans="1:18" x14ac:dyDescent="0.2">
      <c r="A10" s="262"/>
      <c r="B10" s="262"/>
      <c r="C10" s="353" t="s">
        <v>265</v>
      </c>
      <c r="D10" s="352" t="s">
        <v>264</v>
      </c>
      <c r="E10" s="260"/>
      <c r="F10" s="259" t="s">
        <v>263</v>
      </c>
      <c r="G10" s="352" t="s">
        <v>264</v>
      </c>
      <c r="H10" s="352"/>
      <c r="I10" s="352" t="s">
        <v>263</v>
      </c>
      <c r="J10" s="352"/>
      <c r="K10" s="212"/>
    </row>
    <row r="11" spans="1:18" x14ac:dyDescent="0.2">
      <c r="A11" s="230"/>
      <c r="B11" s="351"/>
      <c r="C11" s="229"/>
      <c r="D11" s="230" t="s">
        <v>241</v>
      </c>
      <c r="E11" s="230"/>
      <c r="G11" s="230" t="s">
        <v>241</v>
      </c>
      <c r="H11" s="230"/>
      <c r="I11" s="228" t="s">
        <v>241</v>
      </c>
      <c r="J11" s="228"/>
      <c r="K11" s="212"/>
    </row>
    <row r="12" spans="1:18" x14ac:dyDescent="0.2">
      <c r="A12" s="257" t="s">
        <v>350</v>
      </c>
      <c r="B12" s="230"/>
      <c r="C12" s="230" t="s">
        <v>241</v>
      </c>
      <c r="D12" s="228"/>
      <c r="E12" s="230"/>
      <c r="F12" s="230"/>
      <c r="G12" s="228"/>
      <c r="H12" s="230"/>
      <c r="I12" s="230"/>
      <c r="J12" s="230"/>
      <c r="K12" s="212"/>
    </row>
    <row r="13" spans="1:18" x14ac:dyDescent="0.2">
      <c r="A13" s="251" t="s">
        <v>349</v>
      </c>
      <c r="B13" s="230"/>
      <c r="C13" s="230"/>
      <c r="D13" s="228"/>
      <c r="E13" s="230"/>
      <c r="F13" s="228"/>
      <c r="G13" s="228"/>
      <c r="H13" s="230"/>
      <c r="I13" s="230"/>
      <c r="J13" s="230"/>
      <c r="K13" s="212"/>
    </row>
    <row r="14" spans="1:18" x14ac:dyDescent="0.2">
      <c r="A14" s="230" t="s">
        <v>9</v>
      </c>
      <c r="B14" s="230"/>
      <c r="C14" s="229"/>
      <c r="D14" s="228"/>
      <c r="E14" s="230"/>
      <c r="F14" s="230"/>
      <c r="G14" s="228"/>
      <c r="H14" s="230"/>
      <c r="I14" s="230"/>
      <c r="J14" s="230"/>
      <c r="L14" s="212"/>
      <c r="M14" s="212"/>
      <c r="N14" s="212"/>
      <c r="O14" s="212"/>
      <c r="P14" s="212"/>
      <c r="R14" s="220"/>
    </row>
    <row r="15" spans="1:18" x14ac:dyDescent="0.2">
      <c r="A15" s="230" t="s">
        <v>256</v>
      </c>
      <c r="B15" s="230"/>
      <c r="C15" s="229">
        <v>1122471</v>
      </c>
      <c r="D15" s="249">
        <v>10.210000000000001</v>
      </c>
      <c r="E15" s="230"/>
      <c r="F15" s="206">
        <f>ROUND(D15*$C15,0)</f>
        <v>11460429</v>
      </c>
      <c r="G15" s="249">
        <f>D15</f>
        <v>10.210000000000001</v>
      </c>
      <c r="H15" s="230"/>
      <c r="I15" s="206">
        <f>ROUND(G15*$C15,0)</f>
        <v>11460429</v>
      </c>
      <c r="J15" s="204"/>
      <c r="K15" s="227" t="s">
        <v>280</v>
      </c>
      <c r="L15" s="212"/>
      <c r="M15" s="212"/>
      <c r="N15" s="212"/>
      <c r="O15" s="212"/>
      <c r="P15" s="212"/>
      <c r="R15" s="220"/>
    </row>
    <row r="16" spans="1:18" x14ac:dyDescent="0.2">
      <c r="A16" s="230" t="s">
        <v>255</v>
      </c>
      <c r="B16" s="230"/>
      <c r="C16" s="229">
        <v>473768</v>
      </c>
      <c r="D16" s="249">
        <v>25.95</v>
      </c>
      <c r="E16" s="350"/>
      <c r="F16" s="206">
        <f>ROUND(D16*$C16,0)</f>
        <v>12294280</v>
      </c>
      <c r="G16" s="249">
        <f>D16</f>
        <v>25.95</v>
      </c>
      <c r="H16" s="350"/>
      <c r="I16" s="206">
        <f>ROUND(G16*$C16,0)</f>
        <v>12294280</v>
      </c>
      <c r="J16" s="204"/>
      <c r="K16" s="227" t="s">
        <v>280</v>
      </c>
    </row>
    <row r="17" spans="1:11" x14ac:dyDescent="0.2">
      <c r="A17" s="235" t="s">
        <v>246</v>
      </c>
      <c r="B17" s="230"/>
      <c r="C17" s="279">
        <f>SUM(C15:C16)</f>
        <v>1596239</v>
      </c>
      <c r="D17" s="246"/>
      <c r="E17" s="230"/>
      <c r="F17" s="240">
        <f>SUM(F15:F16)</f>
        <v>23754709</v>
      </c>
      <c r="G17" s="246"/>
      <c r="H17" s="230"/>
      <c r="I17" s="240">
        <f>SUM(I15:I16)</f>
        <v>23754709</v>
      </c>
      <c r="J17" s="204"/>
      <c r="K17" s="244"/>
    </row>
    <row r="18" spans="1:11" x14ac:dyDescent="0.2">
      <c r="A18" s="230" t="s">
        <v>32</v>
      </c>
      <c r="B18" s="230"/>
      <c r="C18" s="229"/>
      <c r="D18" s="246"/>
      <c r="E18" s="230"/>
      <c r="F18" s="245"/>
      <c r="G18" s="246"/>
      <c r="H18" s="230"/>
      <c r="I18" s="245"/>
      <c r="J18" s="204"/>
      <c r="K18" s="244"/>
    </row>
    <row r="19" spans="1:11" ht="15.75" customHeight="1" x14ac:dyDescent="0.2">
      <c r="A19" s="243" t="s">
        <v>348</v>
      </c>
      <c r="B19" s="230"/>
      <c r="C19" s="229">
        <v>1306150806</v>
      </c>
      <c r="D19" s="232">
        <v>9.4531000000000004E-2</v>
      </c>
      <c r="E19" s="230"/>
      <c r="F19" s="206">
        <f>ROUND(D19*$C19,0)</f>
        <v>123471742</v>
      </c>
      <c r="G19" s="232">
        <f>ROUND(D19*(1+$I$34),6)</f>
        <v>9.2536999999999994E-2</v>
      </c>
      <c r="H19" s="230"/>
      <c r="I19" s="206">
        <f>ROUND(G19*$C19,0)</f>
        <v>120867277</v>
      </c>
      <c r="J19" s="204"/>
      <c r="K19" s="312" t="s">
        <v>290</v>
      </c>
    </row>
    <row r="20" spans="1:11" x14ac:dyDescent="0.2">
      <c r="A20" s="238" t="s">
        <v>347</v>
      </c>
      <c r="B20" s="230"/>
      <c r="C20" s="229">
        <v>1288344238</v>
      </c>
      <c r="D20" s="232">
        <v>9.1261999999999996E-2</v>
      </c>
      <c r="E20" s="230"/>
      <c r="F20" s="206">
        <f>ROUND(D20*$C20,0)</f>
        <v>117576872</v>
      </c>
      <c r="G20" s="232">
        <f>ROUND(D20*(1+$I$34),6)</f>
        <v>8.9337E-2</v>
      </c>
      <c r="H20" s="230"/>
      <c r="I20" s="206">
        <f>ROUND(G20*$C20,0)</f>
        <v>115096809</v>
      </c>
      <c r="J20" s="204"/>
      <c r="K20" s="312" t="s">
        <v>290</v>
      </c>
    </row>
    <row r="21" spans="1:11" x14ac:dyDescent="0.2">
      <c r="A21" s="235" t="s">
        <v>246</v>
      </c>
      <c r="B21" s="349"/>
      <c r="C21" s="279">
        <f>SUM(C19:C20)</f>
        <v>2594495044</v>
      </c>
      <c r="D21" s="282"/>
      <c r="E21" s="230"/>
      <c r="F21" s="240">
        <f>SUM(F19:F20)</f>
        <v>241048614</v>
      </c>
      <c r="G21" s="282"/>
      <c r="H21" s="230"/>
      <c r="I21" s="240">
        <f>SUM(I19:I20)</f>
        <v>235964086</v>
      </c>
      <c r="J21" s="204"/>
      <c r="K21" s="244"/>
    </row>
    <row r="22" spans="1:11" x14ac:dyDescent="0.2">
      <c r="A22" s="243" t="s">
        <v>289</v>
      </c>
      <c r="B22" s="349"/>
      <c r="C22" s="229">
        <v>10671125.019713968</v>
      </c>
      <c r="D22" s="232">
        <f>D19</f>
        <v>9.4531000000000004E-2</v>
      </c>
      <c r="E22" s="230"/>
      <c r="F22" s="206">
        <f>ROUND(D22*$C22,0)</f>
        <v>1008752</v>
      </c>
      <c r="G22" s="232">
        <f>G19</f>
        <v>9.2536999999999994E-2</v>
      </c>
      <c r="H22" s="230"/>
      <c r="I22" s="206">
        <f>ROUND(G22*$C22,0)</f>
        <v>987474</v>
      </c>
      <c r="J22" s="204"/>
      <c r="K22" s="312" t="s">
        <v>288</v>
      </c>
    </row>
    <row r="23" spans="1:11" x14ac:dyDescent="0.2">
      <c r="A23" s="243" t="s">
        <v>287</v>
      </c>
      <c r="B23" s="349"/>
      <c r="C23" s="229">
        <v>-14686014.995333586</v>
      </c>
      <c r="D23" s="232">
        <f>D20</f>
        <v>9.1261999999999996E-2</v>
      </c>
      <c r="E23" s="232"/>
      <c r="F23" s="206">
        <f>ROUND(D23*$C23,0)</f>
        <v>-1340275</v>
      </c>
      <c r="G23" s="232">
        <f>G20</f>
        <v>8.9337E-2</v>
      </c>
      <c r="H23" s="230"/>
      <c r="I23" s="206">
        <f>ROUND(G23*$C23,0)</f>
        <v>-1312005</v>
      </c>
      <c r="J23" s="204"/>
      <c r="K23" s="312" t="s">
        <v>286</v>
      </c>
    </row>
    <row r="24" spans="1:11" ht="20.399999999999999" x14ac:dyDescent="0.2">
      <c r="A24" s="238" t="s">
        <v>248</v>
      </c>
      <c r="B24" s="206"/>
      <c r="C24" s="331">
        <v>68352949</v>
      </c>
      <c r="D24" s="232">
        <f>ROUND(F24/C24,6)</f>
        <v>0.102955</v>
      </c>
      <c r="E24" s="230"/>
      <c r="F24" s="206">
        <v>7037260</v>
      </c>
      <c r="G24" s="232">
        <f>ROUND(D24*(1+$I$34),6)</f>
        <v>0.100783</v>
      </c>
      <c r="H24" s="230"/>
      <c r="I24" s="206">
        <f>ROUND(G24*$C24,0)-204</f>
        <v>6888611</v>
      </c>
      <c r="J24" s="204"/>
      <c r="K24" s="312" t="s">
        <v>346</v>
      </c>
    </row>
    <row r="25" spans="1:11" x14ac:dyDescent="0.2">
      <c r="A25" s="235" t="s">
        <v>246</v>
      </c>
      <c r="B25" s="206"/>
      <c r="C25" s="242">
        <f>SUM(C21:C24)</f>
        <v>2658833103.0243802</v>
      </c>
      <c r="D25" s="230"/>
      <c r="E25" s="230"/>
      <c r="F25" s="240">
        <f>SUM(F21:F24)</f>
        <v>247754351</v>
      </c>
      <c r="G25" s="232"/>
      <c r="H25" s="230"/>
      <c r="I25" s="240">
        <f>SUM(I21:I24)</f>
        <v>242528166</v>
      </c>
      <c r="J25" s="204"/>
      <c r="K25" s="239"/>
    </row>
    <row r="26" spans="1:11" ht="10.8" thickBot="1" x14ac:dyDescent="0.25">
      <c r="A26" s="230" t="s">
        <v>279</v>
      </c>
      <c r="B26" s="230"/>
      <c r="C26" s="230"/>
      <c r="D26" s="247"/>
      <c r="E26" s="217"/>
      <c r="F26" s="231">
        <f>SUM(F25,F17)</f>
        <v>271509060</v>
      </c>
      <c r="G26" s="247"/>
      <c r="H26" s="217"/>
      <c r="I26" s="231">
        <f>SUM(I25,I17)</f>
        <v>266282875</v>
      </c>
      <c r="J26" s="276"/>
    </row>
    <row r="27" spans="1:11" ht="10.8" thickTop="1" x14ac:dyDescent="0.2">
      <c r="A27" s="230"/>
      <c r="B27" s="230"/>
      <c r="C27" s="216"/>
      <c r="D27" s="247"/>
      <c r="E27" s="217"/>
      <c r="F27" s="204"/>
      <c r="G27" s="247"/>
      <c r="H27" s="217"/>
      <c r="I27" s="204"/>
      <c r="J27" s="204"/>
    </row>
    <row r="28" spans="1:11" x14ac:dyDescent="0.2">
      <c r="A28" s="230"/>
      <c r="B28" s="230"/>
      <c r="C28" s="229"/>
      <c r="D28" s="348">
        <f>ROUND(SUM(F25)/SUM(C25),6)</f>
        <v>9.3182000000000001E-2</v>
      </c>
      <c r="E28" s="230"/>
      <c r="F28" s="228"/>
      <c r="G28" s="348">
        <f>ROUND(SUM(I25)/SUM(C25),6)</f>
        <v>9.1216000000000005E-2</v>
      </c>
      <c r="H28" s="230"/>
      <c r="I28" s="228" t="s">
        <v>241</v>
      </c>
      <c r="J28" s="228"/>
      <c r="K28" s="335"/>
    </row>
    <row r="29" spans="1:11" ht="10.8" thickBot="1" x14ac:dyDescent="0.25">
      <c r="A29" s="230"/>
      <c r="B29" s="230"/>
      <c r="C29" s="229"/>
      <c r="D29" s="348"/>
      <c r="E29" s="230"/>
      <c r="F29" s="228"/>
      <c r="G29" s="348"/>
      <c r="H29" s="230"/>
      <c r="I29" s="228"/>
      <c r="J29" s="228"/>
      <c r="K29" s="335"/>
    </row>
    <row r="30" spans="1:11" x14ac:dyDescent="0.2">
      <c r="A30" s="226" t="s">
        <v>345</v>
      </c>
      <c r="B30" s="345"/>
      <c r="C30" s="347"/>
      <c r="D30" s="346"/>
      <c r="E30" s="345"/>
      <c r="F30" s="224"/>
      <c r="G30" s="346"/>
      <c r="H30" s="345"/>
      <c r="I30" s="344">
        <v>266281983.02618647</v>
      </c>
      <c r="K30" s="335"/>
    </row>
    <row r="31" spans="1:11" x14ac:dyDescent="0.2">
      <c r="A31" s="343" t="s">
        <v>344</v>
      </c>
      <c r="B31" s="217"/>
      <c r="C31" s="216"/>
      <c r="D31" s="342"/>
      <c r="E31" s="217"/>
      <c r="F31" s="204"/>
      <c r="G31" s="342"/>
      <c r="H31" s="217"/>
      <c r="I31" s="341">
        <f>I30-F26</f>
        <v>-5227076.9738135338</v>
      </c>
      <c r="J31" s="204"/>
      <c r="K31" s="335"/>
    </row>
    <row r="32" spans="1:11" x14ac:dyDescent="0.2">
      <c r="A32" s="222" t="s">
        <v>334</v>
      </c>
      <c r="B32" s="217"/>
      <c r="C32" s="216"/>
      <c r="D32" s="342"/>
      <c r="E32" s="217"/>
      <c r="F32" s="204"/>
      <c r="G32" s="342"/>
      <c r="H32" s="217"/>
      <c r="I32" s="221">
        <f>I30/F26-1</f>
        <v>-1.9251943098375968E-2</v>
      </c>
      <c r="J32" s="336"/>
      <c r="K32" s="335"/>
    </row>
    <row r="33" spans="1:11" x14ac:dyDescent="0.2">
      <c r="A33" s="222" t="s">
        <v>343</v>
      </c>
      <c r="B33" s="217"/>
      <c r="C33" s="216"/>
      <c r="D33" s="342"/>
      <c r="E33" s="217"/>
      <c r="F33" s="204"/>
      <c r="G33" s="342"/>
      <c r="H33" s="217"/>
      <c r="I33" s="214">
        <f>F25</f>
        <v>247754351</v>
      </c>
      <c r="J33" s="336"/>
      <c r="K33" s="335"/>
    </row>
    <row r="34" spans="1:11" x14ac:dyDescent="0.2">
      <c r="A34" s="222" t="s">
        <v>290</v>
      </c>
      <c r="B34" s="217"/>
      <c r="C34" s="216"/>
      <c r="D34" s="342"/>
      <c r="E34" s="217"/>
      <c r="F34" s="204"/>
      <c r="G34" s="342"/>
      <c r="H34" s="217"/>
      <c r="I34" s="221">
        <f>I31/I33</f>
        <v>-2.1097821098663708E-2</v>
      </c>
      <c r="J34" s="336"/>
      <c r="K34" s="335"/>
    </row>
    <row r="35" spans="1:11" x14ac:dyDescent="0.2">
      <c r="A35" s="222" t="s">
        <v>342</v>
      </c>
      <c r="B35" s="217"/>
      <c r="C35" s="216"/>
      <c r="D35" s="342"/>
      <c r="E35" s="217"/>
      <c r="F35" s="204"/>
      <c r="G35" s="342"/>
      <c r="H35" s="217"/>
      <c r="I35" s="341">
        <f>(I30-I26)</f>
        <v>-891.97381353378296</v>
      </c>
      <c r="J35" s="336"/>
      <c r="K35" s="335"/>
    </row>
    <row r="36" spans="1:11" ht="10.8" thickBot="1" x14ac:dyDescent="0.25">
      <c r="A36" s="210" t="s">
        <v>341</v>
      </c>
      <c r="B36" s="338"/>
      <c r="C36" s="340"/>
      <c r="D36" s="339"/>
      <c r="E36" s="338"/>
      <c r="F36" s="209"/>
      <c r="G36" s="339"/>
      <c r="H36" s="338"/>
      <c r="I36" s="337">
        <f>(I30-I26)/C25</f>
        <v>-3.3547566882598872E-7</v>
      </c>
      <c r="J36" s="336"/>
      <c r="K36" s="335"/>
    </row>
    <row r="37" spans="1:11" x14ac:dyDescent="0.2">
      <c r="J37" s="228"/>
      <c r="K37" s="335"/>
    </row>
    <row r="38" spans="1:11" x14ac:dyDescent="0.2">
      <c r="A38" s="257" t="s">
        <v>340</v>
      </c>
      <c r="B38" s="230"/>
      <c r="C38" s="229"/>
      <c r="D38" s="228"/>
      <c r="E38" s="230"/>
      <c r="F38" s="230"/>
      <c r="G38" s="228"/>
      <c r="H38" s="230"/>
      <c r="I38" s="228" t="s">
        <v>241</v>
      </c>
      <c r="J38" s="228"/>
      <c r="K38" s="212"/>
    </row>
    <row r="39" spans="1:11" x14ac:dyDescent="0.2">
      <c r="A39" s="251" t="s">
        <v>339</v>
      </c>
      <c r="B39" s="230"/>
      <c r="C39" s="230" t="s">
        <v>241</v>
      </c>
      <c r="D39" s="228"/>
      <c r="E39" s="230"/>
      <c r="F39" s="230"/>
      <c r="G39" s="228"/>
      <c r="H39" s="230"/>
      <c r="I39" s="230"/>
      <c r="J39" s="230"/>
      <c r="K39" s="212"/>
    </row>
    <row r="40" spans="1:11" x14ac:dyDescent="0.2">
      <c r="A40" s="230"/>
      <c r="B40" s="230"/>
      <c r="C40" s="230"/>
      <c r="D40" s="228"/>
      <c r="E40" s="230"/>
      <c r="F40" s="230"/>
      <c r="G40" s="228"/>
      <c r="H40" s="230"/>
      <c r="I40" s="230"/>
      <c r="J40" s="230"/>
      <c r="K40" s="212"/>
    </row>
    <row r="41" spans="1:11" x14ac:dyDescent="0.2">
      <c r="A41" s="230" t="s">
        <v>9</v>
      </c>
      <c r="B41" s="206"/>
      <c r="C41" s="234">
        <v>97294</v>
      </c>
      <c r="D41" s="249">
        <v>53.95</v>
      </c>
      <c r="E41" s="230"/>
      <c r="F41" s="228">
        <f>ROUND(D41*$C41,0)</f>
        <v>5249011</v>
      </c>
      <c r="G41" s="249">
        <f>D41</f>
        <v>53.95</v>
      </c>
      <c r="H41" s="230"/>
      <c r="I41" s="228">
        <f>ROUND(G41*$C41,0)</f>
        <v>5249011</v>
      </c>
      <c r="J41" s="228"/>
      <c r="K41" s="227" t="s">
        <v>280</v>
      </c>
    </row>
    <row r="42" spans="1:11" x14ac:dyDescent="0.2">
      <c r="A42" s="230" t="s">
        <v>295</v>
      </c>
      <c r="B42" s="311"/>
      <c r="C42" s="234"/>
      <c r="D42" s="283"/>
      <c r="E42" s="228"/>
      <c r="F42" s="228"/>
      <c r="G42" s="249"/>
      <c r="H42" s="228"/>
      <c r="I42" s="228"/>
      <c r="J42" s="228"/>
      <c r="K42" s="212"/>
    </row>
    <row r="43" spans="1:11" x14ac:dyDescent="0.2">
      <c r="A43" s="243" t="s">
        <v>294</v>
      </c>
      <c r="B43" s="206"/>
      <c r="C43" s="234">
        <v>763328132</v>
      </c>
      <c r="D43" s="232">
        <v>9.2719999999999997E-2</v>
      </c>
      <c r="E43" s="228"/>
      <c r="F43" s="228">
        <f>ROUND($C43*D43,0)</f>
        <v>70775784</v>
      </c>
      <c r="G43" s="232">
        <f>ROUND((1+$I$67)*(D43),6)</f>
        <v>9.0594999999999995E-2</v>
      </c>
      <c r="H43" s="228"/>
      <c r="I43" s="228">
        <f>ROUND($C43*G43,0)</f>
        <v>69153712</v>
      </c>
      <c r="J43" s="228"/>
      <c r="K43" s="236" t="s">
        <v>290</v>
      </c>
    </row>
    <row r="44" spans="1:11" x14ac:dyDescent="0.2">
      <c r="A44" s="243" t="s">
        <v>292</v>
      </c>
      <c r="B44" s="206"/>
      <c r="C44" s="234">
        <v>718862613</v>
      </c>
      <c r="D44" s="232">
        <v>8.3563999999999999E-2</v>
      </c>
      <c r="E44" s="228"/>
      <c r="F44" s="228">
        <f>ROUND($C44*D44,0)</f>
        <v>60071035</v>
      </c>
      <c r="G44" s="232">
        <f>ROUND((1+$I$67)*(D44),6)</f>
        <v>8.1648999999999999E-2</v>
      </c>
      <c r="H44" s="228"/>
      <c r="I44" s="228">
        <f>ROUND($C44*G44,0)</f>
        <v>58694413</v>
      </c>
      <c r="J44" s="228"/>
      <c r="K44" s="236" t="s">
        <v>290</v>
      </c>
    </row>
    <row r="45" spans="1:11" x14ac:dyDescent="0.2">
      <c r="A45" s="243" t="s">
        <v>338</v>
      </c>
      <c r="B45" s="206"/>
      <c r="C45" s="234">
        <v>1302141069</v>
      </c>
      <c r="D45" s="232">
        <v>6.6092999999999999E-2</v>
      </c>
      <c r="E45" s="228"/>
      <c r="F45" s="228">
        <f>ROUND($C45*D45,0)</f>
        <v>86062410</v>
      </c>
      <c r="G45" s="232">
        <f>ROUND((1+$I$67)*(D45),6)</f>
        <v>6.4577999999999997E-2</v>
      </c>
      <c r="H45" s="228"/>
      <c r="I45" s="228">
        <f>ROUND($C45*G45,0)</f>
        <v>84089666</v>
      </c>
      <c r="J45" s="228"/>
      <c r="K45" s="236" t="s">
        <v>290</v>
      </c>
    </row>
    <row r="46" spans="1:11" x14ac:dyDescent="0.2">
      <c r="A46" s="235" t="s">
        <v>246</v>
      </c>
      <c r="B46" s="311"/>
      <c r="C46" s="242">
        <f>SUM(C43:C45)</f>
        <v>2784331814</v>
      </c>
      <c r="D46" s="282"/>
      <c r="E46" s="230"/>
      <c r="F46" s="278">
        <f>SUM(F43:F45)</f>
        <v>216909229</v>
      </c>
      <c r="G46" s="282"/>
      <c r="H46" s="230"/>
      <c r="I46" s="278">
        <f>SUM(I43:I45)</f>
        <v>211937791</v>
      </c>
      <c r="J46" s="228"/>
      <c r="K46" s="212"/>
    </row>
    <row r="47" spans="1:11" x14ac:dyDescent="0.2">
      <c r="A47" s="243" t="s">
        <v>250</v>
      </c>
      <c r="B47" s="206"/>
      <c r="C47" s="234">
        <v>-6814774.4155422319</v>
      </c>
      <c r="D47" s="232">
        <f>D45</f>
        <v>6.6092999999999999E-2</v>
      </c>
      <c r="E47" s="230"/>
      <c r="F47" s="228">
        <f>ROUND($C47*D47,0)</f>
        <v>-450409</v>
      </c>
      <c r="G47" s="232">
        <f>G45</f>
        <v>6.4577999999999997E-2</v>
      </c>
      <c r="H47" s="230"/>
      <c r="I47" s="228">
        <f>ROUND($C47*G47,0)</f>
        <v>-440085</v>
      </c>
      <c r="J47" s="228"/>
      <c r="K47" s="227" t="s">
        <v>337</v>
      </c>
    </row>
    <row r="48" spans="1:11" ht="20.399999999999999" x14ac:dyDescent="0.2">
      <c r="A48" s="238" t="s">
        <v>248</v>
      </c>
      <c r="B48" s="206"/>
      <c r="C48" s="234">
        <v>78528793</v>
      </c>
      <c r="D48" s="232">
        <f>ROUND(F48/C48,6)</f>
        <v>9.2434000000000002E-2</v>
      </c>
      <c r="E48" s="230"/>
      <c r="F48" s="206">
        <v>7258722</v>
      </c>
      <c r="G48" s="232">
        <f>ROUND((1+$I$67)*(D48),6)</f>
        <v>9.0315999999999994E-2</v>
      </c>
      <c r="H48" s="230"/>
      <c r="I48" s="228">
        <f>ROUND($C48*G48,0)-268</f>
        <v>7092138</v>
      </c>
      <c r="J48" s="204"/>
      <c r="K48" s="312" t="s">
        <v>336</v>
      </c>
    </row>
    <row r="49" spans="1:11" x14ac:dyDescent="0.2">
      <c r="A49" s="235" t="s">
        <v>246</v>
      </c>
      <c r="B49" s="206"/>
      <c r="C49" s="242">
        <f>SUM(C46:C48)</f>
        <v>2856045832.5844579</v>
      </c>
      <c r="D49" s="230"/>
      <c r="E49" s="230"/>
      <c r="F49" s="278">
        <f>SUM(F46:F48)</f>
        <v>223717542</v>
      </c>
      <c r="G49" s="230"/>
      <c r="H49" s="230"/>
      <c r="I49" s="278">
        <f>SUM(I46:I48)</f>
        <v>218589844</v>
      </c>
      <c r="J49" s="204"/>
      <c r="K49" s="273"/>
    </row>
    <row r="50" spans="1:11" x14ac:dyDescent="0.2">
      <c r="A50" s="230" t="s">
        <v>284</v>
      </c>
      <c r="B50" s="206"/>
      <c r="C50" s="234"/>
      <c r="D50" s="246"/>
      <c r="E50" s="230"/>
      <c r="F50" s="228"/>
      <c r="G50" s="246"/>
      <c r="H50" s="230"/>
      <c r="I50" s="228"/>
      <c r="J50" s="228"/>
      <c r="K50" s="212"/>
    </row>
    <row r="51" spans="1:11" x14ac:dyDescent="0.2">
      <c r="A51" s="243" t="s">
        <v>283</v>
      </c>
      <c r="B51" s="206"/>
      <c r="C51" s="234">
        <v>2180812</v>
      </c>
      <c r="D51" s="249">
        <v>10.119999999999999</v>
      </c>
      <c r="E51" s="230"/>
      <c r="F51" s="228">
        <f>ROUND(D51*$C51,0)</f>
        <v>22069817</v>
      </c>
      <c r="G51" s="249">
        <f>D51</f>
        <v>10.119999999999999</v>
      </c>
      <c r="H51" s="230"/>
      <c r="I51" s="228">
        <f>ROUND(G51*$C51,0)</f>
        <v>22069817</v>
      </c>
      <c r="J51" s="228"/>
    </row>
    <row r="52" spans="1:11" x14ac:dyDescent="0.2">
      <c r="A52" s="243" t="s">
        <v>282</v>
      </c>
      <c r="B52" s="206"/>
      <c r="C52" s="234">
        <v>1992939</v>
      </c>
      <c r="D52" s="249">
        <v>6.75</v>
      </c>
      <c r="E52" s="230"/>
      <c r="F52" s="228">
        <f>ROUND(D52*$C52,0)</f>
        <v>13452338</v>
      </c>
      <c r="G52" s="249">
        <f>D52</f>
        <v>6.75</v>
      </c>
      <c r="H52" s="230"/>
      <c r="I52" s="228">
        <f>ROUND(G52*$C52,0)</f>
        <v>13452338</v>
      </c>
      <c r="J52" s="228"/>
      <c r="K52" s="227" t="s">
        <v>280</v>
      </c>
    </row>
    <row r="53" spans="1:11" x14ac:dyDescent="0.2">
      <c r="A53" s="235" t="s">
        <v>246</v>
      </c>
      <c r="C53" s="242">
        <f>SUM(C51:C52)</f>
        <v>4173751</v>
      </c>
      <c r="D53" s="246"/>
      <c r="E53" s="230"/>
      <c r="F53" s="278">
        <f>SUM(F51:F52)</f>
        <v>35522155</v>
      </c>
      <c r="G53" s="246"/>
      <c r="H53" s="230"/>
      <c r="I53" s="278">
        <f>SUM(I51:I52)</f>
        <v>35522155</v>
      </c>
      <c r="J53" s="228"/>
      <c r="K53" s="212"/>
    </row>
    <row r="54" spans="1:11" x14ac:dyDescent="0.2">
      <c r="A54" s="230"/>
      <c r="B54" s="230"/>
      <c r="C54" s="247"/>
      <c r="D54" s="216"/>
      <c r="E54" s="230"/>
      <c r="F54" s="204"/>
      <c r="G54" s="216"/>
      <c r="H54" s="230"/>
      <c r="I54" s="204"/>
      <c r="J54" s="204"/>
      <c r="K54" s="273"/>
    </row>
    <row r="55" spans="1:11" x14ac:dyDescent="0.2">
      <c r="A55" s="230" t="s">
        <v>281</v>
      </c>
      <c r="B55" s="206"/>
      <c r="C55" s="234">
        <v>563802746</v>
      </c>
      <c r="D55" s="277">
        <v>3.1800000000000001E-3</v>
      </c>
      <c r="E55" s="230"/>
      <c r="F55" s="228">
        <f>ROUND(D55*$C55,0)</f>
        <v>1792893</v>
      </c>
      <c r="G55" s="277">
        <f>D55</f>
        <v>3.1800000000000001E-3</v>
      </c>
      <c r="H55" s="230"/>
      <c r="I55" s="228">
        <f>ROUND(G55*$C55,0)</f>
        <v>1792893</v>
      </c>
      <c r="J55" s="204"/>
      <c r="K55" s="227" t="s">
        <v>280</v>
      </c>
    </row>
    <row r="56" spans="1:11" x14ac:dyDescent="0.2">
      <c r="A56" s="230"/>
      <c r="B56" s="230"/>
      <c r="C56" s="216"/>
      <c r="D56" s="216"/>
      <c r="E56" s="230"/>
      <c r="F56" s="204"/>
      <c r="G56" s="216"/>
      <c r="H56" s="230"/>
      <c r="I56" s="204"/>
      <c r="J56" s="204"/>
    </row>
    <row r="57" spans="1:11" ht="10.8" thickBot="1" x14ac:dyDescent="0.25">
      <c r="A57" s="230" t="s">
        <v>279</v>
      </c>
      <c r="B57" s="230"/>
      <c r="C57" s="216"/>
      <c r="D57" s="216"/>
      <c r="E57" s="230"/>
      <c r="F57" s="276">
        <f>SUM(F41,F49,F53,F55)</f>
        <v>266281601</v>
      </c>
      <c r="G57" s="216"/>
      <c r="H57" s="230"/>
      <c r="I57" s="276">
        <f>SUM(I41,I49,I53,I55)</f>
        <v>261153903</v>
      </c>
      <c r="J57" s="204"/>
      <c r="K57" s="220"/>
    </row>
    <row r="58" spans="1:11" ht="10.8" thickTop="1" x14ac:dyDescent="0.2">
      <c r="A58" s="230"/>
      <c r="B58" s="274"/>
      <c r="C58" s="216"/>
      <c r="D58" s="216"/>
      <c r="E58" s="230"/>
      <c r="F58" s="228"/>
      <c r="G58" s="216"/>
      <c r="H58" s="230"/>
      <c r="I58" s="228"/>
      <c r="J58" s="228"/>
    </row>
    <row r="59" spans="1:11" x14ac:dyDescent="0.2">
      <c r="A59" s="309" t="s">
        <v>335</v>
      </c>
      <c r="B59" s="327"/>
      <c r="C59" s="322"/>
      <c r="D59" s="322"/>
      <c r="E59" s="321"/>
      <c r="F59" s="320"/>
      <c r="G59" s="322"/>
      <c r="H59" s="321"/>
      <c r="I59" s="306">
        <v>262461530.9501732</v>
      </c>
      <c r="J59" s="228"/>
      <c r="K59" s="212"/>
    </row>
    <row r="60" spans="1:11" x14ac:dyDescent="0.2">
      <c r="A60" s="305" t="s">
        <v>242</v>
      </c>
      <c r="B60" s="325"/>
      <c r="C60" s="216"/>
      <c r="D60" s="216"/>
      <c r="E60" s="217"/>
      <c r="F60" s="204"/>
      <c r="G60" s="216"/>
      <c r="H60" s="217"/>
      <c r="I60" s="304">
        <f>I59-I166-I57</f>
        <v>1257.9501731991768</v>
      </c>
      <c r="J60" s="228"/>
      <c r="K60" s="212"/>
    </row>
    <row r="61" spans="1:11" x14ac:dyDescent="0.2">
      <c r="A61" s="334" t="s">
        <v>334</v>
      </c>
      <c r="B61" s="333"/>
      <c r="C61" s="331"/>
      <c r="D61" s="331"/>
      <c r="E61" s="330"/>
      <c r="F61" s="332"/>
      <c r="G61" s="331"/>
      <c r="H61" s="330"/>
      <c r="I61" s="329">
        <f>I59/SUM(F166,F57)-1</f>
        <v>-1.9251943098375968E-2</v>
      </c>
      <c r="J61" s="228"/>
      <c r="K61" s="212"/>
    </row>
    <row r="62" spans="1:11" x14ac:dyDescent="0.2">
      <c r="A62" s="230"/>
      <c r="B62" s="274"/>
      <c r="C62" s="216"/>
      <c r="D62" s="216"/>
      <c r="E62" s="230"/>
      <c r="F62" s="228"/>
      <c r="G62" s="216"/>
      <c r="H62" s="230"/>
      <c r="I62" s="228"/>
      <c r="J62" s="228"/>
      <c r="K62" s="212"/>
    </row>
    <row r="63" spans="1:11" x14ac:dyDescent="0.2">
      <c r="A63" s="328" t="s">
        <v>333</v>
      </c>
      <c r="B63" s="327"/>
      <c r="C63" s="322"/>
      <c r="D63" s="322"/>
      <c r="E63" s="321"/>
      <c r="F63" s="320"/>
      <c r="G63" s="322"/>
      <c r="H63" s="321"/>
      <c r="I63" s="326">
        <v>-5152082.0498267785</v>
      </c>
      <c r="J63" s="310"/>
      <c r="K63" s="212"/>
    </row>
    <row r="64" spans="1:11" x14ac:dyDescent="0.2">
      <c r="A64" s="292" t="s">
        <v>332</v>
      </c>
      <c r="B64" s="325"/>
      <c r="C64" s="216"/>
      <c r="D64" s="216"/>
      <c r="E64" s="217"/>
      <c r="F64" s="204"/>
      <c r="G64" s="216"/>
      <c r="H64" s="217"/>
      <c r="I64" s="317">
        <f>I169</f>
        <v>-25643.819230353969</v>
      </c>
      <c r="J64" s="310"/>
      <c r="K64" s="212"/>
    </row>
    <row r="65" spans="1:11" x14ac:dyDescent="0.2">
      <c r="A65" s="292" t="s">
        <v>331</v>
      </c>
      <c r="B65" s="325"/>
      <c r="C65" s="216"/>
      <c r="D65" s="216"/>
      <c r="E65" s="217"/>
      <c r="F65" s="204"/>
      <c r="G65" s="216"/>
      <c r="H65" s="217"/>
      <c r="I65" s="317">
        <f>+I63-I64</f>
        <v>-5126438.2305964241</v>
      </c>
      <c r="J65" s="310"/>
      <c r="K65" s="212"/>
    </row>
    <row r="66" spans="1:11" x14ac:dyDescent="0.2">
      <c r="A66" s="292" t="s">
        <v>330</v>
      </c>
      <c r="B66" s="325"/>
      <c r="C66" s="216"/>
      <c r="D66" s="216"/>
      <c r="E66" s="217"/>
      <c r="F66" s="204"/>
      <c r="G66" s="216"/>
      <c r="H66" s="217"/>
      <c r="I66" s="317">
        <f>F57-F55-F53-F41</f>
        <v>223717542</v>
      </c>
      <c r="J66" s="310"/>
      <c r="K66" s="212"/>
    </row>
    <row r="67" spans="1:11" x14ac:dyDescent="0.2">
      <c r="A67" s="292" t="s">
        <v>329</v>
      </c>
      <c r="B67" s="325"/>
      <c r="C67" s="216"/>
      <c r="D67" s="216"/>
      <c r="E67" s="217"/>
      <c r="F67" s="204"/>
      <c r="G67" s="216"/>
      <c r="H67" s="217"/>
      <c r="I67" s="303">
        <f>I65/I66</f>
        <v>-2.2914779881661778E-2</v>
      </c>
      <c r="J67" s="310"/>
      <c r="K67" s="212"/>
    </row>
    <row r="68" spans="1:11" x14ac:dyDescent="0.2">
      <c r="A68" s="292" t="s">
        <v>328</v>
      </c>
      <c r="B68" s="325"/>
      <c r="C68" s="216"/>
      <c r="D68" s="216"/>
      <c r="E68" s="217"/>
      <c r="F68" s="204"/>
      <c r="G68" s="216"/>
      <c r="H68" s="217"/>
      <c r="I68" s="304">
        <f>I57-F57-I65</f>
        <v>-1259.7694035759196</v>
      </c>
      <c r="J68" s="310"/>
      <c r="K68" s="212"/>
    </row>
    <row r="69" spans="1:11" x14ac:dyDescent="0.2">
      <c r="A69" s="290" t="s">
        <v>313</v>
      </c>
      <c r="B69" s="300"/>
      <c r="C69" s="300"/>
      <c r="D69" s="302"/>
      <c r="E69" s="300"/>
      <c r="F69" s="300"/>
      <c r="G69" s="301"/>
      <c r="H69" s="300"/>
      <c r="I69" s="299">
        <f>I68/C49</f>
        <v>-4.4108865103048595E-7</v>
      </c>
      <c r="J69" s="310"/>
      <c r="K69" s="212"/>
    </row>
    <row r="70" spans="1:11" x14ac:dyDescent="0.2">
      <c r="A70" s="236"/>
      <c r="B70" s="274"/>
      <c r="C70" s="216"/>
      <c r="D70" s="216"/>
      <c r="E70" s="230"/>
      <c r="F70" s="228"/>
      <c r="G70" s="216"/>
      <c r="H70" s="230"/>
      <c r="I70" s="228"/>
      <c r="J70" s="228"/>
      <c r="K70" s="212"/>
    </row>
    <row r="71" spans="1:11" x14ac:dyDescent="0.2">
      <c r="A71" s="324" t="s">
        <v>327</v>
      </c>
      <c r="B71" s="323"/>
      <c r="C71" s="323"/>
      <c r="D71" s="322"/>
      <c r="E71" s="321"/>
      <c r="F71" s="320"/>
      <c r="G71" s="307"/>
      <c r="H71" s="307"/>
      <c r="I71" s="319"/>
      <c r="J71" s="228"/>
    </row>
    <row r="72" spans="1:11" x14ac:dyDescent="0.2">
      <c r="A72" s="316" t="s">
        <v>326</v>
      </c>
      <c r="B72" s="212"/>
      <c r="C72" s="212"/>
      <c r="D72" s="270">
        <f>D43-D45</f>
        <v>2.6626999999999998E-2</v>
      </c>
      <c r="E72" s="212"/>
      <c r="F72" s="270"/>
      <c r="G72" s="270"/>
      <c r="H72" s="212"/>
      <c r="I72" s="295"/>
    </row>
    <row r="73" spans="1:11" x14ac:dyDescent="0.2">
      <c r="A73" s="316" t="s">
        <v>325</v>
      </c>
      <c r="B73" s="212"/>
      <c r="C73" s="212"/>
      <c r="D73" s="270">
        <f>D44-D45</f>
        <v>1.7471E-2</v>
      </c>
      <c r="E73" s="212"/>
      <c r="F73" s="270"/>
      <c r="G73" s="270"/>
      <c r="H73" s="212"/>
      <c r="I73" s="295"/>
    </row>
    <row r="74" spans="1:11" x14ac:dyDescent="0.2">
      <c r="A74" s="316" t="s">
        <v>324</v>
      </c>
      <c r="B74" s="212"/>
      <c r="C74" s="318">
        <f>C43</f>
        <v>763328132</v>
      </c>
      <c r="D74" s="270"/>
      <c r="E74" s="212"/>
      <c r="F74" s="212"/>
      <c r="G74" s="318"/>
      <c r="H74" s="212"/>
      <c r="I74" s="295"/>
    </row>
    <row r="75" spans="1:11" x14ac:dyDescent="0.2">
      <c r="A75" s="316" t="s">
        <v>323</v>
      </c>
      <c r="B75" s="212"/>
      <c r="C75" s="318">
        <f>C44</f>
        <v>718862613</v>
      </c>
      <c r="D75" s="270"/>
      <c r="E75" s="212"/>
      <c r="F75" s="212"/>
      <c r="G75" s="318"/>
      <c r="H75" s="212"/>
      <c r="I75" s="295"/>
    </row>
    <row r="76" spans="1:11" x14ac:dyDescent="0.2">
      <c r="A76" s="316" t="s">
        <v>322</v>
      </c>
      <c r="B76" s="212"/>
      <c r="C76" s="212"/>
      <c r="D76" s="318"/>
      <c r="E76" s="212"/>
      <c r="F76" s="268">
        <f>C74*D72+D73*C75</f>
        <v>32884386.882486999</v>
      </c>
      <c r="G76" s="212"/>
      <c r="H76" s="212"/>
      <c r="I76" s="317"/>
    </row>
    <row r="77" spans="1:11" x14ac:dyDescent="0.2">
      <c r="A77" s="316" t="s">
        <v>321</v>
      </c>
      <c r="B77" s="212"/>
      <c r="C77" s="212"/>
      <c r="D77" s="268"/>
      <c r="E77" s="212"/>
      <c r="F77" s="268">
        <f>SUM(F53,F55)</f>
        <v>37315048</v>
      </c>
      <c r="G77" s="212"/>
      <c r="H77" s="212"/>
      <c r="I77" s="317"/>
    </row>
    <row r="78" spans="1:11" x14ac:dyDescent="0.2">
      <c r="A78" s="316" t="s">
        <v>320</v>
      </c>
      <c r="B78" s="212"/>
      <c r="C78" s="212"/>
      <c r="D78" s="212"/>
      <c r="E78" s="212"/>
      <c r="F78" s="268">
        <f>SUM(F76:F77)</f>
        <v>70199434.882486999</v>
      </c>
      <c r="G78" s="212"/>
      <c r="H78" s="212"/>
      <c r="I78" s="317"/>
    </row>
    <row r="79" spans="1:11" x14ac:dyDescent="0.2">
      <c r="A79" s="305"/>
      <c r="B79" s="212"/>
      <c r="C79" s="212"/>
      <c r="D79" s="212"/>
      <c r="E79" s="212"/>
      <c r="F79" s="212"/>
      <c r="G79" s="268"/>
      <c r="H79" s="212"/>
      <c r="I79" s="295"/>
    </row>
    <row r="80" spans="1:11" x14ac:dyDescent="0.2">
      <c r="A80" s="316" t="s">
        <v>275</v>
      </c>
      <c r="B80" s="212"/>
      <c r="C80" s="268"/>
      <c r="D80" s="270">
        <f>ROUND(SUM(F43:F44)/SUM($C$43:$C$44),6)</f>
        <v>8.8278999999999996E-2</v>
      </c>
      <c r="E80" s="212"/>
      <c r="F80" s="212"/>
      <c r="G80" s="270">
        <f>ROUND(SUM(I43:I44)/SUM($C$43:$C$44),6)</f>
        <v>8.6255999999999999E-2</v>
      </c>
      <c r="H80" s="212"/>
      <c r="I80" s="295"/>
    </row>
    <row r="81" spans="1:11" x14ac:dyDescent="0.2">
      <c r="A81" s="315" t="s">
        <v>273</v>
      </c>
      <c r="B81" s="300"/>
      <c r="C81" s="314"/>
      <c r="D81" s="302">
        <f>ROUND(SUM(F53)/SUM($C$53),2)</f>
        <v>8.51</v>
      </c>
      <c r="E81" s="300"/>
      <c r="F81" s="300"/>
      <c r="G81" s="302">
        <f>ROUND(SUM(I53)/SUM($C$53),2)</f>
        <v>8.51</v>
      </c>
      <c r="H81" s="300"/>
      <c r="I81" s="313"/>
      <c r="K81" s="236"/>
    </row>
    <row r="82" spans="1:11" x14ac:dyDescent="0.2">
      <c r="D82" s="212"/>
    </row>
    <row r="83" spans="1:11" x14ac:dyDescent="0.2">
      <c r="A83" s="257" t="s">
        <v>319</v>
      </c>
      <c r="B83" s="230"/>
      <c r="C83" s="229"/>
      <c r="D83" s="228"/>
      <c r="E83" s="230"/>
      <c r="F83" s="230"/>
      <c r="G83" s="228"/>
      <c r="H83" s="230"/>
      <c r="I83" s="228" t="s">
        <v>241</v>
      </c>
      <c r="J83" s="228"/>
    </row>
    <row r="84" spans="1:11" x14ac:dyDescent="0.2">
      <c r="A84" s="251" t="s">
        <v>311</v>
      </c>
      <c r="B84" s="230"/>
      <c r="C84" s="230" t="s">
        <v>241</v>
      </c>
      <c r="D84" s="228"/>
      <c r="E84" s="230"/>
      <c r="F84" s="230"/>
      <c r="G84" s="228"/>
      <c r="H84" s="230"/>
      <c r="I84" s="230"/>
      <c r="J84" s="230"/>
    </row>
    <row r="85" spans="1:11" x14ac:dyDescent="0.2">
      <c r="A85" s="230"/>
      <c r="B85" s="230"/>
      <c r="C85" s="230"/>
      <c r="D85" s="228"/>
      <c r="E85" s="230"/>
      <c r="F85" s="230"/>
      <c r="G85" s="228"/>
      <c r="H85" s="230"/>
      <c r="I85" s="230"/>
      <c r="J85" s="230"/>
      <c r="K85" s="212"/>
    </row>
    <row r="86" spans="1:11" x14ac:dyDescent="0.2">
      <c r="A86" s="230" t="s">
        <v>9</v>
      </c>
      <c r="B86" s="206"/>
      <c r="C86" s="229">
        <v>10079</v>
      </c>
      <c r="D86" s="249">
        <v>109.08</v>
      </c>
      <c r="E86" s="230"/>
      <c r="F86" s="228">
        <f>ROUND(D86*$C86,0)</f>
        <v>1099417</v>
      </c>
      <c r="G86" s="249">
        <f>D86</f>
        <v>109.08</v>
      </c>
      <c r="H86" s="230"/>
      <c r="I86" s="228">
        <f>ROUND(G86*$C86,0)</f>
        <v>1099417</v>
      </c>
      <c r="J86" s="228"/>
      <c r="K86" s="227" t="s">
        <v>280</v>
      </c>
    </row>
    <row r="87" spans="1:11" x14ac:dyDescent="0.2">
      <c r="A87" s="230" t="s">
        <v>295</v>
      </c>
      <c r="B87" s="311"/>
      <c r="C87" s="229"/>
      <c r="D87" s="283"/>
      <c r="E87" s="228"/>
      <c r="F87" s="228"/>
      <c r="G87" s="283"/>
      <c r="H87" s="228"/>
      <c r="I87" s="228"/>
      <c r="J87" s="228"/>
      <c r="K87" s="212"/>
    </row>
    <row r="88" spans="1:11" x14ac:dyDescent="0.2">
      <c r="A88" s="243" t="s">
        <v>308</v>
      </c>
      <c r="B88" s="206"/>
      <c r="C88" s="229">
        <v>1725734026</v>
      </c>
      <c r="D88" s="232">
        <v>5.9096000000000003E-2</v>
      </c>
      <c r="E88" s="228"/>
      <c r="F88" s="228">
        <f>ROUND($C88*D88,0)</f>
        <v>101983978</v>
      </c>
      <c r="G88" s="232">
        <f>ROUND(D88*(1+$I$107),6)</f>
        <v>5.7457000000000001E-2</v>
      </c>
      <c r="H88" s="228"/>
      <c r="I88" s="228">
        <f>ROUND($C88*G88,0)</f>
        <v>99155500</v>
      </c>
      <c r="J88" s="228"/>
      <c r="K88" s="236" t="s">
        <v>318</v>
      </c>
    </row>
    <row r="89" spans="1:11" x14ac:dyDescent="0.2">
      <c r="A89" s="235" t="s">
        <v>246</v>
      </c>
      <c r="B89" s="311"/>
      <c r="C89" s="279">
        <f>SUM(C88:C88)</f>
        <v>1725734026</v>
      </c>
      <c r="D89" s="282"/>
      <c r="E89" s="230"/>
      <c r="F89" s="278">
        <f>SUM(F88:F88)</f>
        <v>101983978</v>
      </c>
      <c r="G89" s="282"/>
      <c r="H89" s="230"/>
      <c r="I89" s="278">
        <f>SUM(I88:I88)</f>
        <v>99155500</v>
      </c>
      <c r="J89" s="228"/>
      <c r="K89" s="212"/>
    </row>
    <row r="90" spans="1:11" x14ac:dyDescent="0.2">
      <c r="A90" s="243" t="s">
        <v>250</v>
      </c>
      <c r="B90" s="311"/>
      <c r="C90" s="229">
        <v>-8381430.2384570576</v>
      </c>
      <c r="D90" s="232">
        <f>D88</f>
        <v>5.9096000000000003E-2</v>
      </c>
      <c r="E90" s="230"/>
      <c r="F90" s="228">
        <f>ROUND($C90*D90,0)</f>
        <v>-495309</v>
      </c>
      <c r="G90" s="232">
        <f>G88</f>
        <v>5.7457000000000001E-2</v>
      </c>
      <c r="H90" s="230"/>
      <c r="I90" s="228">
        <f>ROUND($C90*G90,0)</f>
        <v>-481572</v>
      </c>
      <c r="J90" s="228"/>
      <c r="K90" s="236"/>
    </row>
    <row r="91" spans="1:11" ht="20.399999999999999" x14ac:dyDescent="0.2">
      <c r="A91" s="238" t="s">
        <v>248</v>
      </c>
      <c r="B91" s="311"/>
      <c r="C91" s="229">
        <v>34440852</v>
      </c>
      <c r="D91" s="232">
        <f>ROUND(F91/C7:C91,6)</f>
        <v>8.5965E-2</v>
      </c>
      <c r="E91" s="230"/>
      <c r="F91" s="206">
        <v>2960719</v>
      </c>
      <c r="G91" s="232">
        <f>ROUND(D91*(1+$I$107),6)</f>
        <v>8.3581000000000003E-2</v>
      </c>
      <c r="H91" s="230"/>
      <c r="I91" s="228">
        <f>ROUND($C91*G91,0)-763</f>
        <v>2877838</v>
      </c>
      <c r="J91" s="204"/>
      <c r="K91" s="312" t="s">
        <v>317</v>
      </c>
    </row>
    <row r="92" spans="1:11" x14ac:dyDescent="0.2">
      <c r="A92" s="235" t="s">
        <v>246</v>
      </c>
      <c r="B92" s="206"/>
      <c r="C92" s="279">
        <f>SUM(C89:C91)</f>
        <v>1751793447.761543</v>
      </c>
      <c r="D92" s="230"/>
      <c r="E92" s="230"/>
      <c r="F92" s="278">
        <f>SUM(F89:F91)</f>
        <v>104449388</v>
      </c>
      <c r="G92" s="230"/>
      <c r="H92" s="230"/>
      <c r="I92" s="278">
        <f>SUM(I89:I91)</f>
        <v>101551766</v>
      </c>
      <c r="J92" s="204"/>
      <c r="K92" s="236"/>
    </row>
    <row r="93" spans="1:11" x14ac:dyDescent="0.2">
      <c r="A93" s="230" t="s">
        <v>284</v>
      </c>
      <c r="B93" s="206"/>
      <c r="C93" s="229"/>
      <c r="D93" s="246"/>
      <c r="E93" s="230"/>
      <c r="F93" s="228"/>
      <c r="G93" s="246"/>
      <c r="H93" s="230"/>
      <c r="I93" s="228"/>
      <c r="J93" s="228"/>
      <c r="K93" s="236"/>
    </row>
    <row r="94" spans="1:11" x14ac:dyDescent="0.2">
      <c r="A94" s="243" t="s">
        <v>307</v>
      </c>
      <c r="B94" s="206"/>
      <c r="C94" s="229">
        <v>2158263</v>
      </c>
      <c r="D94" s="249">
        <v>12.23</v>
      </c>
      <c r="E94" s="230"/>
      <c r="F94" s="228">
        <f>ROUND(D94*$C94,0)</f>
        <v>26395556</v>
      </c>
      <c r="G94" s="249">
        <f>D94</f>
        <v>12.23</v>
      </c>
      <c r="H94" s="230"/>
      <c r="I94" s="228">
        <f>ROUND(G94*$C94,0)</f>
        <v>26395556</v>
      </c>
      <c r="J94" s="228"/>
      <c r="K94" s="227" t="s">
        <v>280</v>
      </c>
    </row>
    <row r="95" spans="1:11" x14ac:dyDescent="0.2">
      <c r="A95" s="243" t="s">
        <v>306</v>
      </c>
      <c r="B95" s="206"/>
      <c r="C95" s="229">
        <v>2157451</v>
      </c>
      <c r="D95" s="249">
        <v>8.15</v>
      </c>
      <c r="E95" s="230"/>
      <c r="F95" s="228">
        <f>ROUND(D95*$C95,0)</f>
        <v>17583226</v>
      </c>
      <c r="G95" s="249">
        <f>D95</f>
        <v>8.15</v>
      </c>
      <c r="H95" s="230"/>
      <c r="I95" s="228">
        <f>ROUND(G95*$C95,0)</f>
        <v>17583226</v>
      </c>
      <c r="J95" s="228"/>
      <c r="K95" s="227" t="s">
        <v>280</v>
      </c>
    </row>
    <row r="96" spans="1:11" x14ac:dyDescent="0.2">
      <c r="A96" s="235" t="s">
        <v>246</v>
      </c>
      <c r="B96" s="311"/>
      <c r="C96" s="279">
        <f>SUM(C94:C95)</f>
        <v>4315714</v>
      </c>
      <c r="D96" s="246"/>
      <c r="E96" s="230"/>
      <c r="F96" s="278">
        <f>SUM(F94:F95)</f>
        <v>43978782</v>
      </c>
      <c r="G96" s="246"/>
      <c r="H96" s="230"/>
      <c r="I96" s="278">
        <f>SUM(I94:I95)</f>
        <v>43978782</v>
      </c>
      <c r="J96" s="228"/>
      <c r="K96" s="236"/>
    </row>
    <row r="97" spans="1:11" x14ac:dyDescent="0.2">
      <c r="A97" s="230"/>
      <c r="B97" s="206"/>
      <c r="C97" s="216"/>
      <c r="D97" s="216"/>
      <c r="E97" s="230"/>
      <c r="F97" s="204"/>
      <c r="G97" s="216"/>
      <c r="H97" s="230"/>
      <c r="I97" s="204"/>
      <c r="J97" s="204"/>
      <c r="K97" s="236"/>
    </row>
    <row r="98" spans="1:11" x14ac:dyDescent="0.2">
      <c r="A98" s="230" t="s">
        <v>281</v>
      </c>
      <c r="B98" s="206"/>
      <c r="C98" s="229">
        <v>731937743</v>
      </c>
      <c r="D98" s="277">
        <v>1.2999999999999999E-3</v>
      </c>
      <c r="E98" s="230"/>
      <c r="F98" s="228">
        <f>ROUND(D98*$C98,0)</f>
        <v>951519</v>
      </c>
      <c r="G98" s="277">
        <f>D98</f>
        <v>1.2999999999999999E-3</v>
      </c>
      <c r="H98" s="230"/>
      <c r="I98" s="228">
        <f>ROUND(G98*$C98,0)</f>
        <v>951519</v>
      </c>
      <c r="J98" s="204"/>
      <c r="K98" s="227" t="s">
        <v>280</v>
      </c>
    </row>
    <row r="99" spans="1:11" x14ac:dyDescent="0.2">
      <c r="A99" s="230"/>
      <c r="B99" s="230"/>
      <c r="C99" s="216"/>
      <c r="D99" s="216"/>
      <c r="E99" s="230"/>
      <c r="F99" s="204"/>
      <c r="G99" s="216"/>
      <c r="H99" s="230"/>
      <c r="I99" s="204"/>
      <c r="J99" s="204"/>
      <c r="K99" s="273"/>
    </row>
    <row r="100" spans="1:11" ht="10.8" thickBot="1" x14ac:dyDescent="0.25">
      <c r="A100" s="230" t="s">
        <v>279</v>
      </c>
      <c r="B100" s="230"/>
      <c r="C100" s="216"/>
      <c r="D100" s="216"/>
      <c r="E100" s="230"/>
      <c r="F100" s="276">
        <f>SUM(F86,F92,F96,F98)</f>
        <v>150479106</v>
      </c>
      <c r="G100" s="216"/>
      <c r="H100" s="230"/>
      <c r="I100" s="276">
        <f>SUM(I86,I92,I96,I98)</f>
        <v>147581484</v>
      </c>
      <c r="J100" s="204"/>
    </row>
    <row r="101" spans="1:11" ht="10.8" thickTop="1" x14ac:dyDescent="0.2">
      <c r="A101" s="230"/>
      <c r="B101" s="274"/>
      <c r="C101" s="216"/>
      <c r="D101" s="216"/>
      <c r="E101" s="230"/>
      <c r="F101" s="228"/>
      <c r="G101" s="216"/>
      <c r="H101" s="230"/>
      <c r="I101" s="228"/>
      <c r="J101" s="228"/>
      <c r="K101" s="273"/>
    </row>
    <row r="102" spans="1:11" x14ac:dyDescent="0.2">
      <c r="A102" s="310" t="str">
        <f>A81</f>
        <v>Avg Demand</v>
      </c>
      <c r="D102" s="267">
        <f>ROUND(SUM(F96)/SUM($C$96),2)</f>
        <v>10.19</v>
      </c>
      <c r="G102" s="267">
        <f>ROUND(SUM(I96)/SUM($C$96),2)</f>
        <v>10.19</v>
      </c>
    </row>
    <row r="103" spans="1:11" x14ac:dyDescent="0.2">
      <c r="A103" s="310"/>
      <c r="D103" s="267"/>
      <c r="G103" s="267"/>
    </row>
    <row r="104" spans="1:11" x14ac:dyDescent="0.2">
      <c r="A104" s="309" t="s">
        <v>316</v>
      </c>
      <c r="B104" s="307"/>
      <c r="C104" s="307"/>
      <c r="D104" s="308"/>
      <c r="E104" s="307"/>
      <c r="F104" s="307"/>
      <c r="G104" s="308"/>
      <c r="H104" s="307"/>
      <c r="I104" s="306">
        <v>148407621.76021767</v>
      </c>
    </row>
    <row r="105" spans="1:11" x14ac:dyDescent="0.2">
      <c r="A105" s="305" t="s">
        <v>242</v>
      </c>
      <c r="B105" s="212"/>
      <c r="C105" s="212"/>
      <c r="D105" s="212"/>
      <c r="E105" s="212"/>
      <c r="F105" s="212"/>
      <c r="G105" s="212"/>
      <c r="H105" s="212"/>
      <c r="I105" s="304">
        <f>I104-F132-F100</f>
        <v>-2913220.2397823334</v>
      </c>
      <c r="K105" s="275">
        <f>I100-F100+I132-F132-I105</f>
        <v>-579.76021766662598</v>
      </c>
    </row>
    <row r="106" spans="1:11" x14ac:dyDescent="0.2">
      <c r="A106" s="292" t="s">
        <v>315</v>
      </c>
      <c r="B106" s="212"/>
      <c r="C106" s="212"/>
      <c r="D106" s="267"/>
      <c r="E106" s="212"/>
      <c r="F106" s="212"/>
      <c r="G106" s="267"/>
      <c r="H106" s="212"/>
      <c r="I106" s="303">
        <f>I104/SUM(F132,F100)-1</f>
        <v>-1.9251943098375968E-2</v>
      </c>
    </row>
    <row r="107" spans="1:11" x14ac:dyDescent="0.2">
      <c r="A107" s="292" t="s">
        <v>314</v>
      </c>
      <c r="B107" s="212"/>
      <c r="C107" s="212"/>
      <c r="D107" s="267"/>
      <c r="E107" s="212"/>
      <c r="F107" s="212"/>
      <c r="G107" s="267"/>
      <c r="H107" s="212"/>
      <c r="I107" s="303">
        <f>I105/SUM(F121,F92)</f>
        <v>-2.7736314670496101E-2</v>
      </c>
    </row>
    <row r="108" spans="1:11" x14ac:dyDescent="0.2">
      <c r="A108" s="290" t="s">
        <v>313</v>
      </c>
      <c r="B108" s="300"/>
      <c r="C108" s="300"/>
      <c r="D108" s="302"/>
      <c r="E108" s="300"/>
      <c r="F108" s="300"/>
      <c r="G108" s="301"/>
      <c r="H108" s="300"/>
      <c r="I108" s="299">
        <f>(I100-F100+I132-F132-I105)/(C121+C92)</f>
        <v>-3.2905192257191107E-7</v>
      </c>
    </row>
    <row r="109" spans="1:11" x14ac:dyDescent="0.2">
      <c r="B109" s="230"/>
      <c r="C109" s="229"/>
      <c r="D109" s="228"/>
      <c r="E109" s="230"/>
      <c r="F109" s="230"/>
      <c r="G109" s="228"/>
      <c r="H109" s="230"/>
      <c r="I109" s="228" t="s">
        <v>241</v>
      </c>
      <c r="J109" s="228"/>
    </row>
    <row r="110" spans="1:11" x14ac:dyDescent="0.2">
      <c r="A110" s="257" t="s">
        <v>312</v>
      </c>
      <c r="B110" s="230"/>
      <c r="C110" s="230" t="s">
        <v>241</v>
      </c>
      <c r="D110" s="228"/>
      <c r="E110" s="230"/>
      <c r="F110" s="230"/>
      <c r="G110" s="228"/>
      <c r="H110" s="230"/>
      <c r="I110" s="230"/>
      <c r="J110" s="230"/>
    </row>
    <row r="111" spans="1:11" x14ac:dyDescent="0.2">
      <c r="A111" s="251" t="s">
        <v>311</v>
      </c>
      <c r="B111" s="230"/>
      <c r="C111" s="230"/>
      <c r="D111" s="228"/>
      <c r="E111" s="230"/>
      <c r="F111" s="230"/>
      <c r="G111" s="228"/>
      <c r="H111" s="230"/>
      <c r="I111" s="230"/>
      <c r="J111" s="230"/>
      <c r="K111" s="212"/>
    </row>
    <row r="112" spans="1:11" x14ac:dyDescent="0.2">
      <c r="A112" s="230" t="s">
        <v>9</v>
      </c>
      <c r="C112" s="229">
        <v>24</v>
      </c>
      <c r="D112" s="249">
        <f>D86</f>
        <v>109.08</v>
      </c>
      <c r="E112" s="230"/>
      <c r="F112" s="228">
        <f>ROUND(D112*$C112,0)</f>
        <v>2618</v>
      </c>
      <c r="G112" s="249">
        <f>G86</f>
        <v>109.08</v>
      </c>
      <c r="H112" s="230"/>
      <c r="I112" s="228">
        <f>ROUND(G112*$C112,0)</f>
        <v>2618</v>
      </c>
      <c r="J112" s="228"/>
      <c r="K112" s="227" t="s">
        <v>280</v>
      </c>
    </row>
    <row r="113" spans="1:11" x14ac:dyDescent="0.2">
      <c r="A113" s="238" t="s">
        <v>310</v>
      </c>
      <c r="B113" s="230"/>
      <c r="C113" s="229">
        <f>C112</f>
        <v>24</v>
      </c>
      <c r="D113" s="249">
        <v>249.03000000000003</v>
      </c>
      <c r="E113" s="230"/>
      <c r="F113" s="228">
        <f>ROUND(D113*$C113,0)</f>
        <v>5977</v>
      </c>
      <c r="G113" s="249">
        <f>F135</f>
        <v>249.03000000000003</v>
      </c>
      <c r="H113" s="230"/>
      <c r="I113" s="228">
        <f>ROUND(G113*$C113,0)</f>
        <v>5977</v>
      </c>
      <c r="J113" s="228"/>
      <c r="K113" s="227" t="s">
        <v>280</v>
      </c>
    </row>
    <row r="114" spans="1:11" x14ac:dyDescent="0.2">
      <c r="A114" s="235" t="s">
        <v>246</v>
      </c>
      <c r="B114" s="230"/>
      <c r="C114" s="229"/>
      <c r="D114" s="249"/>
      <c r="E114" s="230"/>
      <c r="F114" s="278">
        <f>SUM(F112:F113)</f>
        <v>8595</v>
      </c>
      <c r="G114" s="249"/>
      <c r="H114" s="230"/>
      <c r="I114" s="278">
        <f>SUM(I112:I113)</f>
        <v>8595</v>
      </c>
      <c r="J114" s="228"/>
      <c r="K114" s="227" t="s">
        <v>309</v>
      </c>
    </row>
    <row r="115" spans="1:11" x14ac:dyDescent="0.2">
      <c r="A115" s="230" t="s">
        <v>295</v>
      </c>
      <c r="C115" s="229"/>
      <c r="D115" s="283"/>
      <c r="E115" s="228"/>
      <c r="F115" s="228"/>
      <c r="G115" s="283"/>
      <c r="H115" s="228"/>
      <c r="I115" s="228"/>
      <c r="J115" s="228"/>
      <c r="K115" s="236"/>
    </row>
    <row r="116" spans="1:11" x14ac:dyDescent="0.2">
      <c r="A116" s="243" t="s">
        <v>308</v>
      </c>
      <c r="C116" s="229">
        <v>10117600</v>
      </c>
      <c r="D116" s="232">
        <f>D88</f>
        <v>5.9096000000000003E-2</v>
      </c>
      <c r="E116" s="228"/>
      <c r="F116" s="228">
        <f>ROUND($C116*D116,0)</f>
        <v>597910</v>
      </c>
      <c r="G116" s="232">
        <f>G88</f>
        <v>5.7457000000000001E-2</v>
      </c>
      <c r="H116" s="228"/>
      <c r="I116" s="228">
        <f>ROUND($C116*G116,0)</f>
        <v>581327</v>
      </c>
      <c r="J116" s="228"/>
      <c r="K116" s="227" t="s">
        <v>305</v>
      </c>
    </row>
    <row r="117" spans="1:11" x14ac:dyDescent="0.2">
      <c r="A117" s="243" t="s">
        <v>304</v>
      </c>
      <c r="C117" s="229">
        <f>C116</f>
        <v>10117600</v>
      </c>
      <c r="D117" s="232">
        <v>-1.4419999999999988E-3</v>
      </c>
      <c r="E117" s="228"/>
      <c r="F117" s="228">
        <f>ROUND($C117*D117,0)</f>
        <v>-14590</v>
      </c>
      <c r="G117" s="232">
        <f>-I137</f>
        <v>-1.402E-3</v>
      </c>
      <c r="H117" s="228"/>
      <c r="I117" s="228">
        <f>ROUND($C117*G117,0)</f>
        <v>-14185</v>
      </c>
      <c r="J117" s="228"/>
      <c r="K117" s="227" t="s">
        <v>303</v>
      </c>
    </row>
    <row r="118" spans="1:11" x14ac:dyDescent="0.2">
      <c r="A118" s="235" t="s">
        <v>246</v>
      </c>
      <c r="B118" s="230"/>
      <c r="C118" s="279">
        <f>SUM(C116:C116)</f>
        <v>10117600</v>
      </c>
      <c r="D118" s="282"/>
      <c r="E118" s="230"/>
      <c r="F118" s="278">
        <f>SUM(F116:F117)</f>
        <v>583320</v>
      </c>
      <c r="G118" s="282"/>
      <c r="H118" s="230"/>
      <c r="I118" s="278">
        <f>SUM(I116:I117)</f>
        <v>567142</v>
      </c>
      <c r="J118" s="228"/>
      <c r="K118" s="275"/>
    </row>
    <row r="119" spans="1:11" x14ac:dyDescent="0.2">
      <c r="A119" s="243" t="s">
        <v>250</v>
      </c>
      <c r="C119" s="229">
        <v>0</v>
      </c>
      <c r="D119" s="232">
        <f>D116</f>
        <v>5.9096000000000003E-2</v>
      </c>
      <c r="E119" s="230"/>
      <c r="F119" s="228">
        <f>ROUND($C119*D119,0)</f>
        <v>0</v>
      </c>
      <c r="G119" s="232"/>
      <c r="H119" s="230"/>
      <c r="I119" s="228">
        <f>ROUND($C119*G119,0)</f>
        <v>0</v>
      </c>
      <c r="J119" s="228"/>
      <c r="K119" s="236"/>
    </row>
    <row r="120" spans="1:11" x14ac:dyDescent="0.2">
      <c r="A120" s="238" t="s">
        <v>248</v>
      </c>
      <c r="C120" s="216">
        <f>0</f>
        <v>0</v>
      </c>
      <c r="D120" s="232">
        <f>ROUND(SUM(F114,F118,F119,F126,F130)/SUM(C118:C119),6)</f>
        <v>8.3195000000000005E-2</v>
      </c>
      <c r="E120" s="230"/>
      <c r="F120" s="228">
        <f>ROUND($C120*D120,0)</f>
        <v>0</v>
      </c>
      <c r="G120" s="232">
        <f>ROUND(D120*(1+$I$107),6)</f>
        <v>8.0887000000000001E-2</v>
      </c>
      <c r="H120" s="230"/>
      <c r="I120" s="228">
        <f>ROUND($C120*G120,0)</f>
        <v>0</v>
      </c>
      <c r="J120" s="204"/>
      <c r="K120" s="212"/>
    </row>
    <row r="121" spans="1:11" x14ac:dyDescent="0.2">
      <c r="A121" s="235" t="s">
        <v>246</v>
      </c>
      <c r="B121" s="230"/>
      <c r="C121" s="279">
        <f>SUM(C118:C120)</f>
        <v>10117600</v>
      </c>
      <c r="D121" s="230"/>
      <c r="E121" s="230"/>
      <c r="F121" s="278">
        <f>SUM(F118:F120)</f>
        <v>583320</v>
      </c>
      <c r="G121" s="230"/>
      <c r="H121" s="230"/>
      <c r="I121" s="278">
        <f>SUM(I118:I120)</f>
        <v>567142</v>
      </c>
      <c r="J121" s="204"/>
      <c r="K121" s="236"/>
    </row>
    <row r="122" spans="1:11" x14ac:dyDescent="0.2">
      <c r="A122" s="230" t="s">
        <v>284</v>
      </c>
      <c r="B122" s="230"/>
      <c r="C122" s="229"/>
      <c r="D122" s="246"/>
      <c r="E122" s="230"/>
      <c r="F122" s="228"/>
      <c r="G122" s="246"/>
      <c r="H122" s="230"/>
      <c r="I122" s="228"/>
      <c r="J122" s="228"/>
      <c r="K122" s="236"/>
    </row>
    <row r="123" spans="1:11" x14ac:dyDescent="0.2">
      <c r="A123" s="243" t="s">
        <v>307</v>
      </c>
      <c r="B123" s="230"/>
      <c r="C123" s="229">
        <v>12863</v>
      </c>
      <c r="D123" s="249">
        <f>D94</f>
        <v>12.23</v>
      </c>
      <c r="E123" s="230"/>
      <c r="F123" s="228">
        <f>ROUND(D123*$C123,0)</f>
        <v>157314</v>
      </c>
      <c r="G123" s="249">
        <f>G94</f>
        <v>12.23</v>
      </c>
      <c r="H123" s="230"/>
      <c r="I123" s="228">
        <f>ROUND(G123*$C123,0)</f>
        <v>157314</v>
      </c>
      <c r="J123" s="228"/>
      <c r="K123" s="227" t="s">
        <v>305</v>
      </c>
    </row>
    <row r="124" spans="1:11" x14ac:dyDescent="0.2">
      <c r="A124" s="243" t="s">
        <v>306</v>
      </c>
      <c r="B124" s="230"/>
      <c r="C124" s="229">
        <v>11581</v>
      </c>
      <c r="D124" s="249">
        <f>D95</f>
        <v>8.15</v>
      </c>
      <c r="E124" s="230"/>
      <c r="F124" s="228">
        <f>ROUND(D124*$C124,0)</f>
        <v>94385</v>
      </c>
      <c r="G124" s="249">
        <f>G95</f>
        <v>8.15</v>
      </c>
      <c r="H124" s="230"/>
      <c r="I124" s="228">
        <f>ROUND(G124*$C124,0)</f>
        <v>94385</v>
      </c>
      <c r="J124" s="228"/>
      <c r="K124" s="227" t="s">
        <v>305</v>
      </c>
    </row>
    <row r="125" spans="1:11" x14ac:dyDescent="0.2">
      <c r="A125" s="243" t="s">
        <v>304</v>
      </c>
      <c r="C125" s="229">
        <f>C124+C123</f>
        <v>24444</v>
      </c>
      <c r="D125" s="249">
        <v>-0.25</v>
      </c>
      <c r="E125" s="230"/>
      <c r="F125" s="228">
        <f>ROUND(D125*$C125,0)</f>
        <v>-6111</v>
      </c>
      <c r="G125" s="249">
        <f>-I136</f>
        <v>-0.25</v>
      </c>
      <c r="H125" s="230"/>
      <c r="I125" s="228">
        <f>ROUND(G125*$C125,0)</f>
        <v>-6111</v>
      </c>
      <c r="J125" s="228"/>
      <c r="K125" s="227" t="s">
        <v>303</v>
      </c>
    </row>
    <row r="126" spans="1:11" x14ac:dyDescent="0.2">
      <c r="A126" s="235" t="s">
        <v>246</v>
      </c>
      <c r="C126" s="279">
        <f>SUM(C123:C124)</f>
        <v>24444</v>
      </c>
      <c r="D126" s="246"/>
      <c r="E126" s="230"/>
      <c r="F126" s="278">
        <f>SUM(F123:F125)</f>
        <v>245588</v>
      </c>
      <c r="G126" s="246"/>
      <c r="H126" s="230"/>
      <c r="I126" s="278">
        <f>SUM(I123:I125)</f>
        <v>245588</v>
      </c>
      <c r="J126" s="228"/>
      <c r="K126" s="236"/>
    </row>
    <row r="127" spans="1:11" x14ac:dyDescent="0.2">
      <c r="A127" s="230"/>
      <c r="C127" s="216"/>
      <c r="D127" s="216"/>
      <c r="E127" s="230"/>
      <c r="F127" s="204"/>
      <c r="G127" s="216"/>
      <c r="H127" s="230"/>
      <c r="I127" s="204"/>
      <c r="J127" s="204"/>
      <c r="K127" s="236"/>
    </row>
    <row r="128" spans="1:11" x14ac:dyDescent="0.2">
      <c r="A128" s="230" t="s">
        <v>281</v>
      </c>
      <c r="B128" s="230"/>
      <c r="C128" s="229">
        <v>3332777</v>
      </c>
      <c r="D128" s="277">
        <f>D98</f>
        <v>1.2999999999999999E-3</v>
      </c>
      <c r="E128" s="230"/>
      <c r="F128" s="228">
        <f>ROUND(D128*$C128,0)</f>
        <v>4333</v>
      </c>
      <c r="G128" s="277">
        <f>G98</f>
        <v>1.2999999999999999E-3</v>
      </c>
      <c r="H128" s="230"/>
      <c r="I128" s="228">
        <f>ROUND(G128*$C128,0)</f>
        <v>4333</v>
      </c>
      <c r="J128" s="204"/>
      <c r="K128" s="227" t="s">
        <v>305</v>
      </c>
    </row>
    <row r="129" spans="1:11" x14ac:dyDescent="0.2">
      <c r="A129" s="243" t="s">
        <v>304</v>
      </c>
      <c r="B129" s="230"/>
      <c r="C129" s="229">
        <f>C128+C127</f>
        <v>3332777</v>
      </c>
      <c r="D129" s="277">
        <v>-3.0000000000000079E-5</v>
      </c>
      <c r="E129" s="230"/>
      <c r="F129" s="228">
        <f>ROUND(D129*$C129,0)</f>
        <v>-100</v>
      </c>
      <c r="G129" s="277">
        <f>-I138</f>
        <v>-3.0000000000000001E-5</v>
      </c>
      <c r="H129" s="230"/>
      <c r="I129" s="228">
        <f>ROUND(G129*$C129,0)</f>
        <v>-100</v>
      </c>
      <c r="J129" s="204"/>
      <c r="K129" s="227" t="s">
        <v>303</v>
      </c>
    </row>
    <row r="130" spans="1:11" x14ac:dyDescent="0.2">
      <c r="A130" s="235" t="s">
        <v>246</v>
      </c>
      <c r="B130" s="230"/>
      <c r="C130" s="229"/>
      <c r="D130" s="277"/>
      <c r="E130" s="230"/>
      <c r="F130" s="278">
        <f>SUM(F127:F129)</f>
        <v>4233</v>
      </c>
      <c r="G130" s="249"/>
      <c r="H130" s="230"/>
      <c r="I130" s="278">
        <f>SUM(I127:I129)</f>
        <v>4233</v>
      </c>
      <c r="J130" s="204"/>
      <c r="K130" s="236"/>
    </row>
    <row r="131" spans="1:11" x14ac:dyDescent="0.2">
      <c r="A131" s="230"/>
      <c r="B131" s="230"/>
      <c r="C131" s="216"/>
      <c r="D131" s="216"/>
      <c r="E131" s="230"/>
      <c r="F131" s="204"/>
      <c r="G131" s="216"/>
      <c r="H131" s="230"/>
      <c r="I131" s="204"/>
      <c r="J131" s="204"/>
      <c r="K131" s="236"/>
    </row>
    <row r="132" spans="1:11" ht="10.8" thickBot="1" x14ac:dyDescent="0.25">
      <c r="A132" s="230" t="s">
        <v>279</v>
      </c>
      <c r="B132" s="230"/>
      <c r="C132" s="216"/>
      <c r="D132" s="216"/>
      <c r="E132" s="230"/>
      <c r="F132" s="276">
        <f>SUM(F130,F126,F121,F114)</f>
        <v>841736</v>
      </c>
      <c r="G132" s="216"/>
      <c r="H132" s="230"/>
      <c r="I132" s="276">
        <f>SUM(I130,I126,I121,I114)</f>
        <v>825558</v>
      </c>
      <c r="J132" s="204"/>
      <c r="K132" s="236"/>
    </row>
    <row r="133" spans="1:11" ht="10.8" thickTop="1" x14ac:dyDescent="0.2">
      <c r="A133" s="230"/>
      <c r="B133" s="274"/>
      <c r="C133" s="216"/>
      <c r="D133" s="216"/>
      <c r="E133" s="230"/>
      <c r="F133" s="228"/>
      <c r="G133" s="216"/>
      <c r="H133" s="230"/>
      <c r="I133" s="228"/>
      <c r="J133" s="228"/>
      <c r="K133" s="273"/>
    </row>
    <row r="134" spans="1:11" x14ac:dyDescent="0.2">
      <c r="A134" s="298" t="s">
        <v>302</v>
      </c>
      <c r="B134" s="297"/>
      <c r="C134" s="297"/>
      <c r="D134" s="297"/>
      <c r="E134" s="297"/>
      <c r="F134" s="297"/>
      <c r="G134" s="297"/>
      <c r="H134" s="297"/>
      <c r="I134" s="296"/>
    </row>
    <row r="135" spans="1:11" x14ac:dyDescent="0.2">
      <c r="A135" s="292" t="s">
        <v>301</v>
      </c>
      <c r="B135" s="217"/>
      <c r="C135" s="216"/>
      <c r="D135" s="204"/>
      <c r="E135" s="217"/>
      <c r="F135" s="267">
        <v>249.03000000000003</v>
      </c>
      <c r="G135" s="212"/>
      <c r="H135" s="217"/>
      <c r="I135" s="295"/>
      <c r="J135" s="228"/>
    </row>
    <row r="136" spans="1:11" x14ac:dyDescent="0.2">
      <c r="A136" s="292" t="s">
        <v>300</v>
      </c>
      <c r="B136" s="217"/>
      <c r="C136" s="217" t="s">
        <v>241</v>
      </c>
      <c r="D136" s="204"/>
      <c r="E136" s="217"/>
      <c r="F136" s="294">
        <v>2.4400000000000002E-2</v>
      </c>
      <c r="G136" s="212"/>
      <c r="H136" s="217"/>
      <c r="I136" s="293">
        <f>ROUND(+F136*(I96/C96),2)</f>
        <v>0.25</v>
      </c>
      <c r="J136" s="230"/>
      <c r="K136" s="236" t="s">
        <v>280</v>
      </c>
    </row>
    <row r="137" spans="1:11" x14ac:dyDescent="0.2">
      <c r="A137" s="292" t="s">
        <v>299</v>
      </c>
      <c r="B137" s="217"/>
      <c r="C137" s="217"/>
      <c r="D137" s="204"/>
      <c r="E137" s="217"/>
      <c r="F137" s="273">
        <f>+F136</f>
        <v>2.4400000000000002E-2</v>
      </c>
      <c r="G137" s="212"/>
      <c r="H137" s="217"/>
      <c r="I137" s="291">
        <f>ROUND(+F137*G88,6)</f>
        <v>1.402E-3</v>
      </c>
      <c r="J137" s="230"/>
    </row>
    <row r="138" spans="1:11" x14ac:dyDescent="0.2">
      <c r="A138" s="290" t="s">
        <v>298</v>
      </c>
      <c r="B138" s="286"/>
      <c r="C138" s="286"/>
      <c r="D138" s="289"/>
      <c r="E138" s="286"/>
      <c r="F138" s="288">
        <f>+F137</f>
        <v>2.4400000000000002E-2</v>
      </c>
      <c r="G138" s="287"/>
      <c r="H138" s="286"/>
      <c r="I138" s="285">
        <f>ROUND(+F138*G98,5)</f>
        <v>3.0000000000000001E-5</v>
      </c>
      <c r="J138" s="230"/>
      <c r="K138" s="236" t="s">
        <v>280</v>
      </c>
    </row>
    <row r="139" spans="1:11" x14ac:dyDescent="0.2">
      <c r="A139" s="230"/>
      <c r="B139" s="230"/>
      <c r="C139" s="230"/>
      <c r="D139" s="228"/>
      <c r="E139" s="230"/>
      <c r="F139" s="230"/>
      <c r="G139" s="228"/>
      <c r="H139" s="230"/>
      <c r="I139" s="230"/>
      <c r="J139" s="230"/>
      <c r="K139" s="284"/>
    </row>
    <row r="140" spans="1:11" x14ac:dyDescent="0.2">
      <c r="A140" s="230"/>
      <c r="B140" s="230"/>
      <c r="C140" s="230"/>
      <c r="D140" s="228"/>
      <c r="E140" s="230"/>
      <c r="F140" s="230"/>
      <c r="G140" s="228"/>
      <c r="H140" s="230"/>
      <c r="I140" s="230"/>
      <c r="J140" s="230"/>
      <c r="K140" s="284"/>
    </row>
    <row r="141" spans="1:11" x14ac:dyDescent="0.2">
      <c r="A141" s="230"/>
      <c r="B141" s="230"/>
      <c r="C141" s="230"/>
      <c r="D141" s="228"/>
      <c r="E141" s="230"/>
      <c r="F141" s="230"/>
      <c r="G141" s="228"/>
      <c r="H141" s="230"/>
      <c r="I141" s="230"/>
      <c r="J141" s="230"/>
      <c r="K141" s="284"/>
    </row>
    <row r="142" spans="1:11" x14ac:dyDescent="0.2">
      <c r="A142" s="257" t="s">
        <v>297</v>
      </c>
      <c r="B142" s="230"/>
      <c r="C142" s="230"/>
      <c r="D142" s="228"/>
      <c r="E142" s="230"/>
      <c r="F142" s="230"/>
      <c r="G142" s="228"/>
      <c r="H142" s="230"/>
      <c r="I142" s="230"/>
      <c r="J142" s="230"/>
      <c r="K142" s="284"/>
    </row>
    <row r="143" spans="1:11" x14ac:dyDescent="0.2">
      <c r="A143" s="251" t="s">
        <v>296</v>
      </c>
      <c r="B143" s="230"/>
      <c r="C143" s="230"/>
      <c r="D143" s="228"/>
      <c r="E143" s="230"/>
      <c r="F143" s="230"/>
      <c r="G143" s="228"/>
      <c r="H143" s="230"/>
      <c r="I143" s="230"/>
      <c r="J143" s="230"/>
      <c r="K143" s="284"/>
    </row>
    <row r="144" spans="1:11" x14ac:dyDescent="0.2">
      <c r="A144" s="230"/>
      <c r="B144" s="230"/>
      <c r="C144" s="230"/>
      <c r="D144" s="228"/>
      <c r="E144" s="230"/>
      <c r="F144" s="230"/>
      <c r="G144" s="228"/>
      <c r="H144" s="230"/>
      <c r="I144" s="230"/>
      <c r="J144" s="230"/>
      <c r="K144" s="284"/>
    </row>
    <row r="145" spans="1:11" x14ac:dyDescent="0.2">
      <c r="A145" s="230" t="s">
        <v>9</v>
      </c>
      <c r="B145" s="230"/>
      <c r="C145" s="229"/>
      <c r="D145" s="249"/>
      <c r="E145" s="230"/>
      <c r="F145" s="228"/>
      <c r="G145" s="249"/>
      <c r="H145" s="230"/>
      <c r="I145" s="228"/>
      <c r="J145" s="228"/>
      <c r="K145" s="212"/>
    </row>
    <row r="146" spans="1:11" x14ac:dyDescent="0.2">
      <c r="A146" s="230" t="s">
        <v>256</v>
      </c>
      <c r="B146" s="230"/>
      <c r="C146" s="229">
        <v>2385</v>
      </c>
      <c r="D146" s="249">
        <v>9.99</v>
      </c>
      <c r="E146" s="230"/>
      <c r="F146" s="228">
        <f>ROUND(D146*$C146,0)</f>
        <v>23826</v>
      </c>
      <c r="G146" s="249">
        <f>D146</f>
        <v>9.99</v>
      </c>
      <c r="H146" s="230"/>
      <c r="I146" s="228">
        <f>ROUND(G146*$C146,0)</f>
        <v>23826</v>
      </c>
      <c r="J146" s="228"/>
      <c r="K146" s="227" t="s">
        <v>280</v>
      </c>
    </row>
    <row r="147" spans="1:11" x14ac:dyDescent="0.2">
      <c r="A147" s="230" t="s">
        <v>255</v>
      </c>
      <c r="B147" s="230"/>
      <c r="C147" s="229">
        <v>5510</v>
      </c>
      <c r="D147" s="249">
        <v>25.36</v>
      </c>
      <c r="E147" s="230"/>
      <c r="F147" s="228">
        <f>ROUND(D147*$C147,0)</f>
        <v>139734</v>
      </c>
      <c r="G147" s="249">
        <f>D147</f>
        <v>25.36</v>
      </c>
      <c r="H147" s="230"/>
      <c r="I147" s="228">
        <f>ROUND(G147*$C147,0)</f>
        <v>139734</v>
      </c>
      <c r="J147" s="228"/>
      <c r="K147" s="227" t="s">
        <v>280</v>
      </c>
    </row>
    <row r="148" spans="1:11" x14ac:dyDescent="0.2">
      <c r="A148" s="235" t="s">
        <v>246</v>
      </c>
      <c r="B148" s="230"/>
      <c r="C148" s="279">
        <f>SUM(C146:C147)</f>
        <v>7895</v>
      </c>
      <c r="D148" s="249"/>
      <c r="E148" s="230"/>
      <c r="F148" s="278">
        <f>SUM(F146:F147)</f>
        <v>163560</v>
      </c>
      <c r="G148" s="249"/>
      <c r="H148" s="230"/>
      <c r="I148" s="278">
        <f>SUM(I146:I147)</f>
        <v>163560</v>
      </c>
      <c r="J148" s="228"/>
      <c r="K148" s="227"/>
    </row>
    <row r="149" spans="1:11" x14ac:dyDescent="0.2">
      <c r="A149" s="230" t="s">
        <v>295</v>
      </c>
      <c r="B149" s="230"/>
      <c r="C149" s="229"/>
      <c r="D149" s="283"/>
      <c r="E149" s="228"/>
      <c r="F149" s="228"/>
      <c r="G149" s="283"/>
      <c r="H149" s="228"/>
      <c r="I149" s="228"/>
      <c r="J149" s="228"/>
      <c r="K149" s="236"/>
    </row>
    <row r="150" spans="1:11" x14ac:dyDescent="0.2">
      <c r="A150" s="243" t="s">
        <v>294</v>
      </c>
      <c r="B150" s="230"/>
      <c r="C150" s="229">
        <v>2022096</v>
      </c>
      <c r="D150" s="232">
        <v>9.3538999999999997E-2</v>
      </c>
      <c r="E150" s="228"/>
      <c r="F150" s="228">
        <f>ROUND($C150*D150,0)</f>
        <v>189145</v>
      </c>
      <c r="G150" s="232">
        <f>ROUND(D150*(1+$I$170),6)</f>
        <v>9.1401999999999997E-2</v>
      </c>
      <c r="H150" s="228"/>
      <c r="I150" s="228">
        <f>ROUND($C150*G150,0)</f>
        <v>184824</v>
      </c>
      <c r="J150" s="228"/>
      <c r="K150" s="244" t="s">
        <v>290</v>
      </c>
    </row>
    <row r="151" spans="1:11" x14ac:dyDescent="0.2">
      <c r="A151" s="243" t="s">
        <v>293</v>
      </c>
      <c r="B151" s="230"/>
      <c r="C151" s="229">
        <v>213792</v>
      </c>
      <c r="D151" s="232">
        <v>7.1040000000000006E-2</v>
      </c>
      <c r="E151" s="228"/>
      <c r="F151" s="228">
        <f>ROUND($C151*D151,0)</f>
        <v>15188</v>
      </c>
      <c r="G151" s="232">
        <f>ROUND(D151*(1+$I$170),6)</f>
        <v>6.9417000000000006E-2</v>
      </c>
      <c r="H151" s="228"/>
      <c r="I151" s="228">
        <f>ROUND($C151*G151,0)</f>
        <v>14841</v>
      </c>
      <c r="J151" s="228"/>
      <c r="K151" s="244" t="s">
        <v>290</v>
      </c>
    </row>
    <row r="152" spans="1:11" x14ac:dyDescent="0.2">
      <c r="A152" s="243" t="s">
        <v>292</v>
      </c>
      <c r="B152" s="230"/>
      <c r="C152" s="229">
        <v>10475078</v>
      </c>
      <c r="D152" s="232">
        <v>6.4817E-2</v>
      </c>
      <c r="E152" s="228"/>
      <c r="F152" s="228">
        <f>ROUND($C152*D152,0)</f>
        <v>678963</v>
      </c>
      <c r="G152" s="232">
        <f>ROUND(D152*(1+$I$170),6)</f>
        <v>6.3336000000000003E-2</v>
      </c>
      <c r="H152" s="228"/>
      <c r="I152" s="228">
        <f>ROUND($C152*G152,0)</f>
        <v>663450</v>
      </c>
      <c r="J152" s="228"/>
      <c r="K152" s="244" t="s">
        <v>290</v>
      </c>
    </row>
    <row r="153" spans="1:11" x14ac:dyDescent="0.2">
      <c r="A153" s="243" t="s">
        <v>291</v>
      </c>
      <c r="B153" s="230"/>
      <c r="C153" s="229">
        <v>778943</v>
      </c>
      <c r="D153" s="232">
        <v>5.5537000000000003E-2</v>
      </c>
      <c r="E153" s="228"/>
      <c r="F153" s="228">
        <f>ROUND($C153*D153,0)</f>
        <v>43260</v>
      </c>
      <c r="G153" s="232">
        <f>ROUND(D153*(1+$I$170),6)</f>
        <v>5.4267999999999997E-2</v>
      </c>
      <c r="H153" s="228"/>
      <c r="I153" s="228">
        <f>ROUND($C153*G153,0)</f>
        <v>42272</v>
      </c>
      <c r="J153" s="228"/>
      <c r="K153" s="244" t="s">
        <v>290</v>
      </c>
    </row>
    <row r="154" spans="1:11" x14ac:dyDescent="0.2">
      <c r="A154" s="235" t="s">
        <v>246</v>
      </c>
      <c r="B154" s="230"/>
      <c r="C154" s="279">
        <f>SUM(C150:C153)</f>
        <v>13489909</v>
      </c>
      <c r="D154" s="282"/>
      <c r="E154" s="230"/>
      <c r="F154" s="278">
        <f>SUM(F150:F153)</f>
        <v>926556</v>
      </c>
      <c r="G154" s="282"/>
      <c r="H154" s="230"/>
      <c r="I154" s="278">
        <f>SUM(I150:I153)</f>
        <v>905387</v>
      </c>
      <c r="J154" s="228"/>
      <c r="K154" s="280"/>
    </row>
    <row r="155" spans="1:11" x14ac:dyDescent="0.2">
      <c r="A155" s="243" t="s">
        <v>289</v>
      </c>
      <c r="B155" s="230"/>
      <c r="C155" s="229">
        <v>0</v>
      </c>
      <c r="D155" s="232">
        <f>D151</f>
        <v>7.1040000000000006E-2</v>
      </c>
      <c r="E155" s="230"/>
      <c r="F155" s="228">
        <f>ROUND($C155*D155,0)</f>
        <v>0</v>
      </c>
      <c r="G155" s="232">
        <f>G151</f>
        <v>6.9417000000000006E-2</v>
      </c>
      <c r="H155" s="230"/>
      <c r="I155" s="228">
        <f>ROUND($C155*G155,0)</f>
        <v>0</v>
      </c>
      <c r="J155" s="228"/>
      <c r="K155" s="236" t="s">
        <v>288</v>
      </c>
    </row>
    <row r="156" spans="1:11" x14ac:dyDescent="0.2">
      <c r="A156" s="243" t="s">
        <v>287</v>
      </c>
      <c r="B156" s="230"/>
      <c r="C156" s="229">
        <v>0</v>
      </c>
      <c r="D156" s="232">
        <f>D153</f>
        <v>5.5537000000000003E-2</v>
      </c>
      <c r="E156" s="230"/>
      <c r="F156" s="228">
        <f>ROUND($C156*D156,0)</f>
        <v>0</v>
      </c>
      <c r="G156" s="232">
        <f>G153</f>
        <v>5.4267999999999997E-2</v>
      </c>
      <c r="H156" s="230"/>
      <c r="I156" s="228">
        <f>ROUND($C156*G156,0)</f>
        <v>0</v>
      </c>
      <c r="J156" s="228"/>
      <c r="K156" s="212" t="s">
        <v>286</v>
      </c>
    </row>
    <row r="157" spans="1:11" ht="20.399999999999999" x14ac:dyDescent="0.2">
      <c r="A157" s="238" t="s">
        <v>248</v>
      </c>
      <c r="B157" s="230"/>
      <c r="C157" s="216">
        <v>1803819</v>
      </c>
      <c r="D157" s="232">
        <f>ROUND(F157/C157,6)</f>
        <v>0.108526</v>
      </c>
      <c r="E157" s="230"/>
      <c r="F157" s="228">
        <v>195762</v>
      </c>
      <c r="G157" s="232">
        <f>ROUND(D157*(1+$I$170),6)</f>
        <v>0.106046</v>
      </c>
      <c r="H157" s="230"/>
      <c r="I157" s="228">
        <f>ROUND($C157*G157,0)+1</f>
        <v>191289</v>
      </c>
      <c r="J157" s="204"/>
      <c r="K157" s="281" t="s">
        <v>285</v>
      </c>
    </row>
    <row r="158" spans="1:11" x14ac:dyDescent="0.2">
      <c r="A158" s="235" t="s">
        <v>246</v>
      </c>
      <c r="B158" s="230"/>
      <c r="C158" s="279">
        <f>SUM(C154:C157)</f>
        <v>15293728</v>
      </c>
      <c r="D158" s="230"/>
      <c r="E158" s="230"/>
      <c r="F158" s="278">
        <f>SUM(F154:F157)</f>
        <v>1122318</v>
      </c>
      <c r="G158" s="230"/>
      <c r="H158" s="230"/>
      <c r="I158" s="278">
        <f>SUM(I154:I157)</f>
        <v>1096676</v>
      </c>
      <c r="J158" s="204"/>
      <c r="K158" s="280"/>
    </row>
    <row r="159" spans="1:11" x14ac:dyDescent="0.2">
      <c r="A159" s="230" t="s">
        <v>284</v>
      </c>
      <c r="B159" s="230"/>
      <c r="C159" s="229"/>
      <c r="D159" s="246"/>
      <c r="E159" s="230"/>
      <c r="F159" s="228"/>
      <c r="G159" s="246"/>
      <c r="H159" s="230"/>
      <c r="I159" s="228"/>
      <c r="J159" s="228"/>
      <c r="K159" s="236"/>
    </row>
    <row r="160" spans="1:11" x14ac:dyDescent="0.2">
      <c r="A160" s="243" t="s">
        <v>283</v>
      </c>
      <c r="B160" s="230"/>
      <c r="C160" s="229">
        <v>2736</v>
      </c>
      <c r="D160" s="249">
        <v>9.2200000000000006</v>
      </c>
      <c r="E160" s="230"/>
      <c r="F160" s="228">
        <f>ROUND(D160*$C160,0)</f>
        <v>25226</v>
      </c>
      <c r="G160" s="249">
        <f>D160</f>
        <v>9.2200000000000006</v>
      </c>
      <c r="H160" s="230"/>
      <c r="I160" s="228">
        <f>ROUND(G160*$C160,0)</f>
        <v>25226</v>
      </c>
      <c r="J160" s="228"/>
      <c r="K160" s="227" t="s">
        <v>280</v>
      </c>
    </row>
    <row r="161" spans="1:11" x14ac:dyDescent="0.2">
      <c r="A161" s="243" t="s">
        <v>282</v>
      </c>
      <c r="B161" s="230"/>
      <c r="C161" s="229">
        <v>4347</v>
      </c>
      <c r="D161" s="249">
        <v>4.54</v>
      </c>
      <c r="E161" s="230"/>
      <c r="F161" s="228">
        <f>ROUND(D161*$C161,0)</f>
        <v>19735</v>
      </c>
      <c r="G161" s="249">
        <f>D161</f>
        <v>4.54</v>
      </c>
      <c r="H161" s="230"/>
      <c r="I161" s="228">
        <f>ROUND(G161*$C161,0)</f>
        <v>19735</v>
      </c>
      <c r="J161" s="228"/>
      <c r="K161" s="227" t="s">
        <v>280</v>
      </c>
    </row>
    <row r="162" spans="1:11" x14ac:dyDescent="0.2">
      <c r="A162" s="235" t="s">
        <v>246</v>
      </c>
      <c r="B162" s="230"/>
      <c r="C162" s="279">
        <f>SUM(C160:C161)</f>
        <v>7083</v>
      </c>
      <c r="D162" s="246"/>
      <c r="E162" s="230"/>
      <c r="F162" s="278">
        <f>SUM(F160:F161)</f>
        <v>44961</v>
      </c>
      <c r="G162" s="246"/>
      <c r="H162" s="230"/>
      <c r="I162" s="278">
        <f>SUM(I160:I161)</f>
        <v>44961</v>
      </c>
      <c r="J162" s="228"/>
      <c r="K162" s="236"/>
    </row>
    <row r="163" spans="1:11" x14ac:dyDescent="0.2">
      <c r="A163" s="230"/>
      <c r="B163" s="230"/>
      <c r="C163" s="216"/>
      <c r="D163" s="216"/>
      <c r="E163" s="230"/>
      <c r="F163" s="204"/>
      <c r="G163" s="216"/>
      <c r="H163" s="230"/>
      <c r="I163" s="204"/>
      <c r="J163" s="204"/>
      <c r="K163" s="236"/>
    </row>
    <row r="164" spans="1:11" x14ac:dyDescent="0.2">
      <c r="A164" s="230" t="s">
        <v>281</v>
      </c>
      <c r="B164" s="230"/>
      <c r="C164" s="229">
        <v>400210</v>
      </c>
      <c r="D164" s="277">
        <v>2.9299999999999999E-3</v>
      </c>
      <c r="E164" s="230"/>
      <c r="F164" s="228">
        <f>ROUND(D164*$C164,0)</f>
        <v>1173</v>
      </c>
      <c r="G164" s="277">
        <f>D164</f>
        <v>2.9299999999999999E-3</v>
      </c>
      <c r="H164" s="230"/>
      <c r="I164" s="228">
        <f>ROUND(G164*$C164,0)</f>
        <v>1173</v>
      </c>
      <c r="J164" s="204"/>
      <c r="K164" s="227" t="s">
        <v>280</v>
      </c>
    </row>
    <row r="165" spans="1:11" x14ac:dyDescent="0.2">
      <c r="A165" s="230"/>
      <c r="B165" s="230"/>
      <c r="C165" s="216"/>
      <c r="D165" s="216"/>
      <c r="E165" s="230"/>
      <c r="F165" s="204"/>
      <c r="G165" s="216"/>
      <c r="H165" s="230"/>
      <c r="I165" s="204"/>
      <c r="J165" s="204"/>
      <c r="K165" s="273"/>
    </row>
    <row r="166" spans="1:11" ht="10.8" thickBot="1" x14ac:dyDescent="0.25">
      <c r="A166" s="230" t="s">
        <v>279</v>
      </c>
      <c r="B166" s="230"/>
      <c r="C166" s="216"/>
      <c r="D166" s="216"/>
      <c r="E166" s="230"/>
      <c r="F166" s="276">
        <f>SUM(F148,F158,F162,F164)</f>
        <v>1332012</v>
      </c>
      <c r="G166" s="216"/>
      <c r="H166" s="230"/>
      <c r="I166" s="276">
        <f>SUM(I148,I158,I162,I164)</f>
        <v>1306370</v>
      </c>
      <c r="J166" s="204"/>
      <c r="K166" s="275"/>
    </row>
    <row r="167" spans="1:11" ht="10.8" thickTop="1" x14ac:dyDescent="0.2">
      <c r="A167" s="230"/>
      <c r="B167" s="274"/>
      <c r="C167" s="216"/>
      <c r="D167" s="216"/>
      <c r="E167" s="230"/>
      <c r="F167" s="228"/>
      <c r="G167" s="216"/>
      <c r="H167" s="230"/>
      <c r="I167" s="228"/>
      <c r="J167" s="228"/>
      <c r="K167" s="273"/>
    </row>
    <row r="168" spans="1:11" x14ac:dyDescent="0.2">
      <c r="A168" s="202" t="s">
        <v>278</v>
      </c>
      <c r="I168" s="271">
        <f>I61</f>
        <v>-1.9251943098375968E-2</v>
      </c>
      <c r="K168" s="273"/>
    </row>
    <row r="169" spans="1:11" x14ac:dyDescent="0.2">
      <c r="A169" s="202" t="s">
        <v>277</v>
      </c>
      <c r="I169" s="220">
        <f>I168*F166</f>
        <v>-25643.819230353969</v>
      </c>
      <c r="K169" s="272">
        <f>I166-F166-I169</f>
        <v>1.8192303539690329</v>
      </c>
    </row>
    <row r="170" spans="1:11" x14ac:dyDescent="0.2">
      <c r="A170" s="202" t="s">
        <v>276</v>
      </c>
      <c r="I170" s="271">
        <f>I169/F158</f>
        <v>-2.2848977945960029E-2</v>
      </c>
    </row>
    <row r="172" spans="1:11" x14ac:dyDescent="0.2">
      <c r="A172" s="269" t="s">
        <v>275</v>
      </c>
      <c r="C172" s="268"/>
      <c r="D172" s="270">
        <f>ROUND(SUM(F150,F152)/SUM($C$150,$C$152),6)</f>
        <v>6.9463999999999998E-2</v>
      </c>
      <c r="G172" s="270">
        <f>ROUND(SUM(I150,I152)/SUM($C$150,$C$152),6)</f>
        <v>6.7877000000000007E-2</v>
      </c>
    </row>
    <row r="173" spans="1:11" x14ac:dyDescent="0.2">
      <c r="A173" s="269" t="s">
        <v>274</v>
      </c>
      <c r="C173" s="268"/>
      <c r="D173" s="270">
        <f>ROUND(SUM(F151,F153)/SUM($C$151,$C$153),6)</f>
        <v>5.8875999999999998E-2</v>
      </c>
      <c r="G173" s="270">
        <f>ROUND(SUM(I151,I153)/SUM($C$151,$C$153),6)</f>
        <v>5.7530999999999999E-2</v>
      </c>
    </row>
    <row r="174" spans="1:11" x14ac:dyDescent="0.2">
      <c r="A174" s="269" t="s">
        <v>273</v>
      </c>
      <c r="C174" s="268"/>
      <c r="D174" s="267">
        <f>ROUND(SUM(F162)/SUM($C$162),2)</f>
        <v>6.35</v>
      </c>
      <c r="G174" s="267">
        <f>ROUND(SUM(I162)/SUM($C$162),2)</f>
        <v>6.35</v>
      </c>
    </row>
    <row r="177" spans="1:7" x14ac:dyDescent="0.2">
      <c r="A177" s="203"/>
      <c r="D177" s="248"/>
      <c r="G177" s="248"/>
    </row>
    <row r="178" spans="1:7" x14ac:dyDescent="0.2">
      <c r="D178" s="248"/>
      <c r="G178" s="248"/>
    </row>
    <row r="179" spans="1:7" x14ac:dyDescent="0.2">
      <c r="D179" s="248"/>
      <c r="G179" s="248"/>
    </row>
    <row r="180" spans="1:7" x14ac:dyDescent="0.2">
      <c r="D180" s="248"/>
      <c r="G180" s="248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47" fitToHeight="5" orientation="landscape" r:id="rId1"/>
  <headerFooter alignWithMargins="0">
    <oddFooter>&amp;L&amp;A&amp;RExhibit No. ___(BDJ-5)
Page &amp;P of &amp;N</oddFooter>
  </headerFooter>
  <rowBreaks count="3" manualBreakCount="3">
    <brk id="37" max="10" man="1"/>
    <brk id="82" max="10" man="1"/>
    <brk id="141" max="10" man="1"/>
  </rowBreaks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32"/>
  <sheetViews>
    <sheetView workbookViewId="0">
      <selection activeCell="H32" sqref="H32"/>
    </sheetView>
  </sheetViews>
  <sheetFormatPr defaultColWidth="9.109375" defaultRowHeight="10.199999999999999" x14ac:dyDescent="0.2"/>
  <cols>
    <col min="1" max="1" width="5.33203125" style="52" bestFit="1" customWidth="1"/>
    <col min="2" max="3" width="35.109375" style="52" bestFit="1" customWidth="1"/>
    <col min="4" max="4" width="13.5546875" style="52" bestFit="1" customWidth="1"/>
    <col min="5" max="5" width="12.44140625" style="52" bestFit="1" customWidth="1"/>
    <col min="6" max="6" width="20.33203125" style="52" bestFit="1" customWidth="1"/>
    <col min="7" max="9" width="12.44140625" style="52" bestFit="1" customWidth="1"/>
    <col min="10" max="16384" width="9.109375" style="52"/>
  </cols>
  <sheetData>
    <row r="1" spans="1:9" x14ac:dyDescent="0.2">
      <c r="A1" s="383" t="s">
        <v>7</v>
      </c>
      <c r="B1" s="383"/>
      <c r="C1" s="383"/>
      <c r="D1" s="383"/>
      <c r="E1" s="383"/>
      <c r="F1" s="383"/>
      <c r="G1" s="383"/>
      <c r="H1" s="383"/>
      <c r="I1" s="383"/>
    </row>
    <row r="2" spans="1:9" x14ac:dyDescent="0.2">
      <c r="A2" s="383" t="s">
        <v>354</v>
      </c>
      <c r="B2" s="383"/>
      <c r="C2" s="383"/>
      <c r="D2" s="383"/>
      <c r="E2" s="383"/>
      <c r="F2" s="383"/>
      <c r="G2" s="383"/>
      <c r="H2" s="383"/>
      <c r="I2" s="383"/>
    </row>
    <row r="3" spans="1:9" x14ac:dyDescent="0.2">
      <c r="A3" s="383" t="s">
        <v>355</v>
      </c>
      <c r="B3" s="383"/>
      <c r="C3" s="383"/>
      <c r="D3" s="383"/>
      <c r="E3" s="383"/>
      <c r="F3" s="383"/>
      <c r="G3" s="383"/>
      <c r="H3" s="383"/>
      <c r="I3" s="383"/>
    </row>
    <row r="4" spans="1:9" x14ac:dyDescent="0.2">
      <c r="A4" s="383" t="s">
        <v>356</v>
      </c>
      <c r="B4" s="383"/>
      <c r="C4" s="383"/>
      <c r="D4" s="383"/>
      <c r="E4" s="383"/>
      <c r="F4" s="383"/>
      <c r="G4" s="383"/>
      <c r="H4" s="383"/>
      <c r="I4" s="383"/>
    </row>
    <row r="5" spans="1:9" x14ac:dyDescent="0.2">
      <c r="A5" s="383" t="s">
        <v>357</v>
      </c>
      <c r="B5" s="383"/>
      <c r="C5" s="383"/>
      <c r="D5" s="383"/>
      <c r="E5" s="383"/>
      <c r="F5" s="383"/>
      <c r="G5" s="383"/>
      <c r="H5" s="383"/>
      <c r="I5" s="383"/>
    </row>
    <row r="6" spans="1:9" x14ac:dyDescent="0.2">
      <c r="A6" s="56"/>
      <c r="B6" s="56"/>
      <c r="C6" s="56"/>
      <c r="D6" s="56"/>
      <c r="E6" s="56"/>
      <c r="F6" s="57"/>
      <c r="G6" s="57"/>
      <c r="H6" s="57"/>
      <c r="I6" s="57"/>
    </row>
    <row r="7" spans="1:9" x14ac:dyDescent="0.2">
      <c r="A7" s="53"/>
      <c r="B7" s="53"/>
      <c r="C7" s="53"/>
      <c r="D7" s="53"/>
      <c r="E7" s="53"/>
      <c r="F7" s="53"/>
      <c r="G7" s="53"/>
      <c r="H7" s="53"/>
      <c r="I7" s="53"/>
    </row>
    <row r="8" spans="1:9" x14ac:dyDescent="0.2">
      <c r="A8" s="64" t="s">
        <v>49</v>
      </c>
      <c r="B8" s="53"/>
      <c r="C8" s="53"/>
      <c r="D8" s="57" t="s">
        <v>50</v>
      </c>
      <c r="E8" s="57" t="s">
        <v>17</v>
      </c>
      <c r="F8" s="57" t="s">
        <v>17</v>
      </c>
      <c r="G8" s="57" t="s">
        <v>76</v>
      </c>
      <c r="H8" s="57" t="s">
        <v>17</v>
      </c>
      <c r="I8" s="57" t="s">
        <v>17</v>
      </c>
    </row>
    <row r="9" spans="1:9" x14ac:dyDescent="0.2">
      <c r="A9" s="65" t="s">
        <v>51</v>
      </c>
      <c r="B9" s="66"/>
      <c r="C9" s="58" t="s">
        <v>47</v>
      </c>
      <c r="D9" s="67">
        <v>7</v>
      </c>
      <c r="E9" s="67" t="s">
        <v>52</v>
      </c>
      <c r="F9" s="67" t="s">
        <v>53</v>
      </c>
      <c r="G9" s="67" t="s">
        <v>77</v>
      </c>
      <c r="H9" s="67" t="s">
        <v>54</v>
      </c>
      <c r="I9" s="67" t="s">
        <v>55</v>
      </c>
    </row>
    <row r="10" spans="1:9" x14ac:dyDescent="0.2">
      <c r="A10" s="53"/>
      <c r="B10" s="54" t="s">
        <v>16</v>
      </c>
      <c r="C10" s="54" t="s">
        <v>0</v>
      </c>
      <c r="D10" s="54" t="s">
        <v>1</v>
      </c>
      <c r="E10" s="54" t="s">
        <v>2</v>
      </c>
      <c r="F10" s="54" t="s">
        <v>3</v>
      </c>
      <c r="G10" s="54" t="s">
        <v>18</v>
      </c>
      <c r="H10" s="54" t="s">
        <v>4</v>
      </c>
      <c r="I10" s="54" t="s">
        <v>5</v>
      </c>
    </row>
    <row r="11" spans="1:9" x14ac:dyDescent="0.2">
      <c r="A11" s="54"/>
      <c r="B11" s="60"/>
      <c r="C11" s="54"/>
      <c r="D11" s="54"/>
      <c r="E11" s="54"/>
      <c r="F11" s="54"/>
      <c r="G11" s="54"/>
      <c r="H11" s="54"/>
      <c r="I11" s="54"/>
    </row>
    <row r="12" spans="1:9" x14ac:dyDescent="0.2">
      <c r="A12" s="54">
        <v>1</v>
      </c>
      <c r="B12" s="53" t="s">
        <v>56</v>
      </c>
      <c r="C12" s="61" t="s">
        <v>81</v>
      </c>
      <c r="D12" s="62">
        <v>469278287.72980082</v>
      </c>
      <c r="E12" s="62">
        <v>101489571.12374005</v>
      </c>
      <c r="F12" s="62">
        <v>114332259.28907014</v>
      </c>
      <c r="G12" s="62">
        <v>4025445.5708218575</v>
      </c>
      <c r="H12" s="62">
        <v>56165078.913609713</v>
      </c>
      <c r="I12" s="62">
        <v>40703649.635634914</v>
      </c>
    </row>
    <row r="13" spans="1:9" x14ac:dyDescent="0.2">
      <c r="A13" s="54">
        <v>2</v>
      </c>
      <c r="B13" s="53" t="s">
        <v>83</v>
      </c>
      <c r="C13" s="61" t="s">
        <v>80</v>
      </c>
      <c r="D13" s="55">
        <v>1081272.3949085891</v>
      </c>
      <c r="E13" s="55">
        <v>128145.22996027127</v>
      </c>
      <c r="F13" s="55">
        <v>8976.4157631638973</v>
      </c>
      <c r="G13" s="55">
        <v>82</v>
      </c>
      <c r="H13" s="55">
        <v>863.14840660242874</v>
      </c>
      <c r="I13" s="55">
        <v>505.69327766151088</v>
      </c>
    </row>
    <row r="14" spans="1:9" x14ac:dyDescent="0.2">
      <c r="A14" s="54">
        <v>3</v>
      </c>
      <c r="B14" s="53" t="s">
        <v>57</v>
      </c>
      <c r="C14" s="54" t="s">
        <v>82</v>
      </c>
      <c r="D14" s="162">
        <f t="shared" ref="D14:I14" si="0">ROUND(D12/D13,2)</f>
        <v>434.01</v>
      </c>
      <c r="E14" s="162">
        <f t="shared" si="0"/>
        <v>791.99</v>
      </c>
      <c r="F14" s="162">
        <f t="shared" si="0"/>
        <v>12736.96</v>
      </c>
      <c r="G14" s="63">
        <f t="shared" si="0"/>
        <v>49090.8</v>
      </c>
      <c r="H14" s="162">
        <f t="shared" si="0"/>
        <v>65070.01</v>
      </c>
      <c r="I14" s="162">
        <f t="shared" si="0"/>
        <v>80490.789999999994</v>
      </c>
    </row>
    <row r="15" spans="1:9" x14ac:dyDescent="0.2">
      <c r="A15" s="53"/>
      <c r="B15" s="53"/>
      <c r="C15" s="53"/>
      <c r="D15" s="53"/>
      <c r="E15" s="53"/>
      <c r="F15" s="53"/>
      <c r="G15" s="53"/>
      <c r="H15" s="53"/>
      <c r="I15" s="53"/>
    </row>
    <row r="16" spans="1:9" x14ac:dyDescent="0.2">
      <c r="A16" s="53"/>
      <c r="B16" s="53"/>
      <c r="C16" s="53"/>
      <c r="D16" s="53"/>
      <c r="E16" s="53"/>
      <c r="F16" s="53"/>
      <c r="G16" s="53"/>
      <c r="H16" s="53"/>
      <c r="I16" s="53"/>
    </row>
    <row r="17" spans="1:9" ht="3.75" customHeight="1" x14ac:dyDescent="0.2">
      <c r="A17" s="198"/>
      <c r="B17" s="198"/>
      <c r="C17" s="198"/>
      <c r="D17" s="198"/>
      <c r="E17" s="198"/>
      <c r="F17" s="198"/>
      <c r="G17" s="198"/>
      <c r="H17" s="198"/>
      <c r="I17" s="198"/>
    </row>
    <row r="18" spans="1:9" x14ac:dyDescent="0.2">
      <c r="A18" s="53"/>
      <c r="B18" s="53"/>
      <c r="C18" s="53"/>
      <c r="D18" s="53"/>
      <c r="E18" s="53"/>
      <c r="F18" s="53"/>
      <c r="G18" s="53"/>
      <c r="H18" s="53"/>
      <c r="I18" s="53"/>
    </row>
    <row r="19" spans="1:9" x14ac:dyDescent="0.2">
      <c r="A19" s="383" t="s">
        <v>7</v>
      </c>
      <c r="B19" s="383"/>
      <c r="C19" s="383"/>
      <c r="D19" s="383"/>
      <c r="E19" s="383"/>
      <c r="F19" s="383"/>
      <c r="G19" s="383"/>
      <c r="H19" s="383"/>
      <c r="I19" s="383"/>
    </row>
    <row r="20" spans="1:9" x14ac:dyDescent="0.2">
      <c r="A20" s="383" t="s">
        <v>354</v>
      </c>
      <c r="B20" s="383"/>
      <c r="C20" s="383"/>
      <c r="D20" s="383"/>
      <c r="E20" s="383"/>
      <c r="F20" s="383"/>
      <c r="G20" s="383"/>
      <c r="H20" s="383"/>
      <c r="I20" s="383"/>
    </row>
    <row r="21" spans="1:9" x14ac:dyDescent="0.2">
      <c r="A21" s="383" t="s">
        <v>355</v>
      </c>
      <c r="B21" s="383"/>
      <c r="C21" s="383"/>
      <c r="D21" s="383"/>
      <c r="E21" s="383"/>
      <c r="F21" s="383"/>
      <c r="G21" s="383"/>
      <c r="H21" s="383"/>
      <c r="I21" s="383"/>
    </row>
    <row r="22" spans="1:9" x14ac:dyDescent="0.2">
      <c r="A22" s="383" t="s">
        <v>356</v>
      </c>
      <c r="B22" s="383"/>
      <c r="C22" s="383"/>
      <c r="D22" s="383"/>
      <c r="E22" s="383"/>
      <c r="F22" s="383"/>
      <c r="G22" s="383"/>
      <c r="H22" s="383"/>
      <c r="I22" s="383"/>
    </row>
    <row r="23" spans="1:9" x14ac:dyDescent="0.2">
      <c r="A23" s="383" t="s">
        <v>358</v>
      </c>
      <c r="B23" s="383"/>
      <c r="C23" s="383"/>
      <c r="D23" s="383"/>
      <c r="E23" s="383"/>
      <c r="F23" s="383"/>
      <c r="G23" s="383"/>
      <c r="H23" s="383"/>
      <c r="I23" s="383"/>
    </row>
    <row r="24" spans="1:9" x14ac:dyDescent="0.2">
      <c r="A24" s="56"/>
      <c r="B24" s="56"/>
      <c r="C24" s="56"/>
      <c r="D24" s="56"/>
      <c r="E24" s="56"/>
      <c r="F24" s="57"/>
      <c r="G24" s="57"/>
      <c r="H24" s="57"/>
      <c r="I24" s="57"/>
    </row>
    <row r="25" spans="1:9" x14ac:dyDescent="0.2">
      <c r="A25" s="53"/>
      <c r="B25" s="53"/>
      <c r="C25" s="53"/>
      <c r="D25" s="53"/>
      <c r="E25" s="53"/>
      <c r="F25" s="53"/>
      <c r="G25" s="53"/>
      <c r="H25" s="53"/>
      <c r="I25" s="53"/>
    </row>
    <row r="26" spans="1:9" x14ac:dyDescent="0.2">
      <c r="A26" s="64" t="s">
        <v>49</v>
      </c>
      <c r="B26" s="53"/>
      <c r="C26" s="53"/>
      <c r="D26" s="57" t="s">
        <v>50</v>
      </c>
      <c r="E26" s="57" t="s">
        <v>17</v>
      </c>
      <c r="F26" s="57" t="s">
        <v>17</v>
      </c>
      <c r="G26" s="57" t="s">
        <v>76</v>
      </c>
      <c r="H26" s="57" t="s">
        <v>17</v>
      </c>
      <c r="I26" s="57" t="s">
        <v>17</v>
      </c>
    </row>
    <row r="27" spans="1:9" x14ac:dyDescent="0.2">
      <c r="A27" s="65" t="s">
        <v>51</v>
      </c>
      <c r="B27" s="66"/>
      <c r="C27" s="58" t="s">
        <v>47</v>
      </c>
      <c r="D27" s="67">
        <v>7</v>
      </c>
      <c r="E27" s="67" t="s">
        <v>52</v>
      </c>
      <c r="F27" s="67" t="s">
        <v>53</v>
      </c>
      <c r="G27" s="67" t="s">
        <v>77</v>
      </c>
      <c r="H27" s="67" t="s">
        <v>54</v>
      </c>
      <c r="I27" s="67" t="s">
        <v>55</v>
      </c>
    </row>
    <row r="28" spans="1:9" x14ac:dyDescent="0.2">
      <c r="A28" s="53"/>
      <c r="B28" s="54" t="s">
        <v>16</v>
      </c>
      <c r="C28" s="54" t="s">
        <v>0</v>
      </c>
      <c r="D28" s="54" t="s">
        <v>1</v>
      </c>
      <c r="E28" s="54" t="s">
        <v>2</v>
      </c>
      <c r="F28" s="54" t="s">
        <v>3</v>
      </c>
      <c r="G28" s="54" t="s">
        <v>18</v>
      </c>
      <c r="H28" s="54" t="s">
        <v>4</v>
      </c>
      <c r="I28" s="54" t="s">
        <v>5</v>
      </c>
    </row>
    <row r="29" spans="1:9" x14ac:dyDescent="0.2">
      <c r="A29" s="54"/>
      <c r="B29" s="60"/>
      <c r="C29" s="54"/>
      <c r="D29" s="54"/>
      <c r="E29" s="54"/>
      <c r="F29" s="54"/>
      <c r="G29" s="54"/>
      <c r="H29" s="54"/>
      <c r="I29" s="54"/>
    </row>
    <row r="30" spans="1:9" x14ac:dyDescent="0.2">
      <c r="A30" s="54">
        <v>1</v>
      </c>
      <c r="B30" s="53" t="s">
        <v>56</v>
      </c>
      <c r="C30" s="61" t="s">
        <v>81</v>
      </c>
      <c r="D30" s="62">
        <v>496817849.06970608</v>
      </c>
      <c r="E30" s="62">
        <v>107737827.61927049</v>
      </c>
      <c r="F30" s="62">
        <v>121505626.28187713</v>
      </c>
      <c r="G30" s="62">
        <v>4105400.9850106635</v>
      </c>
      <c r="H30" s="62">
        <v>59505988.232471444</v>
      </c>
      <c r="I30" s="62">
        <v>42092812.449869394</v>
      </c>
    </row>
    <row r="31" spans="1:9" x14ac:dyDescent="0.2">
      <c r="A31" s="54">
        <v>2</v>
      </c>
      <c r="B31" s="53" t="s">
        <v>83</v>
      </c>
      <c r="C31" s="61" t="s">
        <v>80</v>
      </c>
      <c r="D31" s="55">
        <v>1095271.0948212475</v>
      </c>
      <c r="E31" s="55">
        <v>129727.31974531994</v>
      </c>
      <c r="F31" s="55">
        <v>9102.0358117534033</v>
      </c>
      <c r="G31" s="55">
        <v>82</v>
      </c>
      <c r="H31" s="55">
        <v>925.20538990838804</v>
      </c>
      <c r="I31" s="55">
        <v>508.00592918978896</v>
      </c>
    </row>
    <row r="32" spans="1:9" x14ac:dyDescent="0.2">
      <c r="A32" s="54">
        <v>3</v>
      </c>
      <c r="B32" s="53" t="s">
        <v>57</v>
      </c>
      <c r="C32" s="54" t="s">
        <v>82</v>
      </c>
      <c r="D32" s="162">
        <f t="shared" ref="D32:I32" si="1">ROUND(D30/D31,2)</f>
        <v>453.6</v>
      </c>
      <c r="E32" s="162">
        <f t="shared" si="1"/>
        <v>830.49</v>
      </c>
      <c r="F32" s="162">
        <f t="shared" si="1"/>
        <v>13349.28</v>
      </c>
      <c r="G32" s="63">
        <f t="shared" si="1"/>
        <v>50065.87</v>
      </c>
      <c r="H32" s="162">
        <f t="shared" si="1"/>
        <v>64316.52</v>
      </c>
      <c r="I32" s="162">
        <f t="shared" si="1"/>
        <v>82858.899999999994</v>
      </c>
    </row>
  </sheetData>
  <mergeCells count="10">
    <mergeCell ref="A19:I19"/>
    <mergeCell ref="A20:I20"/>
    <mergeCell ref="A21:I21"/>
    <mergeCell ref="A22:I22"/>
    <mergeCell ref="A23:I23"/>
    <mergeCell ref="A3:I3"/>
    <mergeCell ref="A4:I4"/>
    <mergeCell ref="A5:I5"/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B23" sqref="B23"/>
    </sheetView>
  </sheetViews>
  <sheetFormatPr defaultColWidth="9.109375" defaultRowHeight="10.199999999999999" x14ac:dyDescent="0.2"/>
  <cols>
    <col min="1" max="1" width="33.44140625" style="1" bestFit="1" customWidth="1"/>
    <col min="2" max="2" width="12.88671875" style="1" bestFit="1" customWidth="1"/>
    <col min="3" max="3" width="10.5546875" style="1" customWidth="1"/>
    <col min="4" max="4" width="1" style="1" customWidth="1"/>
    <col min="5" max="5" width="12.88671875" style="1" bestFit="1" customWidth="1"/>
    <col min="6" max="6" width="10.5546875" style="1" bestFit="1" customWidth="1"/>
    <col min="7" max="16384" width="9.109375" style="1"/>
  </cols>
  <sheetData>
    <row r="2" spans="1:6" ht="10.8" thickBot="1" x14ac:dyDescent="0.25"/>
    <row r="3" spans="1:6" ht="13.8" thickBot="1" x14ac:dyDescent="0.3">
      <c r="B3" s="366">
        <v>2023</v>
      </c>
      <c r="C3" s="367"/>
      <c r="E3" s="366">
        <v>2024</v>
      </c>
      <c r="F3" s="367"/>
    </row>
    <row r="5" spans="1:6" x14ac:dyDescent="0.2">
      <c r="A5" s="15" t="s">
        <v>37</v>
      </c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">
      <c r="A6" s="5" t="s">
        <v>62</v>
      </c>
      <c r="C6" s="160">
        <f>'Exhibit BDJ-5 Res'!F16/'Exhibit BDJ-5 Res'!C16</f>
        <v>7.4931551994556536</v>
      </c>
      <c r="F6" s="160">
        <f>'Exhibit BDJ-5 Res'!F16/'Exhibit BDJ-5 Res'!C16</f>
        <v>7.4931551994556536</v>
      </c>
    </row>
    <row r="7" spans="1:6" x14ac:dyDescent="0.2">
      <c r="A7" s="1" t="s">
        <v>40</v>
      </c>
      <c r="C7" s="6">
        <v>12</v>
      </c>
      <c r="F7" s="6">
        <v>12</v>
      </c>
    </row>
    <row r="8" spans="1:6" x14ac:dyDescent="0.2">
      <c r="A8" s="1" t="s">
        <v>41</v>
      </c>
      <c r="C8" s="7">
        <f>C6*C7</f>
        <v>89.917862393467843</v>
      </c>
      <c r="F8" s="7">
        <f>F6*F7</f>
        <v>89.917862393467843</v>
      </c>
    </row>
    <row r="10" spans="1:6" x14ac:dyDescent="0.2">
      <c r="A10" s="1" t="s">
        <v>42</v>
      </c>
      <c r="B10" s="162">
        <f>+'Exhibit BDJ-9, Page 2'!D14</f>
        <v>434.01</v>
      </c>
      <c r="C10" s="8">
        <f>B10</f>
        <v>434.01</v>
      </c>
      <c r="E10" s="162">
        <f>+'Exhibit BDJ-9, Page 2'!D32</f>
        <v>453.6</v>
      </c>
      <c r="F10" s="8">
        <f>E10</f>
        <v>453.6</v>
      </c>
    </row>
    <row r="12" spans="1:6" ht="10.8" thickBot="1" x14ac:dyDescent="0.25">
      <c r="A12" s="9" t="s">
        <v>43</v>
      </c>
      <c r="B12" s="10">
        <f>B8+B10</f>
        <v>434.01</v>
      </c>
      <c r="C12" s="10">
        <f>C8+C10</f>
        <v>523.92786239346788</v>
      </c>
      <c r="E12" s="10">
        <f>E8+E10</f>
        <v>453.6</v>
      </c>
      <c r="F12" s="10">
        <f>F8+F10</f>
        <v>543.51786239346791</v>
      </c>
    </row>
    <row r="13" spans="1:6" ht="10.8" thickTop="1" x14ac:dyDescent="0.2"/>
    <row r="14" spans="1:6" x14ac:dyDescent="0.2">
      <c r="A14" s="1" t="s">
        <v>44</v>
      </c>
      <c r="B14" s="116">
        <f>+'Exhibit SEF-4E'!E23</f>
        <v>8.7999999999999995E-2</v>
      </c>
      <c r="C14" s="11">
        <f>+B14</f>
        <v>8.7999999999999995E-2</v>
      </c>
      <c r="E14" s="116">
        <f>'Exhibit SEF-4E'!E50</f>
        <v>8.7999999999999995E-2</v>
      </c>
      <c r="F14" s="11">
        <f>+E14</f>
        <v>8.7999999999999995E-2</v>
      </c>
    </row>
    <row r="16" spans="1:6" ht="10.8" thickBot="1" x14ac:dyDescent="0.25">
      <c r="A16" s="12" t="s">
        <v>45</v>
      </c>
      <c r="B16" s="199">
        <f>B12/B14</f>
        <v>4931.931818181818</v>
      </c>
      <c r="C16" s="199">
        <f>C12/C14</f>
        <v>5953.7257090166804</v>
      </c>
      <c r="D16" s="52"/>
      <c r="E16" s="199">
        <f>E12/E14</f>
        <v>5154.545454545455</v>
      </c>
      <c r="F16" s="199">
        <f>F12/F14</f>
        <v>6176.3393453803174</v>
      </c>
    </row>
    <row r="17" spans="1:6" x14ac:dyDescent="0.2">
      <c r="B17" s="52"/>
      <c r="C17" s="52"/>
      <c r="D17" s="52"/>
      <c r="E17" s="52"/>
      <c r="F17" s="52"/>
    </row>
    <row r="18" spans="1:6" x14ac:dyDescent="0.2">
      <c r="A18" s="5" t="s">
        <v>46</v>
      </c>
      <c r="B18" s="200">
        <f>+B24/B25</f>
        <v>10139.027341419198</v>
      </c>
      <c r="C18" s="201">
        <f>B18</f>
        <v>10139.027341419198</v>
      </c>
      <c r="D18" s="52"/>
      <c r="E18" s="200">
        <f>+E24/E25</f>
        <v>10102.011202355123</v>
      </c>
      <c r="F18" s="201">
        <f>E18</f>
        <v>10102.011202355123</v>
      </c>
    </row>
    <row r="19" spans="1:6" x14ac:dyDescent="0.2">
      <c r="B19" s="90"/>
      <c r="C19" s="52"/>
      <c r="D19" s="52"/>
      <c r="E19" s="90"/>
      <c r="F19" s="52"/>
    </row>
    <row r="20" spans="1:6" ht="10.8" thickBot="1" x14ac:dyDescent="0.25">
      <c r="A20" s="14" t="s">
        <v>59</v>
      </c>
      <c r="B20" s="17">
        <f>ROUND(B16/B18,6)</f>
        <v>0.48642999999999997</v>
      </c>
      <c r="C20" s="17">
        <f>ROUND(C16/C18,6)</f>
        <v>0.58720899999999998</v>
      </c>
      <c r="D20" s="52"/>
      <c r="E20" s="17">
        <f>ROUND(E16/E18,6)</f>
        <v>0.51024899999999995</v>
      </c>
      <c r="F20" s="17">
        <f>ROUND(F16/F18,6)</f>
        <v>0.61139699999999997</v>
      </c>
    </row>
    <row r="23" spans="1:6" ht="13.8" thickBot="1" x14ac:dyDescent="0.3">
      <c r="A23" t="s">
        <v>365</v>
      </c>
      <c r="B23" s="390">
        <f>+B12/B18</f>
        <v>4.2805881213774294E-2</v>
      </c>
      <c r="E23" s="390">
        <f>+E12/E18</f>
        <v>4.4901949811167345E-2</v>
      </c>
    </row>
    <row r="24" spans="1:6" x14ac:dyDescent="0.2">
      <c r="A24" s="1" t="s">
        <v>78</v>
      </c>
      <c r="B24" s="194">
        <f>SUM('Exhibit BDJ-3 F2021 kWh'!C32:C43)</f>
        <v>10963050375.500002</v>
      </c>
      <c r="E24" s="194">
        <f>SUM('Exhibit BDJ-3 F2021 kWh'!C44:C55)</f>
        <v>11064440869.500002</v>
      </c>
    </row>
    <row r="25" spans="1:6" x14ac:dyDescent="0.2">
      <c r="A25" s="1" t="s">
        <v>234</v>
      </c>
      <c r="B25" s="194">
        <f>AVERAGE('Exhibit BDJ-3 F2021 Customer'!C32:C43)</f>
        <v>1081272.3949085891</v>
      </c>
      <c r="E25" s="194">
        <f>AVERAGE('Exhibit BDJ-3 F2021 Customer'!C44:C55)</f>
        <v>1095271.0948212475</v>
      </c>
    </row>
    <row r="26" spans="1:6" x14ac:dyDescent="0.2">
      <c r="B26" s="18"/>
    </row>
  </sheetData>
  <mergeCells count="2">
    <mergeCell ref="B3:C3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A23" sqref="A23:XFD23"/>
    </sheetView>
  </sheetViews>
  <sheetFormatPr defaultColWidth="9.109375" defaultRowHeight="10.199999999999999" x14ac:dyDescent="0.2"/>
  <cols>
    <col min="1" max="1" width="33.44140625" style="1" bestFit="1" customWidth="1"/>
    <col min="2" max="2" width="12" style="1" bestFit="1" customWidth="1"/>
    <col min="3" max="3" width="10.5546875" style="1" bestFit="1" customWidth="1"/>
    <col min="4" max="4" width="0.88671875" style="1" customWidth="1"/>
    <col min="5" max="5" width="12" style="1" bestFit="1" customWidth="1"/>
    <col min="6" max="6" width="10.5546875" style="1" bestFit="1" customWidth="1"/>
    <col min="7" max="16384" width="9.109375" style="1"/>
  </cols>
  <sheetData>
    <row r="2" spans="1:6" ht="10.8" thickBot="1" x14ac:dyDescent="0.25"/>
    <row r="3" spans="1:6" ht="13.8" thickBot="1" x14ac:dyDescent="0.3">
      <c r="B3" s="366">
        <v>2023</v>
      </c>
      <c r="C3" s="367"/>
      <c r="E3" s="366">
        <v>2024</v>
      </c>
      <c r="F3" s="367"/>
    </row>
    <row r="4" spans="1:6" x14ac:dyDescent="0.2">
      <c r="A4" s="1" t="s">
        <v>61</v>
      </c>
      <c r="B4" s="368"/>
      <c r="C4" s="368"/>
    </row>
    <row r="5" spans="1:6" x14ac:dyDescent="0.2">
      <c r="A5" s="15" t="s">
        <v>60</v>
      </c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">
      <c r="A6" s="5" t="s">
        <v>62</v>
      </c>
      <c r="C6" s="161">
        <f>'Exhibit BDJ-5 SV'!F17/'Exhibit BDJ-5 SV'!C17</f>
        <v>14.881674360794342</v>
      </c>
      <c r="F6" s="161">
        <f>'Exhibit BDJ-5 SV'!F17/'Exhibit BDJ-5 SV'!C17</f>
        <v>14.881674360794342</v>
      </c>
    </row>
    <row r="7" spans="1:6" x14ac:dyDescent="0.2">
      <c r="A7" s="1" t="s">
        <v>40</v>
      </c>
      <c r="C7" s="6">
        <v>12</v>
      </c>
      <c r="F7" s="6">
        <v>12</v>
      </c>
    </row>
    <row r="8" spans="1:6" x14ac:dyDescent="0.2">
      <c r="A8" s="1" t="s">
        <v>41</v>
      </c>
      <c r="C8" s="7">
        <f>C6*C7</f>
        <v>178.58009232953211</v>
      </c>
      <c r="F8" s="7">
        <f>F6*F7</f>
        <v>178.58009232953211</v>
      </c>
    </row>
    <row r="10" spans="1:6" x14ac:dyDescent="0.2">
      <c r="A10" s="1" t="s">
        <v>42</v>
      </c>
      <c r="B10" s="162">
        <f>+'Exhibit BDJ-9, Page 2'!E14</f>
        <v>791.99</v>
      </c>
      <c r="C10" s="8">
        <f>B10</f>
        <v>791.99</v>
      </c>
      <c r="E10" s="162">
        <f>+'Exhibit BDJ-9, Page 2'!E32</f>
        <v>830.49</v>
      </c>
      <c r="F10" s="8">
        <f>E10</f>
        <v>830.49</v>
      </c>
    </row>
    <row r="12" spans="1:6" ht="10.8" thickBot="1" x14ac:dyDescent="0.25">
      <c r="A12" s="9" t="s">
        <v>43</v>
      </c>
      <c r="B12" s="10">
        <f>B8+B10</f>
        <v>791.99</v>
      </c>
      <c r="C12" s="10">
        <f>C8+C10</f>
        <v>970.57009232953214</v>
      </c>
      <c r="E12" s="10">
        <f>E8+E10</f>
        <v>830.49</v>
      </c>
      <c r="F12" s="10">
        <f>F8+F10</f>
        <v>1009.0700923295321</v>
      </c>
    </row>
    <row r="13" spans="1:6" ht="10.8" thickTop="1" x14ac:dyDescent="0.2"/>
    <row r="14" spans="1:6" x14ac:dyDescent="0.2">
      <c r="A14" s="1" t="s">
        <v>44</v>
      </c>
      <c r="B14" s="116">
        <f>+'Exhibit SEF-4E'!E23</f>
        <v>8.7999999999999995E-2</v>
      </c>
      <c r="C14" s="11">
        <f>+B14</f>
        <v>8.7999999999999995E-2</v>
      </c>
      <c r="E14" s="116">
        <f>'Exhibit SEF-4E'!E50</f>
        <v>8.7999999999999995E-2</v>
      </c>
      <c r="F14" s="11">
        <f>+E14</f>
        <v>8.7999999999999995E-2</v>
      </c>
    </row>
    <row r="16" spans="1:6" ht="10.8" thickBot="1" x14ac:dyDescent="0.25">
      <c r="A16" s="12" t="s">
        <v>45</v>
      </c>
      <c r="B16" s="199">
        <f>B12/B14</f>
        <v>8999.886363636364</v>
      </c>
      <c r="C16" s="199">
        <f>C12/C14</f>
        <v>11029.205594653775</v>
      </c>
      <c r="D16" s="52"/>
      <c r="E16" s="199">
        <f>E12/E14</f>
        <v>9437.386363636364</v>
      </c>
      <c r="F16" s="199">
        <f>F12/F14</f>
        <v>11466.705594653775</v>
      </c>
    </row>
    <row r="17" spans="1:6" x14ac:dyDescent="0.2">
      <c r="B17" s="52"/>
      <c r="C17" s="52"/>
      <c r="D17" s="52"/>
      <c r="E17" s="52"/>
      <c r="F17" s="52"/>
    </row>
    <row r="18" spans="1:6" x14ac:dyDescent="0.2">
      <c r="A18" s="5" t="s">
        <v>46</v>
      </c>
      <c r="B18" s="16">
        <f>+B24/B25</f>
        <v>21051.372734173128</v>
      </c>
      <c r="C18" s="201">
        <f>B18</f>
        <v>21051.372734173128</v>
      </c>
      <c r="D18" s="52"/>
      <c r="E18" s="16">
        <f>+E24/E25</f>
        <v>21047.008489501313</v>
      </c>
      <c r="F18" s="201">
        <f>E18</f>
        <v>21047.008489501313</v>
      </c>
    </row>
    <row r="19" spans="1:6" x14ac:dyDescent="0.2">
      <c r="B19" s="90"/>
      <c r="C19" s="52"/>
      <c r="D19" s="52"/>
      <c r="E19" s="90"/>
      <c r="F19" s="52"/>
    </row>
    <row r="20" spans="1:6" ht="10.8" thickBot="1" x14ac:dyDescent="0.25">
      <c r="A20" s="14" t="s">
        <v>59</v>
      </c>
      <c r="B20" s="17">
        <f>ROUND(B16/B18,6)</f>
        <v>0.42752000000000001</v>
      </c>
      <c r="C20" s="17">
        <f>ROUND(C16/C18,6)</f>
        <v>0.52391900000000002</v>
      </c>
      <c r="D20" s="52"/>
      <c r="E20" s="17">
        <f>ROUND(E16/E18,6)</f>
        <v>0.44839600000000002</v>
      </c>
      <c r="F20" s="17">
        <f>ROUND(F16/F18,6)</f>
        <v>0.54481400000000002</v>
      </c>
    </row>
    <row r="23" spans="1:6" ht="13.8" thickBot="1" x14ac:dyDescent="0.3">
      <c r="A23" t="s">
        <v>365</v>
      </c>
      <c r="B23" s="390">
        <f>+B12/B18</f>
        <v>3.7621774598781688E-2</v>
      </c>
      <c r="E23" s="390">
        <f>+E12/E18</f>
        <v>3.9458814321012212E-2</v>
      </c>
    </row>
    <row r="24" spans="1:6" x14ac:dyDescent="0.2">
      <c r="A24" s="1" t="s">
        <v>78</v>
      </c>
      <c r="B24" s="194">
        <f>SUM('Exhibit BDJ-3 F2021 kWh'!E32:E43)</f>
        <v>2697633000</v>
      </c>
      <c r="E24" s="194">
        <f>SUM('Exhibit BDJ-3 F2021 kWh'!E44:E55)</f>
        <v>2730372000</v>
      </c>
    </row>
    <row r="25" spans="1:6" x14ac:dyDescent="0.2">
      <c r="A25" s="1" t="s">
        <v>234</v>
      </c>
      <c r="B25" s="194">
        <f>AVERAGE('Exhibit BDJ-3 F2021 Customer'!E32:E43)</f>
        <v>128145.22996027127</v>
      </c>
      <c r="E25" s="194">
        <f>AVERAGE('Exhibit BDJ-3 F2021 Customer'!E44:E55)</f>
        <v>129727.31974531994</v>
      </c>
    </row>
    <row r="26" spans="1:6" x14ac:dyDescent="0.2">
      <c r="B26" s="13"/>
    </row>
  </sheetData>
  <mergeCells count="3">
    <mergeCell ref="B4:C4"/>
    <mergeCell ref="B3:C3"/>
    <mergeCell ref="E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A23" sqref="A23:XFD23"/>
    </sheetView>
  </sheetViews>
  <sheetFormatPr defaultColWidth="9.109375" defaultRowHeight="10.199999999999999" x14ac:dyDescent="0.2"/>
  <cols>
    <col min="1" max="1" width="33.44140625" style="1" bestFit="1" customWidth="1"/>
    <col min="2" max="2" width="12" style="1" bestFit="1" customWidth="1"/>
    <col min="3" max="3" width="10.6640625" style="1" bestFit="1" customWidth="1"/>
    <col min="4" max="4" width="1" style="1" customWidth="1"/>
    <col min="5" max="5" width="12" style="1" bestFit="1" customWidth="1"/>
    <col min="6" max="6" width="10.5546875" style="1" bestFit="1" customWidth="1"/>
    <col min="7" max="16384" width="9.109375" style="1"/>
  </cols>
  <sheetData>
    <row r="2" spans="1:6" ht="10.8" thickBot="1" x14ac:dyDescent="0.25"/>
    <row r="3" spans="1:6" ht="13.8" thickBot="1" x14ac:dyDescent="0.3">
      <c r="B3" s="366">
        <v>2023</v>
      </c>
      <c r="C3" s="367"/>
      <c r="E3" s="366">
        <v>2024</v>
      </c>
      <c r="F3" s="367"/>
    </row>
    <row r="4" spans="1:6" x14ac:dyDescent="0.2">
      <c r="A4" s="1" t="s">
        <v>63</v>
      </c>
      <c r="B4" s="368"/>
      <c r="C4" s="368"/>
    </row>
    <row r="5" spans="1:6" x14ac:dyDescent="0.2">
      <c r="A5" s="3" t="s">
        <v>64</v>
      </c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">
      <c r="A6" s="1" t="s">
        <v>9</v>
      </c>
      <c r="C6" s="160">
        <f>'Exhibit BDJ-5'!E22</f>
        <v>53.95</v>
      </c>
      <c r="F6" s="160">
        <f>'Exhibit BDJ-5'!E22</f>
        <v>53.95</v>
      </c>
    </row>
    <row r="7" spans="1:6" x14ac:dyDescent="0.2">
      <c r="A7" s="1" t="s">
        <v>40</v>
      </c>
      <c r="C7" s="6">
        <v>12</v>
      </c>
      <c r="F7" s="6">
        <v>12</v>
      </c>
    </row>
    <row r="8" spans="1:6" x14ac:dyDescent="0.2">
      <c r="A8" s="1" t="s">
        <v>41</v>
      </c>
      <c r="C8" s="7">
        <f>C6*C7</f>
        <v>647.40000000000009</v>
      </c>
      <c r="F8" s="7">
        <f>F6*F7</f>
        <v>647.40000000000009</v>
      </c>
    </row>
    <row r="10" spans="1:6" x14ac:dyDescent="0.2">
      <c r="A10" s="1" t="s">
        <v>42</v>
      </c>
      <c r="B10" s="162">
        <f>+'Exhibit BDJ-9, Page 2'!F14</f>
        <v>12736.96</v>
      </c>
      <c r="C10" s="8">
        <f>B10</f>
        <v>12736.96</v>
      </c>
      <c r="E10" s="162">
        <f>+'Exhibit BDJ-9, Page 2'!F32</f>
        <v>13349.28</v>
      </c>
      <c r="F10" s="8">
        <f>E10</f>
        <v>13349.28</v>
      </c>
    </row>
    <row r="12" spans="1:6" ht="10.8" thickBot="1" x14ac:dyDescent="0.25">
      <c r="A12" s="9" t="s">
        <v>43</v>
      </c>
      <c r="B12" s="10">
        <f>B8+B10</f>
        <v>12736.96</v>
      </c>
      <c r="C12" s="10">
        <f>C8+C10</f>
        <v>13384.359999999999</v>
      </c>
      <c r="E12" s="10">
        <f>E8+E10</f>
        <v>13349.28</v>
      </c>
      <c r="F12" s="10">
        <f>F8+F10</f>
        <v>13996.68</v>
      </c>
    </row>
    <row r="13" spans="1:6" ht="10.8" thickTop="1" x14ac:dyDescent="0.2"/>
    <row r="14" spans="1:6" x14ac:dyDescent="0.2">
      <c r="A14" s="1" t="s">
        <v>44</v>
      </c>
      <c r="B14" s="116">
        <f>+'Exhibit SEF-4E'!E23</f>
        <v>8.7999999999999995E-2</v>
      </c>
      <c r="C14" s="11">
        <f>+B14</f>
        <v>8.7999999999999995E-2</v>
      </c>
      <c r="E14" s="116">
        <f>'Exhibit SEF-4E'!E50</f>
        <v>8.7999999999999995E-2</v>
      </c>
      <c r="F14" s="11">
        <f>+E14</f>
        <v>8.7999999999999995E-2</v>
      </c>
    </row>
    <row r="16" spans="1:6" ht="10.8" thickBot="1" x14ac:dyDescent="0.25">
      <c r="A16" s="12" t="s">
        <v>45</v>
      </c>
      <c r="B16" s="199">
        <f>B12/B14</f>
        <v>144738.18181818182</v>
      </c>
      <c r="C16" s="199">
        <f>C12/C14</f>
        <v>152095</v>
      </c>
      <c r="D16" s="52"/>
      <c r="E16" s="199">
        <f>E12/E14</f>
        <v>151696.36363636365</v>
      </c>
      <c r="F16" s="199">
        <f>F12/F14</f>
        <v>159053.18181818182</v>
      </c>
    </row>
    <row r="17" spans="1:6" x14ac:dyDescent="0.2">
      <c r="B17" s="52"/>
      <c r="C17" s="52"/>
      <c r="D17" s="52"/>
      <c r="E17" s="52"/>
      <c r="F17" s="52"/>
    </row>
    <row r="18" spans="1:6" x14ac:dyDescent="0.2">
      <c r="A18" s="5" t="s">
        <v>46</v>
      </c>
      <c r="B18" s="200">
        <f>+B24/B25</f>
        <v>354742.41541438765</v>
      </c>
      <c r="C18" s="201">
        <f>B18</f>
        <v>354742.41541438765</v>
      </c>
      <c r="D18" s="52"/>
      <c r="E18" s="200">
        <f>+E24/E25</f>
        <v>354098.10682163754</v>
      </c>
      <c r="F18" s="201">
        <f>E18</f>
        <v>354098.10682163754</v>
      </c>
    </row>
    <row r="19" spans="1:6" x14ac:dyDescent="0.2">
      <c r="B19" s="90"/>
      <c r="C19" s="52"/>
      <c r="D19" s="52"/>
      <c r="E19" s="90"/>
      <c r="F19" s="52"/>
    </row>
    <row r="20" spans="1:6" ht="10.8" thickBot="1" x14ac:dyDescent="0.25">
      <c r="A20" s="14" t="s">
        <v>59</v>
      </c>
      <c r="B20" s="17">
        <f>ROUND(B16/B18,6)</f>
        <v>0.40800900000000001</v>
      </c>
      <c r="C20" s="17">
        <f>ROUND(C16/C18,6)</f>
        <v>0.42874800000000002</v>
      </c>
      <c r="D20" s="52"/>
      <c r="E20" s="17">
        <f>ROUND(E16/E18,6)</f>
        <v>0.42840200000000001</v>
      </c>
      <c r="F20" s="17">
        <f>ROUND(F16/F18,6)</f>
        <v>0.44917800000000002</v>
      </c>
    </row>
    <row r="23" spans="1:6" ht="13.8" thickBot="1" x14ac:dyDescent="0.3">
      <c r="A23" t="s">
        <v>365</v>
      </c>
      <c r="B23" s="390">
        <f>+B12/B18</f>
        <v>3.5904812750179559E-2</v>
      </c>
      <c r="E23" s="390">
        <f>+E12/E18</f>
        <v>3.7699382580218523E-2</v>
      </c>
    </row>
    <row r="24" spans="1:6" x14ac:dyDescent="0.2">
      <c r="A24" s="1" t="s">
        <v>78</v>
      </c>
      <c r="B24" s="194">
        <f>SUM('Exhibit BDJ-3 F2021 kWh'!F32:F43)</f>
        <v>2909202000</v>
      </c>
      <c r="E24" s="194">
        <f>SUM('Exhibit BDJ-3 F2021 kWh'!F44:F55)</f>
        <v>2945675000</v>
      </c>
    </row>
    <row r="25" spans="1:6" x14ac:dyDescent="0.2">
      <c r="A25" s="1" t="s">
        <v>234</v>
      </c>
      <c r="B25" s="194">
        <f>AVERAGE('Exhibit BDJ-3 F2021 Customer'!F32:F43)</f>
        <v>8200.8856950518712</v>
      </c>
      <c r="E25" s="194">
        <f>AVERAGE('Exhibit BDJ-3 F2021 Customer'!F44:F55)</f>
        <v>8318.810361456588</v>
      </c>
    </row>
  </sheetData>
  <mergeCells count="3">
    <mergeCell ref="B4:C4"/>
    <mergeCell ref="B3:C3"/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A23" sqref="A23:XFD23"/>
    </sheetView>
  </sheetViews>
  <sheetFormatPr defaultColWidth="9.109375" defaultRowHeight="10.199999999999999" x14ac:dyDescent="0.2"/>
  <cols>
    <col min="1" max="1" width="33.44140625" style="1" bestFit="1" customWidth="1"/>
    <col min="2" max="2" width="12" style="1" bestFit="1" customWidth="1"/>
    <col min="3" max="3" width="10.6640625" style="1" bestFit="1" customWidth="1"/>
    <col min="4" max="4" width="1.109375" style="1" customWidth="1"/>
    <col min="5" max="5" width="12" style="1" bestFit="1" customWidth="1"/>
    <col min="6" max="6" width="10.5546875" style="1" bestFit="1" customWidth="1"/>
    <col min="7" max="16384" width="9.109375" style="1"/>
  </cols>
  <sheetData>
    <row r="2" spans="1:6" ht="10.8" thickBot="1" x14ac:dyDescent="0.25"/>
    <row r="3" spans="1:6" ht="13.8" thickBot="1" x14ac:dyDescent="0.3">
      <c r="B3" s="366">
        <v>2023</v>
      </c>
      <c r="C3" s="367"/>
      <c r="E3" s="366">
        <v>2024</v>
      </c>
      <c r="F3" s="367"/>
    </row>
    <row r="4" spans="1:6" x14ac:dyDescent="0.2">
      <c r="A4" s="5" t="s">
        <v>66</v>
      </c>
      <c r="B4" s="368"/>
      <c r="C4" s="368"/>
    </row>
    <row r="5" spans="1:6" x14ac:dyDescent="0.2">
      <c r="A5" s="3" t="s">
        <v>65</v>
      </c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">
      <c r="A6" s="1" t="s">
        <v>9</v>
      </c>
      <c r="C6" s="160">
        <f>'Exhibit BDJ-5'!E35</f>
        <v>109.08</v>
      </c>
      <c r="F6" s="160">
        <f>'Exhibit BDJ-5'!E35</f>
        <v>109.08</v>
      </c>
    </row>
    <row r="7" spans="1:6" x14ac:dyDescent="0.2">
      <c r="A7" s="1" t="s">
        <v>40</v>
      </c>
      <c r="C7" s="6">
        <v>12</v>
      </c>
      <c r="F7" s="6">
        <v>12</v>
      </c>
    </row>
    <row r="8" spans="1:6" x14ac:dyDescent="0.2">
      <c r="A8" s="1" t="s">
        <v>41</v>
      </c>
      <c r="C8" s="7">
        <f>C6*C7</f>
        <v>1308.96</v>
      </c>
      <c r="F8" s="7">
        <f>F6*F7</f>
        <v>1308.96</v>
      </c>
    </row>
    <row r="10" spans="1:6" x14ac:dyDescent="0.2">
      <c r="A10" s="1" t="s">
        <v>42</v>
      </c>
      <c r="B10" s="162">
        <f>+'Exhibit BDJ-9, Page 2'!H14</f>
        <v>65070.01</v>
      </c>
      <c r="C10" s="8">
        <f>B10</f>
        <v>65070.01</v>
      </c>
      <c r="E10" s="162">
        <f>+'Exhibit BDJ-9, Page 2'!H32</f>
        <v>64316.52</v>
      </c>
      <c r="F10" s="8">
        <f>E10</f>
        <v>64316.52</v>
      </c>
    </row>
    <row r="12" spans="1:6" ht="10.8" thickBot="1" x14ac:dyDescent="0.25">
      <c r="A12" s="9" t="s">
        <v>43</v>
      </c>
      <c r="B12" s="10">
        <f>B8+B10</f>
        <v>65070.01</v>
      </c>
      <c r="C12" s="10">
        <f>C8+C10</f>
        <v>66378.97</v>
      </c>
      <c r="E12" s="10">
        <f>E8+E10</f>
        <v>64316.52</v>
      </c>
      <c r="F12" s="10">
        <f>F8+F10</f>
        <v>65625.48</v>
      </c>
    </row>
    <row r="13" spans="1:6" ht="10.8" thickTop="1" x14ac:dyDescent="0.2"/>
    <row r="14" spans="1:6" x14ac:dyDescent="0.2">
      <c r="A14" s="1" t="s">
        <v>44</v>
      </c>
      <c r="B14" s="116">
        <f>+'Exhibit SEF-4E'!E23</f>
        <v>8.7999999999999995E-2</v>
      </c>
      <c r="C14" s="11">
        <f>+B14</f>
        <v>8.7999999999999995E-2</v>
      </c>
      <c r="E14" s="116">
        <f>+'Exhibit SEF-4E'!E50</f>
        <v>8.7999999999999995E-2</v>
      </c>
      <c r="F14" s="11">
        <f>+E14</f>
        <v>8.7999999999999995E-2</v>
      </c>
    </row>
    <row r="16" spans="1:6" ht="10.8" thickBot="1" x14ac:dyDescent="0.25">
      <c r="A16" s="12" t="s">
        <v>45</v>
      </c>
      <c r="B16" s="199">
        <f>B12/B14</f>
        <v>739431.93181818188</v>
      </c>
      <c r="C16" s="199">
        <f>C12/C14</f>
        <v>754306.47727272729</v>
      </c>
      <c r="E16" s="199">
        <f>E12/E14</f>
        <v>730869.54545454541</v>
      </c>
      <c r="F16" s="199">
        <f>F12/F14</f>
        <v>745744.09090909094</v>
      </c>
    </row>
    <row r="17" spans="1:6" x14ac:dyDescent="0.2">
      <c r="B17" s="52"/>
      <c r="C17" s="52"/>
      <c r="E17" s="52"/>
      <c r="F17" s="52"/>
    </row>
    <row r="18" spans="1:6" x14ac:dyDescent="0.2">
      <c r="A18" s="5" t="s">
        <v>46</v>
      </c>
      <c r="B18" s="200">
        <f>+B24/B25</f>
        <v>2121638.626674199</v>
      </c>
      <c r="C18" s="201">
        <f>B18</f>
        <v>2121638.626674199</v>
      </c>
      <c r="E18" s="200">
        <f>+E24/E25</f>
        <v>2003730.2205768232</v>
      </c>
      <c r="F18" s="201">
        <f>E18</f>
        <v>2003730.2205768232</v>
      </c>
    </row>
    <row r="19" spans="1:6" x14ac:dyDescent="0.2">
      <c r="B19" s="90"/>
      <c r="C19" s="52"/>
      <c r="E19" s="90"/>
      <c r="F19" s="52"/>
    </row>
    <row r="20" spans="1:6" ht="10.8" thickBot="1" x14ac:dyDescent="0.25">
      <c r="A20" s="14" t="s">
        <v>59</v>
      </c>
      <c r="B20" s="17">
        <f>ROUND(B16/B18,6)</f>
        <v>0.34851900000000002</v>
      </c>
      <c r="C20" s="17">
        <f>ROUND(C16/C18,6)</f>
        <v>0.35553000000000001</v>
      </c>
      <c r="E20" s="17">
        <f>ROUND(E16/E18,6)</f>
        <v>0.36475400000000002</v>
      </c>
      <c r="F20" s="17">
        <f>ROUND(F16/F18,6)</f>
        <v>0.37217800000000001</v>
      </c>
    </row>
    <row r="23" spans="1:6" ht="13.8" thickBot="1" x14ac:dyDescent="0.3">
      <c r="A23" t="s">
        <v>365</v>
      </c>
      <c r="B23" s="390">
        <f>+B12/B18</f>
        <v>3.0669695197810997E-2</v>
      </c>
      <c r="E23" s="390">
        <f>+E12/E18</f>
        <v>3.2098392957054314E-2</v>
      </c>
    </row>
    <row r="24" spans="1:6" x14ac:dyDescent="0.2">
      <c r="A24" s="1" t="s">
        <v>78</v>
      </c>
      <c r="B24" s="194">
        <f>SUM('Exhibit BDJ-3 F2021 kWh'!G32:G43)</f>
        <v>1831289000</v>
      </c>
      <c r="E24" s="194">
        <f>SUM('Exhibit BDJ-3 F2021 kWh'!G44:G55)</f>
        <v>1853862000</v>
      </c>
    </row>
    <row r="25" spans="1:6" x14ac:dyDescent="0.2">
      <c r="A25" s="1" t="s">
        <v>234</v>
      </c>
      <c r="B25" s="194">
        <f>AVERAGE('Exhibit BDJ-3 F2021 Customer'!G32:G43)</f>
        <v>863.14840660242874</v>
      </c>
      <c r="E25" s="194">
        <f>AVERAGE('Exhibit BDJ-3 F2021 Customer'!G44:G55)</f>
        <v>925.20538990838804</v>
      </c>
    </row>
  </sheetData>
  <mergeCells count="3">
    <mergeCell ref="B4:C4"/>
    <mergeCell ref="B3:C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B33" sqref="B33"/>
    </sheetView>
  </sheetViews>
  <sheetFormatPr defaultColWidth="9.109375" defaultRowHeight="10.199999999999999" x14ac:dyDescent="0.2"/>
  <cols>
    <col min="1" max="1" width="33.44140625" style="1" bestFit="1" customWidth="1"/>
    <col min="2" max="2" width="14" style="1" bestFit="1" customWidth="1"/>
    <col min="3" max="3" width="12.44140625" style="1" bestFit="1" customWidth="1"/>
    <col min="4" max="4" width="1" style="1" customWidth="1"/>
    <col min="5" max="5" width="12" style="1" bestFit="1" customWidth="1"/>
    <col min="6" max="6" width="10.6640625" style="1" bestFit="1" customWidth="1"/>
    <col min="7" max="16384" width="9.109375" style="1"/>
  </cols>
  <sheetData>
    <row r="2" spans="1:6" ht="10.8" thickBot="1" x14ac:dyDescent="0.25"/>
    <row r="3" spans="1:6" ht="13.8" thickBot="1" x14ac:dyDescent="0.3">
      <c r="B3" s="366">
        <v>2023</v>
      </c>
      <c r="C3" s="367"/>
      <c r="E3" s="366">
        <v>2024</v>
      </c>
      <c r="F3" s="367"/>
    </row>
    <row r="4" spans="1:6" x14ac:dyDescent="0.2">
      <c r="A4" s="1" t="s">
        <v>19</v>
      </c>
      <c r="B4" s="368"/>
      <c r="C4" s="368"/>
    </row>
    <row r="5" spans="1:6" x14ac:dyDescent="0.2">
      <c r="A5" s="3" t="s">
        <v>67</v>
      </c>
      <c r="B5" s="4" t="s">
        <v>38</v>
      </c>
      <c r="C5" s="4" t="s">
        <v>39</v>
      </c>
      <c r="E5" s="4" t="s">
        <v>38</v>
      </c>
      <c r="F5" s="4" t="s">
        <v>39</v>
      </c>
    </row>
    <row r="6" spans="1:6" x14ac:dyDescent="0.2">
      <c r="A6" s="1" t="s">
        <v>9</v>
      </c>
      <c r="C6" s="160">
        <f>'Exhibit BDJ-5'!E74</f>
        <v>358.11</v>
      </c>
      <c r="F6" s="160">
        <f>'Exhibit BDJ-5'!E74</f>
        <v>358.11</v>
      </c>
    </row>
    <row r="7" spans="1:6" x14ac:dyDescent="0.2">
      <c r="A7" s="1" t="s">
        <v>40</v>
      </c>
      <c r="C7" s="6">
        <v>12</v>
      </c>
      <c r="F7" s="6">
        <v>12</v>
      </c>
    </row>
    <row r="8" spans="1:6" x14ac:dyDescent="0.2">
      <c r="A8" s="1" t="s">
        <v>41</v>
      </c>
      <c r="C8" s="7">
        <f>C6*C7</f>
        <v>4297.32</v>
      </c>
      <c r="F8" s="7">
        <f>F6*F7</f>
        <v>4297.32</v>
      </c>
    </row>
    <row r="10" spans="1:6" x14ac:dyDescent="0.2">
      <c r="A10" s="1" t="s">
        <v>42</v>
      </c>
      <c r="B10" s="162">
        <f>+'Exhibit BDJ-9, Page 2'!I14</f>
        <v>80490.789999999994</v>
      </c>
      <c r="C10" s="8">
        <f>B10</f>
        <v>80490.789999999994</v>
      </c>
      <c r="E10" s="162">
        <f>+'Exhibit BDJ-9, Page 2'!I32</f>
        <v>82858.899999999994</v>
      </c>
      <c r="F10" s="8">
        <f>E10</f>
        <v>82858.899999999994</v>
      </c>
    </row>
    <row r="12" spans="1:6" ht="10.8" thickBot="1" x14ac:dyDescent="0.25">
      <c r="A12" s="9" t="s">
        <v>43</v>
      </c>
      <c r="B12" s="10">
        <f>B8+B10</f>
        <v>80490.789999999994</v>
      </c>
      <c r="C12" s="10">
        <f>C8+C10</f>
        <v>84788.109999999986</v>
      </c>
      <c r="E12" s="10">
        <f>E8+E10</f>
        <v>82858.899999999994</v>
      </c>
      <c r="F12" s="10">
        <f>F8+F10</f>
        <v>87156.22</v>
      </c>
    </row>
    <row r="13" spans="1:6" ht="10.8" thickTop="1" x14ac:dyDescent="0.2"/>
    <row r="14" spans="1:6" x14ac:dyDescent="0.2">
      <c r="A14" s="1" t="s">
        <v>44</v>
      </c>
      <c r="B14" s="116">
        <f>+'Exhibit SEF-4E'!E23</f>
        <v>8.7999999999999995E-2</v>
      </c>
      <c r="C14" s="11">
        <f>+B14</f>
        <v>8.7999999999999995E-2</v>
      </c>
      <c r="E14" s="116">
        <f>+'Exhibit SEF-4E'!E50</f>
        <v>8.7999999999999995E-2</v>
      </c>
      <c r="F14" s="11">
        <f>+E14</f>
        <v>8.7999999999999995E-2</v>
      </c>
    </row>
    <row r="16" spans="1:6" ht="10.8" thickBot="1" x14ac:dyDescent="0.25">
      <c r="A16" s="12" t="s">
        <v>45</v>
      </c>
      <c r="B16" s="199">
        <f>B12/B14</f>
        <v>914668.06818181812</v>
      </c>
      <c r="C16" s="199">
        <f>C12/C14</f>
        <v>963501.24999999988</v>
      </c>
      <c r="D16" s="52"/>
      <c r="E16" s="199">
        <f>E12/E14</f>
        <v>941578.40909090906</v>
      </c>
      <c r="F16" s="199">
        <f>F12/F14</f>
        <v>990411.59090909094</v>
      </c>
    </row>
    <row r="17" spans="1:6" x14ac:dyDescent="0.2">
      <c r="B17" s="52"/>
      <c r="C17" s="52"/>
      <c r="D17" s="52"/>
      <c r="E17" s="52"/>
      <c r="F17" s="52"/>
    </row>
    <row r="18" spans="1:6" x14ac:dyDescent="0.2">
      <c r="A18" s="5" t="s">
        <v>46</v>
      </c>
      <c r="B18" s="200">
        <f>+B24/B25</f>
        <v>2634023.5451806583</v>
      </c>
      <c r="C18" s="201">
        <f>B18</f>
        <v>2634023.5451806583</v>
      </c>
      <c r="D18" s="52"/>
      <c r="E18" s="200">
        <f>+E24/E25</f>
        <v>2628803.9632330392</v>
      </c>
      <c r="F18" s="201">
        <f>E18</f>
        <v>2628803.9632330392</v>
      </c>
    </row>
    <row r="19" spans="1:6" x14ac:dyDescent="0.2">
      <c r="B19" s="90"/>
      <c r="C19" s="52"/>
      <c r="D19" s="52"/>
      <c r="E19" s="90"/>
      <c r="F19" s="52"/>
    </row>
    <row r="20" spans="1:6" ht="10.8" thickBot="1" x14ac:dyDescent="0.25">
      <c r="A20" s="14" t="s">
        <v>59</v>
      </c>
      <c r="B20" s="17">
        <f>ROUND(B16/B18,6)</f>
        <v>0.34725099999999998</v>
      </c>
      <c r="C20" s="17">
        <f>ROUND(C16/C18,6)</f>
        <v>0.36579099999999998</v>
      </c>
      <c r="D20" s="52"/>
      <c r="E20" s="17">
        <f>ROUND(E16/E18,6)</f>
        <v>0.35817700000000002</v>
      </c>
      <c r="F20" s="17">
        <f>ROUND(F16/F18,6)</f>
        <v>0.37675399999999998</v>
      </c>
    </row>
    <row r="23" spans="1:6" ht="13.8" thickBot="1" x14ac:dyDescent="0.3">
      <c r="A23" t="s">
        <v>365</v>
      </c>
      <c r="B23" s="390">
        <f>+B12/B18</f>
        <v>3.0558113327145454E-2</v>
      </c>
      <c r="E23" s="390">
        <f>+E12/E18</f>
        <v>3.1519619248479763E-2</v>
      </c>
    </row>
    <row r="24" spans="1:6" x14ac:dyDescent="0.2">
      <c r="A24" s="1" t="s">
        <v>78</v>
      </c>
      <c r="B24" s="194">
        <f>SUM('Exhibit BDJ-3 F2021 kWh'!I32:I43)</f>
        <v>1332008000</v>
      </c>
      <c r="E24" s="194">
        <f>SUM('Exhibit BDJ-3 F2021 kWh'!I44:I55)</f>
        <v>1335448000</v>
      </c>
    </row>
    <row r="25" spans="1:6" x14ac:dyDescent="0.2">
      <c r="A25" s="1" t="s">
        <v>234</v>
      </c>
      <c r="B25" s="194">
        <f>AVERAGE('Exhibit BDJ-3 F2021 Customer'!I32:I43)</f>
        <v>505.69327766151088</v>
      </c>
      <c r="E25" s="194">
        <f>AVERAGE('Exhibit BDJ-3 F2021 Customer'!I44:I55)</f>
        <v>508.00592918978896</v>
      </c>
    </row>
  </sheetData>
  <mergeCells count="3">
    <mergeCell ref="B4:C4"/>
    <mergeCell ref="B3:C3"/>
    <mergeCell ref="E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G37" sqref="F37:G39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K51"/>
  <sheetViews>
    <sheetView topLeftCell="A7" workbookViewId="0">
      <selection activeCell="D40" sqref="D40"/>
    </sheetView>
  </sheetViews>
  <sheetFormatPr defaultColWidth="9.109375" defaultRowHeight="10.199999999999999" x14ac:dyDescent="0.2"/>
  <cols>
    <col min="1" max="1" width="5.6640625" style="52" bestFit="1" customWidth="1"/>
    <col min="2" max="2" width="41.88671875" style="52" bestFit="1" customWidth="1"/>
    <col min="3" max="3" width="12.6640625" style="52" bestFit="1" customWidth="1"/>
    <col min="4" max="4" width="6.88671875" style="52" bestFit="1" customWidth="1"/>
    <col min="5" max="5" width="12.6640625" style="52" customWidth="1"/>
    <col min="6" max="6" width="1.109375" style="90" customWidth="1"/>
    <col min="7" max="7" width="5.6640625" style="52" bestFit="1" customWidth="1"/>
    <col min="8" max="8" width="62.6640625" style="52" bestFit="1" customWidth="1"/>
    <col min="9" max="9" width="1" style="52" customWidth="1"/>
    <col min="10" max="10" width="8.33203125" style="52" bestFit="1" customWidth="1"/>
    <col min="11" max="11" width="15.88671875" style="52" customWidth="1"/>
    <col min="12" max="16384" width="9.109375" style="52"/>
  </cols>
  <sheetData>
    <row r="1" spans="1:11" x14ac:dyDescent="0.2">
      <c r="A1" s="68"/>
      <c r="B1" s="69"/>
      <c r="C1" s="69"/>
      <c r="D1" s="69"/>
      <c r="E1" s="70"/>
      <c r="G1" s="68"/>
      <c r="H1" s="69"/>
      <c r="I1" s="69"/>
      <c r="J1" s="69"/>
      <c r="K1" s="70"/>
    </row>
    <row r="2" spans="1:11" x14ac:dyDescent="0.2">
      <c r="A2" s="71"/>
      <c r="B2" s="72"/>
      <c r="C2" s="72"/>
      <c r="D2" s="74"/>
      <c r="E2" s="95" t="s">
        <v>84</v>
      </c>
      <c r="F2" s="74"/>
      <c r="G2" s="71"/>
      <c r="H2" s="72"/>
      <c r="I2" s="90"/>
      <c r="J2" s="90"/>
      <c r="K2" s="95" t="s">
        <v>84</v>
      </c>
    </row>
    <row r="3" spans="1:11" x14ac:dyDescent="0.2">
      <c r="A3" s="372" t="s">
        <v>359</v>
      </c>
      <c r="B3" s="370"/>
      <c r="C3" s="370"/>
      <c r="D3" s="370"/>
      <c r="E3" s="371"/>
      <c r="F3" s="74"/>
      <c r="G3" s="372" t="s">
        <v>359</v>
      </c>
      <c r="H3" s="370" t="s">
        <v>359</v>
      </c>
      <c r="I3" s="370"/>
      <c r="J3" s="370"/>
      <c r="K3" s="371"/>
    </row>
    <row r="4" spans="1:11" x14ac:dyDescent="0.2">
      <c r="A4" s="372" t="s">
        <v>360</v>
      </c>
      <c r="B4" s="370"/>
      <c r="C4" s="370"/>
      <c r="D4" s="370"/>
      <c r="E4" s="371"/>
      <c r="F4" s="74"/>
      <c r="G4" s="372" t="s">
        <v>360</v>
      </c>
      <c r="H4" s="370" t="s">
        <v>359</v>
      </c>
      <c r="I4" s="370"/>
      <c r="J4" s="370"/>
      <c r="K4" s="371"/>
    </row>
    <row r="5" spans="1:11" x14ac:dyDescent="0.2">
      <c r="A5" s="372" t="s">
        <v>361</v>
      </c>
      <c r="B5" s="370"/>
      <c r="C5" s="370"/>
      <c r="D5" s="370"/>
      <c r="E5" s="371"/>
      <c r="F5" s="74"/>
      <c r="G5" s="372" t="s">
        <v>361</v>
      </c>
      <c r="H5" s="370" t="s">
        <v>359</v>
      </c>
      <c r="I5" s="370"/>
      <c r="J5" s="370"/>
      <c r="K5" s="371"/>
    </row>
    <row r="6" spans="1:11" x14ac:dyDescent="0.2">
      <c r="A6" s="372" t="s">
        <v>362</v>
      </c>
      <c r="B6" s="370"/>
      <c r="C6" s="370"/>
      <c r="D6" s="370"/>
      <c r="E6" s="371"/>
      <c r="F6" s="74"/>
      <c r="G6" s="372" t="s">
        <v>362</v>
      </c>
      <c r="H6" s="370" t="s">
        <v>359</v>
      </c>
      <c r="I6" s="370"/>
      <c r="J6" s="370"/>
      <c r="K6" s="371"/>
    </row>
    <row r="7" spans="1:11" x14ac:dyDescent="0.2">
      <c r="A7" s="372" t="s">
        <v>363</v>
      </c>
      <c r="B7" s="370"/>
      <c r="C7" s="370"/>
      <c r="D7" s="370"/>
      <c r="E7" s="371"/>
      <c r="F7" s="74"/>
      <c r="G7" s="372" t="s">
        <v>364</v>
      </c>
      <c r="H7" s="370" t="s">
        <v>359</v>
      </c>
      <c r="I7" s="370"/>
      <c r="J7" s="370"/>
      <c r="K7" s="371"/>
    </row>
    <row r="8" spans="1:11" x14ac:dyDescent="0.2">
      <c r="A8" s="71"/>
      <c r="B8" s="75"/>
      <c r="C8" s="75"/>
      <c r="D8" s="75"/>
      <c r="E8" s="96"/>
      <c r="F8" s="75"/>
      <c r="G8" s="102"/>
      <c r="H8" s="75"/>
      <c r="I8" s="75"/>
      <c r="J8" s="75"/>
      <c r="K8" s="96"/>
    </row>
    <row r="9" spans="1:11" x14ac:dyDescent="0.2">
      <c r="A9" s="71"/>
      <c r="B9" s="72"/>
      <c r="C9" s="72"/>
      <c r="D9" s="72"/>
      <c r="E9" s="97"/>
      <c r="F9" s="72"/>
      <c r="G9" s="102"/>
      <c r="H9" s="75"/>
      <c r="I9" s="75"/>
      <c r="J9" s="75"/>
      <c r="K9" s="97"/>
    </row>
    <row r="10" spans="1:11" x14ac:dyDescent="0.2">
      <c r="A10" s="76" t="s">
        <v>21</v>
      </c>
      <c r="B10" s="77"/>
      <c r="C10" s="78" t="s">
        <v>25</v>
      </c>
      <c r="D10" s="72"/>
      <c r="E10" s="98" t="s">
        <v>70</v>
      </c>
      <c r="F10" s="78"/>
      <c r="G10" s="76" t="s">
        <v>21</v>
      </c>
      <c r="H10" s="77"/>
      <c r="I10" s="77"/>
      <c r="J10" s="72"/>
      <c r="K10" s="97"/>
    </row>
    <row r="11" spans="1:11" x14ac:dyDescent="0.2">
      <c r="A11" s="79" t="s">
        <v>23</v>
      </c>
      <c r="B11" s="67" t="s">
        <v>24</v>
      </c>
      <c r="C11" s="80" t="s">
        <v>71</v>
      </c>
      <c r="D11" s="80" t="s">
        <v>22</v>
      </c>
      <c r="E11" s="99" t="s">
        <v>22</v>
      </c>
      <c r="F11" s="80"/>
      <c r="G11" s="79" t="s">
        <v>23</v>
      </c>
      <c r="H11" s="67" t="s">
        <v>24</v>
      </c>
      <c r="I11" s="67"/>
      <c r="J11" s="59"/>
      <c r="K11" s="103"/>
    </row>
    <row r="12" spans="1:11" x14ac:dyDescent="0.2">
      <c r="A12" s="71"/>
      <c r="B12" s="196">
        <v>2023</v>
      </c>
      <c r="C12" s="72"/>
      <c r="D12" s="72"/>
      <c r="E12" s="97"/>
      <c r="F12" s="72"/>
      <c r="G12" s="71"/>
      <c r="H12" s="72"/>
      <c r="I12" s="72"/>
      <c r="J12" s="72"/>
      <c r="K12" s="97"/>
    </row>
    <row r="13" spans="1:11" x14ac:dyDescent="0.2">
      <c r="A13" s="81">
        <v>1</v>
      </c>
      <c r="B13" s="82" t="s">
        <v>72</v>
      </c>
      <c r="C13" s="104">
        <v>0.51</v>
      </c>
      <c r="D13" s="104">
        <v>0.05</v>
      </c>
      <c r="E13" s="108">
        <v>2.5499999999999998E-2</v>
      </c>
      <c r="F13" s="83"/>
      <c r="G13" s="81">
        <v>1</v>
      </c>
      <c r="H13" s="84" t="s">
        <v>26</v>
      </c>
      <c r="I13" s="82"/>
      <c r="J13" s="109"/>
      <c r="K13" s="110">
        <v>7.1970000000000003E-3</v>
      </c>
    </row>
    <row r="14" spans="1:11" x14ac:dyDescent="0.2">
      <c r="A14" s="81">
        <v>2</v>
      </c>
      <c r="B14" s="82" t="s">
        <v>27</v>
      </c>
      <c r="C14" s="104">
        <v>0.49</v>
      </c>
      <c r="D14" s="104">
        <v>9.4E-2</v>
      </c>
      <c r="E14" s="108">
        <v>4.6100000000000002E-2</v>
      </c>
      <c r="F14" s="85"/>
      <c r="G14" s="81">
        <v>2</v>
      </c>
      <c r="H14" s="84" t="s">
        <v>28</v>
      </c>
      <c r="I14" s="82"/>
      <c r="J14" s="109"/>
      <c r="K14" s="110">
        <v>2E-3</v>
      </c>
    </row>
    <row r="15" spans="1:11" x14ac:dyDescent="0.2">
      <c r="A15" s="81">
        <v>3</v>
      </c>
      <c r="B15" s="82" t="s">
        <v>8</v>
      </c>
      <c r="C15" s="107">
        <f>SUM(C13:C14)</f>
        <v>1</v>
      </c>
      <c r="D15" s="86"/>
      <c r="E15" s="105">
        <f>SUM(E13:E14)</f>
        <v>7.1599999999999997E-2</v>
      </c>
      <c r="F15" s="85"/>
      <c r="G15" s="81">
        <v>3</v>
      </c>
      <c r="H15" s="84" t="s">
        <v>74</v>
      </c>
      <c r="I15" s="72"/>
      <c r="J15" s="111">
        <v>3.8733999999999998E-2</v>
      </c>
      <c r="K15" s="112">
        <f>ROUND(J15-(J15*K13),6)</f>
        <v>3.8455000000000003E-2</v>
      </c>
    </row>
    <row r="16" spans="1:11" x14ac:dyDescent="0.2">
      <c r="A16" s="81">
        <v>4</v>
      </c>
      <c r="B16" s="82"/>
      <c r="C16" s="72"/>
      <c r="D16" s="87"/>
      <c r="E16" s="100"/>
      <c r="F16" s="87"/>
      <c r="G16" s="81">
        <v>4</v>
      </c>
      <c r="H16" s="84"/>
      <c r="I16" s="82"/>
      <c r="J16" s="109"/>
      <c r="K16" s="113"/>
    </row>
    <row r="17" spans="1:11" x14ac:dyDescent="0.2">
      <c r="A17" s="81">
        <v>5</v>
      </c>
      <c r="B17" s="82" t="s">
        <v>73</v>
      </c>
      <c r="C17" s="104">
        <v>0.51</v>
      </c>
      <c r="D17" s="104">
        <v>3.9500000000000007E-2</v>
      </c>
      <c r="E17" s="108">
        <v>2.01E-2</v>
      </c>
      <c r="F17" s="88"/>
      <c r="G17" s="81">
        <v>5</v>
      </c>
      <c r="H17" s="84" t="s">
        <v>29</v>
      </c>
      <c r="I17" s="82"/>
      <c r="J17" s="109"/>
      <c r="K17" s="113">
        <f>ROUND(SUM(K13:K15),6)</f>
        <v>4.7652E-2</v>
      </c>
    </row>
    <row r="18" spans="1:11" x14ac:dyDescent="0.2">
      <c r="A18" s="81">
        <v>6</v>
      </c>
      <c r="B18" s="82" t="s">
        <v>27</v>
      </c>
      <c r="C18" s="104">
        <v>0.49</v>
      </c>
      <c r="D18" s="104">
        <v>9.4E-2</v>
      </c>
      <c r="E18" s="108">
        <v>4.6100000000000002E-2</v>
      </c>
      <c r="F18" s="2"/>
      <c r="G18" s="81">
        <v>6</v>
      </c>
      <c r="H18" s="82"/>
      <c r="I18" s="82"/>
      <c r="J18" s="109"/>
      <c r="K18" s="113"/>
    </row>
    <row r="19" spans="1:11" x14ac:dyDescent="0.2">
      <c r="A19" s="81">
        <v>7</v>
      </c>
      <c r="B19" s="82" t="s">
        <v>30</v>
      </c>
      <c r="C19" s="107">
        <f>SUM(C17:C18)</f>
        <v>1</v>
      </c>
      <c r="D19" s="86"/>
      <c r="E19" s="106">
        <f>SUM(E17:E18)</f>
        <v>6.6200000000000009E-2</v>
      </c>
      <c r="F19" s="88"/>
      <c r="G19" s="81">
        <v>7</v>
      </c>
      <c r="H19" s="82" t="s">
        <v>75</v>
      </c>
      <c r="I19" s="82"/>
      <c r="J19" s="109"/>
      <c r="K19" s="113">
        <f>ROUND(1-K17,6)</f>
        <v>0.95234799999999997</v>
      </c>
    </row>
    <row r="20" spans="1:11" x14ac:dyDescent="0.2">
      <c r="A20" s="89"/>
      <c r="B20" s="82"/>
      <c r="C20" s="82"/>
      <c r="D20" s="82"/>
      <c r="E20" s="101"/>
      <c r="F20" s="82"/>
      <c r="G20" s="81">
        <v>8</v>
      </c>
      <c r="H20" s="84" t="s">
        <v>33</v>
      </c>
      <c r="I20" s="82"/>
      <c r="J20" s="114">
        <v>0.21</v>
      </c>
      <c r="K20" s="113">
        <f>ROUND((K19)*J20,6)</f>
        <v>0.199993</v>
      </c>
    </row>
    <row r="21" spans="1:11" ht="10.8" thickBot="1" x14ac:dyDescent="0.25">
      <c r="A21" s="89"/>
      <c r="B21" s="82"/>
      <c r="C21" s="82"/>
      <c r="D21" s="82"/>
      <c r="E21" s="101"/>
      <c r="F21" s="82"/>
      <c r="G21" s="81">
        <v>9</v>
      </c>
      <c r="H21" s="84" t="s">
        <v>34</v>
      </c>
      <c r="I21" s="82"/>
      <c r="J21" s="109"/>
      <c r="K21" s="115">
        <f>ROUND(1-K20-K17,6)</f>
        <v>0.752355</v>
      </c>
    </row>
    <row r="22" spans="1:11" ht="10.8" thickTop="1" x14ac:dyDescent="0.2">
      <c r="A22" s="89"/>
      <c r="B22" s="90"/>
      <c r="C22" s="90"/>
      <c r="D22" s="90"/>
      <c r="E22" s="73"/>
      <c r="G22" s="89"/>
      <c r="H22" s="90"/>
      <c r="I22" s="90"/>
      <c r="J22" s="90"/>
      <c r="K22" s="73"/>
    </row>
    <row r="23" spans="1:11" x14ac:dyDescent="0.2">
      <c r="A23" s="89"/>
      <c r="B23" s="90" t="s">
        <v>58</v>
      </c>
      <c r="C23" s="90"/>
      <c r="D23" s="90"/>
      <c r="E23" s="197">
        <f>ROUND(E19/K21,4)</f>
        <v>8.7999999999999995E-2</v>
      </c>
      <c r="F23" s="91"/>
      <c r="G23" s="89"/>
      <c r="H23" s="90"/>
      <c r="I23" s="90"/>
      <c r="J23" s="90"/>
      <c r="K23" s="73"/>
    </row>
    <row r="24" spans="1:11" ht="10.8" thickBot="1" x14ac:dyDescent="0.25">
      <c r="A24" s="92"/>
      <c r="B24" s="93"/>
      <c r="C24" s="93"/>
      <c r="D24" s="93"/>
      <c r="E24" s="94"/>
      <c r="G24" s="92"/>
      <c r="H24" s="93"/>
      <c r="I24" s="93"/>
      <c r="J24" s="93"/>
      <c r="K24" s="94"/>
    </row>
    <row r="27" spans="1:11" ht="10.8" thickBot="1" x14ac:dyDescent="0.25"/>
    <row r="28" spans="1:11" x14ac:dyDescent="0.2">
      <c r="A28" s="68"/>
      <c r="B28" s="69"/>
      <c r="C28" s="69"/>
      <c r="D28" s="69"/>
      <c r="E28" s="70"/>
    </row>
    <row r="29" spans="1:11" x14ac:dyDescent="0.2">
      <c r="A29" s="71"/>
      <c r="B29" s="72"/>
      <c r="C29" s="72"/>
      <c r="D29" s="74"/>
      <c r="E29" s="95" t="s">
        <v>84</v>
      </c>
      <c r="F29" s="74"/>
    </row>
    <row r="30" spans="1:11" x14ac:dyDescent="0.2">
      <c r="A30" s="369" t="str">
        <f>A3</f>
        <v>PUGET SOUND ENERGY - ELECTRIC</v>
      </c>
      <c r="B30" s="370"/>
      <c r="C30" s="370"/>
      <c r="D30" s="370"/>
      <c r="E30" s="371"/>
      <c r="F30" s="74"/>
    </row>
    <row r="31" spans="1:11" x14ac:dyDescent="0.2">
      <c r="A31" s="369" t="str">
        <f t="shared" ref="A31:A34" si="0">A4</f>
        <v>ELECTRIC RESULTS OF OPERATIONS</v>
      </c>
      <c r="B31" s="370"/>
      <c r="C31" s="370"/>
      <c r="D31" s="370"/>
      <c r="E31" s="371"/>
      <c r="F31" s="74"/>
    </row>
    <row r="32" spans="1:11" x14ac:dyDescent="0.2">
      <c r="A32" s="369" t="str">
        <f t="shared" si="0"/>
        <v>2022 GENERAL RATE CASE</v>
      </c>
      <c r="B32" s="370"/>
      <c r="C32" s="370"/>
      <c r="D32" s="370"/>
      <c r="E32" s="371"/>
      <c r="F32" s="74"/>
    </row>
    <row r="33" spans="1:6" x14ac:dyDescent="0.2">
      <c r="A33" s="369" t="str">
        <f t="shared" si="0"/>
        <v>12 MONTHS ENDED JUNE 30, 2021</v>
      </c>
      <c r="B33" s="370"/>
      <c r="C33" s="370"/>
      <c r="D33" s="370"/>
      <c r="E33" s="371"/>
      <c r="F33" s="74"/>
    </row>
    <row r="34" spans="1:6" x14ac:dyDescent="0.2">
      <c r="A34" s="369" t="str">
        <f t="shared" si="0"/>
        <v>REQUESTED COST OF CAPITAL</v>
      </c>
      <c r="B34" s="370"/>
      <c r="C34" s="370"/>
      <c r="D34" s="370"/>
      <c r="E34" s="371"/>
      <c r="F34" s="74"/>
    </row>
    <row r="35" spans="1:6" x14ac:dyDescent="0.2">
      <c r="A35" s="71"/>
      <c r="B35" s="75"/>
      <c r="C35" s="75"/>
      <c r="D35" s="75"/>
      <c r="E35" s="96"/>
      <c r="F35" s="75"/>
    </row>
    <row r="36" spans="1:6" x14ac:dyDescent="0.2">
      <c r="A36" s="71"/>
      <c r="B36" s="72"/>
      <c r="C36" s="72"/>
      <c r="D36" s="72"/>
      <c r="E36" s="97"/>
      <c r="F36" s="72"/>
    </row>
    <row r="37" spans="1:6" x14ac:dyDescent="0.2">
      <c r="A37" s="76" t="s">
        <v>21</v>
      </c>
      <c r="B37" s="77"/>
      <c r="C37" s="78" t="s">
        <v>25</v>
      </c>
      <c r="D37" s="72"/>
      <c r="E37" s="98" t="s">
        <v>70</v>
      </c>
      <c r="F37" s="78"/>
    </row>
    <row r="38" spans="1:6" x14ac:dyDescent="0.2">
      <c r="A38" s="79" t="s">
        <v>23</v>
      </c>
      <c r="B38" s="67" t="s">
        <v>24</v>
      </c>
      <c r="C38" s="80" t="s">
        <v>71</v>
      </c>
      <c r="D38" s="80" t="s">
        <v>22</v>
      </c>
      <c r="E38" s="99" t="s">
        <v>22</v>
      </c>
      <c r="F38" s="80"/>
    </row>
    <row r="39" spans="1:6" x14ac:dyDescent="0.2">
      <c r="A39" s="71"/>
      <c r="B39" s="196">
        <v>2024</v>
      </c>
      <c r="C39" s="72"/>
      <c r="D39" s="72"/>
      <c r="E39" s="97"/>
      <c r="F39" s="72"/>
    </row>
    <row r="40" spans="1:6" x14ac:dyDescent="0.2">
      <c r="A40" s="81">
        <v>1</v>
      </c>
      <c r="B40" s="82" t="s">
        <v>72</v>
      </c>
      <c r="C40" s="104">
        <v>0.51</v>
      </c>
      <c r="D40" s="104">
        <v>0.05</v>
      </c>
      <c r="E40" s="108">
        <v>2.5499999999999998E-2</v>
      </c>
      <c r="F40" s="83"/>
    </row>
    <row r="41" spans="1:6" x14ac:dyDescent="0.2">
      <c r="A41" s="81">
        <v>2</v>
      </c>
      <c r="B41" s="82" t="s">
        <v>27</v>
      </c>
      <c r="C41" s="104">
        <v>0.49</v>
      </c>
      <c r="D41" s="104">
        <v>9.4E-2</v>
      </c>
      <c r="E41" s="108">
        <v>4.6100000000000002E-2</v>
      </c>
      <c r="F41" s="85"/>
    </row>
    <row r="42" spans="1:6" x14ac:dyDescent="0.2">
      <c r="A42" s="81">
        <v>3</v>
      </c>
      <c r="B42" s="82" t="s">
        <v>8</v>
      </c>
      <c r="C42" s="107">
        <f>SUM(C40:C41)</f>
        <v>1</v>
      </c>
      <c r="D42" s="86"/>
      <c r="E42" s="105">
        <f>SUM(E40:E41)</f>
        <v>7.1599999999999997E-2</v>
      </c>
      <c r="F42" s="85"/>
    </row>
    <row r="43" spans="1:6" x14ac:dyDescent="0.2">
      <c r="A43" s="81">
        <v>4</v>
      </c>
      <c r="B43" s="82"/>
      <c r="C43" s="72"/>
      <c r="D43" s="87"/>
      <c r="E43" s="100"/>
      <c r="F43" s="87"/>
    </row>
    <row r="44" spans="1:6" x14ac:dyDescent="0.2">
      <c r="A44" s="81">
        <v>5</v>
      </c>
      <c r="B44" s="82" t="s">
        <v>73</v>
      </c>
      <c r="C44" s="104">
        <v>0.51</v>
      </c>
      <c r="D44" s="104">
        <v>3.9500000000000007E-2</v>
      </c>
      <c r="E44" s="108">
        <v>2.01E-2</v>
      </c>
      <c r="F44" s="88"/>
    </row>
    <row r="45" spans="1:6" x14ac:dyDescent="0.2">
      <c r="A45" s="81">
        <v>6</v>
      </c>
      <c r="B45" s="82" t="s">
        <v>27</v>
      </c>
      <c r="C45" s="104">
        <v>0.49</v>
      </c>
      <c r="D45" s="104">
        <v>9.4E-2</v>
      </c>
      <c r="E45" s="108">
        <v>4.6100000000000002E-2</v>
      </c>
      <c r="F45" s="2"/>
    </row>
    <row r="46" spans="1:6" x14ac:dyDescent="0.2">
      <c r="A46" s="81">
        <v>7</v>
      </c>
      <c r="B46" s="82" t="s">
        <v>30</v>
      </c>
      <c r="C46" s="107">
        <f>SUM(C44:C45)</f>
        <v>1</v>
      </c>
      <c r="D46" s="86"/>
      <c r="E46" s="106">
        <f>SUM(E44:E45)</f>
        <v>6.6200000000000009E-2</v>
      </c>
      <c r="F46" s="88"/>
    </row>
    <row r="47" spans="1:6" x14ac:dyDescent="0.2">
      <c r="A47" s="89"/>
      <c r="B47" s="82"/>
      <c r="C47" s="82"/>
      <c r="D47" s="82"/>
      <c r="E47" s="101"/>
      <c r="F47" s="82"/>
    </row>
    <row r="48" spans="1:6" x14ac:dyDescent="0.2">
      <c r="A48" s="89"/>
      <c r="B48" s="82"/>
      <c r="C48" s="82"/>
      <c r="D48" s="82"/>
      <c r="E48" s="101"/>
      <c r="F48" s="82"/>
    </row>
    <row r="49" spans="1:6" x14ac:dyDescent="0.2">
      <c r="A49" s="89"/>
      <c r="B49" s="90"/>
      <c r="C49" s="90"/>
      <c r="D49" s="90"/>
      <c r="E49" s="73"/>
    </row>
    <row r="50" spans="1:6" x14ac:dyDescent="0.2">
      <c r="A50" s="89"/>
      <c r="B50" s="90" t="s">
        <v>58</v>
      </c>
      <c r="C50" s="90"/>
      <c r="D50" s="90"/>
      <c r="E50" s="197">
        <f>ROUND(E46/K21,4)</f>
        <v>8.7999999999999995E-2</v>
      </c>
      <c r="F50" s="91"/>
    </row>
    <row r="51" spans="1:6" ht="10.8" thickBot="1" x14ac:dyDescent="0.25">
      <c r="A51" s="92"/>
      <c r="B51" s="93"/>
      <c r="C51" s="93"/>
      <c r="D51" s="93"/>
      <c r="E51" s="94"/>
    </row>
  </sheetData>
  <mergeCells count="15">
    <mergeCell ref="A34:E34"/>
    <mergeCell ref="A31:E31"/>
    <mergeCell ref="A32:E32"/>
    <mergeCell ref="A33:E33"/>
    <mergeCell ref="G3:K3"/>
    <mergeCell ref="G4:K4"/>
    <mergeCell ref="G5:K5"/>
    <mergeCell ref="G6:K6"/>
    <mergeCell ref="G7:K7"/>
    <mergeCell ref="A30:E30"/>
    <mergeCell ref="A3:E3"/>
    <mergeCell ref="A4:E4"/>
    <mergeCell ref="A5:E5"/>
    <mergeCell ref="A6:E6"/>
    <mergeCell ref="A7:E7"/>
  </mergeCells>
  <pageMargins left="0.7" right="0.7" top="0.75" bottom="0.75" header="0.3" footer="0.3"/>
  <pageSetup scale="78" fitToHeight="0" orientation="landscape" r:id="rId1"/>
  <headerFooter>
    <oddFooter>&amp;L&amp;F&amp;C&amp;A&amp;RPage &amp;P of &amp;N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G80"/>
  <sheetViews>
    <sheetView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C44" sqref="C44:C55"/>
    </sheetView>
  </sheetViews>
  <sheetFormatPr defaultColWidth="9.109375" defaultRowHeight="10.199999999999999" x14ac:dyDescent="0.2"/>
  <cols>
    <col min="1" max="1" width="11.33203125" style="163" customWidth="1"/>
    <col min="2" max="2" width="7" style="163" bestFit="1" customWidth="1"/>
    <col min="3" max="3" width="12.33203125" style="163" bestFit="1" customWidth="1"/>
    <col min="4" max="4" width="7.88671875" style="163" bestFit="1" customWidth="1"/>
    <col min="5" max="7" width="10.88671875" style="163" bestFit="1" customWidth="1"/>
    <col min="8" max="8" width="9.33203125" style="163" bestFit="1" customWidth="1"/>
    <col min="9" max="9" width="10.88671875" style="163" bestFit="1" customWidth="1"/>
    <col min="10" max="10" width="7.88671875" style="163" bestFit="1" customWidth="1"/>
    <col min="11" max="11" width="9.5546875" style="163" bestFit="1" customWidth="1"/>
    <col min="12" max="12" width="5.88671875" style="163" bestFit="1" customWidth="1"/>
    <col min="13" max="13" width="9.33203125" style="163" bestFit="1" customWidth="1"/>
    <col min="14" max="14" width="9.5546875" style="163" bestFit="1" customWidth="1"/>
    <col min="15" max="15" width="8.6640625" style="163" bestFit="1" customWidth="1"/>
    <col min="16" max="16" width="9" style="163" bestFit="1" customWidth="1"/>
    <col min="17" max="17" width="10.88671875" style="163" bestFit="1" customWidth="1"/>
    <col min="18" max="18" width="9.5546875" style="163" bestFit="1" customWidth="1"/>
    <col min="19" max="20" width="11.6640625" style="163" bestFit="1" customWidth="1"/>
    <col min="21" max="22" width="1.109375" style="163" customWidth="1"/>
    <col min="23" max="23" width="9.5546875" style="163" bestFit="1" customWidth="1"/>
    <col min="24" max="24" width="8.6640625" style="163" bestFit="1" customWidth="1"/>
    <col min="25" max="25" width="9.5546875" style="163" bestFit="1" customWidth="1"/>
    <col min="26" max="26" width="8.6640625" style="163" bestFit="1" customWidth="1"/>
    <col min="27" max="27" width="7.88671875" style="163" bestFit="1" customWidth="1"/>
    <col min="28" max="28" width="5.6640625" style="163" bestFit="1" customWidth="1"/>
    <col min="29" max="29" width="11.6640625" style="163" bestFit="1" customWidth="1"/>
    <col min="30" max="30" width="1" style="163" customWidth="1"/>
    <col min="31" max="31" width="27.44140625" style="163" bestFit="1" customWidth="1"/>
    <col min="32" max="33" width="7.88671875" style="163" bestFit="1" customWidth="1"/>
    <col min="34" max="16384" width="9.109375" style="163"/>
  </cols>
  <sheetData>
    <row r="1" spans="1:33" x14ac:dyDescent="0.2">
      <c r="A1" s="189" t="s">
        <v>231</v>
      </c>
      <c r="B1" s="185"/>
    </row>
    <row r="2" spans="1:33" x14ac:dyDescent="0.2">
      <c r="A2" s="190" t="s">
        <v>230</v>
      </c>
      <c r="B2" s="185"/>
    </row>
    <row r="3" spans="1:33" x14ac:dyDescent="0.2">
      <c r="A3" s="189" t="s">
        <v>229</v>
      </c>
      <c r="B3" s="185"/>
    </row>
    <row r="4" spans="1:33" x14ac:dyDescent="0.2">
      <c r="A4" s="187" t="s">
        <v>228</v>
      </c>
      <c r="B4" s="185"/>
    </row>
    <row r="5" spans="1:33" x14ac:dyDescent="0.2">
      <c r="A5" s="188"/>
      <c r="B5" s="187"/>
      <c r="AE5" s="186" t="s">
        <v>227</v>
      </c>
      <c r="AF5" s="186"/>
      <c r="AG5" s="186"/>
    </row>
    <row r="6" spans="1:33" x14ac:dyDescent="0.2">
      <c r="A6" s="185"/>
      <c r="B6" s="185"/>
    </row>
    <row r="7" spans="1:33" x14ac:dyDescent="0.2">
      <c r="A7" s="184" t="s">
        <v>226</v>
      </c>
      <c r="B7" s="184" t="s">
        <v>225</v>
      </c>
      <c r="C7" s="183">
        <v>7</v>
      </c>
      <c r="D7" s="183" t="s">
        <v>224</v>
      </c>
      <c r="E7" s="183" t="s">
        <v>223</v>
      </c>
      <c r="F7" s="183" t="s">
        <v>222</v>
      </c>
      <c r="G7" s="183" t="s">
        <v>221</v>
      </c>
      <c r="H7" s="183" t="s">
        <v>211</v>
      </c>
      <c r="I7" s="183" t="s">
        <v>220</v>
      </c>
      <c r="J7" s="183" t="s">
        <v>219</v>
      </c>
      <c r="K7" s="183" t="s">
        <v>218</v>
      </c>
      <c r="L7" s="183" t="s">
        <v>217</v>
      </c>
      <c r="M7" s="183" t="s">
        <v>210</v>
      </c>
      <c r="N7" s="183" t="s">
        <v>216</v>
      </c>
      <c r="O7" s="183" t="s">
        <v>215</v>
      </c>
      <c r="P7" s="183" t="s">
        <v>214</v>
      </c>
      <c r="Q7" s="183" t="s">
        <v>213</v>
      </c>
      <c r="R7" s="183" t="s">
        <v>212</v>
      </c>
      <c r="S7" s="183" t="s">
        <v>6</v>
      </c>
      <c r="W7" s="183">
        <v>8</v>
      </c>
      <c r="X7" s="183">
        <v>10</v>
      </c>
      <c r="Y7" s="183">
        <v>11</v>
      </c>
      <c r="Z7" s="183">
        <v>12</v>
      </c>
      <c r="AA7" s="183">
        <v>56</v>
      </c>
      <c r="AB7" s="183">
        <v>59</v>
      </c>
      <c r="AE7" s="183">
        <v>7</v>
      </c>
      <c r="AF7" s="183" t="s">
        <v>211</v>
      </c>
      <c r="AG7" s="183" t="s">
        <v>210</v>
      </c>
    </row>
    <row r="8" spans="1:33" x14ac:dyDescent="0.2">
      <c r="A8" s="182">
        <v>2021</v>
      </c>
      <c r="B8" s="182">
        <v>1</v>
      </c>
      <c r="C8" s="177">
        <v>1272705000</v>
      </c>
      <c r="D8" s="177">
        <v>264000</v>
      </c>
      <c r="E8" s="177">
        <v>247446000</v>
      </c>
      <c r="F8" s="177">
        <v>247139000</v>
      </c>
      <c r="G8" s="177">
        <v>149867000</v>
      </c>
      <c r="H8" s="177">
        <v>383000</v>
      </c>
      <c r="I8" s="177">
        <v>112364000</v>
      </c>
      <c r="J8" s="177">
        <v>5000</v>
      </c>
      <c r="K8" s="177">
        <v>13999000</v>
      </c>
      <c r="L8" s="177">
        <v>0</v>
      </c>
      <c r="M8" s="177">
        <v>5872000</v>
      </c>
      <c r="N8" s="177">
        <v>44244000</v>
      </c>
      <c r="O8" s="177">
        <v>5672000</v>
      </c>
      <c r="P8" s="177">
        <v>964000</v>
      </c>
      <c r="Q8" s="177">
        <v>162210000</v>
      </c>
      <c r="R8" s="177">
        <v>28068000</v>
      </c>
      <c r="S8" s="177">
        <v>2291202000</v>
      </c>
      <c r="AE8" s="177">
        <v>1272705000</v>
      </c>
      <c r="AF8" s="177">
        <v>383000</v>
      </c>
      <c r="AG8" s="177">
        <v>5872000</v>
      </c>
    </row>
    <row r="9" spans="1:33" x14ac:dyDescent="0.2">
      <c r="A9" s="181"/>
      <c r="B9" s="180">
        <v>2</v>
      </c>
      <c r="C9" s="177">
        <v>1035910000</v>
      </c>
      <c r="D9" s="177">
        <v>238000</v>
      </c>
      <c r="E9" s="177">
        <v>217811000</v>
      </c>
      <c r="F9" s="177">
        <v>225859000</v>
      </c>
      <c r="G9" s="177">
        <v>135436000</v>
      </c>
      <c r="H9" s="177">
        <v>222000</v>
      </c>
      <c r="I9" s="177">
        <v>101748000</v>
      </c>
      <c r="J9" s="177">
        <v>6000</v>
      </c>
      <c r="K9" s="177">
        <v>12821000</v>
      </c>
      <c r="L9" s="177">
        <v>0</v>
      </c>
      <c r="M9" s="177">
        <v>5673000</v>
      </c>
      <c r="N9" s="177">
        <v>36125000</v>
      </c>
      <c r="O9" s="177">
        <v>5192000</v>
      </c>
      <c r="P9" s="177">
        <v>854000</v>
      </c>
      <c r="Q9" s="177">
        <v>148601000</v>
      </c>
      <c r="R9" s="177">
        <v>26042000</v>
      </c>
      <c r="S9" s="177">
        <v>1952538000</v>
      </c>
      <c r="AE9" s="177">
        <v>1035910000</v>
      </c>
      <c r="AF9" s="177">
        <v>222000</v>
      </c>
      <c r="AG9" s="177">
        <v>5673000</v>
      </c>
    </row>
    <row r="10" spans="1:33" x14ac:dyDescent="0.2">
      <c r="A10" s="181"/>
      <c r="B10" s="180">
        <v>3</v>
      </c>
      <c r="C10" s="177">
        <v>1111158000</v>
      </c>
      <c r="D10" s="177">
        <v>210000</v>
      </c>
      <c r="E10" s="177">
        <v>217775000</v>
      </c>
      <c r="F10" s="177">
        <v>227142000</v>
      </c>
      <c r="G10" s="177">
        <v>135392000</v>
      </c>
      <c r="H10" s="177">
        <v>244000</v>
      </c>
      <c r="I10" s="177">
        <v>101210000</v>
      </c>
      <c r="J10" s="177">
        <v>6000</v>
      </c>
      <c r="K10" s="177">
        <v>12488000</v>
      </c>
      <c r="L10" s="177">
        <v>0</v>
      </c>
      <c r="M10" s="177">
        <v>6113000</v>
      </c>
      <c r="N10" s="177">
        <v>39498000</v>
      </c>
      <c r="O10" s="177">
        <v>5089000</v>
      </c>
      <c r="P10" s="177">
        <v>872000</v>
      </c>
      <c r="Q10" s="177">
        <v>166773000</v>
      </c>
      <c r="R10" s="177">
        <v>25984000</v>
      </c>
      <c r="S10" s="177">
        <v>2049954000</v>
      </c>
      <c r="AE10" s="177">
        <v>1111158000</v>
      </c>
      <c r="AF10" s="177">
        <v>244000</v>
      </c>
      <c r="AG10" s="177">
        <v>6113000</v>
      </c>
    </row>
    <row r="11" spans="1:33" x14ac:dyDescent="0.2">
      <c r="A11" s="181"/>
      <c r="B11" s="180">
        <v>4</v>
      </c>
      <c r="C11" s="177">
        <v>884344000</v>
      </c>
      <c r="D11" s="177">
        <v>180000</v>
      </c>
      <c r="E11" s="177">
        <v>196525000</v>
      </c>
      <c r="F11" s="177">
        <v>211476000</v>
      </c>
      <c r="G11" s="177">
        <v>130474000</v>
      </c>
      <c r="H11" s="177">
        <v>265000</v>
      </c>
      <c r="I11" s="177">
        <v>97898000</v>
      </c>
      <c r="J11" s="177">
        <v>4000</v>
      </c>
      <c r="K11" s="177">
        <v>9769000</v>
      </c>
      <c r="L11" s="177">
        <v>0</v>
      </c>
      <c r="M11" s="177">
        <v>4883000</v>
      </c>
      <c r="N11" s="177">
        <v>39329000</v>
      </c>
      <c r="O11" s="177">
        <v>5604000</v>
      </c>
      <c r="P11" s="177">
        <v>727000</v>
      </c>
      <c r="Q11" s="177">
        <v>145994000</v>
      </c>
      <c r="R11" s="177">
        <v>22498000</v>
      </c>
      <c r="S11" s="177">
        <v>1749970000</v>
      </c>
      <c r="AE11" s="177">
        <v>884344000</v>
      </c>
      <c r="AF11" s="177">
        <v>265000</v>
      </c>
      <c r="AG11" s="177">
        <v>4883000</v>
      </c>
    </row>
    <row r="12" spans="1:33" x14ac:dyDescent="0.2">
      <c r="A12" s="181"/>
      <c r="B12" s="180">
        <v>5</v>
      </c>
      <c r="C12" s="177">
        <v>792814000</v>
      </c>
      <c r="D12" s="177">
        <v>169000</v>
      </c>
      <c r="E12" s="177">
        <v>195518000</v>
      </c>
      <c r="F12" s="177">
        <v>218912000</v>
      </c>
      <c r="G12" s="177">
        <v>141180000</v>
      </c>
      <c r="H12" s="177">
        <v>763000</v>
      </c>
      <c r="I12" s="177">
        <v>107207000</v>
      </c>
      <c r="J12" s="177">
        <v>342000</v>
      </c>
      <c r="K12" s="177">
        <v>8418000</v>
      </c>
      <c r="L12" s="177">
        <v>0</v>
      </c>
      <c r="M12" s="177">
        <v>5809000</v>
      </c>
      <c r="N12" s="177">
        <v>43422000</v>
      </c>
      <c r="O12" s="177">
        <v>5709000</v>
      </c>
      <c r="P12" s="177">
        <v>500000</v>
      </c>
      <c r="Q12" s="177">
        <v>147866000</v>
      </c>
      <c r="R12" s="177">
        <v>22379000</v>
      </c>
      <c r="S12" s="177">
        <v>1691008000</v>
      </c>
      <c r="AE12" s="177">
        <v>792814000</v>
      </c>
      <c r="AF12" s="177">
        <v>763000</v>
      </c>
      <c r="AG12" s="177">
        <v>5809000</v>
      </c>
    </row>
    <row r="13" spans="1:33" x14ac:dyDescent="0.2">
      <c r="A13" s="181"/>
      <c r="B13" s="180">
        <v>6</v>
      </c>
      <c r="C13" s="177">
        <v>691051000</v>
      </c>
      <c r="D13" s="177">
        <v>185000</v>
      </c>
      <c r="E13" s="177">
        <v>184125000</v>
      </c>
      <c r="F13" s="177">
        <v>209795000</v>
      </c>
      <c r="G13" s="177">
        <v>138815000</v>
      </c>
      <c r="H13" s="177">
        <v>1468000</v>
      </c>
      <c r="I13" s="177">
        <v>104481000</v>
      </c>
      <c r="J13" s="177">
        <v>657000</v>
      </c>
      <c r="K13" s="177">
        <v>6833000</v>
      </c>
      <c r="L13" s="177">
        <v>0</v>
      </c>
      <c r="M13" s="177">
        <v>7430000</v>
      </c>
      <c r="N13" s="177">
        <v>39495000</v>
      </c>
      <c r="O13" s="177">
        <v>5422000</v>
      </c>
      <c r="P13" s="177">
        <v>392000</v>
      </c>
      <c r="Q13" s="177">
        <v>164574000</v>
      </c>
      <c r="R13" s="177">
        <v>22163000</v>
      </c>
      <c r="S13" s="177">
        <v>1576886000</v>
      </c>
      <c r="AE13" s="177">
        <v>691051000</v>
      </c>
      <c r="AF13" s="177">
        <v>1468000</v>
      </c>
      <c r="AG13" s="177">
        <v>7430000</v>
      </c>
    </row>
    <row r="14" spans="1:33" x14ac:dyDescent="0.2">
      <c r="A14" s="181"/>
      <c r="B14" s="180">
        <v>7</v>
      </c>
      <c r="C14" s="177">
        <v>686962000</v>
      </c>
      <c r="D14" s="177">
        <v>211000</v>
      </c>
      <c r="E14" s="177">
        <v>208615000</v>
      </c>
      <c r="F14" s="177">
        <v>235488000</v>
      </c>
      <c r="G14" s="177">
        <v>156732000</v>
      </c>
      <c r="H14" s="177">
        <v>2716000</v>
      </c>
      <c r="I14" s="177">
        <v>113260000</v>
      </c>
      <c r="J14" s="177">
        <v>697000</v>
      </c>
      <c r="K14" s="177">
        <v>5747000</v>
      </c>
      <c r="L14" s="177">
        <v>0</v>
      </c>
      <c r="M14" s="177">
        <v>8716000</v>
      </c>
      <c r="N14" s="177">
        <v>45442000</v>
      </c>
      <c r="O14" s="177">
        <v>5549000</v>
      </c>
      <c r="P14" s="177">
        <v>328000</v>
      </c>
      <c r="Q14" s="177">
        <v>168764000</v>
      </c>
      <c r="R14" s="177">
        <v>24539000</v>
      </c>
      <c r="S14" s="177">
        <v>1663766000</v>
      </c>
      <c r="AE14" s="177">
        <v>686962000</v>
      </c>
      <c r="AF14" s="177">
        <v>2716000</v>
      </c>
      <c r="AG14" s="177">
        <v>8716000</v>
      </c>
    </row>
    <row r="15" spans="1:33" x14ac:dyDescent="0.2">
      <c r="A15" s="181"/>
      <c r="B15" s="180">
        <v>8</v>
      </c>
      <c r="C15" s="177">
        <v>707739000</v>
      </c>
      <c r="D15" s="177">
        <v>230000</v>
      </c>
      <c r="E15" s="177">
        <v>214507000</v>
      </c>
      <c r="F15" s="177">
        <v>241226000</v>
      </c>
      <c r="G15" s="177">
        <v>161131000</v>
      </c>
      <c r="H15" s="177">
        <v>3715000</v>
      </c>
      <c r="I15" s="177">
        <v>115219000</v>
      </c>
      <c r="J15" s="177">
        <v>956000</v>
      </c>
      <c r="K15" s="177">
        <v>4873000</v>
      </c>
      <c r="L15" s="177">
        <v>0</v>
      </c>
      <c r="M15" s="177">
        <v>7940000</v>
      </c>
      <c r="N15" s="177">
        <v>44855000</v>
      </c>
      <c r="O15" s="177">
        <v>5558000</v>
      </c>
      <c r="P15" s="177">
        <v>308000</v>
      </c>
      <c r="Q15" s="177">
        <v>168498000</v>
      </c>
      <c r="R15" s="177">
        <v>23591000</v>
      </c>
      <c r="S15" s="177">
        <v>1700346000</v>
      </c>
      <c r="AE15" s="177">
        <v>707739000</v>
      </c>
      <c r="AF15" s="177">
        <v>3715000</v>
      </c>
      <c r="AG15" s="177">
        <v>7940000</v>
      </c>
    </row>
    <row r="16" spans="1:33" x14ac:dyDescent="0.2">
      <c r="A16" s="181"/>
      <c r="B16" s="180">
        <v>9</v>
      </c>
      <c r="C16" s="177">
        <v>671247000</v>
      </c>
      <c r="D16" s="177">
        <v>199000</v>
      </c>
      <c r="E16" s="177">
        <v>196727000</v>
      </c>
      <c r="F16" s="177">
        <v>222074000</v>
      </c>
      <c r="G16" s="177">
        <v>147409000</v>
      </c>
      <c r="H16" s="177">
        <v>2688000</v>
      </c>
      <c r="I16" s="177">
        <v>108922000</v>
      </c>
      <c r="J16" s="177">
        <v>769000</v>
      </c>
      <c r="K16" s="177">
        <v>5679000</v>
      </c>
      <c r="L16" s="177">
        <v>0</v>
      </c>
      <c r="M16" s="177">
        <v>7243000</v>
      </c>
      <c r="N16" s="177">
        <v>40158000</v>
      </c>
      <c r="O16" s="177">
        <v>5802000</v>
      </c>
      <c r="P16" s="177">
        <v>346000</v>
      </c>
      <c r="Q16" s="177">
        <v>160570000</v>
      </c>
      <c r="R16" s="177">
        <v>22928000</v>
      </c>
      <c r="S16" s="177">
        <v>1592761000</v>
      </c>
      <c r="AE16" s="177">
        <v>671247000</v>
      </c>
      <c r="AF16" s="177">
        <v>2688000</v>
      </c>
      <c r="AG16" s="177">
        <v>7243000</v>
      </c>
    </row>
    <row r="17" spans="1:33" x14ac:dyDescent="0.2">
      <c r="A17" s="181"/>
      <c r="B17" s="180">
        <v>10</v>
      </c>
      <c r="C17" s="177">
        <v>843497000</v>
      </c>
      <c r="D17" s="177">
        <v>174000</v>
      </c>
      <c r="E17" s="177">
        <v>193022000</v>
      </c>
      <c r="F17" s="177">
        <v>219127000</v>
      </c>
      <c r="G17" s="177">
        <v>143418000</v>
      </c>
      <c r="H17" s="177">
        <v>976000</v>
      </c>
      <c r="I17" s="177">
        <v>107461000</v>
      </c>
      <c r="J17" s="177">
        <v>720000</v>
      </c>
      <c r="K17" s="177">
        <v>7544000</v>
      </c>
      <c r="L17" s="177">
        <v>0</v>
      </c>
      <c r="M17" s="177">
        <v>7044000</v>
      </c>
      <c r="N17" s="177">
        <v>42514000</v>
      </c>
      <c r="O17" s="177">
        <v>5569000</v>
      </c>
      <c r="P17" s="177">
        <v>541000</v>
      </c>
      <c r="Q17" s="177">
        <v>160914000</v>
      </c>
      <c r="R17" s="177">
        <v>23186000</v>
      </c>
      <c r="S17" s="177">
        <v>1755707000</v>
      </c>
      <c r="AE17" s="177">
        <v>843497000</v>
      </c>
      <c r="AF17" s="177">
        <v>976000</v>
      </c>
      <c r="AG17" s="177">
        <v>7044000</v>
      </c>
    </row>
    <row r="18" spans="1:33" x14ac:dyDescent="0.2">
      <c r="A18" s="181"/>
      <c r="B18" s="180">
        <v>11</v>
      </c>
      <c r="C18" s="177">
        <v>1046685000</v>
      </c>
      <c r="D18" s="177">
        <v>195000</v>
      </c>
      <c r="E18" s="177">
        <v>204865000</v>
      </c>
      <c r="F18" s="177">
        <v>223244000</v>
      </c>
      <c r="G18" s="177">
        <v>140266000</v>
      </c>
      <c r="H18" s="177">
        <v>291000</v>
      </c>
      <c r="I18" s="177">
        <v>105318000</v>
      </c>
      <c r="J18" s="177">
        <v>242000</v>
      </c>
      <c r="K18" s="177">
        <v>9522000</v>
      </c>
      <c r="L18" s="177">
        <v>0</v>
      </c>
      <c r="M18" s="177">
        <v>5708000</v>
      </c>
      <c r="N18" s="177">
        <v>40100000</v>
      </c>
      <c r="O18" s="177">
        <v>5442000</v>
      </c>
      <c r="P18" s="177">
        <v>763000</v>
      </c>
      <c r="Q18" s="177">
        <v>160755000</v>
      </c>
      <c r="R18" s="177">
        <v>23315000</v>
      </c>
      <c r="S18" s="177">
        <v>1966711000</v>
      </c>
      <c r="AE18" s="177">
        <v>1046685000</v>
      </c>
      <c r="AF18" s="177">
        <v>291000</v>
      </c>
      <c r="AG18" s="177">
        <v>5708000</v>
      </c>
    </row>
    <row r="19" spans="1:33" x14ac:dyDescent="0.2">
      <c r="A19" s="179"/>
      <c r="B19" s="178">
        <v>12</v>
      </c>
      <c r="C19" s="177">
        <v>1249426000</v>
      </c>
      <c r="D19" s="177">
        <v>242000</v>
      </c>
      <c r="E19" s="177">
        <v>246205000</v>
      </c>
      <c r="F19" s="177">
        <v>255232000</v>
      </c>
      <c r="G19" s="177">
        <v>154610000</v>
      </c>
      <c r="H19" s="177">
        <v>247000</v>
      </c>
      <c r="I19" s="177">
        <v>113653000</v>
      </c>
      <c r="J19" s="177">
        <v>6000</v>
      </c>
      <c r="K19" s="177">
        <v>13338000</v>
      </c>
      <c r="L19" s="177">
        <v>0</v>
      </c>
      <c r="M19" s="177">
        <v>5917000</v>
      </c>
      <c r="N19" s="177">
        <v>43173000</v>
      </c>
      <c r="O19" s="177">
        <v>5524000</v>
      </c>
      <c r="P19" s="177">
        <v>962000</v>
      </c>
      <c r="Q19" s="177">
        <v>157223000</v>
      </c>
      <c r="R19" s="177">
        <v>24733000</v>
      </c>
      <c r="S19" s="177">
        <v>2270491000</v>
      </c>
      <c r="AE19" s="177">
        <v>1249426000</v>
      </c>
      <c r="AF19" s="177">
        <v>247000</v>
      </c>
      <c r="AG19" s="177">
        <v>5917000</v>
      </c>
    </row>
    <row r="20" spans="1:33" s="165" customFormat="1" x14ac:dyDescent="0.2">
      <c r="A20" s="176">
        <f>A8+1</f>
        <v>2022</v>
      </c>
      <c r="B20" s="176">
        <v>1</v>
      </c>
      <c r="C20" s="167">
        <f t="shared" ref="C20:C31" si="0">$C$75*(AE20/SUM($AE$20:$AE$31))</f>
        <v>1284626551.68016</v>
      </c>
      <c r="D20" s="171">
        <v>264000</v>
      </c>
      <c r="E20" s="171">
        <v>255851000</v>
      </c>
      <c r="F20" s="171">
        <v>253053000</v>
      </c>
      <c r="G20" s="171">
        <v>151348000</v>
      </c>
      <c r="H20" s="167">
        <f t="shared" ref="H20:H31" si="1">$H$75*(AF20/SUM($AF$20:$AF$31))</f>
        <v>283948.41134207591</v>
      </c>
      <c r="I20" s="171">
        <v>112109000</v>
      </c>
      <c r="J20" s="171">
        <v>5000</v>
      </c>
      <c r="K20" s="171">
        <v>14205000</v>
      </c>
      <c r="L20" s="171">
        <v>0</v>
      </c>
      <c r="M20" s="167">
        <f t="shared" ref="M20:M31" si="2">$M$75*(AG20/SUM($AG$20:$AG$31))</f>
        <v>6533149.5522239674</v>
      </c>
      <c r="N20" s="170">
        <v>43389000</v>
      </c>
      <c r="O20" s="170">
        <v>5521000</v>
      </c>
      <c r="P20" s="170">
        <v>1025000</v>
      </c>
      <c r="Q20" s="170">
        <v>165620000</v>
      </c>
      <c r="R20" s="170">
        <v>28068000</v>
      </c>
      <c r="S20" s="170">
        <v>2314333000</v>
      </c>
      <c r="W20" s="171">
        <v>26041000</v>
      </c>
      <c r="X20" s="171">
        <v>2754000</v>
      </c>
      <c r="Y20" s="171">
        <v>13611000</v>
      </c>
      <c r="Z20" s="171">
        <v>1617000</v>
      </c>
      <c r="AA20" s="171">
        <v>139000</v>
      </c>
      <c r="AB20" s="171">
        <v>6000</v>
      </c>
      <c r="AE20" s="170">
        <v>1277862000</v>
      </c>
      <c r="AF20" s="170">
        <v>274000</v>
      </c>
      <c r="AG20" s="170">
        <v>5739000</v>
      </c>
    </row>
    <row r="21" spans="1:33" s="165" customFormat="1" x14ac:dyDescent="0.2">
      <c r="A21" s="175"/>
      <c r="B21" s="174">
        <v>2</v>
      </c>
      <c r="C21" s="167">
        <f t="shared" si="0"/>
        <v>1045123382.3822354</v>
      </c>
      <c r="D21" s="171">
        <v>238000</v>
      </c>
      <c r="E21" s="171">
        <v>224579000</v>
      </c>
      <c r="F21" s="171">
        <v>229335000</v>
      </c>
      <c r="G21" s="171">
        <v>137415000</v>
      </c>
      <c r="H21" s="167">
        <f t="shared" si="1"/>
        <v>233169.31588309153</v>
      </c>
      <c r="I21" s="171">
        <v>103229000</v>
      </c>
      <c r="J21" s="171">
        <v>6000</v>
      </c>
      <c r="K21" s="171">
        <v>13006000</v>
      </c>
      <c r="L21" s="171">
        <v>0</v>
      </c>
      <c r="M21" s="167">
        <f t="shared" si="2"/>
        <v>6552501.972922313</v>
      </c>
      <c r="N21" s="170">
        <v>36068000</v>
      </c>
      <c r="O21" s="170">
        <v>5155000</v>
      </c>
      <c r="P21" s="170">
        <v>820000</v>
      </c>
      <c r="Q21" s="170">
        <v>147863000</v>
      </c>
      <c r="R21" s="170">
        <v>26042000</v>
      </c>
      <c r="S21" s="170">
        <v>1969357000</v>
      </c>
      <c r="W21" s="171">
        <v>22791000</v>
      </c>
      <c r="X21" s="171">
        <v>2395000</v>
      </c>
      <c r="Y21" s="171">
        <v>11577000</v>
      </c>
      <c r="Z21" s="171">
        <v>1426000</v>
      </c>
      <c r="AA21" s="171">
        <v>134000</v>
      </c>
      <c r="AB21" s="171">
        <v>6000</v>
      </c>
      <c r="AE21" s="170">
        <v>1039620000</v>
      </c>
      <c r="AF21" s="170">
        <v>225000</v>
      </c>
      <c r="AG21" s="170">
        <v>5756000</v>
      </c>
    </row>
    <row r="22" spans="1:33" s="165" customFormat="1" x14ac:dyDescent="0.2">
      <c r="A22" s="175"/>
      <c r="B22" s="174">
        <v>3</v>
      </c>
      <c r="C22" s="167">
        <f t="shared" si="0"/>
        <v>1086771692.9271591</v>
      </c>
      <c r="D22" s="171">
        <v>210000</v>
      </c>
      <c r="E22" s="171">
        <v>232657000</v>
      </c>
      <c r="F22" s="171">
        <v>240307000</v>
      </c>
      <c r="G22" s="171">
        <v>143540000</v>
      </c>
      <c r="H22" s="167">
        <f t="shared" si="1"/>
        <v>266331.17414202011</v>
      </c>
      <c r="I22" s="171">
        <v>108876000</v>
      </c>
      <c r="J22" s="171">
        <v>6000</v>
      </c>
      <c r="K22" s="171">
        <v>13149000</v>
      </c>
      <c r="L22" s="171">
        <v>0</v>
      </c>
      <c r="M22" s="167">
        <f t="shared" si="2"/>
        <v>7694294.7941247243</v>
      </c>
      <c r="N22" s="170">
        <v>41561000</v>
      </c>
      <c r="O22" s="170">
        <v>5125000</v>
      </c>
      <c r="P22" s="170">
        <v>830000</v>
      </c>
      <c r="Q22" s="170">
        <v>151448000</v>
      </c>
      <c r="R22" s="170">
        <v>25984000</v>
      </c>
      <c r="S22" s="170">
        <v>2051758000</v>
      </c>
      <c r="W22" s="171">
        <v>22641000</v>
      </c>
      <c r="X22" s="171">
        <v>2541000</v>
      </c>
      <c r="Y22" s="171">
        <v>12022000</v>
      </c>
      <c r="Z22" s="171">
        <v>1441000</v>
      </c>
      <c r="AA22" s="171">
        <v>137000</v>
      </c>
      <c r="AB22" s="171">
        <v>6000</v>
      </c>
      <c r="AE22" s="170">
        <v>1081049000</v>
      </c>
      <c r="AF22" s="170">
        <v>257000</v>
      </c>
      <c r="AG22" s="170">
        <v>6759000</v>
      </c>
    </row>
    <row r="23" spans="1:33" s="165" customFormat="1" x14ac:dyDescent="0.2">
      <c r="A23" s="175"/>
      <c r="B23" s="174">
        <v>4</v>
      </c>
      <c r="C23" s="167">
        <f t="shared" si="0"/>
        <v>858584108.93164718</v>
      </c>
      <c r="D23" s="171">
        <v>180000</v>
      </c>
      <c r="E23" s="171">
        <v>209731000</v>
      </c>
      <c r="F23" s="171">
        <v>223976000</v>
      </c>
      <c r="G23" s="171">
        <v>138422000</v>
      </c>
      <c r="H23" s="167">
        <f t="shared" si="1"/>
        <v>289129.95169503347</v>
      </c>
      <c r="I23" s="171">
        <v>105131000</v>
      </c>
      <c r="J23" s="171">
        <v>5000</v>
      </c>
      <c r="K23" s="171">
        <v>10302000</v>
      </c>
      <c r="L23" s="171">
        <v>0</v>
      </c>
      <c r="M23" s="167">
        <f t="shared" si="2"/>
        <v>6086905.4984738724</v>
      </c>
      <c r="N23" s="170">
        <v>41327000</v>
      </c>
      <c r="O23" s="170">
        <v>5342000</v>
      </c>
      <c r="P23" s="170">
        <v>699000</v>
      </c>
      <c r="Q23" s="170">
        <v>143400000</v>
      </c>
      <c r="R23" s="170">
        <v>22498000</v>
      </c>
      <c r="S23" s="170">
        <v>1760702000</v>
      </c>
      <c r="W23" s="171">
        <v>19866000</v>
      </c>
      <c r="X23" s="171">
        <v>2300000</v>
      </c>
      <c r="Y23" s="171">
        <v>10756000</v>
      </c>
      <c r="Z23" s="171">
        <v>1280000</v>
      </c>
      <c r="AA23" s="171">
        <v>147000</v>
      </c>
      <c r="AB23" s="171">
        <v>6000</v>
      </c>
      <c r="AE23" s="170">
        <v>854063000</v>
      </c>
      <c r="AF23" s="170">
        <v>279000</v>
      </c>
      <c r="AG23" s="170">
        <v>5347000</v>
      </c>
    </row>
    <row r="24" spans="1:33" s="165" customFormat="1" x14ac:dyDescent="0.2">
      <c r="A24" s="175"/>
      <c r="B24" s="174">
        <v>5</v>
      </c>
      <c r="C24" s="167">
        <f t="shared" si="0"/>
        <v>780004325.63843453</v>
      </c>
      <c r="D24" s="171">
        <v>169000</v>
      </c>
      <c r="E24" s="171">
        <v>205399000</v>
      </c>
      <c r="F24" s="171">
        <v>228240000</v>
      </c>
      <c r="G24" s="171">
        <v>146732000</v>
      </c>
      <c r="H24" s="167">
        <f t="shared" si="1"/>
        <v>823864.91612025665</v>
      </c>
      <c r="I24" s="171">
        <v>110485000</v>
      </c>
      <c r="J24" s="171">
        <v>356000</v>
      </c>
      <c r="K24" s="171">
        <v>8780000</v>
      </c>
      <c r="L24" s="171">
        <v>0</v>
      </c>
      <c r="M24" s="167">
        <f t="shared" si="2"/>
        <v>6733504.0253362544</v>
      </c>
      <c r="N24" s="170">
        <v>44303000</v>
      </c>
      <c r="O24" s="170">
        <v>5511000</v>
      </c>
      <c r="P24" s="170">
        <v>492000</v>
      </c>
      <c r="Q24" s="170">
        <v>146320000</v>
      </c>
      <c r="R24" s="170">
        <v>22379000</v>
      </c>
      <c r="S24" s="170">
        <v>1701773000</v>
      </c>
      <c r="W24" s="171">
        <v>17761000</v>
      </c>
      <c r="X24" s="171">
        <v>2176000</v>
      </c>
      <c r="Y24" s="171">
        <v>10230000</v>
      </c>
      <c r="Z24" s="171">
        <v>1244000</v>
      </c>
      <c r="AA24" s="171">
        <v>147000</v>
      </c>
      <c r="AB24" s="171">
        <v>7000</v>
      </c>
      <c r="AE24" s="170">
        <v>775897000</v>
      </c>
      <c r="AF24" s="170">
        <v>795000</v>
      </c>
      <c r="AG24" s="170">
        <v>5915000</v>
      </c>
    </row>
    <row r="25" spans="1:33" s="165" customFormat="1" x14ac:dyDescent="0.2">
      <c r="A25" s="175"/>
      <c r="B25" s="174">
        <v>6</v>
      </c>
      <c r="C25" s="167">
        <f t="shared" si="0"/>
        <v>682219412.492939</v>
      </c>
      <c r="D25" s="171">
        <v>185000</v>
      </c>
      <c r="E25" s="171">
        <v>192516000</v>
      </c>
      <c r="F25" s="171">
        <v>217993000</v>
      </c>
      <c r="G25" s="171">
        <v>143505000</v>
      </c>
      <c r="H25" s="167">
        <f t="shared" si="1"/>
        <v>1584515.0399344307</v>
      </c>
      <c r="I25" s="171">
        <v>106184000</v>
      </c>
      <c r="J25" s="171">
        <v>684000</v>
      </c>
      <c r="K25" s="171">
        <v>7117000</v>
      </c>
      <c r="L25" s="171">
        <v>0</v>
      </c>
      <c r="M25" s="167">
        <f t="shared" si="2"/>
        <v>8356830.6086210394</v>
      </c>
      <c r="N25" s="170">
        <v>39907000</v>
      </c>
      <c r="O25" s="170">
        <v>5391000</v>
      </c>
      <c r="P25" s="170">
        <v>392000</v>
      </c>
      <c r="Q25" s="170">
        <v>165305000</v>
      </c>
      <c r="R25" s="170">
        <v>22163000</v>
      </c>
      <c r="S25" s="170">
        <v>1588839000</v>
      </c>
      <c r="W25" s="171">
        <v>16153000</v>
      </c>
      <c r="X25" s="171">
        <v>1957000</v>
      </c>
      <c r="Y25" s="171">
        <v>9329000</v>
      </c>
      <c r="Z25" s="171">
        <v>1117000</v>
      </c>
      <c r="AA25" s="171">
        <v>141000</v>
      </c>
      <c r="AB25" s="171">
        <v>6000</v>
      </c>
      <c r="AE25" s="170">
        <v>678627000</v>
      </c>
      <c r="AF25" s="170">
        <v>1529000</v>
      </c>
      <c r="AG25" s="170">
        <v>7341000</v>
      </c>
    </row>
    <row r="26" spans="1:33" s="165" customFormat="1" x14ac:dyDescent="0.2">
      <c r="A26" s="175"/>
      <c r="B26" s="174">
        <v>7</v>
      </c>
      <c r="C26" s="167">
        <f t="shared" si="0"/>
        <v>682246555.42143619</v>
      </c>
      <c r="D26" s="171">
        <v>211000</v>
      </c>
      <c r="E26" s="171">
        <v>215859000</v>
      </c>
      <c r="F26" s="171">
        <v>242637000</v>
      </c>
      <c r="G26" s="171">
        <v>160809000</v>
      </c>
      <c r="H26" s="167">
        <f t="shared" si="1"/>
        <v>2904771.5218680245</v>
      </c>
      <c r="I26" s="171">
        <v>114549000</v>
      </c>
      <c r="J26" s="171">
        <v>719000</v>
      </c>
      <c r="K26" s="171">
        <v>5932000</v>
      </c>
      <c r="L26" s="171">
        <v>0</v>
      </c>
      <c r="M26" s="167">
        <f t="shared" si="2"/>
        <v>9805985.4056207109</v>
      </c>
      <c r="N26" s="170">
        <v>45657000</v>
      </c>
      <c r="O26" s="170">
        <v>5404000</v>
      </c>
      <c r="P26" s="170">
        <v>329000</v>
      </c>
      <c r="Q26" s="170">
        <v>169588000</v>
      </c>
      <c r="R26" s="170">
        <v>24539000</v>
      </c>
      <c r="S26" s="170">
        <v>1676304000</v>
      </c>
      <c r="W26" s="171">
        <v>17117000</v>
      </c>
      <c r="X26" s="171">
        <v>2092000</v>
      </c>
      <c r="Y26" s="171">
        <v>10389000</v>
      </c>
      <c r="Z26" s="171">
        <v>1523000</v>
      </c>
      <c r="AA26" s="171">
        <v>147000</v>
      </c>
      <c r="AB26" s="171">
        <v>7000</v>
      </c>
      <c r="AE26" s="170">
        <v>678654000</v>
      </c>
      <c r="AF26" s="170">
        <v>2803000</v>
      </c>
      <c r="AG26" s="170">
        <v>8614000</v>
      </c>
    </row>
    <row r="27" spans="1:33" s="165" customFormat="1" x14ac:dyDescent="0.2">
      <c r="A27" s="175"/>
      <c r="B27" s="174">
        <v>8</v>
      </c>
      <c r="C27" s="167">
        <f t="shared" si="0"/>
        <v>704923969.53407216</v>
      </c>
      <c r="D27" s="171">
        <v>230000</v>
      </c>
      <c r="E27" s="171">
        <v>221308000</v>
      </c>
      <c r="F27" s="171">
        <v>248159000</v>
      </c>
      <c r="G27" s="171">
        <v>165133000</v>
      </c>
      <c r="H27" s="167">
        <f t="shared" si="1"/>
        <v>3965950.9861537386</v>
      </c>
      <c r="I27" s="171">
        <v>116501000</v>
      </c>
      <c r="J27" s="171">
        <v>985000</v>
      </c>
      <c r="K27" s="171">
        <v>5021000</v>
      </c>
      <c r="L27" s="171">
        <v>0</v>
      </c>
      <c r="M27" s="167">
        <f t="shared" si="2"/>
        <v>8960170.783334177</v>
      </c>
      <c r="N27" s="170">
        <v>45019000</v>
      </c>
      <c r="O27" s="170">
        <v>5415000</v>
      </c>
      <c r="P27" s="170">
        <v>310000</v>
      </c>
      <c r="Q27" s="170">
        <v>168901000</v>
      </c>
      <c r="R27" s="170">
        <v>23591000</v>
      </c>
      <c r="S27" s="170">
        <v>1713483000</v>
      </c>
      <c r="W27" s="171">
        <v>17483000</v>
      </c>
      <c r="X27" s="171">
        <v>2125000</v>
      </c>
      <c r="Y27" s="171">
        <v>10721000</v>
      </c>
      <c r="Z27" s="171">
        <v>1904000</v>
      </c>
      <c r="AA27" s="171">
        <v>151000</v>
      </c>
      <c r="AB27" s="171">
        <v>7000</v>
      </c>
      <c r="AE27" s="170">
        <v>701212000</v>
      </c>
      <c r="AF27" s="170">
        <v>3827000</v>
      </c>
      <c r="AG27" s="170">
        <v>7871000</v>
      </c>
    </row>
    <row r="28" spans="1:33" s="165" customFormat="1" x14ac:dyDescent="0.2">
      <c r="A28" s="175"/>
      <c r="B28" s="174">
        <v>9</v>
      </c>
      <c r="C28" s="167">
        <f t="shared" si="0"/>
        <v>666596143.90864635</v>
      </c>
      <c r="D28" s="171">
        <v>199000</v>
      </c>
      <c r="E28" s="171">
        <v>203324000</v>
      </c>
      <c r="F28" s="171">
        <v>229006000</v>
      </c>
      <c r="G28" s="171">
        <v>151405000</v>
      </c>
      <c r="H28" s="167">
        <f t="shared" si="1"/>
        <v>2878863.8201032365</v>
      </c>
      <c r="I28" s="171">
        <v>110179000</v>
      </c>
      <c r="J28" s="171">
        <v>795000</v>
      </c>
      <c r="K28" s="171">
        <v>5870000</v>
      </c>
      <c r="L28" s="171">
        <v>0</v>
      </c>
      <c r="M28" s="167">
        <f t="shared" si="2"/>
        <v>8142815.6032510949</v>
      </c>
      <c r="N28" s="170">
        <v>40321000</v>
      </c>
      <c r="O28" s="170">
        <v>5646000</v>
      </c>
      <c r="P28" s="170">
        <v>347000</v>
      </c>
      <c r="Q28" s="170">
        <v>160837000</v>
      </c>
      <c r="R28" s="170">
        <v>22928000</v>
      </c>
      <c r="S28" s="170">
        <v>1603874000</v>
      </c>
      <c r="W28" s="171">
        <v>16063000</v>
      </c>
      <c r="X28" s="171">
        <v>1994000</v>
      </c>
      <c r="Y28" s="171">
        <v>9849000</v>
      </c>
      <c r="Z28" s="171">
        <v>1373000</v>
      </c>
      <c r="AA28" s="171">
        <v>134000</v>
      </c>
      <c r="AB28" s="171">
        <v>6000</v>
      </c>
      <c r="AE28" s="170">
        <v>663086000</v>
      </c>
      <c r="AF28" s="170">
        <v>2778000</v>
      </c>
      <c r="AG28" s="170">
        <v>7153000</v>
      </c>
    </row>
    <row r="29" spans="1:33" s="165" customFormat="1" x14ac:dyDescent="0.2">
      <c r="A29" s="175"/>
      <c r="B29" s="174">
        <v>10</v>
      </c>
      <c r="C29" s="167">
        <f t="shared" si="0"/>
        <v>838643104.12899423</v>
      </c>
      <c r="D29" s="171">
        <v>174000</v>
      </c>
      <c r="E29" s="171">
        <v>199849000</v>
      </c>
      <c r="F29" s="171">
        <v>226487000</v>
      </c>
      <c r="G29" s="171">
        <v>147520000</v>
      </c>
      <c r="H29" s="167">
        <f t="shared" si="1"/>
        <v>1047707.4593680245</v>
      </c>
      <c r="I29" s="171">
        <v>108729000</v>
      </c>
      <c r="J29" s="171">
        <v>746000</v>
      </c>
      <c r="K29" s="171">
        <v>7813000</v>
      </c>
      <c r="L29" s="171">
        <v>0</v>
      </c>
      <c r="M29" s="167">
        <f t="shared" si="2"/>
        <v>7893510.8895488745</v>
      </c>
      <c r="N29" s="170">
        <v>42731000</v>
      </c>
      <c r="O29" s="170">
        <v>5412000</v>
      </c>
      <c r="P29" s="170">
        <v>544000</v>
      </c>
      <c r="Q29" s="170">
        <v>161789000</v>
      </c>
      <c r="R29" s="170">
        <v>23186000</v>
      </c>
      <c r="S29" s="170">
        <v>1767152000</v>
      </c>
      <c r="W29" s="171">
        <v>16540000</v>
      </c>
      <c r="X29" s="171">
        <v>1988000</v>
      </c>
      <c r="Y29" s="171">
        <v>10066000</v>
      </c>
      <c r="Z29" s="171">
        <v>1203000</v>
      </c>
      <c r="AA29" s="171">
        <v>147000</v>
      </c>
      <c r="AB29" s="171">
        <v>6000</v>
      </c>
      <c r="AE29" s="170">
        <v>834227000</v>
      </c>
      <c r="AF29" s="170">
        <v>1011000</v>
      </c>
      <c r="AG29" s="170">
        <v>6934000</v>
      </c>
    </row>
    <row r="30" spans="1:33" s="165" customFormat="1" x14ac:dyDescent="0.2">
      <c r="A30" s="175"/>
      <c r="B30" s="174">
        <v>11</v>
      </c>
      <c r="C30" s="167">
        <f t="shared" si="0"/>
        <v>1043307822.053863</v>
      </c>
      <c r="D30" s="171">
        <v>195000</v>
      </c>
      <c r="E30" s="171">
        <v>212293000</v>
      </c>
      <c r="F30" s="171">
        <v>231102000</v>
      </c>
      <c r="G30" s="171">
        <v>144550000</v>
      </c>
      <c r="H30" s="167">
        <f t="shared" si="1"/>
        <v>312965.03731863841</v>
      </c>
      <c r="I30" s="171">
        <v>106782000</v>
      </c>
      <c r="J30" s="171">
        <v>251000</v>
      </c>
      <c r="K30" s="171">
        <v>9875000</v>
      </c>
      <c r="L30" s="171">
        <v>0</v>
      </c>
      <c r="M30" s="167">
        <f t="shared" si="2"/>
        <v>6422726.9164745817</v>
      </c>
      <c r="N30" s="170">
        <v>40364000</v>
      </c>
      <c r="O30" s="170">
        <v>5285000</v>
      </c>
      <c r="P30" s="170">
        <v>767000</v>
      </c>
      <c r="Q30" s="170">
        <v>161572000</v>
      </c>
      <c r="R30" s="170">
        <v>23315000</v>
      </c>
      <c r="S30" s="170">
        <v>1980109000</v>
      </c>
      <c r="W30" s="171">
        <v>18675000</v>
      </c>
      <c r="X30" s="171">
        <v>2108000</v>
      </c>
      <c r="Y30" s="171">
        <v>11275000</v>
      </c>
      <c r="Z30" s="171">
        <v>1270000</v>
      </c>
      <c r="AA30" s="171">
        <v>139000</v>
      </c>
      <c r="AB30" s="171">
        <v>6000</v>
      </c>
      <c r="AE30" s="170">
        <v>1037814000</v>
      </c>
      <c r="AF30" s="170">
        <v>302000</v>
      </c>
      <c r="AG30" s="170">
        <v>5642000</v>
      </c>
    </row>
    <row r="31" spans="1:33" s="165" customFormat="1" x14ac:dyDescent="0.2">
      <c r="A31" s="173"/>
      <c r="B31" s="172">
        <v>12</v>
      </c>
      <c r="C31" s="167">
        <f t="shared" si="0"/>
        <v>1241780936.4004128</v>
      </c>
      <c r="D31" s="171">
        <v>242000</v>
      </c>
      <c r="E31" s="171">
        <v>254751000</v>
      </c>
      <c r="F31" s="171">
        <v>264017000</v>
      </c>
      <c r="G31" s="171">
        <v>159333000</v>
      </c>
      <c r="H31" s="167">
        <f t="shared" si="1"/>
        <v>265294.86607142858</v>
      </c>
      <c r="I31" s="171">
        <v>115541000</v>
      </c>
      <c r="J31" s="171">
        <v>7000</v>
      </c>
      <c r="K31" s="171">
        <v>13811000</v>
      </c>
      <c r="L31" s="171">
        <v>0</v>
      </c>
      <c r="M31" s="167">
        <f t="shared" si="2"/>
        <v>6701629.4500683909</v>
      </c>
      <c r="N31" s="170">
        <v>43516000</v>
      </c>
      <c r="O31" s="170">
        <v>5353000</v>
      </c>
      <c r="P31" s="170">
        <v>965000</v>
      </c>
      <c r="Q31" s="170">
        <v>158078000</v>
      </c>
      <c r="R31" s="170">
        <v>24733000</v>
      </c>
      <c r="S31" s="170">
        <v>2281732000</v>
      </c>
      <c r="T31" s="166">
        <f>SUM(S20:S31)</f>
        <v>22409416000</v>
      </c>
      <c r="W31" s="171">
        <v>25106000</v>
      </c>
      <c r="X31" s="171">
        <v>2620000</v>
      </c>
      <c r="Y31" s="171">
        <v>13722000</v>
      </c>
      <c r="Z31" s="171">
        <v>1603000</v>
      </c>
      <c r="AA31" s="171">
        <v>154000</v>
      </c>
      <c r="AB31" s="171">
        <v>7000</v>
      </c>
      <c r="AE31" s="170">
        <v>1235242000</v>
      </c>
      <c r="AF31" s="170">
        <v>256000</v>
      </c>
      <c r="AG31" s="170">
        <v>5887000</v>
      </c>
    </row>
    <row r="32" spans="1:33" s="165" customFormat="1" x14ac:dyDescent="0.2">
      <c r="A32" s="176">
        <f>A20+1</f>
        <v>2023</v>
      </c>
      <c r="B32" s="176">
        <v>1</v>
      </c>
      <c r="C32" s="167">
        <f t="shared" ref="C32:C43" si="3">$C$76*(AE32/SUM($AE$32:$AE$43))</f>
        <v>1280784377.1022561</v>
      </c>
      <c r="D32" s="171">
        <v>264000</v>
      </c>
      <c r="E32" s="171">
        <v>265039000</v>
      </c>
      <c r="F32" s="171">
        <v>262112000</v>
      </c>
      <c r="G32" s="171">
        <v>156296000</v>
      </c>
      <c r="H32" s="167">
        <f t="shared" ref="H32:H43" si="4">$H$76*(AF32/SUM($AF$32:$AF$43))</f>
        <v>292383.04376874829</v>
      </c>
      <c r="I32" s="171">
        <v>114359000</v>
      </c>
      <c r="J32" s="171">
        <v>5000</v>
      </c>
      <c r="K32" s="171">
        <v>14729000</v>
      </c>
      <c r="L32" s="171">
        <v>0</v>
      </c>
      <c r="M32" s="167">
        <f t="shared" ref="M32:M43" si="5">$M$76*(AG32/SUM($AG$32:$AG$43))</f>
        <v>6574259.747773191</v>
      </c>
      <c r="N32" s="170">
        <v>43866000</v>
      </c>
      <c r="O32" s="170">
        <v>5339000</v>
      </c>
      <c r="P32" s="170">
        <v>1026000</v>
      </c>
      <c r="Q32" s="170">
        <v>167787000</v>
      </c>
      <c r="R32" s="170">
        <v>28068000</v>
      </c>
      <c r="S32" s="170">
        <v>2332086000</v>
      </c>
      <c r="W32" s="171">
        <v>26767000</v>
      </c>
      <c r="X32" s="171">
        <v>2856000</v>
      </c>
      <c r="Y32" s="171">
        <v>14114000</v>
      </c>
      <c r="Z32" s="171">
        <v>1676000</v>
      </c>
      <c r="AA32" s="171">
        <v>145000</v>
      </c>
      <c r="AB32" s="171">
        <v>7000</v>
      </c>
      <c r="AE32" s="170">
        <v>1267166000</v>
      </c>
      <c r="AF32" s="170">
        <v>284000</v>
      </c>
      <c r="AG32" s="170">
        <v>5746000</v>
      </c>
    </row>
    <row r="33" spans="1:33" s="165" customFormat="1" x14ac:dyDescent="0.2">
      <c r="A33" s="175"/>
      <c r="B33" s="174">
        <v>2</v>
      </c>
      <c r="C33" s="167">
        <f t="shared" si="3"/>
        <v>1041609266.0888126</v>
      </c>
      <c r="D33" s="171">
        <v>238000</v>
      </c>
      <c r="E33" s="171">
        <v>233070000</v>
      </c>
      <c r="F33" s="171">
        <v>237968000</v>
      </c>
      <c r="G33" s="171">
        <v>142074000</v>
      </c>
      <c r="H33" s="167">
        <f t="shared" si="4"/>
        <v>240907.15578129262</v>
      </c>
      <c r="I33" s="171">
        <v>105239000</v>
      </c>
      <c r="J33" s="171">
        <v>6000</v>
      </c>
      <c r="K33" s="171">
        <v>13515000</v>
      </c>
      <c r="L33" s="171">
        <v>0</v>
      </c>
      <c r="M33" s="167">
        <f t="shared" si="5"/>
        <v>6561674.1478383662</v>
      </c>
      <c r="N33" s="170">
        <v>36439000</v>
      </c>
      <c r="O33" s="170">
        <v>4989000</v>
      </c>
      <c r="P33" s="170">
        <v>819000</v>
      </c>
      <c r="Q33" s="170">
        <v>149042000</v>
      </c>
      <c r="R33" s="170">
        <v>26042000</v>
      </c>
      <c r="S33" s="170">
        <v>1985944000</v>
      </c>
      <c r="W33" s="171">
        <v>23467000</v>
      </c>
      <c r="X33" s="171">
        <v>2489000</v>
      </c>
      <c r="Y33" s="171">
        <v>12030000</v>
      </c>
      <c r="Z33" s="171">
        <v>1482000</v>
      </c>
      <c r="AA33" s="171">
        <v>139000</v>
      </c>
      <c r="AB33" s="171">
        <v>6000</v>
      </c>
      <c r="AE33" s="170">
        <v>1030534000</v>
      </c>
      <c r="AF33" s="170">
        <v>234000</v>
      </c>
      <c r="AG33" s="170">
        <v>5735000</v>
      </c>
    </row>
    <row r="34" spans="1:33" s="165" customFormat="1" x14ac:dyDescent="0.2">
      <c r="A34" s="175"/>
      <c r="B34" s="174">
        <v>3</v>
      </c>
      <c r="C34" s="167">
        <f t="shared" si="3"/>
        <v>1083202520.565444</v>
      </c>
      <c r="D34" s="171">
        <v>210000</v>
      </c>
      <c r="E34" s="171">
        <v>241285000</v>
      </c>
      <c r="F34" s="171">
        <v>249167000</v>
      </c>
      <c r="G34" s="171">
        <v>148260000</v>
      </c>
      <c r="H34" s="167">
        <f t="shared" si="4"/>
        <v>274881.24185301334</v>
      </c>
      <c r="I34" s="171">
        <v>110766000</v>
      </c>
      <c r="J34" s="171">
        <v>6000</v>
      </c>
      <c r="K34" s="171">
        <v>13655000</v>
      </c>
      <c r="L34" s="171">
        <v>0</v>
      </c>
      <c r="M34" s="167">
        <f t="shared" si="5"/>
        <v>7663486.2148598749</v>
      </c>
      <c r="N34" s="170">
        <v>41966000</v>
      </c>
      <c r="O34" s="170">
        <v>4952000</v>
      </c>
      <c r="P34" s="170">
        <v>828000</v>
      </c>
      <c r="Q34" s="170">
        <v>151898000</v>
      </c>
      <c r="R34" s="170">
        <v>25984000</v>
      </c>
      <c r="S34" s="170">
        <v>2067627000</v>
      </c>
      <c r="W34" s="171">
        <v>23281000</v>
      </c>
      <c r="X34" s="171">
        <v>2639000</v>
      </c>
      <c r="Y34" s="171">
        <v>12484000</v>
      </c>
      <c r="Z34" s="171">
        <v>1497000</v>
      </c>
      <c r="AA34" s="171">
        <v>142000</v>
      </c>
      <c r="AB34" s="171">
        <v>7000</v>
      </c>
      <c r="AE34" s="170">
        <v>1071685000</v>
      </c>
      <c r="AF34" s="170">
        <v>267000</v>
      </c>
      <c r="AG34" s="170">
        <v>6698000</v>
      </c>
    </row>
    <row r="35" spans="1:33" s="165" customFormat="1" x14ac:dyDescent="0.2">
      <c r="A35" s="175"/>
      <c r="B35" s="174">
        <v>4</v>
      </c>
      <c r="C35" s="167">
        <f t="shared" si="3"/>
        <v>853643657.59191871</v>
      </c>
      <c r="D35" s="171">
        <v>180000</v>
      </c>
      <c r="E35" s="171">
        <v>217340000</v>
      </c>
      <c r="F35" s="171">
        <v>232053000</v>
      </c>
      <c r="G35" s="171">
        <v>142798000</v>
      </c>
      <c r="H35" s="167">
        <f t="shared" si="4"/>
        <v>298560.15032724297</v>
      </c>
      <c r="I35" s="171">
        <v>106700000</v>
      </c>
      <c r="J35" s="171">
        <v>5000</v>
      </c>
      <c r="K35" s="171">
        <v>10692000</v>
      </c>
      <c r="L35" s="171">
        <v>0</v>
      </c>
      <c r="M35" s="167">
        <f t="shared" si="5"/>
        <v>6060538.4413426034</v>
      </c>
      <c r="N35" s="170">
        <v>41653000</v>
      </c>
      <c r="O35" s="170">
        <v>5166000</v>
      </c>
      <c r="P35" s="170">
        <v>695000</v>
      </c>
      <c r="Q35" s="170">
        <v>142582000</v>
      </c>
      <c r="R35" s="170">
        <v>22498000</v>
      </c>
      <c r="S35" s="170">
        <v>1772516000</v>
      </c>
      <c r="W35" s="171">
        <v>20380000</v>
      </c>
      <c r="X35" s="171">
        <v>2388000</v>
      </c>
      <c r="Y35" s="171">
        <v>11163000</v>
      </c>
      <c r="Z35" s="171">
        <v>1328000</v>
      </c>
      <c r="AA35" s="171">
        <v>152000</v>
      </c>
      <c r="AB35" s="171">
        <v>7000</v>
      </c>
      <c r="AE35" s="170">
        <v>844567000</v>
      </c>
      <c r="AF35" s="170">
        <v>290000</v>
      </c>
      <c r="AG35" s="170">
        <v>5297000</v>
      </c>
    </row>
    <row r="36" spans="1:33" s="165" customFormat="1" x14ac:dyDescent="0.2">
      <c r="A36" s="175"/>
      <c r="B36" s="174">
        <v>5</v>
      </c>
      <c r="C36" s="167">
        <f t="shared" si="3"/>
        <v>780928488.73678005</v>
      </c>
      <c r="D36" s="171">
        <v>169000</v>
      </c>
      <c r="E36" s="171">
        <v>211246000</v>
      </c>
      <c r="F36" s="171">
        <v>234735000</v>
      </c>
      <c r="G36" s="171">
        <v>150333000</v>
      </c>
      <c r="H36" s="167">
        <f t="shared" si="4"/>
        <v>843175.04523452406</v>
      </c>
      <c r="I36" s="171">
        <v>111543000</v>
      </c>
      <c r="J36" s="171">
        <v>367000</v>
      </c>
      <c r="K36" s="171">
        <v>9042000</v>
      </c>
      <c r="L36" s="171">
        <v>0</v>
      </c>
      <c r="M36" s="167">
        <f t="shared" si="5"/>
        <v>6693250.8744297195</v>
      </c>
      <c r="N36" s="170">
        <v>44385000</v>
      </c>
      <c r="O36" s="170">
        <v>5349000</v>
      </c>
      <c r="P36" s="170">
        <v>490000</v>
      </c>
      <c r="Q36" s="170">
        <v>145479000</v>
      </c>
      <c r="R36" s="170">
        <v>22379000</v>
      </c>
      <c r="S36" s="170">
        <v>1714811000</v>
      </c>
      <c r="W36" s="171">
        <v>18042000</v>
      </c>
      <c r="X36" s="171">
        <v>2241000</v>
      </c>
      <c r="Y36" s="171">
        <v>10534000</v>
      </c>
      <c r="Z36" s="171">
        <v>1281000</v>
      </c>
      <c r="AA36" s="171">
        <v>151000</v>
      </c>
      <c r="AB36" s="171">
        <v>7000</v>
      </c>
      <c r="AE36" s="170">
        <v>772625000</v>
      </c>
      <c r="AF36" s="170">
        <v>819000</v>
      </c>
      <c r="AG36" s="170">
        <v>5850000</v>
      </c>
    </row>
    <row r="37" spans="1:33" s="165" customFormat="1" x14ac:dyDescent="0.2">
      <c r="A37" s="175"/>
      <c r="B37" s="174">
        <v>6</v>
      </c>
      <c r="C37" s="167">
        <f t="shared" si="3"/>
        <v>687583971.2906462</v>
      </c>
      <c r="D37" s="171">
        <v>185000</v>
      </c>
      <c r="E37" s="171">
        <v>196958000</v>
      </c>
      <c r="F37" s="171">
        <v>223065000</v>
      </c>
      <c r="G37" s="171">
        <v>146352000</v>
      </c>
      <c r="H37" s="167">
        <f t="shared" si="4"/>
        <v>1612224.811767112</v>
      </c>
      <c r="I37" s="171">
        <v>106906000</v>
      </c>
      <c r="J37" s="171">
        <v>700000</v>
      </c>
      <c r="K37" s="171">
        <v>7288000</v>
      </c>
      <c r="L37" s="171">
        <v>0</v>
      </c>
      <c r="M37" s="167">
        <f t="shared" si="5"/>
        <v>8285901.3389094071</v>
      </c>
      <c r="N37" s="170">
        <v>39817000</v>
      </c>
      <c r="O37" s="170">
        <v>5254000</v>
      </c>
      <c r="P37" s="170">
        <v>392000</v>
      </c>
      <c r="Q37" s="170">
        <v>164134000</v>
      </c>
      <c r="R37" s="170">
        <v>22163000</v>
      </c>
      <c r="S37" s="170">
        <v>1602295000</v>
      </c>
      <c r="W37" s="171">
        <v>16314000</v>
      </c>
      <c r="X37" s="171">
        <v>2004000</v>
      </c>
      <c r="Y37" s="171">
        <v>9553000</v>
      </c>
      <c r="Z37" s="171">
        <v>1144000</v>
      </c>
      <c r="AA37" s="171">
        <v>145000</v>
      </c>
      <c r="AB37" s="171">
        <v>6000</v>
      </c>
      <c r="AE37" s="170">
        <v>680273000</v>
      </c>
      <c r="AF37" s="170">
        <v>1566000</v>
      </c>
      <c r="AG37" s="170">
        <v>7242000</v>
      </c>
    </row>
    <row r="38" spans="1:33" s="165" customFormat="1" x14ac:dyDescent="0.2">
      <c r="A38" s="175"/>
      <c r="B38" s="174">
        <v>7</v>
      </c>
      <c r="C38" s="167">
        <f t="shared" si="3"/>
        <v>688203559.27135575</v>
      </c>
      <c r="D38" s="171">
        <v>211000</v>
      </c>
      <c r="E38" s="171">
        <v>220543000</v>
      </c>
      <c r="F38" s="171">
        <v>247969000</v>
      </c>
      <c r="G38" s="171">
        <v>163860000</v>
      </c>
      <c r="H38" s="167">
        <f t="shared" si="4"/>
        <v>2951627.4172007092</v>
      </c>
      <c r="I38" s="171">
        <v>115305000</v>
      </c>
      <c r="J38" s="171">
        <v>735000</v>
      </c>
      <c r="K38" s="171">
        <v>6066000</v>
      </c>
      <c r="L38" s="171">
        <v>0</v>
      </c>
      <c r="M38" s="167">
        <f t="shared" si="5"/>
        <v>9737821.9132087771</v>
      </c>
      <c r="N38" s="170">
        <v>45559000</v>
      </c>
      <c r="O38" s="170">
        <v>5263000</v>
      </c>
      <c r="P38" s="170">
        <v>329000</v>
      </c>
      <c r="Q38" s="170">
        <v>168422000</v>
      </c>
      <c r="R38" s="170">
        <v>24539000</v>
      </c>
      <c r="S38" s="170">
        <v>1691065000</v>
      </c>
      <c r="W38" s="171">
        <v>17257000</v>
      </c>
      <c r="X38" s="171">
        <v>2139000</v>
      </c>
      <c r="Y38" s="171">
        <v>10624000</v>
      </c>
      <c r="Z38" s="171">
        <v>1557000</v>
      </c>
      <c r="AA38" s="171">
        <v>150000</v>
      </c>
      <c r="AB38" s="171">
        <v>7000</v>
      </c>
      <c r="AE38" s="170">
        <v>680886000</v>
      </c>
      <c r="AF38" s="170">
        <v>2867000</v>
      </c>
      <c r="AG38" s="170">
        <v>8511000</v>
      </c>
    </row>
    <row r="39" spans="1:33" s="165" customFormat="1" x14ac:dyDescent="0.2">
      <c r="A39" s="175"/>
      <c r="B39" s="174">
        <v>8</v>
      </c>
      <c r="C39" s="167">
        <f t="shared" si="3"/>
        <v>712938562.63827562</v>
      </c>
      <c r="D39" s="171">
        <v>230000</v>
      </c>
      <c r="E39" s="171">
        <v>225838000</v>
      </c>
      <c r="F39" s="171">
        <v>253316000</v>
      </c>
      <c r="G39" s="171">
        <v>168124000</v>
      </c>
      <c r="H39" s="167">
        <f t="shared" si="4"/>
        <v>4024384.9228592855</v>
      </c>
      <c r="I39" s="171">
        <v>117205000</v>
      </c>
      <c r="J39" s="171">
        <v>1006000</v>
      </c>
      <c r="K39" s="171">
        <v>5128000</v>
      </c>
      <c r="L39" s="171">
        <v>0</v>
      </c>
      <c r="M39" s="167">
        <f t="shared" si="5"/>
        <v>8912893.0447534211</v>
      </c>
      <c r="N39" s="170">
        <v>44879000</v>
      </c>
      <c r="O39" s="170">
        <v>5273000</v>
      </c>
      <c r="P39" s="170">
        <v>310000</v>
      </c>
      <c r="Q39" s="170">
        <v>167777000</v>
      </c>
      <c r="R39" s="170">
        <v>23591000</v>
      </c>
      <c r="S39" s="170">
        <v>1729734000</v>
      </c>
      <c r="W39" s="171">
        <v>17613000</v>
      </c>
      <c r="X39" s="171">
        <v>2170000</v>
      </c>
      <c r="Y39" s="171">
        <v>10950000</v>
      </c>
      <c r="Z39" s="171">
        <v>1944000</v>
      </c>
      <c r="AA39" s="171">
        <v>154000</v>
      </c>
      <c r="AB39" s="171">
        <v>7000</v>
      </c>
      <c r="AE39" s="170">
        <v>705358000</v>
      </c>
      <c r="AF39" s="170">
        <v>3909000</v>
      </c>
      <c r="AG39" s="170">
        <v>7790000</v>
      </c>
    </row>
    <row r="40" spans="1:33" s="165" customFormat="1" x14ac:dyDescent="0.2">
      <c r="A40" s="175"/>
      <c r="B40" s="174">
        <v>9</v>
      </c>
      <c r="C40" s="167">
        <f t="shared" si="3"/>
        <v>674176410.82717001</v>
      </c>
      <c r="D40" s="171">
        <v>199000</v>
      </c>
      <c r="E40" s="171">
        <v>207282000</v>
      </c>
      <c r="F40" s="171">
        <v>233565000</v>
      </c>
      <c r="G40" s="171">
        <v>154036000</v>
      </c>
      <c r="H40" s="167">
        <f t="shared" si="4"/>
        <v>2918682.8488887371</v>
      </c>
      <c r="I40" s="171">
        <v>110784000</v>
      </c>
      <c r="J40" s="171">
        <v>811000</v>
      </c>
      <c r="K40" s="171">
        <v>5989000</v>
      </c>
      <c r="L40" s="171">
        <v>0</v>
      </c>
      <c r="M40" s="167">
        <f t="shared" si="5"/>
        <v>8091396.6126439273</v>
      </c>
      <c r="N40" s="170">
        <v>40131000</v>
      </c>
      <c r="O40" s="170">
        <v>5505000</v>
      </c>
      <c r="P40" s="170">
        <v>348000</v>
      </c>
      <c r="Q40" s="170">
        <v>159796000</v>
      </c>
      <c r="R40" s="170">
        <v>22928000</v>
      </c>
      <c r="S40" s="170">
        <v>1618289000</v>
      </c>
      <c r="W40" s="171">
        <v>16165000</v>
      </c>
      <c r="X40" s="171">
        <v>2034000</v>
      </c>
      <c r="Y40" s="171">
        <v>10049000</v>
      </c>
      <c r="Z40" s="171">
        <v>1401000</v>
      </c>
      <c r="AA40" s="171">
        <v>136000</v>
      </c>
      <c r="AB40" s="171">
        <v>6000</v>
      </c>
      <c r="AE40" s="170">
        <v>667008000</v>
      </c>
      <c r="AF40" s="170">
        <v>2835000</v>
      </c>
      <c r="AG40" s="170">
        <v>7072000</v>
      </c>
    </row>
    <row r="41" spans="1:33" s="165" customFormat="1" x14ac:dyDescent="0.2">
      <c r="A41" s="175"/>
      <c r="B41" s="174">
        <v>10</v>
      </c>
      <c r="C41" s="167">
        <f t="shared" si="3"/>
        <v>848424159.49667609</v>
      </c>
      <c r="D41" s="171">
        <v>174000</v>
      </c>
      <c r="E41" s="171">
        <v>203539000</v>
      </c>
      <c r="F41" s="171">
        <v>230787000</v>
      </c>
      <c r="G41" s="171">
        <v>149974000</v>
      </c>
      <c r="H41" s="167">
        <f t="shared" si="4"/>
        <v>1060403.2925415873</v>
      </c>
      <c r="I41" s="171">
        <v>109276000</v>
      </c>
      <c r="J41" s="171">
        <v>760000</v>
      </c>
      <c r="K41" s="171">
        <v>7961000</v>
      </c>
      <c r="L41" s="171">
        <v>0</v>
      </c>
      <c r="M41" s="167">
        <f t="shared" si="5"/>
        <v>7839684.613947425</v>
      </c>
      <c r="N41" s="170">
        <v>42508000</v>
      </c>
      <c r="O41" s="170">
        <v>5265000</v>
      </c>
      <c r="P41" s="170">
        <v>545000</v>
      </c>
      <c r="Q41" s="170">
        <v>160770000</v>
      </c>
      <c r="R41" s="170">
        <v>23186000</v>
      </c>
      <c r="S41" s="170">
        <v>1782030000</v>
      </c>
      <c r="W41" s="171">
        <v>16619000</v>
      </c>
      <c r="X41" s="171">
        <v>2026000</v>
      </c>
      <c r="Y41" s="171">
        <v>10258000</v>
      </c>
      <c r="Z41" s="171">
        <v>1226000</v>
      </c>
      <c r="AA41" s="171">
        <v>150000</v>
      </c>
      <c r="AB41" s="171">
        <v>6000</v>
      </c>
      <c r="AE41" s="170">
        <v>839403000</v>
      </c>
      <c r="AF41" s="170">
        <v>1030000</v>
      </c>
      <c r="AG41" s="170">
        <v>6852000</v>
      </c>
    </row>
    <row r="42" spans="1:33" s="165" customFormat="1" x14ac:dyDescent="0.2">
      <c r="A42" s="175"/>
      <c r="B42" s="174">
        <v>11</v>
      </c>
      <c r="C42" s="167">
        <f t="shared" si="3"/>
        <v>1056694666.7610618</v>
      </c>
      <c r="D42" s="171">
        <v>195000</v>
      </c>
      <c r="E42" s="171">
        <v>216210000</v>
      </c>
      <c r="F42" s="171">
        <v>235540000</v>
      </c>
      <c r="G42" s="171">
        <v>147069000</v>
      </c>
      <c r="H42" s="167">
        <f t="shared" si="4"/>
        <v>316061.95224297792</v>
      </c>
      <c r="I42" s="171">
        <v>107497000</v>
      </c>
      <c r="J42" s="171">
        <v>255000</v>
      </c>
      <c r="K42" s="171">
        <v>10062000</v>
      </c>
      <c r="L42" s="171">
        <v>0</v>
      </c>
      <c r="M42" s="167">
        <f t="shared" si="5"/>
        <v>6407214.5122746034</v>
      </c>
      <c r="N42" s="170">
        <v>40174000</v>
      </c>
      <c r="O42" s="170">
        <v>5141000</v>
      </c>
      <c r="P42" s="170">
        <v>770000</v>
      </c>
      <c r="Q42" s="170">
        <v>160656000</v>
      </c>
      <c r="R42" s="170">
        <v>23315000</v>
      </c>
      <c r="S42" s="170">
        <v>1998250000</v>
      </c>
      <c r="W42" s="171">
        <v>18794000</v>
      </c>
      <c r="X42" s="171">
        <v>2148000</v>
      </c>
      <c r="Y42" s="171">
        <v>11489000</v>
      </c>
      <c r="Z42" s="171">
        <v>1294000</v>
      </c>
      <c r="AA42" s="171">
        <v>142000</v>
      </c>
      <c r="AB42" s="171">
        <v>7000</v>
      </c>
      <c r="AE42" s="170">
        <v>1045459000</v>
      </c>
      <c r="AF42" s="170">
        <v>307000</v>
      </c>
      <c r="AG42" s="170">
        <v>5600000</v>
      </c>
    </row>
    <row r="43" spans="1:33" s="165" customFormat="1" x14ac:dyDescent="0.2">
      <c r="A43" s="173"/>
      <c r="B43" s="172">
        <v>12</v>
      </c>
      <c r="C43" s="167">
        <f t="shared" si="3"/>
        <v>1254860735.1296031</v>
      </c>
      <c r="D43" s="171">
        <v>242000</v>
      </c>
      <c r="E43" s="171">
        <v>259283000</v>
      </c>
      <c r="F43" s="171">
        <v>268925000</v>
      </c>
      <c r="G43" s="171">
        <v>162113000</v>
      </c>
      <c r="H43" s="167">
        <f t="shared" si="4"/>
        <v>267674.61753476952</v>
      </c>
      <c r="I43" s="171">
        <v>116428000</v>
      </c>
      <c r="J43" s="171">
        <v>7000</v>
      </c>
      <c r="K43" s="171">
        <v>14063000</v>
      </c>
      <c r="L43" s="171">
        <v>0</v>
      </c>
      <c r="M43" s="167">
        <f t="shared" si="5"/>
        <v>6702404.0380186839</v>
      </c>
      <c r="N43" s="170">
        <v>43338000</v>
      </c>
      <c r="O43" s="170">
        <v>5207000</v>
      </c>
      <c r="P43" s="170">
        <v>969000</v>
      </c>
      <c r="Q43" s="170">
        <v>157187000</v>
      </c>
      <c r="R43" s="170">
        <v>24733000</v>
      </c>
      <c r="S43" s="170">
        <v>2300131000</v>
      </c>
      <c r="T43" s="166">
        <f>SUM(S32:S43)</f>
        <v>22594778000</v>
      </c>
      <c r="W43" s="171">
        <v>25315000</v>
      </c>
      <c r="X43" s="171">
        <v>2668000</v>
      </c>
      <c r="Y43" s="171">
        <v>13972000</v>
      </c>
      <c r="Z43" s="171">
        <v>1632000</v>
      </c>
      <c r="AA43" s="171">
        <v>157000</v>
      </c>
      <c r="AB43" s="171">
        <v>7000</v>
      </c>
      <c r="AE43" s="170">
        <v>1241518000</v>
      </c>
      <c r="AF43" s="170">
        <v>260000</v>
      </c>
      <c r="AG43" s="170">
        <v>5858000</v>
      </c>
    </row>
    <row r="44" spans="1:33" s="165" customFormat="1" x14ac:dyDescent="0.2">
      <c r="A44" s="176">
        <f>A32+1</f>
        <v>2024</v>
      </c>
      <c r="B44" s="176">
        <v>1</v>
      </c>
      <c r="C44" s="167">
        <f t="shared" ref="C44:C55" si="6">$C$77*(AE44/SUM($AE$44:$AE$55))</f>
        <v>1282139048.7299058</v>
      </c>
      <c r="D44" s="171">
        <v>264000</v>
      </c>
      <c r="E44" s="171">
        <v>268789000</v>
      </c>
      <c r="F44" s="171">
        <v>266026000</v>
      </c>
      <c r="G44" s="171">
        <v>158532000</v>
      </c>
      <c r="H44" s="167">
        <f t="shared" ref="H44:H55" si="7">$H$77*(AF44/SUM($AF$44:$AF$55))</f>
        <v>296876.05359317904</v>
      </c>
      <c r="I44" s="171">
        <v>114955000</v>
      </c>
      <c r="J44" s="171">
        <v>5000</v>
      </c>
      <c r="K44" s="171">
        <v>14942000</v>
      </c>
      <c r="L44" s="171">
        <v>0</v>
      </c>
      <c r="M44" s="167">
        <f t="shared" ref="M44:M55" si="8">$M$77*(AG44/SUM($AG$44:$AG$55))</f>
        <v>6569148.1005591983</v>
      </c>
      <c r="N44" s="170">
        <v>43580000</v>
      </c>
      <c r="O44" s="170">
        <v>5186000</v>
      </c>
      <c r="P44" s="170">
        <v>1027000</v>
      </c>
      <c r="Q44" s="170">
        <v>166846000</v>
      </c>
      <c r="R44" s="170">
        <v>28068000</v>
      </c>
      <c r="S44" s="170">
        <v>2343480000</v>
      </c>
      <c r="W44" s="171">
        <v>26914000</v>
      </c>
      <c r="X44" s="171">
        <v>2897000</v>
      </c>
      <c r="Y44" s="171">
        <v>14317000</v>
      </c>
      <c r="Z44" s="171">
        <v>1701000</v>
      </c>
      <c r="AA44" s="171">
        <v>147000</v>
      </c>
      <c r="AB44" s="171">
        <v>7000</v>
      </c>
      <c r="AE44" s="170">
        <v>1269257000</v>
      </c>
      <c r="AF44" s="170">
        <v>288000</v>
      </c>
      <c r="AG44" s="170">
        <v>5715000</v>
      </c>
    </row>
    <row r="45" spans="1:33" s="165" customFormat="1" x14ac:dyDescent="0.2">
      <c r="A45" s="175"/>
      <c r="B45" s="174">
        <v>2</v>
      </c>
      <c r="C45" s="167">
        <f t="shared" si="6"/>
        <v>1087531769.0253906</v>
      </c>
      <c r="D45" s="171">
        <v>238000</v>
      </c>
      <c r="E45" s="171">
        <v>245985000</v>
      </c>
      <c r="F45" s="171">
        <v>251325000</v>
      </c>
      <c r="G45" s="171">
        <v>149939000</v>
      </c>
      <c r="H45" s="167">
        <f t="shared" si="7"/>
        <v>253581.62911084041</v>
      </c>
      <c r="I45" s="171">
        <v>110026000</v>
      </c>
      <c r="J45" s="171">
        <v>6000</v>
      </c>
      <c r="K45" s="171">
        <v>14266000</v>
      </c>
      <c r="L45" s="171">
        <v>0</v>
      </c>
      <c r="M45" s="167">
        <f t="shared" si="8"/>
        <v>6810534.12000232</v>
      </c>
      <c r="N45" s="170">
        <v>37610000</v>
      </c>
      <c r="O45" s="170">
        <v>5067000</v>
      </c>
      <c r="P45" s="170">
        <v>851000</v>
      </c>
      <c r="Q45" s="170">
        <v>153696000</v>
      </c>
      <c r="R45" s="170">
        <v>26042000</v>
      </c>
      <c r="S45" s="170">
        <v>2077827000</v>
      </c>
      <c r="W45" s="171">
        <v>24542000</v>
      </c>
      <c r="X45" s="171">
        <v>2627000</v>
      </c>
      <c r="Y45" s="171">
        <v>12699000</v>
      </c>
      <c r="Z45" s="171">
        <v>1564000</v>
      </c>
      <c r="AA45" s="171">
        <v>147000</v>
      </c>
      <c r="AB45" s="171">
        <v>6000</v>
      </c>
      <c r="AE45" s="170">
        <v>1076605000</v>
      </c>
      <c r="AF45" s="170">
        <v>246000</v>
      </c>
      <c r="AG45" s="170">
        <v>5925000</v>
      </c>
    </row>
    <row r="46" spans="1:33" s="165" customFormat="1" x14ac:dyDescent="0.2">
      <c r="A46" s="175"/>
      <c r="B46" s="174">
        <v>3</v>
      </c>
      <c r="C46" s="167">
        <f t="shared" si="6"/>
        <v>1089073256.8315339</v>
      </c>
      <c r="D46" s="171">
        <v>210000</v>
      </c>
      <c r="E46" s="171">
        <v>243362000</v>
      </c>
      <c r="F46" s="171">
        <v>251477000</v>
      </c>
      <c r="G46" s="171">
        <v>149561000</v>
      </c>
      <c r="H46" s="167">
        <f t="shared" si="7"/>
        <v>277290.48061307351</v>
      </c>
      <c r="I46" s="171">
        <v>110683000</v>
      </c>
      <c r="J46" s="171">
        <v>6000</v>
      </c>
      <c r="K46" s="171">
        <v>13771000</v>
      </c>
      <c r="L46" s="171">
        <v>0</v>
      </c>
      <c r="M46" s="167">
        <f t="shared" si="8"/>
        <v>7600211.2407519547</v>
      </c>
      <c r="N46" s="170">
        <v>41440000</v>
      </c>
      <c r="O46" s="170">
        <v>4808000</v>
      </c>
      <c r="P46" s="170">
        <v>827000</v>
      </c>
      <c r="Q46" s="170">
        <v>151403000</v>
      </c>
      <c r="R46" s="170">
        <v>25984000</v>
      </c>
      <c r="S46" s="170">
        <v>2078544000</v>
      </c>
      <c r="W46" s="171">
        <v>23245000</v>
      </c>
      <c r="X46" s="171">
        <v>2661000</v>
      </c>
      <c r="Y46" s="171">
        <v>12590000</v>
      </c>
      <c r="Z46" s="171">
        <v>1509000</v>
      </c>
      <c r="AA46" s="171">
        <v>143000</v>
      </c>
      <c r="AB46" s="171">
        <v>7000</v>
      </c>
      <c r="AE46" s="170">
        <v>1078131000</v>
      </c>
      <c r="AF46" s="170">
        <v>269000</v>
      </c>
      <c r="AG46" s="170">
        <v>6612000</v>
      </c>
    </row>
    <row r="47" spans="1:33" s="165" customFormat="1" x14ac:dyDescent="0.2">
      <c r="A47" s="175"/>
      <c r="B47" s="174">
        <v>4</v>
      </c>
      <c r="C47" s="167">
        <f t="shared" si="6"/>
        <v>857218742.60806942</v>
      </c>
      <c r="D47" s="171">
        <v>180000</v>
      </c>
      <c r="E47" s="171">
        <v>219231000</v>
      </c>
      <c r="F47" s="171">
        <v>234237000</v>
      </c>
      <c r="G47" s="171">
        <v>144058000</v>
      </c>
      <c r="H47" s="167">
        <f t="shared" si="7"/>
        <v>300999.33211530658</v>
      </c>
      <c r="I47" s="171">
        <v>106608000</v>
      </c>
      <c r="J47" s="171">
        <v>5000</v>
      </c>
      <c r="K47" s="171">
        <v>10783000</v>
      </c>
      <c r="L47" s="171">
        <v>0</v>
      </c>
      <c r="M47" s="167">
        <f t="shared" si="8"/>
        <v>6020856.9992526835</v>
      </c>
      <c r="N47" s="170">
        <v>41113000</v>
      </c>
      <c r="O47" s="170">
        <v>5035000</v>
      </c>
      <c r="P47" s="170">
        <v>695000</v>
      </c>
      <c r="Q47" s="170">
        <v>142132000</v>
      </c>
      <c r="R47" s="170">
        <v>22498000</v>
      </c>
      <c r="S47" s="170">
        <v>1780711000</v>
      </c>
      <c r="W47" s="171">
        <v>20313000</v>
      </c>
      <c r="X47" s="171">
        <v>2408000</v>
      </c>
      <c r="Y47" s="171">
        <v>11258000</v>
      </c>
      <c r="Z47" s="171">
        <v>1339000</v>
      </c>
      <c r="AA47" s="171">
        <v>154000</v>
      </c>
      <c r="AB47" s="171">
        <v>7000</v>
      </c>
      <c r="AE47" s="170">
        <v>848606000</v>
      </c>
      <c r="AF47" s="170">
        <v>292000</v>
      </c>
      <c r="AG47" s="170">
        <v>5238000</v>
      </c>
    </row>
    <row r="48" spans="1:33" s="165" customFormat="1" x14ac:dyDescent="0.2">
      <c r="A48" s="175"/>
      <c r="B48" s="174">
        <v>5</v>
      </c>
      <c r="C48" s="167">
        <f t="shared" si="6"/>
        <v>786109283.81813037</v>
      </c>
      <c r="D48" s="171">
        <v>169000</v>
      </c>
      <c r="E48" s="171">
        <v>213005000</v>
      </c>
      <c r="F48" s="171">
        <v>236851000</v>
      </c>
      <c r="G48" s="171">
        <v>151611000</v>
      </c>
      <c r="H48" s="167">
        <f t="shared" si="7"/>
        <v>851457.014819326</v>
      </c>
      <c r="I48" s="171">
        <v>111417000</v>
      </c>
      <c r="J48" s="171">
        <v>370000</v>
      </c>
      <c r="K48" s="171">
        <v>9115000</v>
      </c>
      <c r="L48" s="171">
        <v>0</v>
      </c>
      <c r="M48" s="167">
        <f t="shared" si="8"/>
        <v>6651909.0215111263</v>
      </c>
      <c r="N48" s="170">
        <v>43809000</v>
      </c>
      <c r="O48" s="170">
        <v>5232000</v>
      </c>
      <c r="P48" s="170">
        <v>490000</v>
      </c>
      <c r="Q48" s="170">
        <v>145036000</v>
      </c>
      <c r="R48" s="170">
        <v>22379000</v>
      </c>
      <c r="S48" s="170">
        <v>1724308000</v>
      </c>
      <c r="W48" s="171">
        <v>17938000</v>
      </c>
      <c r="X48" s="171">
        <v>2259000</v>
      </c>
      <c r="Y48" s="171">
        <v>10619000</v>
      </c>
      <c r="Z48" s="171">
        <v>1291000</v>
      </c>
      <c r="AA48" s="171">
        <v>153000</v>
      </c>
      <c r="AB48" s="171">
        <v>7000</v>
      </c>
      <c r="AE48" s="170">
        <v>778211000</v>
      </c>
      <c r="AF48" s="170">
        <v>826000</v>
      </c>
      <c r="AG48" s="170">
        <v>5787000</v>
      </c>
    </row>
    <row r="49" spans="1:33" s="165" customFormat="1" x14ac:dyDescent="0.2">
      <c r="A49" s="175"/>
      <c r="B49" s="174">
        <v>6</v>
      </c>
      <c r="C49" s="167">
        <f t="shared" si="6"/>
        <v>694220044.12375426</v>
      </c>
      <c r="D49" s="171">
        <v>185000</v>
      </c>
      <c r="E49" s="171">
        <v>198486000</v>
      </c>
      <c r="F49" s="171">
        <v>224933000</v>
      </c>
      <c r="G49" s="171">
        <v>147511000</v>
      </c>
      <c r="H49" s="167">
        <f t="shared" si="7"/>
        <v>1625602.5573487617</v>
      </c>
      <c r="I49" s="171">
        <v>106728000</v>
      </c>
      <c r="J49" s="171">
        <v>706000</v>
      </c>
      <c r="K49" s="171">
        <v>7341000</v>
      </c>
      <c r="L49" s="171">
        <v>0</v>
      </c>
      <c r="M49" s="167">
        <f t="shared" si="8"/>
        <v>8218619.233420521</v>
      </c>
      <c r="N49" s="170">
        <v>39264000</v>
      </c>
      <c r="O49" s="170">
        <v>5152000</v>
      </c>
      <c r="P49" s="170">
        <v>392000</v>
      </c>
      <c r="Q49" s="170">
        <v>163726000</v>
      </c>
      <c r="R49" s="170">
        <v>22163000</v>
      </c>
      <c r="S49" s="170">
        <v>1612559000</v>
      </c>
      <c r="W49" s="171">
        <v>16206000</v>
      </c>
      <c r="X49" s="171">
        <v>2019000</v>
      </c>
      <c r="Y49" s="171">
        <v>9623000</v>
      </c>
      <c r="Z49" s="171">
        <v>1153000</v>
      </c>
      <c r="AA49" s="171">
        <v>146000</v>
      </c>
      <c r="AB49" s="171">
        <v>6000</v>
      </c>
      <c r="AE49" s="170">
        <v>687245000</v>
      </c>
      <c r="AF49" s="170">
        <v>1577000</v>
      </c>
      <c r="AG49" s="170">
        <v>7150000</v>
      </c>
    </row>
    <row r="50" spans="1:33" s="165" customFormat="1" x14ac:dyDescent="0.2">
      <c r="A50" s="175"/>
      <c r="B50" s="174">
        <v>7</v>
      </c>
      <c r="C50" s="167">
        <f t="shared" si="6"/>
        <v>694981696.68327725</v>
      </c>
      <c r="D50" s="171">
        <v>211000</v>
      </c>
      <c r="E50" s="171">
        <v>222113000</v>
      </c>
      <c r="F50" s="171">
        <v>249893000</v>
      </c>
      <c r="G50" s="171">
        <v>165093000</v>
      </c>
      <c r="H50" s="167">
        <f t="shared" si="7"/>
        <v>2974945.4537149817</v>
      </c>
      <c r="I50" s="171">
        <v>115110000</v>
      </c>
      <c r="J50" s="171">
        <v>740000</v>
      </c>
      <c r="K50" s="171">
        <v>6107000</v>
      </c>
      <c r="L50" s="171">
        <v>0</v>
      </c>
      <c r="M50" s="167">
        <f t="shared" si="8"/>
        <v>9668084.8073146846</v>
      </c>
      <c r="N50" s="170">
        <v>44951000</v>
      </c>
      <c r="O50" s="170">
        <v>5151000</v>
      </c>
      <c r="P50" s="170">
        <v>329000</v>
      </c>
      <c r="Q50" s="170">
        <v>168016000</v>
      </c>
      <c r="R50" s="170">
        <v>24539000</v>
      </c>
      <c r="S50" s="170">
        <v>1701549000</v>
      </c>
      <c r="W50" s="171">
        <v>17126000</v>
      </c>
      <c r="X50" s="171">
        <v>2154000</v>
      </c>
      <c r="Y50" s="171">
        <v>10695000</v>
      </c>
      <c r="Z50" s="171">
        <v>1568000</v>
      </c>
      <c r="AA50" s="171">
        <v>151000</v>
      </c>
      <c r="AB50" s="171">
        <v>7000</v>
      </c>
      <c r="AE50" s="170">
        <v>687999000</v>
      </c>
      <c r="AF50" s="170">
        <v>2886000</v>
      </c>
      <c r="AG50" s="170">
        <v>8411000</v>
      </c>
    </row>
    <row r="51" spans="1:33" s="165" customFormat="1" x14ac:dyDescent="0.2">
      <c r="A51" s="175"/>
      <c r="B51" s="174">
        <v>8</v>
      </c>
      <c r="C51" s="167">
        <f t="shared" si="6"/>
        <v>720324321.8998692</v>
      </c>
      <c r="D51" s="171">
        <v>230000</v>
      </c>
      <c r="E51" s="171">
        <v>227447000</v>
      </c>
      <c r="F51" s="171">
        <v>255269000</v>
      </c>
      <c r="G51" s="171">
        <v>169413000</v>
      </c>
      <c r="H51" s="167">
        <f t="shared" si="7"/>
        <v>4056275.246142915</v>
      </c>
      <c r="I51" s="171">
        <v>116996000</v>
      </c>
      <c r="J51" s="171">
        <v>1013000</v>
      </c>
      <c r="K51" s="171">
        <v>5163000</v>
      </c>
      <c r="L51" s="171">
        <v>0</v>
      </c>
      <c r="M51" s="167">
        <f t="shared" si="8"/>
        <v>8853119.6273852941</v>
      </c>
      <c r="N51" s="170">
        <v>44273000</v>
      </c>
      <c r="O51" s="170">
        <v>5156000</v>
      </c>
      <c r="P51" s="170">
        <v>310000</v>
      </c>
      <c r="Q51" s="170">
        <v>167380000</v>
      </c>
      <c r="R51" s="170">
        <v>23591000</v>
      </c>
      <c r="S51" s="170">
        <v>1740965000</v>
      </c>
      <c r="W51" s="171">
        <v>17488000</v>
      </c>
      <c r="X51" s="171">
        <v>2185000</v>
      </c>
      <c r="Y51" s="171">
        <v>11023000</v>
      </c>
      <c r="Z51" s="171">
        <v>1957000</v>
      </c>
      <c r="AA51" s="171">
        <v>155000</v>
      </c>
      <c r="AB51" s="171">
        <v>7000</v>
      </c>
      <c r="AE51" s="170">
        <v>713087000</v>
      </c>
      <c r="AF51" s="170">
        <v>3935000</v>
      </c>
      <c r="AG51" s="170">
        <v>7702000</v>
      </c>
    </row>
    <row r="52" spans="1:33" s="165" customFormat="1" x14ac:dyDescent="0.2">
      <c r="A52" s="175"/>
      <c r="B52" s="174">
        <v>9</v>
      </c>
      <c r="C52" s="167">
        <f t="shared" si="6"/>
        <v>680407262.82545722</v>
      </c>
      <c r="D52" s="171">
        <v>199000</v>
      </c>
      <c r="E52" s="171">
        <v>208668000</v>
      </c>
      <c r="F52" s="171">
        <v>235281000</v>
      </c>
      <c r="G52" s="171">
        <v>155205000</v>
      </c>
      <c r="H52" s="167">
        <f t="shared" si="7"/>
        <v>2939897.5862768982</v>
      </c>
      <c r="I52" s="171">
        <v>110532000</v>
      </c>
      <c r="J52" s="171">
        <v>816000</v>
      </c>
      <c r="K52" s="171">
        <v>6027000</v>
      </c>
      <c r="L52" s="171">
        <v>0</v>
      </c>
      <c r="M52" s="167">
        <f t="shared" si="8"/>
        <v>8028958.7895723544</v>
      </c>
      <c r="N52" s="170">
        <v>39539000</v>
      </c>
      <c r="O52" s="170">
        <v>5387000</v>
      </c>
      <c r="P52" s="170">
        <v>347000</v>
      </c>
      <c r="Q52" s="170">
        <v>159415000</v>
      </c>
      <c r="R52" s="170">
        <v>22928000</v>
      </c>
      <c r="S52" s="170">
        <v>1627752000</v>
      </c>
      <c r="W52" s="171">
        <v>16040000</v>
      </c>
      <c r="X52" s="171">
        <v>2047000</v>
      </c>
      <c r="Y52" s="171">
        <v>10112000</v>
      </c>
      <c r="Z52" s="171">
        <v>1409000</v>
      </c>
      <c r="AA52" s="171">
        <v>137000</v>
      </c>
      <c r="AB52" s="171">
        <v>6000</v>
      </c>
      <c r="AE52" s="170">
        <v>673571000</v>
      </c>
      <c r="AF52" s="170">
        <v>2852000</v>
      </c>
      <c r="AG52" s="170">
        <v>6985000</v>
      </c>
    </row>
    <row r="53" spans="1:33" s="165" customFormat="1" x14ac:dyDescent="0.2">
      <c r="A53" s="175"/>
      <c r="B53" s="174">
        <v>10</v>
      </c>
      <c r="C53" s="167">
        <f t="shared" si="6"/>
        <v>853894341.3171016</v>
      </c>
      <c r="D53" s="171">
        <v>174000</v>
      </c>
      <c r="E53" s="171">
        <v>204756000</v>
      </c>
      <c r="F53" s="171">
        <v>232315000</v>
      </c>
      <c r="G53" s="171">
        <v>151075000</v>
      </c>
      <c r="H53" s="167">
        <f t="shared" si="7"/>
        <v>1067929.1372310191</v>
      </c>
      <c r="I53" s="171">
        <v>108945000</v>
      </c>
      <c r="J53" s="171">
        <v>764000</v>
      </c>
      <c r="K53" s="171">
        <v>8003000</v>
      </c>
      <c r="L53" s="171">
        <v>0</v>
      </c>
      <c r="M53" s="167">
        <f t="shared" si="8"/>
        <v>7771480.3688330259</v>
      </c>
      <c r="N53" s="170">
        <v>41855000</v>
      </c>
      <c r="O53" s="170">
        <v>5128000</v>
      </c>
      <c r="P53" s="170">
        <v>545000</v>
      </c>
      <c r="Q53" s="170">
        <v>160377000</v>
      </c>
      <c r="R53" s="170">
        <v>23186000</v>
      </c>
      <c r="S53" s="170">
        <v>1790235000</v>
      </c>
      <c r="W53" s="171">
        <v>16470000</v>
      </c>
      <c r="X53" s="171">
        <v>2037000</v>
      </c>
      <c r="Y53" s="171">
        <v>10312000</v>
      </c>
      <c r="Z53" s="171">
        <v>1232000</v>
      </c>
      <c r="AA53" s="171">
        <v>150000</v>
      </c>
      <c r="AB53" s="171">
        <v>7000</v>
      </c>
      <c r="AE53" s="170">
        <v>845315000</v>
      </c>
      <c r="AF53" s="170">
        <v>1036000</v>
      </c>
      <c r="AG53" s="170">
        <v>6761000</v>
      </c>
    </row>
    <row r="54" spans="1:33" s="165" customFormat="1" x14ac:dyDescent="0.2">
      <c r="A54" s="175"/>
      <c r="B54" s="174">
        <v>11</v>
      </c>
      <c r="C54" s="167">
        <f t="shared" si="6"/>
        <v>1061669927.0772406</v>
      </c>
      <c r="D54" s="171">
        <v>195000</v>
      </c>
      <c r="E54" s="171">
        <v>217679000</v>
      </c>
      <c r="F54" s="171">
        <v>237316000</v>
      </c>
      <c r="G54" s="171">
        <v>148366000</v>
      </c>
      <c r="H54" s="167">
        <f t="shared" si="7"/>
        <v>318523.26583434839</v>
      </c>
      <c r="I54" s="171">
        <v>107282000</v>
      </c>
      <c r="J54" s="171">
        <v>257000</v>
      </c>
      <c r="K54" s="171">
        <v>10124000</v>
      </c>
      <c r="L54" s="171">
        <v>0</v>
      </c>
      <c r="M54" s="167">
        <f t="shared" si="8"/>
        <v>6362245.7981793815</v>
      </c>
      <c r="N54" s="170">
        <v>39569000</v>
      </c>
      <c r="O54" s="170">
        <v>5007000</v>
      </c>
      <c r="P54" s="170">
        <v>770000</v>
      </c>
      <c r="Q54" s="170">
        <v>160279000</v>
      </c>
      <c r="R54" s="170">
        <v>23315000</v>
      </c>
      <c r="S54" s="170">
        <v>2007006000</v>
      </c>
      <c r="W54" s="171">
        <v>18674000</v>
      </c>
      <c r="X54" s="171">
        <v>2161000</v>
      </c>
      <c r="Y54" s="171">
        <v>11559000</v>
      </c>
      <c r="Z54" s="171">
        <v>1302000</v>
      </c>
      <c r="AA54" s="171">
        <v>143000</v>
      </c>
      <c r="AB54" s="171">
        <v>7000</v>
      </c>
      <c r="AE54" s="170">
        <v>1051003000</v>
      </c>
      <c r="AF54" s="170">
        <v>309000</v>
      </c>
      <c r="AG54" s="170">
        <v>5535000</v>
      </c>
    </row>
    <row r="55" spans="1:33" s="165" customFormat="1" x14ac:dyDescent="0.2">
      <c r="A55" s="173"/>
      <c r="B55" s="172">
        <v>12</v>
      </c>
      <c r="C55" s="167">
        <f t="shared" si="6"/>
        <v>1256871174.5602696</v>
      </c>
      <c r="D55" s="171">
        <v>242000</v>
      </c>
      <c r="E55" s="171">
        <v>260851000</v>
      </c>
      <c r="F55" s="171">
        <v>270752000</v>
      </c>
      <c r="G55" s="171">
        <v>163498000</v>
      </c>
      <c r="H55" s="167">
        <f t="shared" si="7"/>
        <v>270074.74319935037</v>
      </c>
      <c r="I55" s="171">
        <v>116166000</v>
      </c>
      <c r="J55" s="171">
        <v>7000</v>
      </c>
      <c r="K55" s="171">
        <v>14140000</v>
      </c>
      <c r="L55" s="171">
        <v>0</v>
      </c>
      <c r="M55" s="167">
        <f t="shared" si="8"/>
        <v>6655357.3932174565</v>
      </c>
      <c r="N55" s="170">
        <v>42680000</v>
      </c>
      <c r="O55" s="170">
        <v>5073000</v>
      </c>
      <c r="P55" s="170">
        <v>969000</v>
      </c>
      <c r="Q55" s="170">
        <v>156798000</v>
      </c>
      <c r="R55" s="170">
        <v>24733000</v>
      </c>
      <c r="S55" s="170">
        <v>2306204000</v>
      </c>
      <c r="T55" s="166">
        <f>SUM(S44:S55)</f>
        <v>22791140000</v>
      </c>
      <c r="W55" s="171">
        <v>25205000</v>
      </c>
      <c r="X55" s="171">
        <v>2682000</v>
      </c>
      <c r="Y55" s="171">
        <v>14049000</v>
      </c>
      <c r="Z55" s="171">
        <v>1641000</v>
      </c>
      <c r="AA55" s="171">
        <v>157000</v>
      </c>
      <c r="AB55" s="171">
        <v>7000</v>
      </c>
      <c r="AE55" s="170">
        <v>1244243000</v>
      </c>
      <c r="AF55" s="170">
        <v>262000</v>
      </c>
      <c r="AG55" s="170">
        <v>5790000</v>
      </c>
    </row>
    <row r="56" spans="1:33" s="165" customFormat="1" x14ac:dyDescent="0.2">
      <c r="A56" s="176">
        <f>A44+1</f>
        <v>2025</v>
      </c>
      <c r="B56" s="176">
        <v>1</v>
      </c>
      <c r="C56" s="167"/>
      <c r="D56" s="171"/>
      <c r="E56" s="171"/>
      <c r="F56" s="171"/>
      <c r="G56" s="171"/>
      <c r="H56" s="167"/>
      <c r="I56" s="171"/>
      <c r="J56" s="171"/>
      <c r="K56" s="171"/>
      <c r="L56" s="171"/>
      <c r="M56" s="167"/>
      <c r="N56" s="171"/>
      <c r="O56" s="171"/>
      <c r="P56" s="171"/>
      <c r="Q56" s="171"/>
      <c r="R56" s="171"/>
      <c r="S56" s="171"/>
      <c r="V56" s="166"/>
      <c r="W56" s="171"/>
      <c r="X56" s="171"/>
      <c r="Y56" s="171"/>
      <c r="Z56" s="171"/>
      <c r="AA56" s="171"/>
      <c r="AB56" s="171"/>
      <c r="AE56" s="170"/>
      <c r="AF56" s="170"/>
      <c r="AG56" s="170"/>
    </row>
    <row r="57" spans="1:33" s="165" customFormat="1" x14ac:dyDescent="0.2">
      <c r="A57" s="175"/>
      <c r="B57" s="174">
        <v>2</v>
      </c>
      <c r="C57" s="167"/>
      <c r="D57" s="171"/>
      <c r="E57" s="171"/>
      <c r="F57" s="171"/>
      <c r="G57" s="171"/>
      <c r="H57" s="167"/>
      <c r="I57" s="171"/>
      <c r="J57" s="171"/>
      <c r="K57" s="171"/>
      <c r="L57" s="171"/>
      <c r="M57" s="167"/>
      <c r="N57" s="171"/>
      <c r="O57" s="171"/>
      <c r="P57" s="171"/>
      <c r="Q57" s="171"/>
      <c r="R57" s="171"/>
      <c r="S57" s="171"/>
      <c r="V57" s="166"/>
      <c r="W57" s="171"/>
      <c r="X57" s="171"/>
      <c r="Y57" s="171"/>
      <c r="Z57" s="171"/>
      <c r="AA57" s="171"/>
      <c r="AB57" s="171"/>
      <c r="AE57" s="170"/>
      <c r="AF57" s="170"/>
      <c r="AG57" s="170"/>
    </row>
    <row r="58" spans="1:33" s="165" customFormat="1" x14ac:dyDescent="0.2">
      <c r="A58" s="175"/>
      <c r="B58" s="174">
        <v>3</v>
      </c>
      <c r="C58" s="167"/>
      <c r="D58" s="171"/>
      <c r="E58" s="171"/>
      <c r="F58" s="171"/>
      <c r="G58" s="171"/>
      <c r="H58" s="167"/>
      <c r="I58" s="171"/>
      <c r="J58" s="171"/>
      <c r="K58" s="171"/>
      <c r="L58" s="171"/>
      <c r="M58" s="167"/>
      <c r="N58" s="171"/>
      <c r="O58" s="171"/>
      <c r="P58" s="171"/>
      <c r="Q58" s="171"/>
      <c r="R58" s="171"/>
      <c r="S58" s="171"/>
      <c r="V58" s="166"/>
      <c r="W58" s="171"/>
      <c r="X58" s="171"/>
      <c r="Y58" s="171"/>
      <c r="Z58" s="171"/>
      <c r="AA58" s="171"/>
      <c r="AB58" s="171"/>
      <c r="AE58" s="170"/>
      <c r="AF58" s="170"/>
      <c r="AG58" s="170"/>
    </row>
    <row r="59" spans="1:33" s="165" customFormat="1" x14ac:dyDescent="0.2">
      <c r="A59" s="175"/>
      <c r="B59" s="174">
        <v>4</v>
      </c>
      <c r="C59" s="167"/>
      <c r="D59" s="171"/>
      <c r="E59" s="171"/>
      <c r="F59" s="171"/>
      <c r="G59" s="171"/>
      <c r="H59" s="167"/>
      <c r="I59" s="171"/>
      <c r="J59" s="171"/>
      <c r="K59" s="171"/>
      <c r="L59" s="171"/>
      <c r="M59" s="167"/>
      <c r="N59" s="171"/>
      <c r="O59" s="171"/>
      <c r="P59" s="171"/>
      <c r="Q59" s="171"/>
      <c r="R59" s="171"/>
      <c r="S59" s="171"/>
      <c r="V59" s="166"/>
      <c r="W59" s="171"/>
      <c r="X59" s="171"/>
      <c r="Y59" s="171"/>
      <c r="Z59" s="171"/>
      <c r="AA59" s="171"/>
      <c r="AB59" s="171"/>
      <c r="AE59" s="170"/>
      <c r="AF59" s="170"/>
      <c r="AG59" s="170"/>
    </row>
    <row r="60" spans="1:33" s="165" customFormat="1" x14ac:dyDescent="0.2">
      <c r="A60" s="175"/>
      <c r="B60" s="174">
        <v>5</v>
      </c>
      <c r="C60" s="167"/>
      <c r="D60" s="171"/>
      <c r="E60" s="171"/>
      <c r="F60" s="171"/>
      <c r="G60" s="171"/>
      <c r="H60" s="167"/>
      <c r="I60" s="171"/>
      <c r="J60" s="171"/>
      <c r="K60" s="171"/>
      <c r="L60" s="171"/>
      <c r="M60" s="167"/>
      <c r="N60" s="171"/>
      <c r="O60" s="171"/>
      <c r="P60" s="171"/>
      <c r="Q60" s="171"/>
      <c r="R60" s="171"/>
      <c r="S60" s="171"/>
      <c r="V60" s="166"/>
      <c r="W60" s="171"/>
      <c r="X60" s="171"/>
      <c r="Y60" s="171"/>
      <c r="Z60" s="171"/>
      <c r="AA60" s="171"/>
      <c r="AB60" s="171"/>
      <c r="AE60" s="170"/>
      <c r="AF60" s="170"/>
      <c r="AG60" s="170"/>
    </row>
    <row r="61" spans="1:33" s="165" customFormat="1" x14ac:dyDescent="0.2">
      <c r="A61" s="175"/>
      <c r="B61" s="174">
        <v>6</v>
      </c>
      <c r="C61" s="167"/>
      <c r="D61" s="171"/>
      <c r="E61" s="171"/>
      <c r="F61" s="171"/>
      <c r="G61" s="171"/>
      <c r="H61" s="167"/>
      <c r="I61" s="171"/>
      <c r="J61" s="171"/>
      <c r="K61" s="171"/>
      <c r="L61" s="171"/>
      <c r="M61" s="167"/>
      <c r="N61" s="171"/>
      <c r="O61" s="171"/>
      <c r="P61" s="171"/>
      <c r="Q61" s="171"/>
      <c r="R61" s="171"/>
      <c r="S61" s="171"/>
      <c r="V61" s="166"/>
      <c r="W61" s="171"/>
      <c r="X61" s="171"/>
      <c r="Y61" s="171"/>
      <c r="Z61" s="171"/>
      <c r="AA61" s="171"/>
      <c r="AB61" s="171"/>
      <c r="AE61" s="170"/>
      <c r="AF61" s="170"/>
      <c r="AG61" s="170"/>
    </row>
    <row r="62" spans="1:33" s="165" customFormat="1" x14ac:dyDescent="0.2">
      <c r="A62" s="175"/>
      <c r="B62" s="174">
        <v>7</v>
      </c>
      <c r="C62" s="167"/>
      <c r="D62" s="171"/>
      <c r="E62" s="171"/>
      <c r="F62" s="171"/>
      <c r="G62" s="171"/>
      <c r="H62" s="167"/>
      <c r="I62" s="171"/>
      <c r="J62" s="171"/>
      <c r="K62" s="171"/>
      <c r="L62" s="171"/>
      <c r="M62" s="167"/>
      <c r="N62" s="171"/>
      <c r="O62" s="171"/>
      <c r="P62" s="171"/>
      <c r="Q62" s="171"/>
      <c r="R62" s="171"/>
      <c r="S62" s="171"/>
      <c r="V62" s="166"/>
      <c r="W62" s="171"/>
      <c r="X62" s="171"/>
      <c r="Y62" s="171"/>
      <c r="Z62" s="171"/>
      <c r="AA62" s="171"/>
      <c r="AB62" s="171"/>
      <c r="AE62" s="170"/>
      <c r="AF62" s="170"/>
      <c r="AG62" s="170"/>
    </row>
    <row r="63" spans="1:33" s="165" customFormat="1" x14ac:dyDescent="0.2">
      <c r="A63" s="175"/>
      <c r="B63" s="174">
        <v>8</v>
      </c>
      <c r="C63" s="167"/>
      <c r="D63" s="171"/>
      <c r="E63" s="171"/>
      <c r="F63" s="171"/>
      <c r="G63" s="171"/>
      <c r="H63" s="167"/>
      <c r="I63" s="171"/>
      <c r="J63" s="171"/>
      <c r="K63" s="171"/>
      <c r="L63" s="171"/>
      <c r="M63" s="167"/>
      <c r="N63" s="171"/>
      <c r="O63" s="171"/>
      <c r="P63" s="171"/>
      <c r="Q63" s="171"/>
      <c r="R63" s="171"/>
      <c r="S63" s="171"/>
      <c r="V63" s="166"/>
      <c r="W63" s="171"/>
      <c r="X63" s="171"/>
      <c r="Y63" s="171"/>
      <c r="Z63" s="171"/>
      <c r="AA63" s="171"/>
      <c r="AB63" s="171"/>
      <c r="AE63" s="170"/>
      <c r="AF63" s="170"/>
      <c r="AG63" s="170"/>
    </row>
    <row r="64" spans="1:33" s="165" customFormat="1" x14ac:dyDescent="0.2">
      <c r="A64" s="175"/>
      <c r="B64" s="174">
        <v>9</v>
      </c>
      <c r="C64" s="167"/>
      <c r="D64" s="171"/>
      <c r="E64" s="171"/>
      <c r="F64" s="171"/>
      <c r="G64" s="171"/>
      <c r="H64" s="167"/>
      <c r="I64" s="171"/>
      <c r="J64" s="171"/>
      <c r="K64" s="171"/>
      <c r="L64" s="171"/>
      <c r="M64" s="167"/>
      <c r="N64" s="171"/>
      <c r="O64" s="171"/>
      <c r="P64" s="171"/>
      <c r="Q64" s="171"/>
      <c r="R64" s="171"/>
      <c r="S64" s="171"/>
      <c r="V64" s="166"/>
      <c r="W64" s="171"/>
      <c r="X64" s="171"/>
      <c r="Y64" s="171"/>
      <c r="Z64" s="171"/>
      <c r="AA64" s="171"/>
      <c r="AB64" s="171"/>
      <c r="AE64" s="170"/>
      <c r="AF64" s="170"/>
      <c r="AG64" s="170"/>
    </row>
    <row r="65" spans="1:33" s="165" customFormat="1" x14ac:dyDescent="0.2">
      <c r="A65" s="175"/>
      <c r="B65" s="174">
        <v>10</v>
      </c>
      <c r="C65" s="167"/>
      <c r="D65" s="171"/>
      <c r="E65" s="171"/>
      <c r="F65" s="171"/>
      <c r="G65" s="171"/>
      <c r="H65" s="167"/>
      <c r="I65" s="171"/>
      <c r="J65" s="171"/>
      <c r="K65" s="171"/>
      <c r="L65" s="171"/>
      <c r="M65" s="167"/>
      <c r="N65" s="171"/>
      <c r="O65" s="171"/>
      <c r="P65" s="171"/>
      <c r="Q65" s="171"/>
      <c r="R65" s="171"/>
      <c r="S65" s="171"/>
      <c r="V65" s="166"/>
      <c r="W65" s="171"/>
      <c r="X65" s="171"/>
      <c r="Y65" s="171"/>
      <c r="Z65" s="171"/>
      <c r="AA65" s="171"/>
      <c r="AB65" s="171"/>
      <c r="AE65" s="170"/>
      <c r="AF65" s="170"/>
      <c r="AG65" s="170"/>
    </row>
    <row r="66" spans="1:33" s="165" customFormat="1" x14ac:dyDescent="0.2">
      <c r="A66" s="175"/>
      <c r="B66" s="174">
        <v>11</v>
      </c>
      <c r="C66" s="167"/>
      <c r="D66" s="171"/>
      <c r="E66" s="171"/>
      <c r="F66" s="171"/>
      <c r="G66" s="171"/>
      <c r="H66" s="167"/>
      <c r="I66" s="171"/>
      <c r="J66" s="171"/>
      <c r="K66" s="171"/>
      <c r="L66" s="171"/>
      <c r="M66" s="167"/>
      <c r="N66" s="171"/>
      <c r="O66" s="171"/>
      <c r="P66" s="171"/>
      <c r="Q66" s="171"/>
      <c r="R66" s="171"/>
      <c r="S66" s="171"/>
      <c r="V66" s="166"/>
      <c r="W66" s="171"/>
      <c r="X66" s="171"/>
      <c r="Y66" s="171"/>
      <c r="Z66" s="171"/>
      <c r="AA66" s="171"/>
      <c r="AB66" s="171"/>
      <c r="AE66" s="170"/>
      <c r="AF66" s="170"/>
      <c r="AG66" s="170"/>
    </row>
    <row r="67" spans="1:33" s="165" customFormat="1" x14ac:dyDescent="0.2">
      <c r="A67" s="173"/>
      <c r="B67" s="172">
        <v>12</v>
      </c>
      <c r="C67" s="167"/>
      <c r="D67" s="171"/>
      <c r="E67" s="171"/>
      <c r="F67" s="171"/>
      <c r="G67" s="171"/>
      <c r="H67" s="167"/>
      <c r="I67" s="171"/>
      <c r="J67" s="171"/>
      <c r="K67" s="171"/>
      <c r="L67" s="171"/>
      <c r="M67" s="167"/>
      <c r="N67" s="171"/>
      <c r="O67" s="171"/>
      <c r="P67" s="171"/>
      <c r="Q67" s="171"/>
      <c r="R67" s="171"/>
      <c r="S67" s="171"/>
      <c r="T67" s="166"/>
      <c r="V67" s="166"/>
      <c r="W67" s="171"/>
      <c r="X67" s="171"/>
      <c r="Y67" s="171"/>
      <c r="Z67" s="171"/>
      <c r="AA67" s="171"/>
      <c r="AB67" s="171"/>
      <c r="AE67" s="170"/>
      <c r="AF67" s="170"/>
      <c r="AG67" s="170"/>
    </row>
    <row r="68" spans="1:33" s="165" customFormat="1" x14ac:dyDescent="0.2"/>
    <row r="69" spans="1:33" s="165" customFormat="1" x14ac:dyDescent="0.2">
      <c r="A69" s="165" t="s">
        <v>208</v>
      </c>
      <c r="C69" s="166">
        <f t="shared" ref="C69:R69" si="9">SUM(C20:C31)</f>
        <v>10914828005.500002</v>
      </c>
      <c r="D69" s="166">
        <f t="shared" si="9"/>
        <v>2497000</v>
      </c>
      <c r="E69" s="166">
        <f t="shared" si="9"/>
        <v>2628117000</v>
      </c>
      <c r="F69" s="166">
        <f t="shared" si="9"/>
        <v>2834312000</v>
      </c>
      <c r="G69" s="166">
        <f t="shared" si="9"/>
        <v>1789712000</v>
      </c>
      <c r="H69" s="166">
        <f t="shared" si="9"/>
        <v>14856512.499999998</v>
      </c>
      <c r="I69" s="166">
        <f t="shared" si="9"/>
        <v>1318295000</v>
      </c>
      <c r="J69" s="166">
        <f t="shared" si="9"/>
        <v>4565000</v>
      </c>
      <c r="K69" s="166">
        <f t="shared" si="9"/>
        <v>114881000</v>
      </c>
      <c r="L69" s="166">
        <f t="shared" si="9"/>
        <v>0</v>
      </c>
      <c r="M69" s="166">
        <f t="shared" si="9"/>
        <v>89884025.499999985</v>
      </c>
      <c r="N69" s="166">
        <f t="shared" si="9"/>
        <v>504163000</v>
      </c>
      <c r="O69" s="166">
        <f t="shared" si="9"/>
        <v>64560000</v>
      </c>
      <c r="P69" s="166">
        <f t="shared" si="9"/>
        <v>7520000</v>
      </c>
      <c r="Q69" s="166">
        <f t="shared" si="9"/>
        <v>1900721000</v>
      </c>
      <c r="R69" s="166">
        <f t="shared" si="9"/>
        <v>289426000</v>
      </c>
      <c r="S69" s="166">
        <f>SUM(C69:R69)</f>
        <v>22478337543.5</v>
      </c>
      <c r="W69" s="166">
        <f t="shared" ref="W69:AB69" si="10">SUM(W20:W31)</f>
        <v>236237000</v>
      </c>
      <c r="X69" s="166">
        <f t="shared" si="10"/>
        <v>27050000</v>
      </c>
      <c r="Y69" s="166">
        <f t="shared" si="10"/>
        <v>133547000</v>
      </c>
      <c r="Z69" s="166">
        <f t="shared" si="10"/>
        <v>17001000</v>
      </c>
      <c r="AA69" s="166">
        <f t="shared" si="10"/>
        <v>1717000</v>
      </c>
      <c r="AB69" s="166">
        <f t="shared" si="10"/>
        <v>76000</v>
      </c>
    </row>
    <row r="70" spans="1:33" s="165" customFormat="1" x14ac:dyDescent="0.2">
      <c r="A70" s="165" t="s">
        <v>207</v>
      </c>
      <c r="C70" s="166">
        <f t="shared" ref="C70:R70" si="11">SUM(C32:C43)</f>
        <v>10963050375.500002</v>
      </c>
      <c r="D70" s="166">
        <f t="shared" si="11"/>
        <v>2497000</v>
      </c>
      <c r="E70" s="166">
        <f t="shared" si="11"/>
        <v>2697633000</v>
      </c>
      <c r="F70" s="166">
        <f t="shared" si="11"/>
        <v>2909202000</v>
      </c>
      <c r="G70" s="166">
        <f t="shared" si="11"/>
        <v>1831289000</v>
      </c>
      <c r="H70" s="166">
        <f t="shared" si="11"/>
        <v>15100966.5</v>
      </c>
      <c r="I70" s="166">
        <f t="shared" si="11"/>
        <v>1332008000</v>
      </c>
      <c r="J70" s="166">
        <f t="shared" si="11"/>
        <v>4663000</v>
      </c>
      <c r="K70" s="166">
        <f t="shared" si="11"/>
        <v>118190000</v>
      </c>
      <c r="L70" s="166">
        <f t="shared" si="11"/>
        <v>0</v>
      </c>
      <c r="M70" s="166">
        <f t="shared" si="11"/>
        <v>89530525.500000015</v>
      </c>
      <c r="N70" s="166">
        <f t="shared" si="11"/>
        <v>504715000</v>
      </c>
      <c r="O70" s="166">
        <f t="shared" si="11"/>
        <v>62703000</v>
      </c>
      <c r="P70" s="166">
        <f t="shared" si="11"/>
        <v>7521000</v>
      </c>
      <c r="Q70" s="166">
        <f t="shared" si="11"/>
        <v>1895530000</v>
      </c>
      <c r="R70" s="166">
        <f t="shared" si="11"/>
        <v>289426000</v>
      </c>
      <c r="S70" s="166">
        <f>SUM(C70:R70)</f>
        <v>22723058867.5</v>
      </c>
      <c r="W70" s="166">
        <f t="shared" ref="W70:AB70" si="12">SUM(W32:W43)</f>
        <v>240014000</v>
      </c>
      <c r="X70" s="166">
        <f t="shared" si="12"/>
        <v>27802000</v>
      </c>
      <c r="Y70" s="166">
        <f t="shared" si="12"/>
        <v>137220000</v>
      </c>
      <c r="Z70" s="166">
        <f t="shared" si="12"/>
        <v>17462000</v>
      </c>
      <c r="AA70" s="166">
        <f t="shared" si="12"/>
        <v>1763000</v>
      </c>
      <c r="AB70" s="166">
        <f t="shared" si="12"/>
        <v>80000</v>
      </c>
      <c r="AC70" s="166">
        <f>SUM(C70:D70,H70,J70:K70,W70:AB70)</f>
        <v>11527842342.000002</v>
      </c>
    </row>
    <row r="71" spans="1:33" s="165" customFormat="1" x14ac:dyDescent="0.2">
      <c r="A71" s="165" t="s">
        <v>206</v>
      </c>
      <c r="C71" s="166">
        <f t="shared" ref="C71:R71" si="13">SUM(C44:C55)</f>
        <v>11064440869.500002</v>
      </c>
      <c r="D71" s="166">
        <f t="shared" si="13"/>
        <v>2497000</v>
      </c>
      <c r="E71" s="166">
        <f t="shared" si="13"/>
        <v>2730372000</v>
      </c>
      <c r="F71" s="166">
        <f t="shared" si="13"/>
        <v>2945675000</v>
      </c>
      <c r="G71" s="166">
        <f t="shared" si="13"/>
        <v>1853862000</v>
      </c>
      <c r="H71" s="166">
        <f t="shared" si="13"/>
        <v>15233452.499999998</v>
      </c>
      <c r="I71" s="166">
        <f t="shared" si="13"/>
        <v>1335448000</v>
      </c>
      <c r="J71" s="166">
        <f t="shared" si="13"/>
        <v>4695000</v>
      </c>
      <c r="K71" s="166">
        <f t="shared" si="13"/>
        <v>119782000</v>
      </c>
      <c r="L71" s="166">
        <f t="shared" si="13"/>
        <v>0</v>
      </c>
      <c r="M71" s="166">
        <f t="shared" si="13"/>
        <v>89210525.500000015</v>
      </c>
      <c r="N71" s="166">
        <f t="shared" si="13"/>
        <v>499683000</v>
      </c>
      <c r="O71" s="166">
        <f t="shared" si="13"/>
        <v>61382000</v>
      </c>
      <c r="P71" s="166">
        <f t="shared" si="13"/>
        <v>7552000</v>
      </c>
      <c r="Q71" s="166">
        <f t="shared" si="13"/>
        <v>1895104000</v>
      </c>
      <c r="R71" s="166">
        <f t="shared" si="13"/>
        <v>289426000</v>
      </c>
      <c r="S71" s="166">
        <f>SUM(C71:R71)</f>
        <v>22914362847.5</v>
      </c>
      <c r="W71" s="166">
        <f t="shared" ref="W71:AB71" si="14">SUM(W44:W55)</f>
        <v>240161000</v>
      </c>
      <c r="X71" s="166">
        <f t="shared" si="14"/>
        <v>28137000</v>
      </c>
      <c r="Y71" s="166">
        <f t="shared" si="14"/>
        <v>138856000</v>
      </c>
      <c r="Z71" s="166">
        <f t="shared" si="14"/>
        <v>17666000</v>
      </c>
      <c r="AA71" s="166">
        <f t="shared" si="14"/>
        <v>1783000</v>
      </c>
      <c r="AB71" s="166">
        <f t="shared" si="14"/>
        <v>81000</v>
      </c>
      <c r="AC71" s="166">
        <f>SUM(C71:D71,H71,J71:K71,W71:AB71)</f>
        <v>11633332322.000002</v>
      </c>
    </row>
    <row r="72" spans="1:33" s="165" customFormat="1" x14ac:dyDescent="0.2">
      <c r="A72" s="165" t="s">
        <v>205</v>
      </c>
      <c r="C72" s="166">
        <f t="shared" ref="C72:R72" si="15">SUM(C56:C67)</f>
        <v>0</v>
      </c>
      <c r="D72" s="166">
        <f t="shared" si="15"/>
        <v>0</v>
      </c>
      <c r="E72" s="166">
        <f t="shared" si="15"/>
        <v>0</v>
      </c>
      <c r="F72" s="166">
        <f t="shared" si="15"/>
        <v>0</v>
      </c>
      <c r="G72" s="166">
        <f t="shared" si="15"/>
        <v>0</v>
      </c>
      <c r="H72" s="166">
        <f t="shared" si="15"/>
        <v>0</v>
      </c>
      <c r="I72" s="166">
        <f t="shared" si="15"/>
        <v>0</v>
      </c>
      <c r="J72" s="166">
        <f t="shared" si="15"/>
        <v>0</v>
      </c>
      <c r="K72" s="166">
        <f t="shared" si="15"/>
        <v>0</v>
      </c>
      <c r="L72" s="166">
        <f t="shared" si="15"/>
        <v>0</v>
      </c>
      <c r="M72" s="166">
        <f t="shared" si="15"/>
        <v>0</v>
      </c>
      <c r="N72" s="166">
        <f t="shared" si="15"/>
        <v>0</v>
      </c>
      <c r="O72" s="166">
        <f t="shared" si="15"/>
        <v>0</v>
      </c>
      <c r="P72" s="166">
        <f t="shared" si="15"/>
        <v>0</v>
      </c>
      <c r="Q72" s="166">
        <f t="shared" si="15"/>
        <v>0</v>
      </c>
      <c r="R72" s="166">
        <f t="shared" si="15"/>
        <v>0</v>
      </c>
      <c r="S72" s="166">
        <f>SUM(C72:R72)</f>
        <v>0</v>
      </c>
      <c r="W72" s="166">
        <f t="shared" ref="W72:AB72" si="16">SUM(W56:W67)</f>
        <v>0</v>
      </c>
      <c r="X72" s="166">
        <f t="shared" si="16"/>
        <v>0</v>
      </c>
      <c r="Y72" s="166">
        <f t="shared" si="16"/>
        <v>0</v>
      </c>
      <c r="Z72" s="166">
        <f t="shared" si="16"/>
        <v>0</v>
      </c>
      <c r="AA72" s="166">
        <f t="shared" si="16"/>
        <v>0</v>
      </c>
      <c r="AB72" s="166">
        <f t="shared" si="16"/>
        <v>0</v>
      </c>
      <c r="AC72" s="166">
        <f>SUM(C72:D72,H72,J72:K72,W72:AB72)</f>
        <v>0</v>
      </c>
    </row>
    <row r="73" spans="1:33" s="165" customFormat="1" x14ac:dyDescent="0.2"/>
    <row r="74" spans="1:33" s="165" customFormat="1" x14ac:dyDescent="0.2">
      <c r="A74" s="169" t="s">
        <v>209</v>
      </c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</row>
    <row r="75" spans="1:33" s="165" customFormat="1" x14ac:dyDescent="0.2">
      <c r="A75" s="168" t="s">
        <v>208</v>
      </c>
      <c r="B75" s="168"/>
      <c r="C75" s="167">
        <v>10914828005.5</v>
      </c>
      <c r="D75" s="167"/>
      <c r="E75" s="167"/>
      <c r="F75" s="167"/>
      <c r="G75" s="167"/>
      <c r="H75" s="167">
        <v>14856512.5</v>
      </c>
      <c r="I75" s="167"/>
      <c r="J75" s="167"/>
      <c r="K75" s="167"/>
      <c r="L75" s="167"/>
      <c r="M75" s="167">
        <v>89884025.5</v>
      </c>
      <c r="N75" s="166"/>
      <c r="O75" s="166"/>
      <c r="P75" s="166"/>
      <c r="Q75" s="166"/>
      <c r="R75" s="166"/>
      <c r="S75" s="166"/>
    </row>
    <row r="76" spans="1:33" s="165" customFormat="1" x14ac:dyDescent="0.2">
      <c r="A76" s="168" t="s">
        <v>207</v>
      </c>
      <c r="B76" s="168"/>
      <c r="C76" s="167">
        <v>10963050375.5</v>
      </c>
      <c r="D76" s="167"/>
      <c r="E76" s="167"/>
      <c r="F76" s="167"/>
      <c r="G76" s="167"/>
      <c r="H76" s="167">
        <v>15100966.5</v>
      </c>
      <c r="I76" s="167"/>
      <c r="J76" s="167"/>
      <c r="K76" s="167"/>
      <c r="L76" s="167"/>
      <c r="M76" s="167">
        <v>89530525.5</v>
      </c>
      <c r="N76" s="166"/>
      <c r="O76" s="166"/>
      <c r="P76" s="166"/>
      <c r="Q76" s="166"/>
      <c r="R76" s="166"/>
      <c r="S76" s="166"/>
    </row>
    <row r="77" spans="1:33" s="165" customFormat="1" x14ac:dyDescent="0.2">
      <c r="A77" s="168" t="s">
        <v>206</v>
      </c>
      <c r="B77" s="168"/>
      <c r="C77" s="167">
        <v>11064440869.5</v>
      </c>
      <c r="D77" s="167"/>
      <c r="E77" s="167"/>
      <c r="F77" s="167"/>
      <c r="G77" s="167"/>
      <c r="H77" s="167">
        <v>15233452.5</v>
      </c>
      <c r="I77" s="167"/>
      <c r="J77" s="167"/>
      <c r="K77" s="167"/>
      <c r="L77" s="167"/>
      <c r="M77" s="167">
        <v>89210525.5</v>
      </c>
      <c r="N77" s="166"/>
      <c r="O77" s="166"/>
      <c r="P77" s="166"/>
      <c r="Q77" s="166"/>
      <c r="R77" s="166"/>
      <c r="S77" s="166"/>
    </row>
    <row r="78" spans="1:33" s="165" customFormat="1" x14ac:dyDescent="0.2">
      <c r="A78" s="168" t="s">
        <v>205</v>
      </c>
      <c r="B78" s="168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6"/>
      <c r="O78" s="166"/>
      <c r="P78" s="166"/>
      <c r="Q78" s="166"/>
      <c r="R78" s="166"/>
      <c r="S78" s="166"/>
    </row>
    <row r="79" spans="1:33" s="165" customFormat="1" x14ac:dyDescent="0.2"/>
    <row r="80" spans="1:33" ht="13.8" x14ac:dyDescent="0.3">
      <c r="A80" s="164"/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C048BA1D9BF94C804C21AED61363EC" ma:contentTypeVersion="24" ma:contentTypeDescription="" ma:contentTypeScope="" ma:versionID="6016bdd6ac7c8f9eccea0bf8c23ee9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2023-04-20T07:00:00+00:00</OpenedDate>
    <SignificantOrder xmlns="dc463f71-b30c-4ab2-9473-d307f9d35888">false</SignificantOrder>
    <Date1 xmlns="dc463f71-b30c-4ab2-9473-d307f9d35888">2023-06-14T07:00:00+00:00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230277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36B558-C070-4AAA-B29F-5698512AA14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CA19570-6447-476F-8478-3A1BA11A2D17}"/>
</file>

<file path=customXml/itemProps3.xml><?xml version="1.0" encoding="utf-8"?>
<ds:datastoreItem xmlns:ds="http://schemas.openxmlformats.org/officeDocument/2006/customXml" ds:itemID="{5E9C233D-87F6-45BE-AE36-68EE27DC4DB9}"/>
</file>

<file path=customXml/itemProps4.xml><?xml version="1.0" encoding="utf-8"?>
<ds:datastoreItem xmlns:ds="http://schemas.openxmlformats.org/officeDocument/2006/customXml" ds:itemID="{5790859D-B591-4B20-B084-15C7A2E7DAD3}"/>
</file>

<file path=customXml/itemProps5.xml><?xml version="1.0" encoding="utf-8"?>
<ds:datastoreItem xmlns:ds="http://schemas.openxmlformats.org/officeDocument/2006/customXml" ds:itemID="{46B903AE-CA1B-48DA-8096-752CF5D88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Summary</vt:lpstr>
      <vt:lpstr>Residential Allowance (Sch 7)</vt:lpstr>
      <vt:lpstr>SV Allowance (Sch 24)</vt:lpstr>
      <vt:lpstr>SV Allowance (Sch 25)</vt:lpstr>
      <vt:lpstr>SV Allowance (Sch 26)</vt:lpstr>
      <vt:lpstr>PV Allowance (Sch 31)</vt:lpstr>
      <vt:lpstr>2022 GRC (UE-220066) --&gt;</vt:lpstr>
      <vt:lpstr>Exhibit SEF-4E</vt:lpstr>
      <vt:lpstr>Exhibit BDJ-3 F2021 kWh</vt:lpstr>
      <vt:lpstr>Exhibit BDJ-3 F2021 Customer</vt:lpstr>
      <vt:lpstr>Exhibit BDJ-5</vt:lpstr>
      <vt:lpstr>Exhibit BDJ-5 Res</vt:lpstr>
      <vt:lpstr>Exhibit BDJ-5 SV</vt:lpstr>
      <vt:lpstr>Exhibit BDJ-9, Page 2</vt:lpstr>
      <vt:lpstr>'Exhibit BDJ-5'!Print_Area</vt:lpstr>
      <vt:lpstr>'Exhibit BDJ-5 Res'!Print_Area</vt:lpstr>
      <vt:lpstr>'Exhibit BDJ-5 SV'!Print_Area</vt:lpstr>
      <vt:lpstr>'Exhibit BDJ-5'!Print_Titles</vt:lpstr>
      <vt:lpstr>'Exhibit BDJ-5 Res'!Print_Titles</vt:lpstr>
      <vt:lpstr>'Exhibit BDJ-5 SV'!Print_Titles</vt:lpstr>
    </vt:vector>
  </TitlesOfParts>
  <Company>PA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Heidell</dc:creator>
  <cp:lastModifiedBy>Cass, Mei</cp:lastModifiedBy>
  <cp:lastPrinted>2018-01-02T17:55:32Z</cp:lastPrinted>
  <dcterms:created xsi:type="dcterms:W3CDTF">2001-09-30T23:22:15Z</dcterms:created>
  <dcterms:modified xsi:type="dcterms:W3CDTF">2023-04-13T18:26:49Z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0x0101006E56B4D1795A2E4DB2F0B01679ED314A002EC048BA1D9BF94C804C21AED61363EC</vt:lpwstr>
  </property>
  <property fmtid="{D5CDD505-2E9C-101B-9397-08002B2CF9AE}" pid="3" name="_docset_NoMedatataSyncRequired">
    <vt:lpwstr>False</vt:lpwstr>
  </property>
</Properties>
</file>