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rport01fps01\public\Evan Burmester\WUTC\Wenatchee\"/>
    </mc:Choice>
  </mc:AlternateContent>
  <xr:revisionPtr revIDLastSave="0" documentId="13_ncr:1_{A2D52801-7D31-4943-ACE4-22A0A20EBEBA}" xr6:coauthVersionLast="47" xr6:coauthVersionMax="47" xr10:uidLastSave="{00000000-0000-0000-0000-000000000000}"/>
  <bookViews>
    <workbookView xWindow="28680" yWindow="-9435" windowWidth="51840" windowHeight="21240" activeTab="1" xr2:uid="{03BD61A0-D359-4E31-8375-7952E7AD43C1}"/>
  </bookViews>
  <sheets>
    <sheet name="References" sheetId="10" r:id="rId1"/>
    <sheet name="Price Ou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">#REF!</definedName>
    <definedName name="\S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ACT1">[2]Hidden!#REF!</definedName>
    <definedName name="______ACT2">[2]Hidden!#REF!</definedName>
    <definedName name="______ACT3">[2]Hidden!#REF!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ACT1">[2]Hidden!#REF!</definedName>
    <definedName name="_____ACT2">[2]Hidden!#REF!</definedName>
    <definedName name="_____ACT3">[2]Hidden!#REF!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ACT1">[2]Hidden!#REF!</definedName>
    <definedName name="____ACT2">[2]Hidden!#REF!</definedName>
    <definedName name="____ACT3">[2]Hidden!#REF!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ACT1">[2]Hidden!#REF!</definedName>
    <definedName name="___ACT2">[2]Hidden!#REF!</definedName>
    <definedName name="___ACT3">[2]Hidden!#REF!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ACT1">[3]Hidden!#REF!</definedName>
    <definedName name="__ACT2">[3]Hidden!#REF!</definedName>
    <definedName name="__ACT3">[3]Hidden!#REF!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[4]Hidden!$P$11</definedName>
    <definedName name="__LYA10">[4]Hidden!$G$11</definedName>
    <definedName name="__LYA11">[4]Hidden!$F$11</definedName>
    <definedName name="__LYA12">[1]Hidden!$O$11</definedName>
    <definedName name="__LYA2">[4]Hidden!$O$11</definedName>
    <definedName name="__LYA3">[4]Hidden!$N$11</definedName>
    <definedName name="__LYA4">[4]Hidden!$M$11</definedName>
    <definedName name="__LYA5">[4]Hidden!$L$11</definedName>
    <definedName name="__LYA6">[4]Hidden!$K$11</definedName>
    <definedName name="__LYA7">[4]Hidden!$J$11</definedName>
    <definedName name="__LYA8">[4]Hidden!$I$11</definedName>
    <definedName name="__LYA9">[4]Hidden!$H$11</definedName>
    <definedName name="_123Graph_g" hidden="1">'[5]#REF'!$F$9:$F$83</definedName>
    <definedName name="_132" hidden="1">[6]XXXXXX!$B$10:$B$10</definedName>
    <definedName name="_132Graph_h" hidden="1">#REF!</definedName>
    <definedName name="_ACT1">[7]Hidden!#REF!</definedName>
    <definedName name="_ACT2">[7]Hidden!#REF!</definedName>
    <definedName name="_ACT3">[7]Hidden!#REF!</definedName>
    <definedName name="_ACT4">[2]Hidden!#REF!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Key1" hidden="1">#REF!</definedName>
    <definedName name="_Key2" hidden="1">'[5]#REF'!$D$12</definedName>
    <definedName name="_key5" hidden="1">[6]XXXXXX!$H$10</definedName>
    <definedName name="_LYA1">[4]Hidden!$P$11</definedName>
    <definedName name="_LYA10">[4]Hidden!$G$11</definedName>
    <definedName name="_LYA11">[4]Hidden!$F$11</definedName>
    <definedName name="_LYA12">[1]Hidden!$O$11</definedName>
    <definedName name="_LYA2">[4]Hidden!$O$11</definedName>
    <definedName name="_LYA3">[4]Hidden!$N$11</definedName>
    <definedName name="_LYA4">[4]Hidden!$M$11</definedName>
    <definedName name="_LYA5">[4]Hidden!$L$11</definedName>
    <definedName name="_LYA6">[4]Hidden!$K$11</definedName>
    <definedName name="_LYA7">[4]Hidden!$J$11</definedName>
    <definedName name="_LYA8">[4]Hidden!$I$11</definedName>
    <definedName name="_LYA9">[4]Hidden!$H$11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hidden="1">#REF!</definedName>
    <definedName name="_Sort1" hidden="1">'[5]#REF'!$A$10:$Z$281</definedName>
    <definedName name="_sort3" hidden="1">[6]XXXXXX!$G$10:$J$11</definedName>
    <definedName name="a">#REF!</definedName>
    <definedName name="Accounts">#REF!</definedName>
    <definedName name="ACCT">[7]Hidden!#REF!</definedName>
    <definedName name="ACCT.ConsolSum">[1]Hidden!$Q$11</definedName>
    <definedName name="AcctName">'[8]2012 Act-Fcast P&amp;L'!#REF!</definedName>
    <definedName name="ACT_CUR">[7]Hidden!#REF!</definedName>
    <definedName name="ACT_YTD">[7]Hidden!#REF!</definedName>
    <definedName name="afsdfsdfsd">#REF!</definedName>
    <definedName name="AmountCount">#REF!</definedName>
    <definedName name="AmountCount1">#REF!</definedName>
    <definedName name="AmountFrom">#REF!</definedName>
    <definedName name="AmountTo">#REF!</definedName>
    <definedName name="AmountTotal">#REF!</definedName>
    <definedName name="AmountTotal1">#REF!</definedName>
    <definedName name="BaseMonthDate">[9]Settings!$I$15</definedName>
    <definedName name="BaseMonthDate2">[9]Settings!$I$16</definedName>
    <definedName name="BaseMonthDate3">[9]Settings!$I$17</definedName>
    <definedName name="BaseYear">#REF!</definedName>
    <definedName name="BookRev">'[10]Pacific Regulated - Price Out'!$F$50</definedName>
    <definedName name="BookRev_com">'[10]Pacific Regulated - Price Out'!$F$214</definedName>
    <definedName name="BookRev_mfr">'[10]Pacific Regulated - Price Out'!$F$222</definedName>
    <definedName name="BookRev_ro">'[10]Pacific Regulated - Price Out'!$F$282</definedName>
    <definedName name="BookRev_rr">'[10]Pacific Regulated - Price Out'!$F$59</definedName>
    <definedName name="BookRev_yw">'[10]Pacific Regulated - Price Out'!$F$70</definedName>
    <definedName name="BREMAIR_COST_of_SERVICE_STUDY">#REF!</definedName>
    <definedName name="BUD_CUR">[7]Hidden!#REF!</definedName>
    <definedName name="BUD_YTD">[7]Hidden!#REF!</definedName>
    <definedName name="BusUnitCode">[9]Settings!$I$3</definedName>
    <definedName name="BusUnitName">[9]Settings!$I$4</definedName>
    <definedName name="CalRecyTons">'[11]Recycl Tons, Commodity Value'!$L$23</definedName>
    <definedName name="CanCartTons">[12]CanCartTonsAllocate!$E$3</definedName>
    <definedName name="CheckTotals">#REF!</definedName>
    <definedName name="CoCanTons">[13]Cust_Count1!$M$28</definedName>
    <definedName name="CoComYd">'[13]Gross Yardage Worksheet'!$L$16</definedName>
    <definedName name="CoCustCnt">#REF!</definedName>
    <definedName name="colgroup">[1]Orientation!$G$6</definedName>
    <definedName name="colsegment">[1]Orientation!$F$6</definedName>
    <definedName name="Comments">[14]Main!$K$57:INDEX([14]Main!$K$57:$K$59,SUMPRODUCT(--([14]Main!$K$57:$K$59&lt;&gt;"")))</definedName>
    <definedName name="CommlStaffPriceOut">'[15]Price Out-Reg EASTSIDE-Resi'!#REF!</definedName>
    <definedName name="CoMultiYd">'[13]Gross Yardage Worksheet'!$L$31</definedName>
    <definedName name="ContainerTons">[12]ContainerTonsAllocation!$E$2</definedName>
    <definedName name="COST_OF_SERVICE_STUDY">#REF!</definedName>
    <definedName name="CoXtraYds">#REF!</definedName>
    <definedName name="CR">#REF!</definedName>
    <definedName name="CRCTable">#REF!</definedName>
    <definedName name="CRCTableOLD">#REF!</definedName>
    <definedName name="CriteriaType">[16]ControlPanel!$Z$2:$Z$5</definedName>
    <definedName name="CtyCanTons">[13]Cust_Count1!$N$28</definedName>
    <definedName name="CtyComYd">'[13]Gross Yardage Worksheet'!$L$49</definedName>
    <definedName name="CtyCustCnt">#REF!</definedName>
    <definedName name="CtyMultiYd">'[13]Gross Yardage Worksheet'!$L$64</definedName>
    <definedName name="CtyXtraYds">#REF!</definedName>
    <definedName name="Currency">[14]Main!$I$82</definedName>
    <definedName name="CurrentMonth">#REF!</definedName>
    <definedName name="Cutomers">#REF!</definedName>
    <definedName name="Data_End_Test">#REF!</definedName>
    <definedName name="Data_Start_Test">#REF!</definedName>
    <definedName name="_xlnm.Database">#REF!</definedName>
    <definedName name="Database1">#REF!</definedName>
    <definedName name="DateFrom">#REF!</definedName>
    <definedName name="DateRange">#REF!</definedName>
    <definedName name="DateTo">#REF!</definedName>
    <definedName name="DBxStaffPriceOut">'[15]Price Out-Reg EASTSIDE-Resi'!#REF!</definedName>
    <definedName name="debtP">#REF!</definedName>
    <definedName name="DEPT">[7]Hidden!#REF!</definedName>
    <definedName name="DetailBudYear">#REF!</definedName>
    <definedName name="DetailDistrict">#REF!</definedName>
    <definedName name="Dist">[17]Data!$E$3</definedName>
    <definedName name="District">'[18]Vashon BS'!#REF!</definedName>
    <definedName name="DistrictNum">#REF!</definedName>
    <definedName name="Districts">#REF!</definedName>
    <definedName name="DistrictSelection">[19]Summary!$C$6</definedName>
    <definedName name="dOG">#REF!</definedName>
    <definedName name="drlFilter">[1]Settings!$D$27</definedName>
    <definedName name="End">#REF!</definedName>
    <definedName name="EntrieShownLimit">#REF!</definedName>
    <definedName name="ExcludeIC">'[18]Vashon BS'!#REF!</definedName>
    <definedName name="ExpensesPF1">#REF!</definedName>
    <definedName name="EXT">#REF!</definedName>
    <definedName name="FBTable">#REF!</definedName>
    <definedName name="FBTableOld">#REF!</definedName>
    <definedName name="filter">[1]Settings!$B$14:$H$25</definedName>
    <definedName name="FromMonth">#REF!</definedName>
    <definedName name="FundsApprPend">[17]Data!#REF!</definedName>
    <definedName name="FundsBudUnbud">[17]Data!#REF!</definedName>
    <definedName name="GLMappingStart">#REF!</definedName>
    <definedName name="GLMappingStart1">#REF!</definedName>
    <definedName name="GRETABLE">[20]Gresham!$E$12:$AI$261</definedName>
    <definedName name="Import_Range">[17]Data!#REF!</definedName>
    <definedName name="IncomeStmnt">#REF!</definedName>
    <definedName name="INPUT">#REF!</definedName>
    <definedName name="INPUTc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>[17]Invoice_Drill!#REF!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>#REF!</definedName>
    <definedName name="JEDetail1">#REF!</definedName>
    <definedName name="JEType">#REF!</definedName>
    <definedName name="JEType1">#REF!</definedName>
    <definedName name="Juris1CanCount">[12]Cust_Count1!$C$60</definedName>
    <definedName name="Juris1CanTons">[12]Cust_Count1!$C$30</definedName>
    <definedName name="Juris1ComYd">'[12]Gross Yardage Worksheet'!$L$16</definedName>
    <definedName name="Juris1CustCnt">[12]Cust_Count2!$E$39</definedName>
    <definedName name="Juris1MultiYd">'[12]Gross Yardage Worksheet'!$X$16</definedName>
    <definedName name="Juris1SeasonalYds">'[12]Gross Yardage Worksheet'!$R$18</definedName>
    <definedName name="Juris1XtraYds">[12]Cust_Count2!$E$28</definedName>
    <definedName name="Juris2CanCount">[12]Cust_Count1!$D$60</definedName>
    <definedName name="Juris2CanTons">[12]Cust_Count1!$D$30</definedName>
    <definedName name="Juris2ComYd">'[12]Gross Yardage Worksheet'!$L$33</definedName>
    <definedName name="Juris2CustCnt">[12]Cust_Count2!$F$39</definedName>
    <definedName name="Juris2MultiYd">'[12]Gross Yardage Worksheet'!$X$33</definedName>
    <definedName name="Juris2SeasonalYds">'[12]Gross Yardage Worksheet'!$R$35</definedName>
    <definedName name="Juris2XtraYds">[12]Cust_Count2!$F$28</definedName>
    <definedName name="Juris3CanCount">[12]Cust_Count1!$E$60</definedName>
    <definedName name="Juris3CanTons">[12]Cust_Count1!$E$30</definedName>
    <definedName name="Juris3ComYd">'[12]Gross Yardage Worksheet'!$L$51</definedName>
    <definedName name="Juris3CustCnt">[12]Cust_Count2!$G$39</definedName>
    <definedName name="Juris3MultiYd">'[12]Gross Yardage Worksheet'!$X$51</definedName>
    <definedName name="Juris3SeasonalYds">'[12]Gross Yardage Worksheet'!$R$53</definedName>
    <definedName name="Juris3XtraYds">[12]Cust_Count2!$G$28</definedName>
    <definedName name="Juris4CanCount">[12]Cust_Count1!$F$60</definedName>
    <definedName name="Juris4CanTons">[12]Cust_Count1!$F$30</definedName>
    <definedName name="Juris4ComYd">'[12]Gross Yardage Worksheet'!$L$68</definedName>
    <definedName name="Juris4CustCnt">[12]Cust_Count2!$H$39</definedName>
    <definedName name="Juris4MultiYd">'[12]Gross Yardage Worksheet'!$X$68</definedName>
    <definedName name="Juris4SeasonalYds">'[12]Gross Yardage Worksheet'!$R$70</definedName>
    <definedName name="Juris4XtraYds">[12]Cust_Count2!$H$28</definedName>
    <definedName name="Juris5CanCount">[12]Cust_Count1!$G$60</definedName>
    <definedName name="Juris5CanTons">[12]Cust_Count1!$G$30</definedName>
    <definedName name="Juris5ComYD">'[12]Gross Yardage Worksheet'!$L$85</definedName>
    <definedName name="Juris5CustCnt">[12]Cust_Count2!$I$39</definedName>
    <definedName name="Juris5MultiYd">'[12]Gross Yardage Worksheet'!$X$85</definedName>
    <definedName name="Juris5SeasonalYds">'[12]Gross Yardage Worksheet'!$R$87</definedName>
    <definedName name="Juris5XtraYds">[12]Cust_Count2!$I$28</definedName>
    <definedName name="Jurisdiction_1">'[12]Title Inputs'!$C$5</definedName>
    <definedName name="Jurisdiction_2">'[12]Title Inputs'!$C$6</definedName>
    <definedName name="Jurisdiction_3">'[12]Title Inputs'!$C$7</definedName>
    <definedName name="Jurisdiction_4">'[12]Title Inputs'!$C$8</definedName>
    <definedName name="Jurisdiction_5">'[12]Title Inputs'!$C$9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LOB">[21]DropDownRanges!$B$4:$B$37</definedName>
    <definedName name="LU_Line">#REF!</definedName>
    <definedName name="MainDataEnd">#REF!</definedName>
    <definedName name="MainDataStart">#REF!</definedName>
    <definedName name="MapKeyStart">#REF!</definedName>
    <definedName name="master_def">#REF!</definedName>
    <definedName name="MATRIX">#REF!</definedName>
    <definedName name="MemoAttachment">#REF!</definedName>
    <definedName name="MetaSet">[1]Orientation!$C$22</definedName>
    <definedName name="MFStaffPriceOut">'[15]Price Out-Reg EASTSIDE-Resi'!#REF!</definedName>
    <definedName name="MILTON">#REF!</definedName>
    <definedName name="Month">#REF!</definedName>
    <definedName name="MonthList">'[17]Lookup Tables'!$A$1:$A$13</definedName>
    <definedName name="NarrThreshold_Doll">[9]Settings!$I$27</definedName>
    <definedName name="NarrThreshold_Perc">[9]Settings!$I$26</definedName>
    <definedName name="NewLob">[21]DropDownRanges!$B$4:$B$37</definedName>
    <definedName name="NewOnlyOrg">#N/A</definedName>
    <definedName name="NewSource">[21]DropDownRanges!$D$4:$D$7</definedName>
    <definedName name="nn">#REF!</definedName>
    <definedName name="NOTES">#REF!</definedName>
    <definedName name="NR">#REF!</definedName>
    <definedName name="OfficerSalary">#N/A</definedName>
    <definedName name="OffsetAcctBil">[22]JEexport!$L$10</definedName>
    <definedName name="OffsetAcctPmt">[22]JEexport!$L$9</definedName>
    <definedName name="Org11_13">#N/A</definedName>
    <definedName name="Org7_10">#N/A</definedName>
    <definedName name="OthCanTons">[13]Cust_Count1!$O$28</definedName>
    <definedName name="OthComYd">'[13]Gross Yardage Worksheet'!$L$82</definedName>
    <definedName name="OthCustCnt">#REF!</definedName>
    <definedName name="OthMultiYd">'[13]Gross Yardage Worksheet'!$L$98</definedName>
    <definedName name="OthXtraYds">#REF!</definedName>
    <definedName name="p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osting">#REF!</definedName>
    <definedName name="primtbl">[1]Orientation!$C$23</definedName>
    <definedName name="_xlnm.Print_Area">#REF!</definedName>
    <definedName name="Print_Area_MI">#REF!</definedName>
    <definedName name="Print_Area_MIc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'[10]Pacific Regulated - Price Out'!$M$49</definedName>
    <definedName name="ProRev_com">'[10]Pacific Regulated - Price Out'!$M$213</definedName>
    <definedName name="ProRev_mfr">'[10]Pacific Regulated - Price Out'!$M$221</definedName>
    <definedName name="ProRev_ro">'[10]Pacific Regulated - Price Out'!$M$281</definedName>
    <definedName name="ProRev_rr">'[10]Pacific Regulated - Price Out'!$M$58</definedName>
    <definedName name="ProRev_yw">'[10]Pacific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'[23]Consolidated IS 2009 2010'!$AK$20</definedName>
    <definedName name="Reg_Cust_Percent">'[23]Consolidated IS 2009 2010'!$AC$20</definedName>
    <definedName name="Reg_Drive_Percent">'[23]Consolidated IS 2009 2010'!$AC$40</definedName>
    <definedName name="Reg_Haul_Rev_Percent">'[23]Consolidated IS 2009 2010'!$Z$18</definedName>
    <definedName name="Reg_Lab_Percent">'[23]Consolidated IS 2009 2010'!$AC$39</definedName>
    <definedName name="Reg_Steel_Cont_Percent">'[23]Consolidated IS 2009 2010'!$AE$120</definedName>
    <definedName name="RegulatedIS">'[23]2009 IS'!$A$12:$Q$655</definedName>
    <definedName name="RelatedSalary">#N/A</definedName>
    <definedName name="report_type">[1]Orientation!$C$24</definedName>
    <definedName name="Reporting_Jurisdiction">'[12]Title Inputs'!$C$4</definedName>
    <definedName name="ReportNames">[24]ControlPanel!$S$2:$S$16</definedName>
    <definedName name="ReportVersion">[1]Settings!$D$5</definedName>
    <definedName name="ReslStaffPriceOut">'[15]Price Out-Reg EASTSIDE-Resi'!#REF!</definedName>
    <definedName name="RetainedEarnings">#REF!</definedName>
    <definedName name="RevCust">[25]RevenuesCust!#REF!</definedName>
    <definedName name="RevCustomer">#REF!</definedName>
    <definedName name="RevenuePF1">#REF!</definedName>
    <definedName name="rngBodyText">[4]Delivery!$B$15</definedName>
    <definedName name="RngBottomRight">[4]Delivery!$B$23</definedName>
    <definedName name="rngColDelChars">[4]Delivery!$B$26</definedName>
    <definedName name="rngColumnDelete">[4]Delivery!$B$26</definedName>
    <definedName name="rngCreateLog">[1]Delivery!$B$12</definedName>
    <definedName name="rngDeleteColumns">[4]Delivery!$A$29:$A$38</definedName>
    <definedName name="rngDeleteRows">[4]Delivery!$B$29:$B$38</definedName>
    <definedName name="rngEmail">[4]Delivery!$B$9</definedName>
    <definedName name="rngFileDir">[4]Delivery!$B$6</definedName>
    <definedName name="rngFileFormat">[4]Delivery!$B$4</definedName>
    <definedName name="rngFileName">[4]Delivery!$B$5</definedName>
    <definedName name="rngFilePassword">[1]Delivery!$B$6</definedName>
    <definedName name="rngPassword">[4]Delivery!$B$21</definedName>
    <definedName name="rngPasswordProtect">[4]Delivery!$B$20</definedName>
    <definedName name="rngPrint">[4]Delivery!$B$11</definedName>
    <definedName name="rngRetainFormulas">[4]Delivery!$B$19</definedName>
    <definedName name="rngSaveFile">[4]Delivery!$B$10</definedName>
    <definedName name="rngSourceTab">[1]Delivery!$E$8</definedName>
    <definedName name="rngSubjectLine">[4]Delivery!$B$14</definedName>
    <definedName name="rngTabName">[4]Delivery!$B$18</definedName>
    <definedName name="rngTopLeft">[4]Delivery!$B$22</definedName>
    <definedName name="rowgroup">[1]Orientation!$C$17</definedName>
    <definedName name="rowsegment">[1]Orientation!$B$17</definedName>
    <definedName name="RptEmailAddress">[4]Delivery!$D$4:$D$1005</definedName>
    <definedName name="rtr">'[26]Variance Report'!#REF!</definedName>
    <definedName name="Sbst">#REF!</definedName>
    <definedName name="seffasfasdfsd">[7]Hidden!#REF!</definedName>
    <definedName name="Sequential_Group">[1]Settings!$J$6</definedName>
    <definedName name="Sequential_Segment">[1]Settings!$I$6</definedName>
    <definedName name="Sequential_sort">[1]Settings!$I$10:$J$11</definedName>
    <definedName name="Setting_DeprFactor">[9]Settings!$F$5</definedName>
    <definedName name="Setting_LFDeplUnitAcct">[9]Settings!$F$4</definedName>
    <definedName name="Setting_LFUnitCost">[9]Settings!$F$3</definedName>
    <definedName name="Setting_LFUnitCostNY">[9]Settings!$F$7</definedName>
    <definedName name="Setting_LFUnitRow">[9]Settings!$C$3</definedName>
    <definedName name="SIC_Table">#REF!</definedName>
    <definedName name="slope">'[27]LG Nonpublic 2018 V5.0'!$X$58</definedName>
    <definedName name="sortcol">#REF!</definedName>
    <definedName name="Source">[21]DropDownRanges!$D$4:$D$7</definedName>
    <definedName name="SPWS_WBID">"115966228744984"</definedName>
    <definedName name="sSRCDate">'[28]Feb''12 FAR Data'!#REF!</definedName>
    <definedName name="SubSystem">#REF!</definedName>
    <definedName name="SubSystems">#REF!</definedName>
    <definedName name="Supplemental_filter">[1]Settings!$C$31</definedName>
    <definedName name="SWDisposal">#N/A</definedName>
    <definedName name="Syst">#REF!</definedName>
    <definedName name="System">[29]BS_Close!$V$8</definedName>
    <definedName name="Systems">#REF!</definedName>
    <definedName name="Table_SIC">#REF!</definedName>
    <definedName name="TargetMonths">[9]Settings!$I$18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Month">#REF!</definedName>
    <definedName name="Tons">#REF!</definedName>
    <definedName name="Total_Comm">'[11]Tariff Rate Sheet'!$L$214</definedName>
    <definedName name="Total_DB">'[11]Tariff Rate Sheet'!$L$278</definedName>
    <definedName name="Total_Resi">'[11]Tariff Rate Sheet'!$L$107</definedName>
    <definedName name="TotalYards">'[13]Gross Yardage Worksheet'!$N$101</definedName>
    <definedName name="TOTCONT">'[20]Sorted Master'!$K$9</definedName>
    <definedName name="TOTCRECCONT">'[20]Sorted Master'!$Z$9</definedName>
    <definedName name="TOTCRECCUST">'[30]Master IS (C)'!#REF!</definedName>
    <definedName name="TOTCRECDH">'[30]Master IS (C)'!#REF!</definedName>
    <definedName name="TOTCRECREV">'[30]Master IS (C)'!#REF!</definedName>
    <definedName name="TOTCRECTDEP">'[30]Master IS (C)'!#REF!</definedName>
    <definedName name="TOTCRECTH">'[20]Sorted Master'!$Z$8</definedName>
    <definedName name="TOTCRECTV">'[30]Master IS (C)'!#REF!</definedName>
    <definedName name="TOTCUST">'[30]Master IS (C)'!#REF!</definedName>
    <definedName name="TOTDBCONT">'[30]Master IS (C)'!#REF!</definedName>
    <definedName name="TOTDBCUST">'[30]Master IS (C)'!#REF!</definedName>
    <definedName name="TOTDBDH">'[30]Master IS (C)'!#REF!</definedName>
    <definedName name="TOTDBREV">'[30]Master IS (C)'!#REF!</definedName>
    <definedName name="TOTDBTDEP">'[30]Master IS (C)'!#REF!</definedName>
    <definedName name="TOTDBTH">'[30]Master IS (C)'!#REF!</definedName>
    <definedName name="TOTDBTV">'[30]Master IS (C)'!#REF!</definedName>
    <definedName name="TOTDEBCONT">'[30]Master IS (C)'!#REF!</definedName>
    <definedName name="TOTDEBCUST">'[30]Master IS (C)'!#REF!</definedName>
    <definedName name="TOTDEBDH">'[30]Master IS (C)'!#REF!</definedName>
    <definedName name="TOTDEBREV">'[30]Master IS (C)'!#REF!</definedName>
    <definedName name="TOTDEBTH">'[20]Sorted Master'!$AD$8</definedName>
    <definedName name="TOTDH">'[30]Master IS (C)'!#REF!</definedName>
    <definedName name="TOTFELCONT">'[30]Master IS (C)'!#REF!</definedName>
    <definedName name="TOTFELCUST">'[30]Master IS (C)'!#REF!</definedName>
    <definedName name="TOTFELDH">'[30]Master IS (C)'!#REF!</definedName>
    <definedName name="TOTFELREV">'[30]Master IS (C)'!#REF!</definedName>
    <definedName name="TOTFELTDEP">'[30]Master IS (C)'!#REF!</definedName>
    <definedName name="TOTFELTH">'[30]Master IS (C)'!#REF!</definedName>
    <definedName name="TOTFELTV">'[30]Master IS (C)'!#REF!</definedName>
    <definedName name="TOTRESCONT">'[30]Master IS (C)'!#REF!</definedName>
    <definedName name="TOTRESCUST">'[30]Master IS (C)'!#REF!</definedName>
    <definedName name="TOTRESDH">'[30]Master IS (C)'!#REF!</definedName>
    <definedName name="TOTRESRCONT">'[30]Master IS (C)'!#REF!</definedName>
    <definedName name="TOTRESRCUST">'[30]Master IS (C)'!#REF!</definedName>
    <definedName name="TOTRESRDH">'[30]Master IS (C)'!#REF!</definedName>
    <definedName name="TOTRESREV">'[30]Master IS (C)'!#REF!</definedName>
    <definedName name="TOTRESRREV">'[30]Master IS (C)'!#REF!</definedName>
    <definedName name="TOTRESRTDEP">'[30]Master IS (C)'!#REF!</definedName>
    <definedName name="TOTRESRTH">'[30]Master IS (C)'!#REF!</definedName>
    <definedName name="TOTRESRTV">'[30]Master IS (C)'!#REF!</definedName>
    <definedName name="TOTRESTDEP">'[30]Master IS (C)'!#REF!</definedName>
    <definedName name="TOTRESTH">'[30]Master IS (C)'!#REF!</definedName>
    <definedName name="TOTRESTV">'[30]Master IS (C)'!#REF!</definedName>
    <definedName name="TOTREV">'[30]Master IS (C)'!#REF!</definedName>
    <definedName name="TOTTDEP">'[30]Master IS (C)'!#REF!</definedName>
    <definedName name="TOTTH">'[30]Master IS (C)'!#REF!</definedName>
    <definedName name="TOTTV">'[30]Master IS (C)'!#REF!</definedName>
    <definedName name="Transactions">#REF!</definedName>
    <definedName name="UnformattedIS">#REF!</definedName>
    <definedName name="UnregulatedIS">'[23]2010 IS'!$A$12:$Q$654</definedName>
    <definedName name="ValidFormats">[4]Delivery!$AA$4:$AA$10</definedName>
    <definedName name="VendorCode">#REF!</definedName>
    <definedName name="Version">[17]Data!#REF!</definedName>
    <definedName name="WksInYr">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>#REF!</definedName>
    <definedName name="WTableOld">#REF!</definedName>
    <definedName name="ww">#REF!</definedName>
    <definedName name="xperiod">[1]Orientation!$G$15</definedName>
    <definedName name="xtabin">[7]Hidden!#REF!</definedName>
    <definedName name="xx">#REF!</definedName>
    <definedName name="xxx">#REF!</definedName>
    <definedName name="xxxx">#REF!</definedName>
    <definedName name="y_inter1">'[27]LG Nonpublic 2018 V5.0'!$W$55</definedName>
    <definedName name="y_inter2">'[27]LG Nonpublic 2018 V5.0'!$W$56</definedName>
    <definedName name="y_inter3">'[27]LG Nonpublic 2018 V5.0'!$Y$55</definedName>
    <definedName name="y_inter4">'[27]LG Nonpublic 2018 V5.0'!$Y$56</definedName>
    <definedName name="Year">'[31]Aug Av. Fuel Price'!$E$15</definedName>
    <definedName name="Year_of_Review">'[12]Title Inputs'!$C$3</definedName>
    <definedName name="YearMonth">'[18]Vashon BS'!#REF!</definedName>
    <definedName name="YearMonthDate">[9]Settings!$I$10</definedName>
    <definedName name="YearMonthDate2">[9]Settings!$I$11</definedName>
    <definedName name="YearMonthDate3">[9]Settings!$I$12</definedName>
    <definedName name="YearMonthDate4">[9]Settings!$I$13</definedName>
    <definedName name="YearMonthDate5">[9]Settings!$I$14</definedName>
    <definedName name="YWMedWasteDisp">#N/A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1" l="1"/>
  <c r="E102" i="1"/>
  <c r="F102" i="1" s="1"/>
  <c r="E11" i="1"/>
  <c r="F11" i="1" s="1"/>
  <c r="O11" i="1"/>
  <c r="G11" i="1"/>
  <c r="C56" i="10"/>
  <c r="C50" i="10"/>
  <c r="H102" i="1" l="1"/>
  <c r="I102" i="1" s="1"/>
  <c r="J102" i="1" s="1"/>
  <c r="K102" i="1" s="1"/>
  <c r="L102" i="1" s="1"/>
  <c r="H11" i="1"/>
  <c r="G101" i="1"/>
  <c r="E101" i="1"/>
  <c r="F101" i="1" s="1"/>
  <c r="G103" i="1"/>
  <c r="E103" i="1"/>
  <c r="F103" i="1" s="1"/>
  <c r="H103" i="1" s="1"/>
  <c r="G91" i="1"/>
  <c r="E91" i="1"/>
  <c r="F91" i="1" s="1"/>
  <c r="G118" i="1"/>
  <c r="G111" i="1"/>
  <c r="F118" i="1"/>
  <c r="F111" i="1"/>
  <c r="G120" i="1"/>
  <c r="G121" i="1"/>
  <c r="G119" i="1"/>
  <c r="G116" i="1"/>
  <c r="G117" i="1"/>
  <c r="G115" i="1"/>
  <c r="G110" i="1"/>
  <c r="G114" i="1"/>
  <c r="G113" i="1"/>
  <c r="G112" i="1"/>
  <c r="G109" i="1"/>
  <c r="G108" i="1"/>
  <c r="G107" i="1"/>
  <c r="G106" i="1"/>
  <c r="G105" i="1"/>
  <c r="F121" i="1"/>
  <c r="F120" i="1"/>
  <c r="F119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G90" i="1"/>
  <c r="E90" i="1"/>
  <c r="F90" i="1" s="1"/>
  <c r="O3" i="1"/>
  <c r="O4" i="1"/>
  <c r="O5" i="1"/>
  <c r="O6" i="1"/>
  <c r="O7" i="1"/>
  <c r="O8" i="1"/>
  <c r="O9" i="1"/>
  <c r="O10" i="1"/>
  <c r="O12" i="1"/>
  <c r="O13" i="1"/>
  <c r="O14" i="1"/>
  <c r="O15" i="1"/>
  <c r="O16" i="1"/>
  <c r="O17" i="1"/>
  <c r="O18" i="1"/>
  <c r="O19" i="1"/>
  <c r="O20" i="1"/>
  <c r="F31" i="1"/>
  <c r="O31" i="1" s="1"/>
  <c r="G104" i="1"/>
  <c r="F104" i="1"/>
  <c r="F43" i="1"/>
  <c r="E35" i="1"/>
  <c r="F35" i="1" s="1"/>
  <c r="F41" i="1"/>
  <c r="O41" i="1" s="1"/>
  <c r="F46" i="1"/>
  <c r="O46" i="1" s="1"/>
  <c r="F49" i="1"/>
  <c r="O49" i="1" s="1"/>
  <c r="F50" i="1"/>
  <c r="O50" i="1" s="1"/>
  <c r="F53" i="1"/>
  <c r="O53" i="1" s="1"/>
  <c r="F54" i="1"/>
  <c r="F62" i="1"/>
  <c r="F65" i="1"/>
  <c r="O65" i="1" s="1"/>
  <c r="F66" i="1"/>
  <c r="O66" i="1" s="1"/>
  <c r="F69" i="1"/>
  <c r="O69" i="1" s="1"/>
  <c r="F70" i="1"/>
  <c r="F24" i="1"/>
  <c r="F28" i="1"/>
  <c r="F32" i="1"/>
  <c r="F33" i="1"/>
  <c r="O33" i="1" s="1"/>
  <c r="F29" i="1"/>
  <c r="O29" i="1" s="1"/>
  <c r="F30" i="1"/>
  <c r="D74" i="1"/>
  <c r="G100" i="1"/>
  <c r="G99" i="1"/>
  <c r="G98" i="1"/>
  <c r="G97" i="1"/>
  <c r="G96" i="1"/>
  <c r="G73" i="1"/>
  <c r="G95" i="1"/>
  <c r="G94" i="1"/>
  <c r="G93" i="1"/>
  <c r="G92" i="1"/>
  <c r="G89" i="1"/>
  <c r="G88" i="1"/>
  <c r="G87" i="1"/>
  <c r="G86" i="1"/>
  <c r="G85" i="1"/>
  <c r="G84" i="1"/>
  <c r="G67" i="1"/>
  <c r="G68" i="1"/>
  <c r="G69" i="1"/>
  <c r="G70" i="1"/>
  <c r="G71" i="1"/>
  <c r="G72" i="1"/>
  <c r="G66" i="1"/>
  <c r="G59" i="1"/>
  <c r="G60" i="1"/>
  <c r="G61" i="1"/>
  <c r="G62" i="1"/>
  <c r="G63" i="1"/>
  <c r="G64" i="1"/>
  <c r="G65" i="1"/>
  <c r="G58" i="1"/>
  <c r="G51" i="1"/>
  <c r="G52" i="1"/>
  <c r="G53" i="1"/>
  <c r="G54" i="1"/>
  <c r="G55" i="1"/>
  <c r="G56" i="1"/>
  <c r="G57" i="1"/>
  <c r="G50" i="1"/>
  <c r="G45" i="1"/>
  <c r="G46" i="1"/>
  <c r="G47" i="1"/>
  <c r="G48" i="1"/>
  <c r="G49" i="1"/>
  <c r="G44" i="1"/>
  <c r="G40" i="1"/>
  <c r="G41" i="1"/>
  <c r="G42" i="1"/>
  <c r="G43" i="1"/>
  <c r="G39" i="1"/>
  <c r="G36" i="1"/>
  <c r="G37" i="1"/>
  <c r="G38" i="1"/>
  <c r="G35" i="1"/>
  <c r="G33" i="1"/>
  <c r="G34" i="1"/>
  <c r="G28" i="1"/>
  <c r="G29" i="1"/>
  <c r="G30" i="1"/>
  <c r="G31" i="1"/>
  <c r="G32" i="1"/>
  <c r="G27" i="1"/>
  <c r="G26" i="1"/>
  <c r="G25" i="1"/>
  <c r="G24" i="1"/>
  <c r="G23" i="1"/>
  <c r="G20" i="1"/>
  <c r="G19" i="1"/>
  <c r="G18" i="1"/>
  <c r="G17" i="1"/>
  <c r="G16" i="1"/>
  <c r="G15" i="1"/>
  <c r="G13" i="1"/>
  <c r="G14" i="1"/>
  <c r="G12" i="1"/>
  <c r="G8" i="1"/>
  <c r="G9" i="1"/>
  <c r="G10" i="1"/>
  <c r="G7" i="1"/>
  <c r="G6" i="1"/>
  <c r="G5" i="1"/>
  <c r="G4" i="1"/>
  <c r="G3" i="1"/>
  <c r="G2" i="1"/>
  <c r="E72" i="1"/>
  <c r="F72" i="1" s="1"/>
  <c r="O72" i="1" s="1"/>
  <c r="F71" i="1"/>
  <c r="E64" i="1"/>
  <c r="F64" i="1" s="1"/>
  <c r="O64" i="1" s="1"/>
  <c r="E58" i="1"/>
  <c r="F58" i="1" s="1"/>
  <c r="O58" i="1" s="1"/>
  <c r="E57" i="1"/>
  <c r="F57" i="1" s="1"/>
  <c r="O57" i="1" s="1"/>
  <c r="E51" i="1"/>
  <c r="F51" i="1" s="1"/>
  <c r="O51" i="1" s="1"/>
  <c r="E44" i="1"/>
  <c r="F44" i="1" s="1"/>
  <c r="O44" i="1" s="1"/>
  <c r="F47" i="1"/>
  <c r="O47" i="1" s="1"/>
  <c r="F48" i="1"/>
  <c r="O48" i="1" s="1"/>
  <c r="F55" i="1"/>
  <c r="F56" i="1"/>
  <c r="O56" i="1" s="1"/>
  <c r="F60" i="1"/>
  <c r="O60" i="1" s="1"/>
  <c r="F61" i="1"/>
  <c r="O61" i="1" s="1"/>
  <c r="F63" i="1"/>
  <c r="O63" i="1" s="1"/>
  <c r="F68" i="1"/>
  <c r="O68" i="1" s="1"/>
  <c r="E39" i="1"/>
  <c r="F39" i="1" s="1"/>
  <c r="O39" i="1" s="1"/>
  <c r="E38" i="1"/>
  <c r="F38" i="1" s="1"/>
  <c r="F42" i="1"/>
  <c r="O42" i="1" s="1"/>
  <c r="E7" i="1"/>
  <c r="C79" i="10"/>
  <c r="D64" i="10"/>
  <c r="D77" i="1" s="1"/>
  <c r="B55" i="10"/>
  <c r="C62" i="10" s="1"/>
  <c r="C54" i="10"/>
  <c r="C53" i="10"/>
  <c r="B49" i="10"/>
  <c r="B62" i="10" s="1"/>
  <c r="G48" i="10"/>
  <c r="C48" i="10"/>
  <c r="G47" i="10"/>
  <c r="G50" i="10" s="1"/>
  <c r="G53" i="10" s="1"/>
  <c r="C47" i="10"/>
  <c r="B9" i="10"/>
  <c r="F9" i="10" s="1"/>
  <c r="B8" i="10"/>
  <c r="E8" i="10" s="1"/>
  <c r="B7" i="10"/>
  <c r="H7" i="10" s="1"/>
  <c r="B6" i="10"/>
  <c r="G6" i="10" s="1"/>
  <c r="B5" i="10"/>
  <c r="F5" i="10" s="1"/>
  <c r="B4" i="10"/>
  <c r="E4" i="10" s="1"/>
  <c r="B3" i="10"/>
  <c r="H3" i="10" s="1"/>
  <c r="O102" i="1" l="1"/>
  <c r="N102" i="1"/>
  <c r="H107" i="1"/>
  <c r="H115" i="1"/>
  <c r="H91" i="1"/>
  <c r="C49" i="10"/>
  <c r="C51" i="10" s="1"/>
  <c r="H101" i="1"/>
  <c r="H118" i="1"/>
  <c r="H112" i="1"/>
  <c r="H90" i="1"/>
  <c r="H105" i="1"/>
  <c r="H111" i="1"/>
  <c r="H109" i="1"/>
  <c r="H116" i="1"/>
  <c r="H121" i="1"/>
  <c r="H113" i="1"/>
  <c r="H114" i="1"/>
  <c r="H106" i="1"/>
  <c r="H110" i="1"/>
  <c r="H119" i="1"/>
  <c r="H120" i="1"/>
  <c r="H117" i="1"/>
  <c r="H108" i="1"/>
  <c r="E92" i="1"/>
  <c r="E10" i="1"/>
  <c r="F10" i="1" s="1"/>
  <c r="H10" i="1" s="1"/>
  <c r="H6" i="10"/>
  <c r="E16" i="1"/>
  <c r="F16" i="1" s="1"/>
  <c r="H16" i="1" s="1"/>
  <c r="E73" i="1"/>
  <c r="F73" i="1" s="1"/>
  <c r="O73" i="1" s="1"/>
  <c r="E19" i="1"/>
  <c r="F19" i="1" s="1"/>
  <c r="H19" i="1" s="1"/>
  <c r="E3" i="10"/>
  <c r="E7" i="10"/>
  <c r="E67" i="1"/>
  <c r="F67" i="1" s="1"/>
  <c r="O67" i="1" s="1"/>
  <c r="E45" i="1"/>
  <c r="F45" i="1" s="1"/>
  <c r="O45" i="1" s="1"/>
  <c r="E84" i="1"/>
  <c r="E27" i="1"/>
  <c r="F27" i="1" s="1"/>
  <c r="O27" i="1" s="1"/>
  <c r="G5" i="10"/>
  <c r="E94" i="1"/>
  <c r="E40" i="1"/>
  <c r="F40" i="1" s="1"/>
  <c r="O40" i="1" s="1"/>
  <c r="E87" i="1"/>
  <c r="E23" i="1"/>
  <c r="F23" i="1" s="1"/>
  <c r="O23" i="1" s="1"/>
  <c r="E37" i="1"/>
  <c r="F37" i="1" s="1"/>
  <c r="O37" i="1" s="1"/>
  <c r="C5" i="10"/>
  <c r="C9" i="10"/>
  <c r="C55" i="10"/>
  <c r="C57" i="10" s="1"/>
  <c r="E3" i="1"/>
  <c r="E36" i="1"/>
  <c r="F36" i="1" s="1"/>
  <c r="O36" i="1" s="1"/>
  <c r="E93" i="1"/>
  <c r="E95" i="1"/>
  <c r="D9" i="10"/>
  <c r="E2" i="1"/>
  <c r="E98" i="1"/>
  <c r="E8" i="1"/>
  <c r="F8" i="1" s="1"/>
  <c r="H8" i="1" s="1"/>
  <c r="E17" i="1"/>
  <c r="F17" i="1" s="1"/>
  <c r="H17" i="1" s="1"/>
  <c r="E34" i="1"/>
  <c r="F34" i="1" s="1"/>
  <c r="H34" i="1" s="1"/>
  <c r="E85" i="1"/>
  <c r="E100" i="1"/>
  <c r="F100" i="1" s="1"/>
  <c r="E26" i="1"/>
  <c r="F26" i="1" s="1"/>
  <c r="H26" i="1" s="1"/>
  <c r="E9" i="1"/>
  <c r="F9" i="1" s="1"/>
  <c r="H9" i="1" s="1"/>
  <c r="E18" i="1"/>
  <c r="F18" i="1" s="1"/>
  <c r="H18" i="1" s="1"/>
  <c r="H38" i="1"/>
  <c r="E59" i="1"/>
  <c r="F59" i="1" s="1"/>
  <c r="O59" i="1" s="1"/>
  <c r="E52" i="1"/>
  <c r="F52" i="1" s="1"/>
  <c r="O52" i="1" s="1"/>
  <c r="E86" i="1"/>
  <c r="E99" i="1"/>
  <c r="E25" i="1"/>
  <c r="F25" i="1" s="1"/>
  <c r="O25" i="1" s="1"/>
  <c r="E12" i="1"/>
  <c r="F12" i="1" s="1"/>
  <c r="H12" i="1" s="1"/>
  <c r="E20" i="1"/>
  <c r="F20" i="1" s="1"/>
  <c r="H20" i="1" s="1"/>
  <c r="E88" i="1"/>
  <c r="E97" i="1"/>
  <c r="D6" i="10"/>
  <c r="G9" i="10"/>
  <c r="E4" i="1"/>
  <c r="E13" i="1"/>
  <c r="F13" i="1" s="1"/>
  <c r="H13" i="1" s="1"/>
  <c r="E89" i="1"/>
  <c r="E96" i="1"/>
  <c r="E5" i="1"/>
  <c r="E14" i="1"/>
  <c r="F14" i="1" s="1"/>
  <c r="H14" i="1" s="1"/>
  <c r="E6" i="1"/>
  <c r="E15" i="1"/>
  <c r="F15" i="1" s="1"/>
  <c r="H15" i="1" s="1"/>
  <c r="H62" i="1"/>
  <c r="H44" i="1"/>
  <c r="H56" i="1"/>
  <c r="H54" i="1"/>
  <c r="H70" i="1"/>
  <c r="H69" i="1"/>
  <c r="H65" i="1"/>
  <c r="H53" i="1"/>
  <c r="H41" i="1"/>
  <c r="H64" i="1"/>
  <c r="H60" i="1"/>
  <c r="H42" i="1"/>
  <c r="H51" i="1"/>
  <c r="H63" i="1"/>
  <c r="O71" i="1"/>
  <c r="H71" i="1"/>
  <c r="H48" i="1"/>
  <c r="H67" i="1"/>
  <c r="O55" i="1"/>
  <c r="H55" i="1"/>
  <c r="H39" i="1"/>
  <c r="H47" i="1"/>
  <c r="H61" i="1"/>
  <c r="H72" i="1"/>
  <c r="H68" i="1"/>
  <c r="H104" i="1"/>
  <c r="H66" i="1"/>
  <c r="H43" i="1"/>
  <c r="O43" i="1"/>
  <c r="H35" i="1"/>
  <c r="O35" i="1"/>
  <c r="H50" i="1"/>
  <c r="H49" i="1"/>
  <c r="H58" i="1"/>
  <c r="O70" i="1"/>
  <c r="O62" i="1"/>
  <c r="O54" i="1"/>
  <c r="O38" i="1"/>
  <c r="H57" i="1"/>
  <c r="H33" i="1"/>
  <c r="H31" i="1"/>
  <c r="H30" i="1"/>
  <c r="O30" i="1"/>
  <c r="H29" i="1"/>
  <c r="O32" i="1"/>
  <c r="H32" i="1"/>
  <c r="O28" i="1"/>
  <c r="H28" i="1"/>
  <c r="O24" i="1"/>
  <c r="H24" i="1"/>
  <c r="C67" i="10"/>
  <c r="B67" i="10"/>
  <c r="B63" i="10"/>
  <c r="B65" i="10" s="1"/>
  <c r="C63" i="10"/>
  <c r="C65" i="10" s="1"/>
  <c r="F4" i="10"/>
  <c r="F3" i="10"/>
  <c r="C4" i="10"/>
  <c r="G4" i="10"/>
  <c r="D5" i="10"/>
  <c r="H5" i="10"/>
  <c r="E6" i="10"/>
  <c r="F7" i="10"/>
  <c r="C8" i="10"/>
  <c r="G8" i="10"/>
  <c r="H9" i="10"/>
  <c r="C3" i="10"/>
  <c r="G3" i="10"/>
  <c r="D4" i="10"/>
  <c r="H4" i="10"/>
  <c r="E5" i="10"/>
  <c r="F6" i="10"/>
  <c r="C7" i="10"/>
  <c r="G7" i="10"/>
  <c r="D8" i="10"/>
  <c r="H8" i="10"/>
  <c r="E9" i="10"/>
  <c r="F8" i="10"/>
  <c r="D3" i="10"/>
  <c r="C6" i="10"/>
  <c r="D7" i="10"/>
  <c r="C59" i="10" l="1"/>
  <c r="H36" i="1"/>
  <c r="H59" i="1"/>
  <c r="O34" i="1"/>
  <c r="O26" i="1"/>
  <c r="H45" i="1"/>
  <c r="H25" i="1"/>
  <c r="H27" i="1"/>
  <c r="H37" i="1"/>
  <c r="F74" i="1"/>
  <c r="H40" i="1"/>
  <c r="H52" i="1"/>
  <c r="H23" i="1"/>
  <c r="D65" i="10"/>
  <c r="D67" i="10"/>
  <c r="H100" i="1"/>
  <c r="D68" i="10" l="1"/>
  <c r="O74" i="1"/>
  <c r="F93" i="1"/>
  <c r="F85" i="1"/>
  <c r="F84" i="1"/>
  <c r="F86" i="1"/>
  <c r="F88" i="1"/>
  <c r="F89" i="1"/>
  <c r="F92" i="1"/>
  <c r="F94" i="1"/>
  <c r="F95" i="1"/>
  <c r="F96" i="1"/>
  <c r="F97" i="1"/>
  <c r="F98" i="1"/>
  <c r="F99" i="1"/>
  <c r="F87" i="1"/>
  <c r="H98" i="1" l="1"/>
  <c r="H97" i="1"/>
  <c r="H87" i="1"/>
  <c r="H92" i="1"/>
  <c r="H86" i="1"/>
  <c r="H99" i="1"/>
  <c r="H95" i="1"/>
  <c r="H89" i="1"/>
  <c r="H84" i="1"/>
  <c r="H94" i="1"/>
  <c r="H85" i="1"/>
  <c r="H93" i="1"/>
  <c r="H96" i="1"/>
  <c r="H88" i="1"/>
  <c r="H73" i="1" l="1"/>
  <c r="D78" i="1" l="1"/>
  <c r="F7" i="1" l="1"/>
  <c r="H7" i="1" s="1"/>
  <c r="F4" i="1"/>
  <c r="H4" i="1" s="1"/>
  <c r="F5" i="1"/>
  <c r="H5" i="1" s="1"/>
  <c r="F6" i="1"/>
  <c r="H6" i="1" s="1"/>
  <c r="F3" i="1"/>
  <c r="H3" i="1" s="1"/>
  <c r="F2" i="1" l="1"/>
  <c r="H2" i="1" l="1"/>
  <c r="H21" i="1" s="1"/>
  <c r="O2" i="1"/>
  <c r="O21" i="1" s="1"/>
  <c r="O75" i="1" l="1"/>
  <c r="F21" i="1"/>
  <c r="D21" i="1"/>
  <c r="D75" i="1" s="1"/>
  <c r="H46" i="1" l="1"/>
  <c r="H74" i="1" s="1"/>
  <c r="H75" i="1" s="1"/>
  <c r="D79" i="1" s="1"/>
  <c r="D80" i="1" s="1"/>
  <c r="I11" i="1" s="1"/>
  <c r="J11" i="1" s="1"/>
  <c r="K11" i="1" s="1"/>
  <c r="L11" i="1" s="1"/>
  <c r="R11" i="1" l="1"/>
  <c r="N11" i="1"/>
  <c r="P11" i="1" s="1"/>
  <c r="Q11" i="1" s="1"/>
  <c r="I103" i="1"/>
  <c r="J103" i="1" s="1"/>
  <c r="K103" i="1" s="1"/>
  <c r="L103" i="1" s="1"/>
  <c r="I101" i="1"/>
  <c r="J101" i="1" s="1"/>
  <c r="K101" i="1" s="1"/>
  <c r="L101" i="1" s="1"/>
  <c r="I91" i="1"/>
  <c r="J91" i="1" s="1"/>
  <c r="K91" i="1" s="1"/>
  <c r="L91" i="1" s="1"/>
  <c r="I111" i="1"/>
  <c r="J111" i="1" s="1"/>
  <c r="K111" i="1" s="1"/>
  <c r="L111" i="1" s="1"/>
  <c r="I118" i="1"/>
  <c r="J118" i="1" s="1"/>
  <c r="K118" i="1" s="1"/>
  <c r="L118" i="1" s="1"/>
  <c r="I104" i="1"/>
  <c r="J104" i="1" s="1"/>
  <c r="K104" i="1" s="1"/>
  <c r="L104" i="1" s="1"/>
  <c r="I115" i="1"/>
  <c r="J115" i="1" s="1"/>
  <c r="K115" i="1" s="1"/>
  <c r="L115" i="1" s="1"/>
  <c r="I90" i="1"/>
  <c r="J90" i="1" s="1"/>
  <c r="K90" i="1" s="1"/>
  <c r="L90" i="1" s="1"/>
  <c r="I105" i="1"/>
  <c r="J105" i="1" s="1"/>
  <c r="K105" i="1" s="1"/>
  <c r="L105" i="1" s="1"/>
  <c r="I112" i="1"/>
  <c r="J112" i="1" s="1"/>
  <c r="K112" i="1" s="1"/>
  <c r="L112" i="1" s="1"/>
  <c r="I107" i="1"/>
  <c r="J107" i="1" s="1"/>
  <c r="K107" i="1" s="1"/>
  <c r="L107" i="1" s="1"/>
  <c r="I114" i="1"/>
  <c r="J114" i="1" s="1"/>
  <c r="K114" i="1" s="1"/>
  <c r="L114" i="1" s="1"/>
  <c r="I120" i="1"/>
  <c r="J120" i="1" s="1"/>
  <c r="K120" i="1" s="1"/>
  <c r="L120" i="1" s="1"/>
  <c r="I113" i="1"/>
  <c r="J113" i="1" s="1"/>
  <c r="K113" i="1" s="1"/>
  <c r="L113" i="1" s="1"/>
  <c r="I121" i="1"/>
  <c r="J121" i="1" s="1"/>
  <c r="K121" i="1" s="1"/>
  <c r="L121" i="1" s="1"/>
  <c r="I110" i="1"/>
  <c r="J110" i="1" s="1"/>
  <c r="K110" i="1" s="1"/>
  <c r="L110" i="1" s="1"/>
  <c r="I108" i="1"/>
  <c r="J108" i="1" s="1"/>
  <c r="K108" i="1" s="1"/>
  <c r="L108" i="1" s="1"/>
  <c r="I119" i="1"/>
  <c r="J119" i="1" s="1"/>
  <c r="K119" i="1" s="1"/>
  <c r="L119" i="1" s="1"/>
  <c r="I116" i="1"/>
  <c r="J116" i="1" s="1"/>
  <c r="K116" i="1" s="1"/>
  <c r="L116" i="1" s="1"/>
  <c r="I109" i="1"/>
  <c r="J109" i="1" s="1"/>
  <c r="K109" i="1" s="1"/>
  <c r="L109" i="1" s="1"/>
  <c r="I117" i="1"/>
  <c r="J117" i="1" s="1"/>
  <c r="K117" i="1" s="1"/>
  <c r="L117" i="1" s="1"/>
  <c r="I106" i="1"/>
  <c r="J106" i="1" s="1"/>
  <c r="K106" i="1" s="1"/>
  <c r="L106" i="1" s="1"/>
  <c r="I3" i="1"/>
  <c r="I7" i="1"/>
  <c r="I9" i="1"/>
  <c r="J9" i="1" s="1"/>
  <c r="K9" i="1" s="1"/>
  <c r="I14" i="1"/>
  <c r="J14" i="1" s="1"/>
  <c r="K14" i="1" s="1"/>
  <c r="I18" i="1"/>
  <c r="J18" i="1" s="1"/>
  <c r="K18" i="1" s="1"/>
  <c r="I28" i="1"/>
  <c r="J28" i="1" s="1"/>
  <c r="K28" i="1" s="1"/>
  <c r="I32" i="1"/>
  <c r="J32" i="1" s="1"/>
  <c r="K32" i="1" s="1"/>
  <c r="I36" i="1"/>
  <c r="J36" i="1" s="1"/>
  <c r="K36" i="1" s="1"/>
  <c r="L36" i="1" s="1"/>
  <c r="R36" i="1" s="1"/>
  <c r="I40" i="1"/>
  <c r="J40" i="1" s="1"/>
  <c r="K40" i="1" s="1"/>
  <c r="L40" i="1" s="1"/>
  <c r="R40" i="1" s="1"/>
  <c r="I44" i="1"/>
  <c r="J44" i="1" s="1"/>
  <c r="K44" i="1" s="1"/>
  <c r="I47" i="1"/>
  <c r="J47" i="1" s="1"/>
  <c r="K47" i="1" s="1"/>
  <c r="I51" i="1"/>
  <c r="J51" i="1" s="1"/>
  <c r="K51" i="1" s="1"/>
  <c r="I55" i="1"/>
  <c r="J55" i="1" s="1"/>
  <c r="K55" i="1" s="1"/>
  <c r="I59" i="1"/>
  <c r="J59" i="1" s="1"/>
  <c r="K59" i="1" s="1"/>
  <c r="I63" i="1"/>
  <c r="J63" i="1" s="1"/>
  <c r="K63" i="1" s="1"/>
  <c r="I67" i="1"/>
  <c r="J67" i="1" s="1"/>
  <c r="K67" i="1" s="1"/>
  <c r="I71" i="1"/>
  <c r="J71" i="1" s="1"/>
  <c r="K71" i="1" s="1"/>
  <c r="I73" i="1"/>
  <c r="J73" i="1" s="1"/>
  <c r="K73" i="1" s="1"/>
  <c r="I84" i="1"/>
  <c r="I85" i="1"/>
  <c r="I86" i="1"/>
  <c r="I87" i="1"/>
  <c r="I88" i="1"/>
  <c r="I89" i="1"/>
  <c r="I92" i="1"/>
  <c r="I93" i="1"/>
  <c r="I99" i="1"/>
  <c r="I5" i="1"/>
  <c r="I16" i="1"/>
  <c r="J16" i="1" s="1"/>
  <c r="K16" i="1" s="1"/>
  <c r="I20" i="1"/>
  <c r="J20" i="1" s="1"/>
  <c r="K20" i="1" s="1"/>
  <c r="I24" i="1"/>
  <c r="I26" i="1"/>
  <c r="J26" i="1" s="1"/>
  <c r="K26" i="1" s="1"/>
  <c r="I34" i="1"/>
  <c r="J34" i="1" s="1"/>
  <c r="K34" i="1" s="1"/>
  <c r="L34" i="1" s="1"/>
  <c r="R34" i="1" s="1"/>
  <c r="I42" i="1"/>
  <c r="J42" i="1" s="1"/>
  <c r="K42" i="1" s="1"/>
  <c r="L42" i="1" s="1"/>
  <c r="R42" i="1" s="1"/>
  <c r="I49" i="1"/>
  <c r="J49" i="1" s="1"/>
  <c r="K49" i="1" s="1"/>
  <c r="I53" i="1"/>
  <c r="J53" i="1" s="1"/>
  <c r="K53" i="1" s="1"/>
  <c r="I57" i="1"/>
  <c r="J57" i="1" s="1"/>
  <c r="K57" i="1" s="1"/>
  <c r="I61" i="1"/>
  <c r="J61" i="1" s="1"/>
  <c r="K61" i="1" s="1"/>
  <c r="I65" i="1"/>
  <c r="J65" i="1" s="1"/>
  <c r="K65" i="1" s="1"/>
  <c r="I69" i="1"/>
  <c r="J69" i="1" s="1"/>
  <c r="K69" i="1" s="1"/>
  <c r="I96" i="1"/>
  <c r="I2" i="1"/>
  <c r="J2" i="1" s="1"/>
  <c r="K2" i="1" s="1"/>
  <c r="L2" i="1" s="1"/>
  <c r="I6" i="1"/>
  <c r="I10" i="1"/>
  <c r="J10" i="1" s="1"/>
  <c r="K10" i="1" s="1"/>
  <c r="I15" i="1"/>
  <c r="J15" i="1" s="1"/>
  <c r="K15" i="1" s="1"/>
  <c r="I19" i="1"/>
  <c r="J19" i="1" s="1"/>
  <c r="K19" i="1" s="1"/>
  <c r="I25" i="1"/>
  <c r="J25" i="1" s="1"/>
  <c r="K25" i="1" s="1"/>
  <c r="L25" i="1" s="1"/>
  <c r="R25" i="1" s="1"/>
  <c r="T25" i="1" s="1"/>
  <c r="I29" i="1"/>
  <c r="J29" i="1" s="1"/>
  <c r="K29" i="1" s="1"/>
  <c r="I33" i="1"/>
  <c r="J33" i="1" s="1"/>
  <c r="K33" i="1" s="1"/>
  <c r="L33" i="1" s="1"/>
  <c r="R33" i="1" s="1"/>
  <c r="I37" i="1"/>
  <c r="J37" i="1" s="1"/>
  <c r="K37" i="1" s="1"/>
  <c r="L37" i="1" s="1"/>
  <c r="R37" i="1" s="1"/>
  <c r="I41" i="1"/>
  <c r="J41" i="1" s="1"/>
  <c r="K41" i="1" s="1"/>
  <c r="L41" i="1" s="1"/>
  <c r="R41" i="1" s="1"/>
  <c r="I45" i="1"/>
  <c r="J45" i="1" s="1"/>
  <c r="K45" i="1" s="1"/>
  <c r="I48" i="1"/>
  <c r="J48" i="1" s="1"/>
  <c r="K48" i="1" s="1"/>
  <c r="I52" i="1"/>
  <c r="J52" i="1" s="1"/>
  <c r="K52" i="1" s="1"/>
  <c r="I56" i="1"/>
  <c r="J56" i="1" s="1"/>
  <c r="K56" i="1" s="1"/>
  <c r="I60" i="1"/>
  <c r="J60" i="1" s="1"/>
  <c r="K60" i="1" s="1"/>
  <c r="I64" i="1"/>
  <c r="J64" i="1" s="1"/>
  <c r="K64" i="1" s="1"/>
  <c r="I68" i="1"/>
  <c r="J68" i="1" s="1"/>
  <c r="K68" i="1" s="1"/>
  <c r="I72" i="1"/>
  <c r="J72" i="1" s="1"/>
  <c r="K72" i="1" s="1"/>
  <c r="I94" i="1"/>
  <c r="I95" i="1"/>
  <c r="I100" i="1"/>
  <c r="I12" i="1"/>
  <c r="J12" i="1" s="1"/>
  <c r="K12" i="1" s="1"/>
  <c r="I30" i="1"/>
  <c r="J30" i="1" s="1"/>
  <c r="K30" i="1" s="1"/>
  <c r="I38" i="1"/>
  <c r="J38" i="1" s="1"/>
  <c r="K38" i="1" s="1"/>
  <c r="L38" i="1" s="1"/>
  <c r="R38" i="1" s="1"/>
  <c r="I97" i="1"/>
  <c r="I8" i="1"/>
  <c r="J8" i="1" s="1"/>
  <c r="K8" i="1" s="1"/>
  <c r="I35" i="1"/>
  <c r="J35" i="1" s="1"/>
  <c r="K35" i="1" s="1"/>
  <c r="L35" i="1" s="1"/>
  <c r="R35" i="1" s="1"/>
  <c r="I46" i="1"/>
  <c r="J46" i="1" s="1"/>
  <c r="K46" i="1" s="1"/>
  <c r="I62" i="1"/>
  <c r="J62" i="1" s="1"/>
  <c r="K62" i="1" s="1"/>
  <c r="I4" i="1"/>
  <c r="I13" i="1"/>
  <c r="J13" i="1" s="1"/>
  <c r="K13" i="1" s="1"/>
  <c r="I39" i="1"/>
  <c r="J39" i="1" s="1"/>
  <c r="K39" i="1" s="1"/>
  <c r="L39" i="1" s="1"/>
  <c r="R39" i="1" s="1"/>
  <c r="I50" i="1"/>
  <c r="J50" i="1" s="1"/>
  <c r="K50" i="1" s="1"/>
  <c r="I66" i="1"/>
  <c r="J66" i="1" s="1"/>
  <c r="K66" i="1" s="1"/>
  <c r="I98" i="1"/>
  <c r="I17" i="1"/>
  <c r="J17" i="1" s="1"/>
  <c r="K17" i="1" s="1"/>
  <c r="I23" i="1"/>
  <c r="J23" i="1" s="1"/>
  <c r="K23" i="1" s="1"/>
  <c r="I27" i="1"/>
  <c r="J27" i="1" s="1"/>
  <c r="K27" i="1" s="1"/>
  <c r="I43" i="1"/>
  <c r="J43" i="1" s="1"/>
  <c r="K43" i="1" s="1"/>
  <c r="L43" i="1" s="1"/>
  <c r="R43" i="1" s="1"/>
  <c r="I54" i="1"/>
  <c r="J54" i="1" s="1"/>
  <c r="K54" i="1" s="1"/>
  <c r="I70" i="1"/>
  <c r="J70" i="1" s="1"/>
  <c r="K70" i="1" s="1"/>
  <c r="I31" i="1"/>
  <c r="J31" i="1" s="1"/>
  <c r="K31" i="1" s="1"/>
  <c r="I58" i="1"/>
  <c r="J58" i="1" s="1"/>
  <c r="K58" i="1" s="1"/>
  <c r="O103" i="1" l="1"/>
  <c r="N103" i="1"/>
  <c r="L64" i="1"/>
  <c r="R64" i="1" s="1"/>
  <c r="L70" i="1"/>
  <c r="R70" i="1" s="1"/>
  <c r="L50" i="1"/>
  <c r="R50" i="1" s="1"/>
  <c r="L68" i="1"/>
  <c r="R68" i="1" s="1"/>
  <c r="L23" i="1"/>
  <c r="N23" i="1" s="1"/>
  <c r="R2" i="1"/>
  <c r="L73" i="1"/>
  <c r="R73" i="1" s="1"/>
  <c r="L44" i="1"/>
  <c r="R44" i="1" s="1"/>
  <c r="L60" i="1"/>
  <c r="R60" i="1" s="1"/>
  <c r="L69" i="1"/>
  <c r="R69" i="1" s="1"/>
  <c r="L67" i="1"/>
  <c r="R67" i="1" s="1"/>
  <c r="L54" i="1"/>
  <c r="R54" i="1" s="1"/>
  <c r="L65" i="1"/>
  <c r="R65" i="1" s="1"/>
  <c r="L63" i="1"/>
  <c r="R63" i="1" s="1"/>
  <c r="V33" i="1"/>
  <c r="T33" i="1"/>
  <c r="L71" i="1"/>
  <c r="R71" i="1" s="1"/>
  <c r="L52" i="1"/>
  <c r="N52" i="1" s="1"/>
  <c r="P52" i="1" s="1"/>
  <c r="Q52" i="1" s="1"/>
  <c r="L19" i="1"/>
  <c r="R19" i="1" s="1"/>
  <c r="L61" i="1"/>
  <c r="R61" i="1" s="1"/>
  <c r="L20" i="1"/>
  <c r="R20" i="1" s="1"/>
  <c r="L59" i="1"/>
  <c r="R59" i="1" s="1"/>
  <c r="L12" i="1"/>
  <c r="R12" i="1" s="1"/>
  <c r="L62" i="1"/>
  <c r="R62" i="1" s="1"/>
  <c r="L17" i="1"/>
  <c r="L46" i="1"/>
  <c r="R46" i="1" s="1"/>
  <c r="L48" i="1"/>
  <c r="R48" i="1" s="1"/>
  <c r="L15" i="1"/>
  <c r="L57" i="1"/>
  <c r="R57" i="1" s="1"/>
  <c r="L16" i="1"/>
  <c r="R16" i="1" s="1"/>
  <c r="L55" i="1"/>
  <c r="R55" i="1" s="1"/>
  <c r="L18" i="1"/>
  <c r="R18" i="1" s="1"/>
  <c r="L56" i="1"/>
  <c r="N56" i="1" s="1"/>
  <c r="P56" i="1" s="1"/>
  <c r="Q56" i="1" s="1"/>
  <c r="L58" i="1"/>
  <c r="R58" i="1" s="1"/>
  <c r="L45" i="1"/>
  <c r="R45" i="1" s="1"/>
  <c r="L10" i="1"/>
  <c r="R10" i="1" s="1"/>
  <c r="L53" i="1"/>
  <c r="R53" i="1" s="1"/>
  <c r="L51" i="1"/>
  <c r="N51" i="1" s="1"/>
  <c r="P51" i="1" s="1"/>
  <c r="Q51" i="1" s="1"/>
  <c r="L14" i="1"/>
  <c r="R14" i="1" s="1"/>
  <c r="L13" i="1"/>
  <c r="R13" i="1" s="1"/>
  <c r="L66" i="1"/>
  <c r="R66" i="1" s="1"/>
  <c r="L8" i="1"/>
  <c r="R8" i="1" s="1"/>
  <c r="L72" i="1"/>
  <c r="R72" i="1" s="1"/>
  <c r="L49" i="1"/>
  <c r="R49" i="1" s="1"/>
  <c r="L47" i="1"/>
  <c r="R47" i="1" s="1"/>
  <c r="L9" i="1"/>
  <c r="R9" i="1" s="1"/>
  <c r="O101" i="1"/>
  <c r="N101" i="1"/>
  <c r="N116" i="1"/>
  <c r="O116" i="1"/>
  <c r="N107" i="1"/>
  <c r="O107" i="1"/>
  <c r="O91" i="1"/>
  <c r="N91" i="1"/>
  <c r="N119" i="1"/>
  <c r="O119" i="1"/>
  <c r="N112" i="1"/>
  <c r="O112" i="1"/>
  <c r="N121" i="1"/>
  <c r="O121" i="1"/>
  <c r="N115" i="1"/>
  <c r="O115" i="1"/>
  <c r="N105" i="1"/>
  <c r="O105" i="1"/>
  <c r="N106" i="1"/>
  <c r="O106" i="1"/>
  <c r="N113" i="1"/>
  <c r="O113" i="1"/>
  <c r="N104" i="1"/>
  <c r="O104" i="1"/>
  <c r="N108" i="1"/>
  <c r="O108" i="1"/>
  <c r="N110" i="1"/>
  <c r="O110" i="1"/>
  <c r="O117" i="1"/>
  <c r="N117" i="1"/>
  <c r="O120" i="1"/>
  <c r="N120" i="1"/>
  <c r="O118" i="1"/>
  <c r="N118" i="1"/>
  <c r="N90" i="1"/>
  <c r="O90" i="1"/>
  <c r="N109" i="1"/>
  <c r="O109" i="1"/>
  <c r="N114" i="1"/>
  <c r="O114" i="1"/>
  <c r="N111" i="1"/>
  <c r="O111" i="1"/>
  <c r="N70" i="1"/>
  <c r="P70" i="1" s="1"/>
  <c r="Q70" i="1" s="1"/>
  <c r="N68" i="1"/>
  <c r="P68" i="1" s="1"/>
  <c r="Q68" i="1" s="1"/>
  <c r="N37" i="1"/>
  <c r="P37" i="1" s="1"/>
  <c r="Q37" i="1" s="1"/>
  <c r="N25" i="1"/>
  <c r="P25" i="1" s="1"/>
  <c r="Q25" i="1" s="1"/>
  <c r="N67" i="1"/>
  <c r="P67" i="1" s="1"/>
  <c r="Q67" i="1" s="1"/>
  <c r="N36" i="1"/>
  <c r="P36" i="1" s="1"/>
  <c r="Q36" i="1" s="1"/>
  <c r="N39" i="1"/>
  <c r="P39" i="1" s="1"/>
  <c r="Q39" i="1" s="1"/>
  <c r="N46" i="1"/>
  <c r="P46" i="1" s="1"/>
  <c r="Q46" i="1" s="1"/>
  <c r="N38" i="1"/>
  <c r="P38" i="1" s="1"/>
  <c r="Q38" i="1" s="1"/>
  <c r="N64" i="1"/>
  <c r="P64" i="1" s="1"/>
  <c r="Q64" i="1" s="1"/>
  <c r="N33" i="1"/>
  <c r="P33" i="1" s="1"/>
  <c r="Q33" i="1" s="1"/>
  <c r="N42" i="1"/>
  <c r="P42" i="1" s="1"/>
  <c r="Q42" i="1" s="1"/>
  <c r="N41" i="1"/>
  <c r="P41" i="1" s="1"/>
  <c r="Q41" i="1" s="1"/>
  <c r="N43" i="1"/>
  <c r="P43" i="1" s="1"/>
  <c r="Q43" i="1" s="1"/>
  <c r="N35" i="1"/>
  <c r="P35" i="1" s="1"/>
  <c r="Q35" i="1" s="1"/>
  <c r="N60" i="1"/>
  <c r="P60" i="1" s="1"/>
  <c r="Q60" i="1" s="1"/>
  <c r="N34" i="1"/>
  <c r="P34" i="1" s="1"/>
  <c r="Q34" i="1" s="1"/>
  <c r="N71" i="1"/>
  <c r="P71" i="1" s="1"/>
  <c r="Q71" i="1" s="1"/>
  <c r="N40" i="1"/>
  <c r="P40" i="1" s="1"/>
  <c r="Q40" i="1" s="1"/>
  <c r="J4" i="1"/>
  <c r="K4" i="1" s="1"/>
  <c r="J6" i="1"/>
  <c r="K6" i="1" s="1"/>
  <c r="J5" i="1"/>
  <c r="K5" i="1" s="1"/>
  <c r="J89" i="1"/>
  <c r="K89" i="1" s="1"/>
  <c r="L89" i="1" s="1"/>
  <c r="J85" i="1"/>
  <c r="K85" i="1" s="1"/>
  <c r="L85" i="1" s="1"/>
  <c r="J97" i="1"/>
  <c r="K97" i="1" s="1"/>
  <c r="L97" i="1" s="1"/>
  <c r="J100" i="1"/>
  <c r="K100" i="1" s="1"/>
  <c r="L100" i="1" s="1"/>
  <c r="J24" i="1"/>
  <c r="K24" i="1" s="1"/>
  <c r="J99" i="1"/>
  <c r="K99" i="1" s="1"/>
  <c r="L99" i="1" s="1"/>
  <c r="J88" i="1"/>
  <c r="K88" i="1" s="1"/>
  <c r="L88" i="1" s="1"/>
  <c r="J84" i="1"/>
  <c r="K84" i="1" s="1"/>
  <c r="L84" i="1" s="1"/>
  <c r="J95" i="1"/>
  <c r="K95" i="1" s="1"/>
  <c r="L95" i="1" s="1"/>
  <c r="J93" i="1"/>
  <c r="K93" i="1" s="1"/>
  <c r="L93" i="1" s="1"/>
  <c r="J87" i="1"/>
  <c r="K87" i="1" s="1"/>
  <c r="L87" i="1" s="1"/>
  <c r="J7" i="1"/>
  <c r="K7" i="1" s="1"/>
  <c r="J98" i="1"/>
  <c r="K98" i="1" s="1"/>
  <c r="L98" i="1" s="1"/>
  <c r="J94" i="1"/>
  <c r="K94" i="1" s="1"/>
  <c r="L94" i="1" s="1"/>
  <c r="J96" i="1"/>
  <c r="K96" i="1" s="1"/>
  <c r="L96" i="1" s="1"/>
  <c r="J92" i="1"/>
  <c r="K92" i="1" s="1"/>
  <c r="L92" i="1" s="1"/>
  <c r="J86" i="1"/>
  <c r="K86" i="1" s="1"/>
  <c r="L86" i="1" s="1"/>
  <c r="J3" i="1"/>
  <c r="K3" i="1" s="1"/>
  <c r="I74" i="1"/>
  <c r="I21" i="1"/>
  <c r="N57" i="1" l="1"/>
  <c r="P57" i="1" s="1"/>
  <c r="Q57" i="1" s="1"/>
  <c r="N50" i="1"/>
  <c r="P50" i="1" s="1"/>
  <c r="Q50" i="1" s="1"/>
  <c r="N53" i="1"/>
  <c r="P53" i="1" s="1"/>
  <c r="Q53" i="1" s="1"/>
  <c r="N58" i="1"/>
  <c r="P58" i="1" s="1"/>
  <c r="Q58" i="1" s="1"/>
  <c r="N69" i="1"/>
  <c r="P69" i="1" s="1"/>
  <c r="Q69" i="1" s="1"/>
  <c r="N16" i="1"/>
  <c r="P16" i="1" s="1"/>
  <c r="Q16" i="1" s="1"/>
  <c r="N62" i="1"/>
  <c r="P62" i="1" s="1"/>
  <c r="Q62" i="1" s="1"/>
  <c r="N45" i="1"/>
  <c r="P45" i="1" s="1"/>
  <c r="Q45" i="1" s="1"/>
  <c r="N59" i="1"/>
  <c r="P59" i="1" s="1"/>
  <c r="Q59" i="1" s="1"/>
  <c r="N72" i="1"/>
  <c r="P72" i="1" s="1"/>
  <c r="Q72" i="1" s="1"/>
  <c r="N63" i="1"/>
  <c r="P63" i="1" s="1"/>
  <c r="Q63" i="1" s="1"/>
  <c r="N49" i="1"/>
  <c r="P49" i="1" s="1"/>
  <c r="Q49" i="1" s="1"/>
  <c r="N65" i="1"/>
  <c r="P65" i="1" s="1"/>
  <c r="Q65" i="1" s="1"/>
  <c r="N73" i="1"/>
  <c r="P73" i="1" s="1"/>
  <c r="Q73" i="1" s="1"/>
  <c r="N61" i="1"/>
  <c r="P61" i="1" s="1"/>
  <c r="Q61" i="1" s="1"/>
  <c r="N66" i="1"/>
  <c r="P66" i="1" s="1"/>
  <c r="Q66" i="1" s="1"/>
  <c r="N48" i="1"/>
  <c r="P48" i="1" s="1"/>
  <c r="Q48" i="1" s="1"/>
  <c r="N44" i="1"/>
  <c r="P44" i="1" s="1"/>
  <c r="Q44" i="1" s="1"/>
  <c r="N47" i="1"/>
  <c r="P47" i="1" s="1"/>
  <c r="Q47" i="1" s="1"/>
  <c r="N9" i="1"/>
  <c r="P9" i="1" s="1"/>
  <c r="Q9" i="1" s="1"/>
  <c r="N54" i="1"/>
  <c r="P54" i="1" s="1"/>
  <c r="Q54" i="1" s="1"/>
  <c r="R52" i="1"/>
  <c r="R51" i="1"/>
  <c r="N55" i="1"/>
  <c r="P55" i="1" s="1"/>
  <c r="Q55" i="1" s="1"/>
  <c r="N8" i="1"/>
  <c r="P8" i="1" s="1"/>
  <c r="Q8" i="1" s="1"/>
  <c r="L4" i="1"/>
  <c r="R4" i="1" s="1"/>
  <c r="L27" i="1"/>
  <c r="R17" i="1"/>
  <c r="L7" i="1"/>
  <c r="R7" i="1" s="1"/>
  <c r="R56" i="1"/>
  <c r="N17" i="1"/>
  <c r="P17" i="1" s="1"/>
  <c r="Q17" i="1" s="1"/>
  <c r="N20" i="1"/>
  <c r="P20" i="1" s="1"/>
  <c r="Q20" i="1" s="1"/>
  <c r="L26" i="1"/>
  <c r="R15" i="1"/>
  <c r="N13" i="1"/>
  <c r="P13" i="1" s="1"/>
  <c r="Q13" i="1" s="1"/>
  <c r="N10" i="1"/>
  <c r="P10" i="1" s="1"/>
  <c r="Q10" i="1" s="1"/>
  <c r="N18" i="1"/>
  <c r="P18" i="1" s="1"/>
  <c r="Q18" i="1" s="1"/>
  <c r="N15" i="1"/>
  <c r="P15" i="1" s="1"/>
  <c r="Q15" i="1" s="1"/>
  <c r="L3" i="1"/>
  <c r="R3" i="1" s="1"/>
  <c r="L5" i="1"/>
  <c r="R5" i="1" s="1"/>
  <c r="L6" i="1"/>
  <c r="R6" i="1" s="1"/>
  <c r="N14" i="1"/>
  <c r="P14" i="1" s="1"/>
  <c r="Q14" i="1" s="1"/>
  <c r="N12" i="1"/>
  <c r="P12" i="1" s="1"/>
  <c r="Q12" i="1" s="1"/>
  <c r="N19" i="1"/>
  <c r="P19" i="1" s="1"/>
  <c r="Q19" i="1" s="1"/>
  <c r="L24" i="1"/>
  <c r="R24" i="1" s="1"/>
  <c r="R23" i="1"/>
  <c r="N94" i="1"/>
  <c r="O94" i="1"/>
  <c r="N99" i="1"/>
  <c r="O99" i="1"/>
  <c r="N84" i="1"/>
  <c r="O84" i="1"/>
  <c r="N88" i="1"/>
  <c r="O88" i="1"/>
  <c r="N98" i="1"/>
  <c r="O98" i="1"/>
  <c r="N93" i="1"/>
  <c r="O93" i="1"/>
  <c r="N87" i="1"/>
  <c r="O87" i="1"/>
  <c r="N86" i="1"/>
  <c r="O86" i="1"/>
  <c r="N85" i="1"/>
  <c r="O85" i="1"/>
  <c r="N96" i="1"/>
  <c r="O96" i="1"/>
  <c r="N100" i="1"/>
  <c r="O100" i="1"/>
  <c r="N97" i="1"/>
  <c r="O97" i="1"/>
  <c r="N92" i="1"/>
  <c r="O92" i="1"/>
  <c r="N95" i="1"/>
  <c r="O95" i="1"/>
  <c r="N89" i="1"/>
  <c r="O89" i="1"/>
  <c r="N24" i="1"/>
  <c r="P24" i="1" s="1"/>
  <c r="Q24" i="1" s="1"/>
  <c r="P23" i="1"/>
  <c r="J21" i="1"/>
  <c r="I75" i="1"/>
  <c r="N3" i="1" l="1"/>
  <c r="P3" i="1" s="1"/>
  <c r="Q3" i="1" s="1"/>
  <c r="N7" i="1"/>
  <c r="P7" i="1" s="1"/>
  <c r="Q7" i="1" s="1"/>
  <c r="N6" i="1"/>
  <c r="P6" i="1" s="1"/>
  <c r="Q6" i="1" s="1"/>
  <c r="L28" i="1"/>
  <c r="R27" i="1"/>
  <c r="T27" i="1" s="1"/>
  <c r="N27" i="1"/>
  <c r="P27" i="1" s="1"/>
  <c r="Q27" i="1" s="1"/>
  <c r="N5" i="1"/>
  <c r="P5" i="1" s="1"/>
  <c r="Q5" i="1" s="1"/>
  <c r="R26" i="1"/>
  <c r="T26" i="1" s="1"/>
  <c r="N26" i="1"/>
  <c r="P26" i="1" s="1"/>
  <c r="Q26" i="1" s="1"/>
  <c r="N4" i="1"/>
  <c r="P4" i="1" s="1"/>
  <c r="Q4" i="1" s="1"/>
  <c r="Q23" i="1"/>
  <c r="N2" i="1"/>
  <c r="P2" i="1" s="1"/>
  <c r="K21" i="1"/>
  <c r="L29" i="1" l="1"/>
  <c r="R28" i="1"/>
  <c r="N28" i="1"/>
  <c r="P28" i="1" s="1"/>
  <c r="Q28" i="1" s="1"/>
  <c r="P21" i="1"/>
  <c r="Q2" i="1"/>
  <c r="Q21" i="1" s="1"/>
  <c r="L30" i="1" l="1"/>
  <c r="R29" i="1"/>
  <c r="N29" i="1"/>
  <c r="P29" i="1" s="1"/>
  <c r="R21" i="1"/>
  <c r="Q29" i="1" l="1"/>
  <c r="L31" i="1"/>
  <c r="R30" i="1"/>
  <c r="N30" i="1"/>
  <c r="P30" i="1" s="1"/>
  <c r="Q30" i="1" s="1"/>
  <c r="L32" i="1" l="1"/>
  <c r="R31" i="1"/>
  <c r="N31" i="1"/>
  <c r="P31" i="1" s="1"/>
  <c r="Q31" i="1" s="1"/>
  <c r="R32" i="1" l="1"/>
  <c r="N32" i="1"/>
  <c r="P32" i="1" s="1"/>
  <c r="Q32" i="1" s="1"/>
  <c r="Q74" i="1" s="1"/>
  <c r="Q75" i="1" s="1"/>
  <c r="B70" i="10" s="1"/>
  <c r="B71" i="10" s="1"/>
  <c r="P74" i="1" l="1"/>
  <c r="R74" i="1" l="1"/>
  <c r="P75" i="1"/>
  <c r="R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Jaclynn (UTC)</author>
  </authors>
  <commentList>
    <comment ref="M13" authorId="0" shapeId="0" xr:uid="{CC7AFE9B-FA80-45D7-BA91-59703DA4C7A7}">
      <text>
        <r>
          <rPr>
            <b/>
            <sz val="9"/>
            <color indexed="81"/>
            <rFont val="Tahoma"/>
            <family val="2"/>
          </rPr>
          <t>Simmons, Jaclynn (UTC):</t>
        </r>
        <r>
          <rPr>
            <sz val="9"/>
            <color indexed="81"/>
            <rFont val="Tahoma"/>
            <family val="2"/>
          </rPr>
          <t xml:space="preserve">
not listed out in tariff just added 13.46 2x
</t>
        </r>
      </text>
    </comment>
    <comment ref="M14" authorId="0" shapeId="0" xr:uid="{A1D364BC-E5FA-460A-835E-42E045EF97EE}">
      <text>
        <r>
          <rPr>
            <b/>
            <sz val="9"/>
            <color indexed="81"/>
            <rFont val="Tahoma"/>
            <family val="2"/>
          </rPr>
          <t>Simmons, Jaclynn (UTC):</t>
        </r>
        <r>
          <rPr>
            <sz val="9"/>
            <color indexed="81"/>
            <rFont val="Tahoma"/>
            <family val="2"/>
          </rPr>
          <t xml:space="preserve">
not listed out in tariff just added 13.46 4x</t>
        </r>
      </text>
    </comment>
    <comment ref="M16" authorId="0" shapeId="0" xr:uid="{9BF8A190-F4FB-4A38-B605-5A9CF7E5D568}">
      <text>
        <r>
          <rPr>
            <b/>
            <sz val="9"/>
            <color indexed="81"/>
            <rFont val="Tahoma"/>
            <family val="2"/>
          </rPr>
          <t>Simmons, Jaclynn (UTC):</t>
        </r>
        <r>
          <rPr>
            <sz val="9"/>
            <color indexed="81"/>
            <rFont val="Tahoma"/>
            <family val="2"/>
          </rPr>
          <t xml:space="preserve">
not listed out in tariff just added 18.84 2x</t>
        </r>
      </text>
    </comment>
    <comment ref="M18" authorId="0" shapeId="0" xr:uid="{42EAA4C9-9D73-4162-974E-0566168C9457}">
      <text>
        <r>
          <rPr>
            <b/>
            <sz val="9"/>
            <color indexed="81"/>
            <rFont val="Tahoma"/>
            <family val="2"/>
          </rPr>
          <t>Simmons, Jaclynn (UTC):</t>
        </r>
        <r>
          <rPr>
            <sz val="9"/>
            <color indexed="81"/>
            <rFont val="Tahoma"/>
            <family val="2"/>
          </rPr>
          <t xml:space="preserve">
not listed out in tariff just took 24.30x2</t>
        </r>
      </text>
    </comment>
    <comment ref="M19" authorId="0" shapeId="0" xr:uid="{424D646A-121D-4B47-95F0-E92AD0648DBA}">
      <text>
        <r>
          <rPr>
            <b/>
            <sz val="9"/>
            <color indexed="81"/>
            <rFont val="Tahoma"/>
            <family val="2"/>
          </rPr>
          <t>Simmons, Jaclynn (UTC):</t>
        </r>
        <r>
          <rPr>
            <sz val="9"/>
            <color indexed="81"/>
            <rFont val="Tahoma"/>
            <family val="2"/>
          </rPr>
          <t xml:space="preserve">
not listed out in tariff just took 24.30x3</t>
        </r>
      </text>
    </comment>
    <comment ref="M20" authorId="0" shapeId="0" xr:uid="{1F8FE9D6-076E-4641-BE76-6636228FAAD1}">
      <text>
        <r>
          <rPr>
            <b/>
            <sz val="9"/>
            <color indexed="81"/>
            <rFont val="Tahoma"/>
            <family val="2"/>
          </rPr>
          <t>Simmons, Jaclynn (UTC):</t>
        </r>
        <r>
          <rPr>
            <sz val="9"/>
            <color indexed="81"/>
            <rFont val="Tahoma"/>
            <family val="2"/>
          </rPr>
          <t xml:space="preserve">
not listed out in tariff took 24.30*4
</t>
        </r>
      </text>
    </comment>
  </commentList>
</comments>
</file>

<file path=xl/sharedStrings.xml><?xml version="1.0" encoding="utf-8"?>
<sst xmlns="http://schemas.openxmlformats.org/spreadsheetml/2006/main" count="352" uniqueCount="235">
  <si>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</si>
  <si>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</si>
  <si>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</si>
  <si>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</si>
  <si>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</si>
  <si>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</si>
  <si>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</si>
  <si>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</si>
  <si>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</si>
  <si>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Revenue</t>
  </si>
  <si>
    <t>Company Proposed Revenue</t>
  </si>
  <si>
    <t xml:space="preserve"> Company Over/(Under) collecting</t>
  </si>
  <si>
    <t>Residential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</si>
  <si>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</si>
  <si>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</si>
  <si>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</si>
  <si>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</si>
  <si>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</si>
  <si>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</si>
  <si>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</si>
  <si>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</si>
  <si>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</si>
  <si>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</si>
  <si>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</si>
  <si>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</si>
  <si>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</si>
  <si>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</si>
  <si>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</si>
  <si>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</si>
  <si>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</si>
  <si>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</si>
  <si>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</si>
  <si>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</si>
  <si>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</si>
  <si>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</si>
  <si>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</si>
  <si>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</si>
  <si>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</si>
  <si>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</si>
  <si>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</si>
  <si>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</si>
  <si>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*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</si>
  <si>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</si>
  <si>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</si>
  <si>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</si>
  <si>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</si>
  <si>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</si>
  <si>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</si>
  <si>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</si>
  <si>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</si>
  <si>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</si>
  <si>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</si>
  <si>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</si>
  <si>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2 yd packer/compactor</t>
  </si>
  <si>
    <t>3 yd packer/compactor</t>
  </si>
  <si>
    <t>4 yd packer/compactor</t>
  </si>
  <si>
    <t>6 yd packer/compactor</t>
  </si>
  <si>
    <t>Yards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</si>
  <si>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</si>
  <si>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</si>
  <si>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</si>
  <si>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</si>
  <si>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</si>
  <si>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</si>
  <si>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</si>
  <si>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</si>
  <si>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Total</t>
  </si>
  <si>
    <t>Increase per ton</t>
  </si>
  <si>
    <t>Factor</t>
  </si>
  <si>
    <t>Grossed Up Increase per ton</t>
  </si>
  <si>
    <t>Tons Collected</t>
  </si>
  <si>
    <t>Company Proposed Rates</t>
  </si>
  <si>
    <t>Res'l &amp; Com'l</t>
  </si>
  <si>
    <t>Collected Revenue Excess/(Deficiency)</t>
  </si>
  <si>
    <t>Meeks</t>
  </si>
  <si>
    <t>Ratio</t>
  </si>
  <si>
    <t>Revenue Inc from Co Proposed Rates</t>
  </si>
  <si>
    <t>Total Tonnage</t>
  </si>
  <si>
    <t>Total Annual Pounds</t>
  </si>
  <si>
    <t>Total Calculated Pounds</t>
  </si>
  <si>
    <t>Adjustment Factor</t>
  </si>
  <si>
    <t>TOTAL</t>
  </si>
  <si>
    <t>Company Over /(Under) Collecting</t>
  </si>
  <si>
    <t>Scheduled Service- Residential</t>
  </si>
  <si>
    <t>Totals</t>
  </si>
  <si>
    <t>Supercan 60</t>
  </si>
  <si>
    <t>Supercan 90</t>
  </si>
  <si>
    <t>Disposal Fee Revenue Increase</t>
  </si>
  <si>
    <t>monthly pickups</t>
  </si>
  <si>
    <t>frequency</t>
  </si>
  <si>
    <t>annual pick ups</t>
  </si>
  <si>
    <t>meeks</t>
  </si>
  <si>
    <t>Adjusted annual Pounds</t>
  </si>
  <si>
    <t>Gross up</t>
  </si>
  <si>
    <t>Tariff Increase</t>
  </si>
  <si>
    <t>Current Rate</t>
  </si>
  <si>
    <t xml:space="preserve"> Current Tariff</t>
  </si>
  <si>
    <t>Current Tariff</t>
  </si>
  <si>
    <t>Staff Proposed Tariff Rate</t>
  </si>
  <si>
    <t>Proposed Tariff Rate</t>
  </si>
  <si>
    <t>tariff pg #</t>
  </si>
  <si>
    <t>tariff page#</t>
  </si>
  <si>
    <t>Tariff pg#</t>
  </si>
  <si>
    <t>No Customers</t>
  </si>
  <si>
    <t>C3M 32 GAL CAN MSW 1X MO</t>
  </si>
  <si>
    <t>T5M 35 GAL CART MSW 1X MO</t>
  </si>
  <si>
    <t>C21 1-20 GAL MINI CAN MSW</t>
  </si>
  <si>
    <t>C2T 20 GAL CART MSW</t>
  </si>
  <si>
    <t>C31 1-32 GAL CAN MSW</t>
  </si>
  <si>
    <t>C32 2-32 GAL CANS MSW</t>
  </si>
  <si>
    <t>C33 3-32 GAL CANS MSW</t>
  </si>
  <si>
    <t>C34 4-32 GAL CANS MSW</t>
  </si>
  <si>
    <t>C35 5-32 GAL CANS MSW</t>
  </si>
  <si>
    <t>T51 1-35 GAL CART MSW</t>
  </si>
  <si>
    <t>T52 2-35 GAL CARTS MSW</t>
  </si>
  <si>
    <t>T54 4-35 GAL CARTS MSW</t>
  </si>
  <si>
    <t>T61 1-64 GAL CART MSW</t>
  </si>
  <si>
    <t>T62 2-64 GAL CARTS MSW</t>
  </si>
  <si>
    <t>T91 1-96 GAL CART MSW</t>
  </si>
  <si>
    <t>T92 2-96 GAL CARTS MSW</t>
  </si>
  <si>
    <t>T93 3-96 GAL CARTS MSW</t>
  </si>
  <si>
    <t>T94 4-96 GAL CARTS MSW</t>
  </si>
  <si>
    <t>1AM 1-32 GAL CAN MSW</t>
  </si>
  <si>
    <t>2AM 2-32 GAL CANS MSW</t>
  </si>
  <si>
    <t>CM1 35 GAL CART MSW 1X WK</t>
  </si>
  <si>
    <t>1DM 1-64 GAL CART MSW</t>
  </si>
  <si>
    <t>1EM 1-96 GAL CART MSW</t>
  </si>
  <si>
    <t>2EM 2-96 GAL CARTS MSW</t>
  </si>
  <si>
    <t>3EM 3-96 GAL CARTS MSW</t>
  </si>
  <si>
    <t>4EM 4-96 GAL CARTS MSW</t>
  </si>
  <si>
    <t>5EM 5-96 GAL CARTS MSW</t>
  </si>
  <si>
    <t>9EM 9-96 GAL CARTS MSW</t>
  </si>
  <si>
    <t>1FE 1 YD MSW EOW</t>
  </si>
  <si>
    <t>111 1-1 YD 1X PER WEEK</t>
  </si>
  <si>
    <t>5FE 1.5 YD MSW EOW</t>
  </si>
  <si>
    <t>151 1-1.5 YD 1X PER WEEK</t>
  </si>
  <si>
    <t>251 2-1.5 YD 1X PER WEEK</t>
  </si>
  <si>
    <t>122 1-1.5 YD 2X PER WEEK</t>
  </si>
  <si>
    <t>2FE 2 YD MSW EOW</t>
  </si>
  <si>
    <t>121 1-2 YD 1X PER WEEK</t>
  </si>
  <si>
    <t>221 2-2 YD 1X PER WEEK</t>
  </si>
  <si>
    <t>421 4-2 YD 1X PER WEEK</t>
  </si>
  <si>
    <t>621 6-2 YD 1X PER WEEK</t>
  </si>
  <si>
    <t>3FE 3 YD MSW EOW</t>
  </si>
  <si>
    <t>131 1-3 YD 1X PER WEEK</t>
  </si>
  <si>
    <t>231 2-3 YD 1X PER WEEK</t>
  </si>
  <si>
    <t>331 3-3 YD 1X PER WEEK</t>
  </si>
  <si>
    <t>431 4-3 YD 1X PER WEEK</t>
  </si>
  <si>
    <t>531 5-3 YD 2X PER WEEK</t>
  </si>
  <si>
    <t>4FM 4 YD MSW 1xM</t>
  </si>
  <si>
    <t>4FE 4 YD MSW EOW</t>
  </si>
  <si>
    <t>141 1-4 YD 1X PER WEEK</t>
  </si>
  <si>
    <t>241 2-4 YD 1X PER WEEK</t>
  </si>
  <si>
    <t>341 3-4 YD 1X PER WEEK</t>
  </si>
  <si>
    <t>441 4-4 YD 1X PER WEEK</t>
  </si>
  <si>
    <t>941 9-4 YD 1X PER WEEK</t>
  </si>
  <si>
    <t>142 1-4 YD 2X PER WEEK</t>
  </si>
  <si>
    <t>6FE 6 YD MSW EOW</t>
  </si>
  <si>
    <t>161 1-6 YD 1X PER WEEK</t>
  </si>
  <si>
    <t>261 2-6 YD 1X PER WEEK</t>
  </si>
  <si>
    <t>361 3-6 YD 1X PER WEEK</t>
  </si>
  <si>
    <t>561 5-6 YD 1X PER WEEK</t>
  </si>
  <si>
    <t>761 7-6 YD 1X PER WEEK</t>
  </si>
  <si>
    <t>162 1-6 YD 2X PER WEEK</t>
  </si>
  <si>
    <t>262 2-6 YD 2X PER WEEK</t>
  </si>
  <si>
    <t>8FE 8 YD MSW EOW</t>
  </si>
  <si>
    <t>181 1-8 YD 1X PER WEEK</t>
  </si>
  <si>
    <t>281 2-8 YD 1X PER WEEK</t>
  </si>
  <si>
    <t>381 3-8 YD 1X PER WEEK</t>
  </si>
  <si>
    <t>182 1-8 YD 2X PER WEEK</t>
  </si>
  <si>
    <t>482 4-8 YD 2X PER WEEK</t>
  </si>
  <si>
    <t>183 1-8 YD 3X PER WEEK</t>
  </si>
  <si>
    <t>6C1 6 YD COMPACTOR 1X WK</t>
  </si>
  <si>
    <t xml:space="preserve">2 35 gal. carts </t>
  </si>
  <si>
    <t xml:space="preserve">1 64 gal. cart </t>
  </si>
  <si>
    <t xml:space="preserve">2 64 gal. carts </t>
  </si>
  <si>
    <t xml:space="preserve">1 96 gal. cart </t>
  </si>
  <si>
    <t xml:space="preserve">2 96 gal. carts </t>
  </si>
  <si>
    <t>Minimum Charge per month - CAN</t>
  </si>
  <si>
    <t>Pickup Rate - CAN</t>
  </si>
  <si>
    <t>Bulky Materials</t>
  </si>
  <si>
    <t>Bulky Materials Additional Cubic Yards</t>
  </si>
  <si>
    <t>1 Yard Compactor</t>
  </si>
  <si>
    <t>1 Yard Compactor - Special Pickup</t>
  </si>
  <si>
    <t>3 Yard Compactor</t>
  </si>
  <si>
    <t>3 Yard Compactor - Special Pickup</t>
  </si>
  <si>
    <t>4 Yard Compactor</t>
  </si>
  <si>
    <t>35 gallon Can</t>
  </si>
  <si>
    <t>1 yd packer/compactor</t>
  </si>
  <si>
    <t>1.5 yd packer/compactor</t>
  </si>
  <si>
    <t>5 yd packer/compactor</t>
  </si>
  <si>
    <t>8 yd packer/compactor</t>
  </si>
  <si>
    <t>* not on meeks - calculated by staff</t>
  </si>
  <si>
    <t>GWLF</t>
  </si>
  <si>
    <t>% of Tons</t>
  </si>
  <si>
    <t>Dryden TS</t>
  </si>
  <si>
    <t>Total Increase</t>
  </si>
  <si>
    <t>Landfill</t>
  </si>
  <si>
    <t>Roll Off</t>
  </si>
  <si>
    <t>Multi-family/commercial</t>
  </si>
  <si>
    <t>TG-181016</t>
  </si>
  <si>
    <t>6 Cans</t>
  </si>
  <si>
    <t>1 35 gal. cart</t>
  </si>
  <si>
    <t>Special Pickup Charge Proposed Tariff Rate</t>
  </si>
  <si>
    <t>Special Pickup Charge Current Tariff Rate</t>
  </si>
  <si>
    <t>Pickup Charge Current Tariff Rate</t>
  </si>
  <si>
    <t>Pickup Charge Proposed Tariff Rate</t>
  </si>
  <si>
    <t>35 Gal - Special Pickup Charge</t>
  </si>
  <si>
    <t>64 Gal - Special Pickup Charge</t>
  </si>
  <si>
    <t>96 Gal - Special Pickup Charge</t>
  </si>
  <si>
    <t>1 Yard - Special Pickup</t>
  </si>
  <si>
    <t>1.5 Yard - Special Pickup</t>
  </si>
  <si>
    <t>2 Yard - Special Pickup</t>
  </si>
  <si>
    <t>4 Yard - Special Pickup</t>
  </si>
  <si>
    <t>6 Yard - Special Pickup</t>
  </si>
  <si>
    <t>8 Yard - Special Pickup</t>
  </si>
  <si>
    <t>1 Yard - Pickup Temp</t>
  </si>
  <si>
    <t>1.5 Yard - Pickup Temp</t>
  </si>
  <si>
    <t>2 Yard - Pickup Temp</t>
  </si>
  <si>
    <t>6 Yard - Pickup Temp</t>
  </si>
  <si>
    <t>8 Yard - Pickup Temp</t>
  </si>
  <si>
    <t>4 Yard - Pickup Temp</t>
  </si>
  <si>
    <t>43Yard - Special Pickup</t>
  </si>
  <si>
    <t>3 Yard - Pickup Temp</t>
  </si>
  <si>
    <t>Increase %</t>
  </si>
  <si>
    <t>34 &amp; 35</t>
  </si>
  <si>
    <t>23 &amp; 24</t>
  </si>
  <si>
    <t>Each Scheduled Pickup</t>
  </si>
  <si>
    <t>6 Yard Compactor - Special Pickup</t>
  </si>
  <si>
    <t>4 Yard Compactor - Special Pickup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</si>
  <si>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</si>
  <si>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</si>
  <si>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</si>
  <si>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C35 6-32 GAL CANS MSW</t>
  </si>
  <si>
    <t>6 Yard Compactor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</si>
</sst>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0.0%"/>
    <numFmt numFmtId="171" formatCode="_(&quot;$&quot;* #,##0.00000_);_(&quot;$&quot;* \(#,##0.00000\);_(&quot;$&quot;* &quot;-&quot;??_);_(@_)"/>
    <numFmt numFmtId="172" formatCode="_(&quot;$&quot;* #,##0.0000_);_(&quot;$&quot;* \(#,##0.0000\);_(&quot;$&quot;* &quot;-&quot;??_);_(@_)"/>
    <numFmt numFmtId="173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444444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6" fillId="4" borderId="8" applyNumberFormat="0" applyFont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6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</cellStyleXfs>
  <cellXfs count="133">
    <xf numFmtId="0" fontId="0" fillId="0" borderId="0" xfId="0"/>
    <xf numFmtId="0" fontId="3" fillId="2" borderId="1" xfId="0" applyFont="1" applyFill="1" applyBorder="1"/>
    <xf numFmtId="43" fontId="0" fillId="0" borderId="0" xfId="0" applyNumberFormat="1"/>
    <xf numFmtId="44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2" fontId="8" fillId="0" borderId="0" xfId="1" applyNumberFormat="1" applyFont="1" applyFill="1" applyBorder="1" applyAlignment="1">
      <alignment horizontal="right"/>
    </xf>
    <xf numFmtId="164" fontId="8" fillId="0" borderId="0" xfId="0" applyNumberFormat="1" applyFont="1"/>
    <xf numFmtId="0" fontId="7" fillId="3" borderId="1" xfId="0" applyFont="1" applyFill="1" applyBorder="1" applyAlignment="1">
      <alignment horizontal="center" wrapText="1"/>
    </xf>
    <xf numFmtId="3" fontId="9" fillId="0" borderId="0" xfId="3" applyNumberFormat="1" applyFont="1" applyAlignment="1">
      <alignment horizontal="right"/>
    </xf>
    <xf numFmtId="44" fontId="8" fillId="0" borderId="0" xfId="0" applyNumberFormat="1" applyFont="1" applyFill="1"/>
    <xf numFmtId="44" fontId="8" fillId="0" borderId="0" xfId="0" applyNumberFormat="1" applyFont="1"/>
    <xf numFmtId="0" fontId="0" fillId="7" borderId="9" xfId="0" applyFill="1" applyBorder="1"/>
    <xf numFmtId="0" fontId="0" fillId="6" borderId="9" xfId="0" applyFill="1" applyBorder="1"/>
    <xf numFmtId="1" fontId="9" fillId="0" borderId="0" xfId="3" applyNumberFormat="1" applyFont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2" fontId="7" fillId="3" borderId="10" xfId="0" applyNumberFormat="1" applyFont="1" applyFill="1" applyBorder="1"/>
    <xf numFmtId="3" fontId="10" fillId="3" borderId="10" xfId="3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/>
    </xf>
    <xf numFmtId="44" fontId="7" fillId="3" borderId="10" xfId="0" applyNumberFormat="1" applyFont="1" applyFill="1" applyBorder="1" applyAlignment="1">
      <alignment horizontal="center" wrapText="1"/>
    </xf>
    <xf numFmtId="164" fontId="1" fillId="0" borderId="0" xfId="8" applyNumberFormat="1" applyFont="1"/>
    <xf numFmtId="164" fontId="1" fillId="0" borderId="0" xfId="1" applyNumberFormat="1" applyFont="1" applyFill="1" applyBorder="1"/>
    <xf numFmtId="2" fontId="8" fillId="0" borderId="0" xfId="1" applyNumberFormat="1" applyFont="1" applyFill="1" applyBorder="1"/>
    <xf numFmtId="43" fontId="0" fillId="0" borderId="0" xfId="0" applyNumberFormat="1" applyFill="1"/>
    <xf numFmtId="3" fontId="8" fillId="0" borderId="0" xfId="0" applyNumberFormat="1" applyFont="1"/>
    <xf numFmtId="0" fontId="0" fillId="0" borderId="6" xfId="0" applyBorder="1"/>
    <xf numFmtId="0" fontId="0" fillId="0" borderId="4" xfId="0" applyBorder="1"/>
    <xf numFmtId="0" fontId="3" fillId="0" borderId="3" xfId="0" applyFont="1" applyBorder="1"/>
    <xf numFmtId="0" fontId="3" fillId="0" borderId="0" xfId="0" applyFont="1"/>
    <xf numFmtId="168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3" fontId="15" fillId="0" borderId="0" xfId="0" applyNumberFormat="1" applyFont="1"/>
    <xf numFmtId="10" fontId="2" fillId="0" borderId="0" xfId="4" applyNumberFormat="1" applyFont="1"/>
    <xf numFmtId="3" fontId="11" fillId="9" borderId="0" xfId="0" applyNumberFormat="1" applyFont="1" applyFill="1" applyAlignment="1">
      <alignment horizontal="right"/>
    </xf>
    <xf numFmtId="2" fontId="11" fillId="9" borderId="0" xfId="0" applyNumberFormat="1" applyFont="1" applyFill="1"/>
    <xf numFmtId="3" fontId="11" fillId="9" borderId="0" xfId="3" applyNumberFormat="1" applyFont="1" applyFill="1" applyAlignment="1">
      <alignment horizontal="right"/>
    </xf>
    <xf numFmtId="1" fontId="11" fillId="9" borderId="0" xfId="0" applyNumberFormat="1" applyFont="1" applyFill="1" applyAlignment="1">
      <alignment horizontal="right"/>
    </xf>
    <xf numFmtId="164" fontId="11" fillId="9" borderId="0" xfId="0" applyNumberFormat="1" applyFont="1" applyFill="1"/>
    <xf numFmtId="0" fontId="11" fillId="9" borderId="0" xfId="0" applyFont="1" applyFill="1"/>
    <xf numFmtId="44" fontId="11" fillId="9" borderId="0" xfId="0" applyNumberFormat="1" applyFont="1" applyFill="1"/>
    <xf numFmtId="3" fontId="11" fillId="9" borderId="0" xfId="0" applyNumberFormat="1" applyFont="1" applyFill="1"/>
    <xf numFmtId="44" fontId="12" fillId="9" borderId="0" xfId="0" applyNumberFormat="1" applyFont="1" applyFill="1"/>
    <xf numFmtId="0" fontId="0" fillId="9" borderId="0" xfId="0" applyFill="1"/>
    <xf numFmtId="44" fontId="0" fillId="9" borderId="0" xfId="0" applyNumberFormat="1" applyFill="1"/>
    <xf numFmtId="0" fontId="0" fillId="1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0" xfId="2" applyFont="1" applyFill="1" applyBorder="1"/>
    <xf numFmtId="0" fontId="13" fillId="9" borderId="0" xfId="0" applyFont="1" applyFill="1" applyAlignment="1">
      <alignment horizontal="left" vertical="center"/>
    </xf>
    <xf numFmtId="164" fontId="13" fillId="9" borderId="0" xfId="0" applyNumberFormat="1" applyFont="1" applyFill="1" applyAlignment="1">
      <alignment horizontal="right"/>
    </xf>
    <xf numFmtId="164" fontId="3" fillId="9" borderId="0" xfId="0" applyNumberFormat="1" applyFont="1" applyFill="1" applyAlignment="1">
      <alignment horizontal="right"/>
    </xf>
    <xf numFmtId="43" fontId="3" fillId="9" borderId="0" xfId="0" applyNumberFormat="1" applyFont="1" applyFill="1"/>
    <xf numFmtId="1" fontId="3" fillId="9" borderId="0" xfId="0" applyNumberFormat="1" applyFont="1" applyFill="1" applyAlignment="1">
      <alignment horizontal="right"/>
    </xf>
    <xf numFmtId="44" fontId="3" fillId="9" borderId="0" xfId="0" applyNumberFormat="1" applyFont="1" applyFill="1"/>
    <xf numFmtId="43" fontId="13" fillId="9" borderId="0" xfId="0" applyNumberFormat="1" applyFont="1" applyFill="1"/>
    <xf numFmtId="1" fontId="13" fillId="9" borderId="0" xfId="0" applyNumberFormat="1" applyFont="1" applyFill="1" applyAlignment="1">
      <alignment horizontal="right"/>
    </xf>
    <xf numFmtId="3" fontId="13" fillId="9" borderId="0" xfId="0" applyNumberFormat="1" applyFont="1" applyFill="1"/>
    <xf numFmtId="44" fontId="13" fillId="9" borderId="0" xfId="0" applyNumberFormat="1" applyFont="1" applyFill="1"/>
    <xf numFmtId="1" fontId="0" fillId="0" borderId="0" xfId="0" applyNumberFormat="1" applyFill="1" applyAlignment="1">
      <alignment horizontal="right"/>
    </xf>
    <xf numFmtId="3" fontId="3" fillId="9" borderId="0" xfId="0" applyNumberFormat="1" applyFont="1" applyFill="1" applyAlignment="1">
      <alignment horizontal="center" vertical="center" wrapText="1"/>
    </xf>
    <xf numFmtId="3" fontId="3" fillId="9" borderId="0" xfId="0" applyNumberFormat="1" applyFont="1" applyFill="1" applyAlignment="1">
      <alignment horizontal="center" wrapText="1"/>
    </xf>
    <xf numFmtId="44" fontId="3" fillId="9" borderId="0" xfId="0" applyNumberFormat="1" applyFont="1" applyFill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44" fontId="0" fillId="8" borderId="0" xfId="2" applyFont="1" applyFill="1" applyBorder="1"/>
    <xf numFmtId="44" fontId="5" fillId="5" borderId="0" xfId="2" applyFont="1" applyFill="1" applyBorder="1"/>
    <xf numFmtId="0" fontId="0" fillId="0" borderId="0" xfId="0" applyAlignment="1">
      <alignment horizontal="left"/>
    </xf>
    <xf numFmtId="44" fontId="0" fillId="10" borderId="0" xfId="2" applyFont="1" applyFill="1" applyBorder="1"/>
    <xf numFmtId="0" fontId="0" fillId="0" borderId="0" xfId="0" applyAlignment="1">
      <alignment vertical="center"/>
    </xf>
    <xf numFmtId="0" fontId="3" fillId="9" borderId="0" xfId="0" applyFont="1" applyFill="1"/>
    <xf numFmtId="0" fontId="17" fillId="9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 wrapText="1" indent="2"/>
    </xf>
    <xf numFmtId="164" fontId="7" fillId="3" borderId="1" xfId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4" fillId="0" borderId="0" xfId="3" applyFill="1" applyAlignment="1">
      <alignment horizontal="left"/>
    </xf>
    <xf numFmtId="3" fontId="9" fillId="0" borderId="0" xfId="3" applyNumberFormat="1" applyFont="1" applyFill="1" applyAlignment="1">
      <alignment horizontal="right"/>
    </xf>
    <xf numFmtId="164" fontId="8" fillId="0" borderId="0" xfId="0" applyNumberFormat="1" applyFont="1" applyFill="1"/>
    <xf numFmtId="3" fontId="8" fillId="0" borderId="0" xfId="0" applyNumberFormat="1" applyFont="1" applyFill="1"/>
    <xf numFmtId="0" fontId="20" fillId="0" borderId="0" xfId="7" applyFont="1"/>
    <xf numFmtId="0" fontId="20" fillId="0" borderId="0" xfId="0" applyFont="1"/>
    <xf numFmtId="0" fontId="4" fillId="0" borderId="9" xfId="0" applyFont="1" applyBorder="1"/>
    <xf numFmtId="43" fontId="1" fillId="0" borderId="0" xfId="1" applyFon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44" fontId="1" fillId="0" borderId="0" xfId="2" applyFont="1" applyFill="1"/>
    <xf numFmtId="165" fontId="1" fillId="0" borderId="0" xfId="2" applyNumberFormat="1" applyFont="1" applyFill="1"/>
    <xf numFmtId="166" fontId="1" fillId="0" borderId="0" xfId="1" applyNumberFormat="1" applyFont="1"/>
    <xf numFmtId="44" fontId="2" fillId="0" borderId="1" xfId="2" applyFont="1" applyFill="1" applyBorder="1"/>
    <xf numFmtId="165" fontId="1" fillId="0" borderId="1" xfId="2" applyNumberFormat="1" applyFont="1" applyFill="1" applyBorder="1"/>
    <xf numFmtId="166" fontId="1" fillId="0" borderId="0" xfId="1" applyNumberFormat="1" applyFont="1" applyBorder="1"/>
    <xf numFmtId="167" fontId="1" fillId="0" borderId="0" xfId="2" applyNumberFormat="1" applyFont="1" applyFill="1"/>
    <xf numFmtId="166" fontId="1" fillId="0" borderId="1" xfId="1" applyNumberFormat="1" applyFont="1" applyBorder="1"/>
    <xf numFmtId="0" fontId="3" fillId="0" borderId="0" xfId="0" applyFont="1" applyAlignment="1">
      <alignment horizontal="center"/>
    </xf>
    <xf numFmtId="170" fontId="1" fillId="0" borderId="0" xfId="4" applyNumberFormat="1" applyFont="1"/>
    <xf numFmtId="170" fontId="3" fillId="0" borderId="0" xfId="4" applyNumberFormat="1" applyFont="1"/>
    <xf numFmtId="171" fontId="3" fillId="0" borderId="0" xfId="2" applyNumberFormat="1" applyFont="1"/>
    <xf numFmtId="169" fontId="3" fillId="0" borderId="0" xfId="0" applyNumberFormat="1" applyFont="1"/>
    <xf numFmtId="172" fontId="3" fillId="0" borderId="0" xfId="2" applyNumberFormat="1" applyFont="1"/>
    <xf numFmtId="172" fontId="1" fillId="0" borderId="0" xfId="2" applyNumberFormat="1" applyFont="1"/>
    <xf numFmtId="164" fontId="1" fillId="0" borderId="1" xfId="1" applyNumberFormat="1" applyFont="1" applyBorder="1"/>
    <xf numFmtId="164" fontId="0" fillId="0" borderId="1" xfId="0" applyNumberFormat="1" applyBorder="1"/>
    <xf numFmtId="44" fontId="3" fillId="0" borderId="0" xfId="0" applyNumberFormat="1" applyFont="1"/>
    <xf numFmtId="173" fontId="3" fillId="0" borderId="0" xfId="0" applyNumberFormat="1" applyFont="1"/>
    <xf numFmtId="173" fontId="0" fillId="0" borderId="0" xfId="0" applyNumberFormat="1"/>
    <xf numFmtId="0" fontId="0" fillId="2" borderId="11" xfId="0" applyFill="1" applyBorder="1" applyAlignment="1">
      <alignment horizontal="center"/>
    </xf>
    <xf numFmtId="44" fontId="1" fillId="0" borderId="5" xfId="2" applyFont="1" applyBorder="1"/>
    <xf numFmtId="44" fontId="1" fillId="0" borderId="7" xfId="2" applyFont="1" applyBorder="1"/>
    <xf numFmtId="44" fontId="8" fillId="10" borderId="0" xfId="0" applyNumberFormat="1" applyFont="1" applyFill="1"/>
    <xf numFmtId="10" fontId="0" fillId="0" borderId="0" xfId="4" applyNumberFormat="1" applyFont="1"/>
    <xf numFmtId="0" fontId="7" fillId="3" borderId="0" xfId="0" applyFont="1" applyFill="1" applyBorder="1" applyAlignment="1">
      <alignment horizontal="center" wrapText="1"/>
    </xf>
    <xf numFmtId="43" fontId="0" fillId="0" borderId="0" xfId="1" applyFont="1"/>
    <xf numFmtId="10" fontId="2" fillId="9" borderId="0" xfId="4" applyNumberFormat="1" applyFont="1" applyFill="1"/>
    <xf numFmtId="10" fontId="11" fillId="9" borderId="0" xfId="4" applyNumberFormat="1" applyFont="1" applyFill="1"/>
    <xf numFmtId="44" fontId="7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</cellXfs>
  <cellStyles count="17">
    <cellStyle name="Comma" xfId="1" builtinId="3"/>
    <cellStyle name="Comma 10" xfId="8" xr:uid="{64F91195-FE25-42CD-9556-FE4C457609A1}"/>
    <cellStyle name="Comma 12 2 3" xfId="14" xr:uid="{C9F6F13C-9D63-4CF2-9C19-03F8D8C09F54}"/>
    <cellStyle name="Comma 2" xfId="11" xr:uid="{72BEC5CC-2F9F-4FA0-9933-E394AF35743F}"/>
    <cellStyle name="Currency" xfId="2" builtinId="4"/>
    <cellStyle name="Currency 2" xfId="9" xr:uid="{27C0E0DB-A0D7-425B-A395-714017D9360D}"/>
    <cellStyle name="Currency 2 2" xfId="12" xr:uid="{7B9C465F-1B2B-4B04-8F30-86E58C04000F}"/>
    <cellStyle name="Normal" xfId="0" builtinId="0"/>
    <cellStyle name="Normal 10" xfId="15" xr:uid="{DD4E065D-9052-4C28-9DDA-EAF1F2A6BC21}"/>
    <cellStyle name="Normal 12 3" xfId="13" xr:uid="{B2174057-4B68-44FD-B9F6-B412BB06306E}"/>
    <cellStyle name="Normal 2" xfId="10" xr:uid="{9E842DE6-498F-4A94-BF1D-1339C46B2FCC}"/>
    <cellStyle name="Normal 21" xfId="7" xr:uid="{AD9132D8-2D37-4CC5-96A7-811134E3EC43}"/>
    <cellStyle name="Normal 90" xfId="6" xr:uid="{9E04665A-7950-477D-8EEC-904233E61ABB}"/>
    <cellStyle name="Normal_Price out" xfId="3" xr:uid="{862E1CDB-81C3-4FC7-A2C7-8E19820808C6}"/>
    <cellStyle name="Note 2" xfId="5" xr:uid="{8DCABC03-F376-4793-B27F-C76BCECB111B}"/>
    <cellStyle name="Percent" xfId="4" builtinId="5"/>
    <cellStyle name="Percent 2" xfId="16" xr:uid="{E75DD9B2-BB2C-4A31-84A9-53A8C943B821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2000%20Western%20Region%20Office\WUTC\WUTC-LeMay\General%20Rate%20Filing\Gray's%20Harbor%20Filed%206-15-21\Audit\FINAL\.Gray's%20Harbor%20GRC%20Pro%20forma%2003.31.2021%20(C)%20Non-Redacted%20F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149%20Mason%20County\2021\General%20Rate%20Filing\.Mason%20Pro%20forma11.30.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personal/jaclynn_simmons_utc_wa_gov/Documents/Local%20Computer%20Files/Documents/Solid%20Waste/WM%20Greater%20Wenatchee/TG-220333/03-Disposal%20Fee%20Rate%20Case%20workpapers_eff.%200701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6 IS (C)"/>
      <sheetName val="2187 IS (C)"/>
      <sheetName val="Master IS (C)"/>
      <sheetName val="LOB (C)"/>
      <sheetName val="Restating Adj (C)"/>
      <sheetName val="Pro forma Adj (C)"/>
      <sheetName val="Allocators (C)"/>
      <sheetName val="2186 Depreciation Summary (C)"/>
      <sheetName val="Grays Harbor Reg Price Out"/>
      <sheetName val="Payroll Summary (C)"/>
      <sheetName val="Rate Schedule"/>
      <sheetName val="2186 BS 3.2021 (C)"/>
      <sheetName val="2187 BS 3.2021 (C)"/>
      <sheetName val="2186_BS 4.2020 (C)"/>
      <sheetName val="2187_BS 4.2020 (C)"/>
      <sheetName val="LG BRG Public"/>
      <sheetName val="LG BRG Public - MSW"/>
      <sheetName val="LG BRG Public - Recycle"/>
      <sheetName val="Interject_LastPulledValues"/>
      <sheetName val="DVP-DivCon Allocs  (C)"/>
      <sheetName val="Region OH (C)"/>
      <sheetName val="Corp-OH (C)"/>
      <sheetName val="Corp IS-BS -2020"/>
      <sheetName val="COVID EXPENSES JE Query"/>
      <sheetName val="70255 JE Query"/>
      <sheetName val="Insurance Claims JE Query"/>
      <sheetName val="70195 - Dues &amp; Subs JE Query"/>
      <sheetName val="Sale of Assets JE Query"/>
      <sheetName val="401k Accts JE Query"/>
      <sheetName val="2186 43001 JE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J20">
            <v>297548.43680074485</v>
          </cell>
        </row>
      </sheetData>
      <sheetData sheetId="17">
        <row r="20">
          <cell r="J20">
            <v>-31578.017917077872</v>
          </cell>
        </row>
      </sheetData>
      <sheetData sheetId="18"/>
      <sheetData sheetId="19"/>
      <sheetData sheetId="20"/>
      <sheetData sheetId="21"/>
      <sheetData sheetId="22"/>
      <sheetData sheetId="23">
        <row r="561">
          <cell r="H561">
            <v>35325.345000123409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alcs"/>
    </sheetNames>
    <sheetDataSet>
      <sheetData sheetId="0" refreshError="1"/>
      <sheetData sheetId="1">
        <row r="112">
          <cell r="F112">
            <v>0.71091267901182842</v>
          </cell>
          <cell r="G112">
            <v>0.28908732098817164</v>
          </cell>
        </row>
        <row r="114">
          <cell r="F114">
            <v>12225.6</v>
          </cell>
          <cell r="G114">
            <v>2671.72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5BE5-9CE8-494B-8CBC-F0A4F071713C}">
  <sheetPr>
    <tabColor theme="9" tint="-0.249977111117893"/>
    <pageSetUpPr fitToPage="1"/>
  </sheetPr>
  <dimension ref="A1:I79"/>
  <sheetViews>
    <sheetView zoomScale="140" zoomScaleNormal="140" workbookViewId="0">
      <selection activeCell="C56" sqref="C56"/>
    </sheetView>
  </sheetViews>
  <sheetFormatPr defaultRowHeight="15" x14ac:dyDescent="0.25"/>
  <cols>
    <col min="1" max="1" width="36.42578125" customWidth="1"/>
    <col min="2" max="2" width="16.7109375" customWidth="1"/>
    <col min="3" max="3" width="15.5703125" customWidth="1"/>
    <col min="4" max="5" width="12.5703125" bestFit="1" customWidth="1"/>
    <col min="6" max="6" width="12.42578125" customWidth="1"/>
    <col min="7" max="7" width="10.7109375" customWidth="1"/>
    <col min="257" max="257" width="36.42578125" customWidth="1"/>
    <col min="258" max="258" width="16.7109375" customWidth="1"/>
    <col min="259" max="259" width="15.5703125" customWidth="1"/>
    <col min="260" max="261" width="12.5703125" bestFit="1" customWidth="1"/>
    <col min="262" max="262" width="12.42578125" customWidth="1"/>
    <col min="263" max="263" width="10.7109375" customWidth="1"/>
    <col min="513" max="513" width="36.42578125" customWidth="1"/>
    <col min="514" max="514" width="16.7109375" customWidth="1"/>
    <col min="515" max="515" width="15.5703125" customWidth="1"/>
    <col min="516" max="517" width="12.5703125" bestFit="1" customWidth="1"/>
    <col min="518" max="518" width="12.42578125" customWidth="1"/>
    <col min="519" max="519" width="10.7109375" customWidth="1"/>
    <col min="769" max="769" width="36.42578125" customWidth="1"/>
    <col min="770" max="770" width="16.7109375" customWidth="1"/>
    <col min="771" max="771" width="15.5703125" customWidth="1"/>
    <col min="772" max="773" width="12.5703125" bestFit="1" customWidth="1"/>
    <col min="774" max="774" width="12.42578125" customWidth="1"/>
    <col min="775" max="775" width="10.7109375" customWidth="1"/>
    <col min="1025" max="1025" width="36.42578125" customWidth="1"/>
    <col min="1026" max="1026" width="16.7109375" customWidth="1"/>
    <col min="1027" max="1027" width="15.5703125" customWidth="1"/>
    <col min="1028" max="1029" width="12.5703125" bestFit="1" customWidth="1"/>
    <col min="1030" max="1030" width="12.42578125" customWidth="1"/>
    <col min="1031" max="1031" width="10.7109375" customWidth="1"/>
    <col min="1281" max="1281" width="36.42578125" customWidth="1"/>
    <col min="1282" max="1282" width="16.7109375" customWidth="1"/>
    <col min="1283" max="1283" width="15.5703125" customWidth="1"/>
    <col min="1284" max="1285" width="12.5703125" bestFit="1" customWidth="1"/>
    <col min="1286" max="1286" width="12.42578125" customWidth="1"/>
    <col min="1287" max="1287" width="10.7109375" customWidth="1"/>
    <col min="1537" max="1537" width="36.42578125" customWidth="1"/>
    <col min="1538" max="1538" width="16.7109375" customWidth="1"/>
    <col min="1539" max="1539" width="15.5703125" customWidth="1"/>
    <col min="1540" max="1541" width="12.5703125" bestFit="1" customWidth="1"/>
    <col min="1542" max="1542" width="12.42578125" customWidth="1"/>
    <col min="1543" max="1543" width="10.7109375" customWidth="1"/>
    <col min="1793" max="1793" width="36.42578125" customWidth="1"/>
    <col min="1794" max="1794" width="16.7109375" customWidth="1"/>
    <col min="1795" max="1795" width="15.5703125" customWidth="1"/>
    <col min="1796" max="1797" width="12.5703125" bestFit="1" customWidth="1"/>
    <col min="1798" max="1798" width="12.42578125" customWidth="1"/>
    <col min="1799" max="1799" width="10.7109375" customWidth="1"/>
    <col min="2049" max="2049" width="36.42578125" customWidth="1"/>
    <col min="2050" max="2050" width="16.7109375" customWidth="1"/>
    <col min="2051" max="2051" width="15.5703125" customWidth="1"/>
    <col min="2052" max="2053" width="12.5703125" bestFit="1" customWidth="1"/>
    <col min="2054" max="2054" width="12.42578125" customWidth="1"/>
    <col min="2055" max="2055" width="10.7109375" customWidth="1"/>
    <col min="2305" max="2305" width="36.42578125" customWidth="1"/>
    <col min="2306" max="2306" width="16.7109375" customWidth="1"/>
    <col min="2307" max="2307" width="15.5703125" customWidth="1"/>
    <col min="2308" max="2309" width="12.5703125" bestFit="1" customWidth="1"/>
    <col min="2310" max="2310" width="12.42578125" customWidth="1"/>
    <col min="2311" max="2311" width="10.7109375" customWidth="1"/>
    <col min="2561" max="2561" width="36.42578125" customWidth="1"/>
    <col min="2562" max="2562" width="16.7109375" customWidth="1"/>
    <col min="2563" max="2563" width="15.5703125" customWidth="1"/>
    <col min="2564" max="2565" width="12.5703125" bestFit="1" customWidth="1"/>
    <col min="2566" max="2566" width="12.42578125" customWidth="1"/>
    <col min="2567" max="2567" width="10.7109375" customWidth="1"/>
    <col min="2817" max="2817" width="36.42578125" customWidth="1"/>
    <col min="2818" max="2818" width="16.7109375" customWidth="1"/>
    <col min="2819" max="2819" width="15.5703125" customWidth="1"/>
    <col min="2820" max="2821" width="12.5703125" bestFit="1" customWidth="1"/>
    <col min="2822" max="2822" width="12.42578125" customWidth="1"/>
    <col min="2823" max="2823" width="10.7109375" customWidth="1"/>
    <col min="3073" max="3073" width="36.42578125" customWidth="1"/>
    <col min="3074" max="3074" width="16.7109375" customWidth="1"/>
    <col min="3075" max="3075" width="15.5703125" customWidth="1"/>
    <col min="3076" max="3077" width="12.5703125" bestFit="1" customWidth="1"/>
    <col min="3078" max="3078" width="12.42578125" customWidth="1"/>
    <col min="3079" max="3079" width="10.7109375" customWidth="1"/>
    <col min="3329" max="3329" width="36.42578125" customWidth="1"/>
    <col min="3330" max="3330" width="16.7109375" customWidth="1"/>
    <col min="3331" max="3331" width="15.5703125" customWidth="1"/>
    <col min="3332" max="3333" width="12.5703125" bestFit="1" customWidth="1"/>
    <col min="3334" max="3334" width="12.42578125" customWidth="1"/>
    <col min="3335" max="3335" width="10.7109375" customWidth="1"/>
    <col min="3585" max="3585" width="36.42578125" customWidth="1"/>
    <col min="3586" max="3586" width="16.7109375" customWidth="1"/>
    <col min="3587" max="3587" width="15.5703125" customWidth="1"/>
    <col min="3588" max="3589" width="12.5703125" bestFit="1" customWidth="1"/>
    <col min="3590" max="3590" width="12.42578125" customWidth="1"/>
    <col min="3591" max="3591" width="10.7109375" customWidth="1"/>
    <col min="3841" max="3841" width="36.42578125" customWidth="1"/>
    <col min="3842" max="3842" width="16.7109375" customWidth="1"/>
    <col min="3843" max="3843" width="15.5703125" customWidth="1"/>
    <col min="3844" max="3845" width="12.5703125" bestFit="1" customWidth="1"/>
    <col min="3846" max="3846" width="12.42578125" customWidth="1"/>
    <col min="3847" max="3847" width="10.7109375" customWidth="1"/>
    <col min="4097" max="4097" width="36.42578125" customWidth="1"/>
    <col min="4098" max="4098" width="16.7109375" customWidth="1"/>
    <col min="4099" max="4099" width="15.5703125" customWidth="1"/>
    <col min="4100" max="4101" width="12.5703125" bestFit="1" customWidth="1"/>
    <col min="4102" max="4102" width="12.42578125" customWidth="1"/>
    <col min="4103" max="4103" width="10.7109375" customWidth="1"/>
    <col min="4353" max="4353" width="36.42578125" customWidth="1"/>
    <col min="4354" max="4354" width="16.7109375" customWidth="1"/>
    <col min="4355" max="4355" width="15.5703125" customWidth="1"/>
    <col min="4356" max="4357" width="12.5703125" bestFit="1" customWidth="1"/>
    <col min="4358" max="4358" width="12.42578125" customWidth="1"/>
    <col min="4359" max="4359" width="10.7109375" customWidth="1"/>
    <col min="4609" max="4609" width="36.42578125" customWidth="1"/>
    <col min="4610" max="4610" width="16.7109375" customWidth="1"/>
    <col min="4611" max="4611" width="15.5703125" customWidth="1"/>
    <col min="4612" max="4613" width="12.5703125" bestFit="1" customWidth="1"/>
    <col min="4614" max="4614" width="12.42578125" customWidth="1"/>
    <col min="4615" max="4615" width="10.7109375" customWidth="1"/>
    <col min="4865" max="4865" width="36.42578125" customWidth="1"/>
    <col min="4866" max="4866" width="16.7109375" customWidth="1"/>
    <col min="4867" max="4867" width="15.5703125" customWidth="1"/>
    <col min="4868" max="4869" width="12.5703125" bestFit="1" customWidth="1"/>
    <col min="4870" max="4870" width="12.42578125" customWidth="1"/>
    <col min="4871" max="4871" width="10.7109375" customWidth="1"/>
    <col min="5121" max="5121" width="36.42578125" customWidth="1"/>
    <col min="5122" max="5122" width="16.7109375" customWidth="1"/>
    <col min="5123" max="5123" width="15.5703125" customWidth="1"/>
    <col min="5124" max="5125" width="12.5703125" bestFit="1" customWidth="1"/>
    <col min="5126" max="5126" width="12.42578125" customWidth="1"/>
    <col min="5127" max="5127" width="10.7109375" customWidth="1"/>
    <col min="5377" max="5377" width="36.42578125" customWidth="1"/>
    <col min="5378" max="5378" width="16.7109375" customWidth="1"/>
    <col min="5379" max="5379" width="15.5703125" customWidth="1"/>
    <col min="5380" max="5381" width="12.5703125" bestFit="1" customWidth="1"/>
    <col min="5382" max="5382" width="12.42578125" customWidth="1"/>
    <col min="5383" max="5383" width="10.7109375" customWidth="1"/>
    <col min="5633" max="5633" width="36.42578125" customWidth="1"/>
    <col min="5634" max="5634" width="16.7109375" customWidth="1"/>
    <col min="5635" max="5635" width="15.5703125" customWidth="1"/>
    <col min="5636" max="5637" width="12.5703125" bestFit="1" customWidth="1"/>
    <col min="5638" max="5638" width="12.42578125" customWidth="1"/>
    <col min="5639" max="5639" width="10.7109375" customWidth="1"/>
    <col min="5889" max="5889" width="36.42578125" customWidth="1"/>
    <col min="5890" max="5890" width="16.7109375" customWidth="1"/>
    <col min="5891" max="5891" width="15.5703125" customWidth="1"/>
    <col min="5892" max="5893" width="12.5703125" bestFit="1" customWidth="1"/>
    <col min="5894" max="5894" width="12.42578125" customWidth="1"/>
    <col min="5895" max="5895" width="10.7109375" customWidth="1"/>
    <col min="6145" max="6145" width="36.42578125" customWidth="1"/>
    <col min="6146" max="6146" width="16.7109375" customWidth="1"/>
    <col min="6147" max="6147" width="15.5703125" customWidth="1"/>
    <col min="6148" max="6149" width="12.5703125" bestFit="1" customWidth="1"/>
    <col min="6150" max="6150" width="12.42578125" customWidth="1"/>
    <col min="6151" max="6151" width="10.7109375" customWidth="1"/>
    <col min="6401" max="6401" width="36.42578125" customWidth="1"/>
    <col min="6402" max="6402" width="16.7109375" customWidth="1"/>
    <col min="6403" max="6403" width="15.5703125" customWidth="1"/>
    <col min="6404" max="6405" width="12.5703125" bestFit="1" customWidth="1"/>
    <col min="6406" max="6406" width="12.42578125" customWidth="1"/>
    <col min="6407" max="6407" width="10.7109375" customWidth="1"/>
    <col min="6657" max="6657" width="36.42578125" customWidth="1"/>
    <col min="6658" max="6658" width="16.7109375" customWidth="1"/>
    <col min="6659" max="6659" width="15.5703125" customWidth="1"/>
    <col min="6660" max="6661" width="12.5703125" bestFit="1" customWidth="1"/>
    <col min="6662" max="6662" width="12.42578125" customWidth="1"/>
    <col min="6663" max="6663" width="10.7109375" customWidth="1"/>
    <col min="6913" max="6913" width="36.42578125" customWidth="1"/>
    <col min="6914" max="6914" width="16.7109375" customWidth="1"/>
    <col min="6915" max="6915" width="15.5703125" customWidth="1"/>
    <col min="6916" max="6917" width="12.5703125" bestFit="1" customWidth="1"/>
    <col min="6918" max="6918" width="12.42578125" customWidth="1"/>
    <col min="6919" max="6919" width="10.7109375" customWidth="1"/>
    <col min="7169" max="7169" width="36.42578125" customWidth="1"/>
    <col min="7170" max="7170" width="16.7109375" customWidth="1"/>
    <col min="7171" max="7171" width="15.5703125" customWidth="1"/>
    <col min="7172" max="7173" width="12.5703125" bestFit="1" customWidth="1"/>
    <col min="7174" max="7174" width="12.42578125" customWidth="1"/>
    <col min="7175" max="7175" width="10.7109375" customWidth="1"/>
    <col min="7425" max="7425" width="36.42578125" customWidth="1"/>
    <col min="7426" max="7426" width="16.7109375" customWidth="1"/>
    <col min="7427" max="7427" width="15.5703125" customWidth="1"/>
    <col min="7428" max="7429" width="12.5703125" bestFit="1" customWidth="1"/>
    <col min="7430" max="7430" width="12.42578125" customWidth="1"/>
    <col min="7431" max="7431" width="10.7109375" customWidth="1"/>
    <col min="7681" max="7681" width="36.42578125" customWidth="1"/>
    <col min="7682" max="7682" width="16.7109375" customWidth="1"/>
    <col min="7683" max="7683" width="15.5703125" customWidth="1"/>
    <col min="7684" max="7685" width="12.5703125" bestFit="1" customWidth="1"/>
    <col min="7686" max="7686" width="12.42578125" customWidth="1"/>
    <col min="7687" max="7687" width="10.7109375" customWidth="1"/>
    <col min="7937" max="7937" width="36.42578125" customWidth="1"/>
    <col min="7938" max="7938" width="16.7109375" customWidth="1"/>
    <col min="7939" max="7939" width="15.5703125" customWidth="1"/>
    <col min="7940" max="7941" width="12.5703125" bestFit="1" customWidth="1"/>
    <col min="7942" max="7942" width="12.42578125" customWidth="1"/>
    <col min="7943" max="7943" width="10.7109375" customWidth="1"/>
    <col min="8193" max="8193" width="36.42578125" customWidth="1"/>
    <col min="8194" max="8194" width="16.7109375" customWidth="1"/>
    <col min="8195" max="8195" width="15.5703125" customWidth="1"/>
    <col min="8196" max="8197" width="12.5703125" bestFit="1" customWidth="1"/>
    <col min="8198" max="8198" width="12.42578125" customWidth="1"/>
    <col min="8199" max="8199" width="10.7109375" customWidth="1"/>
    <col min="8449" max="8449" width="36.42578125" customWidth="1"/>
    <col min="8450" max="8450" width="16.7109375" customWidth="1"/>
    <col min="8451" max="8451" width="15.5703125" customWidth="1"/>
    <col min="8452" max="8453" width="12.5703125" bestFit="1" customWidth="1"/>
    <col min="8454" max="8454" width="12.42578125" customWidth="1"/>
    <col min="8455" max="8455" width="10.7109375" customWidth="1"/>
    <col min="8705" max="8705" width="36.42578125" customWidth="1"/>
    <col min="8706" max="8706" width="16.7109375" customWidth="1"/>
    <col min="8707" max="8707" width="15.5703125" customWidth="1"/>
    <col min="8708" max="8709" width="12.5703125" bestFit="1" customWidth="1"/>
    <col min="8710" max="8710" width="12.42578125" customWidth="1"/>
    <col min="8711" max="8711" width="10.7109375" customWidth="1"/>
    <col min="8961" max="8961" width="36.42578125" customWidth="1"/>
    <col min="8962" max="8962" width="16.7109375" customWidth="1"/>
    <col min="8963" max="8963" width="15.5703125" customWidth="1"/>
    <col min="8964" max="8965" width="12.5703125" bestFit="1" customWidth="1"/>
    <col min="8966" max="8966" width="12.42578125" customWidth="1"/>
    <col min="8967" max="8967" width="10.7109375" customWidth="1"/>
    <col min="9217" max="9217" width="36.42578125" customWidth="1"/>
    <col min="9218" max="9218" width="16.7109375" customWidth="1"/>
    <col min="9219" max="9219" width="15.5703125" customWidth="1"/>
    <col min="9220" max="9221" width="12.5703125" bestFit="1" customWidth="1"/>
    <col min="9222" max="9222" width="12.42578125" customWidth="1"/>
    <col min="9223" max="9223" width="10.7109375" customWidth="1"/>
    <col min="9473" max="9473" width="36.42578125" customWidth="1"/>
    <col min="9474" max="9474" width="16.7109375" customWidth="1"/>
    <col min="9475" max="9475" width="15.5703125" customWidth="1"/>
    <col min="9476" max="9477" width="12.5703125" bestFit="1" customWidth="1"/>
    <col min="9478" max="9478" width="12.42578125" customWidth="1"/>
    <col min="9479" max="9479" width="10.7109375" customWidth="1"/>
    <col min="9729" max="9729" width="36.42578125" customWidth="1"/>
    <col min="9730" max="9730" width="16.7109375" customWidth="1"/>
    <col min="9731" max="9731" width="15.5703125" customWidth="1"/>
    <col min="9732" max="9733" width="12.5703125" bestFit="1" customWidth="1"/>
    <col min="9734" max="9734" width="12.42578125" customWidth="1"/>
    <col min="9735" max="9735" width="10.7109375" customWidth="1"/>
    <col min="9985" max="9985" width="36.42578125" customWidth="1"/>
    <col min="9986" max="9986" width="16.7109375" customWidth="1"/>
    <col min="9987" max="9987" width="15.5703125" customWidth="1"/>
    <col min="9988" max="9989" width="12.5703125" bestFit="1" customWidth="1"/>
    <col min="9990" max="9990" width="12.42578125" customWidth="1"/>
    <col min="9991" max="9991" width="10.7109375" customWidth="1"/>
    <col min="10241" max="10241" width="36.42578125" customWidth="1"/>
    <col min="10242" max="10242" width="16.7109375" customWidth="1"/>
    <col min="10243" max="10243" width="15.5703125" customWidth="1"/>
    <col min="10244" max="10245" width="12.5703125" bestFit="1" customWidth="1"/>
    <col min="10246" max="10246" width="12.42578125" customWidth="1"/>
    <col min="10247" max="10247" width="10.7109375" customWidth="1"/>
    <col min="10497" max="10497" width="36.42578125" customWidth="1"/>
    <col min="10498" max="10498" width="16.7109375" customWidth="1"/>
    <col min="10499" max="10499" width="15.5703125" customWidth="1"/>
    <col min="10500" max="10501" width="12.5703125" bestFit="1" customWidth="1"/>
    <col min="10502" max="10502" width="12.42578125" customWidth="1"/>
    <col min="10503" max="10503" width="10.7109375" customWidth="1"/>
    <col min="10753" max="10753" width="36.42578125" customWidth="1"/>
    <col min="10754" max="10754" width="16.7109375" customWidth="1"/>
    <col min="10755" max="10755" width="15.5703125" customWidth="1"/>
    <col min="10756" max="10757" width="12.5703125" bestFit="1" customWidth="1"/>
    <col min="10758" max="10758" width="12.42578125" customWidth="1"/>
    <col min="10759" max="10759" width="10.7109375" customWidth="1"/>
    <col min="11009" max="11009" width="36.42578125" customWidth="1"/>
    <col min="11010" max="11010" width="16.7109375" customWidth="1"/>
    <col min="11011" max="11011" width="15.5703125" customWidth="1"/>
    <col min="11012" max="11013" width="12.5703125" bestFit="1" customWidth="1"/>
    <col min="11014" max="11014" width="12.42578125" customWidth="1"/>
    <col min="11015" max="11015" width="10.7109375" customWidth="1"/>
    <col min="11265" max="11265" width="36.42578125" customWidth="1"/>
    <col min="11266" max="11266" width="16.7109375" customWidth="1"/>
    <col min="11267" max="11267" width="15.5703125" customWidth="1"/>
    <col min="11268" max="11269" width="12.5703125" bestFit="1" customWidth="1"/>
    <col min="11270" max="11270" width="12.42578125" customWidth="1"/>
    <col min="11271" max="11271" width="10.7109375" customWidth="1"/>
    <col min="11521" max="11521" width="36.42578125" customWidth="1"/>
    <col min="11522" max="11522" width="16.7109375" customWidth="1"/>
    <col min="11523" max="11523" width="15.5703125" customWidth="1"/>
    <col min="11524" max="11525" width="12.5703125" bestFit="1" customWidth="1"/>
    <col min="11526" max="11526" width="12.42578125" customWidth="1"/>
    <col min="11527" max="11527" width="10.7109375" customWidth="1"/>
    <col min="11777" max="11777" width="36.42578125" customWidth="1"/>
    <col min="11778" max="11778" width="16.7109375" customWidth="1"/>
    <col min="11779" max="11779" width="15.5703125" customWidth="1"/>
    <col min="11780" max="11781" width="12.5703125" bestFit="1" customWidth="1"/>
    <col min="11782" max="11782" width="12.42578125" customWidth="1"/>
    <col min="11783" max="11783" width="10.7109375" customWidth="1"/>
    <col min="12033" max="12033" width="36.42578125" customWidth="1"/>
    <col min="12034" max="12034" width="16.7109375" customWidth="1"/>
    <col min="12035" max="12035" width="15.5703125" customWidth="1"/>
    <col min="12036" max="12037" width="12.5703125" bestFit="1" customWidth="1"/>
    <col min="12038" max="12038" width="12.42578125" customWidth="1"/>
    <col min="12039" max="12039" width="10.7109375" customWidth="1"/>
    <col min="12289" max="12289" width="36.42578125" customWidth="1"/>
    <col min="12290" max="12290" width="16.7109375" customWidth="1"/>
    <col min="12291" max="12291" width="15.5703125" customWidth="1"/>
    <col min="12292" max="12293" width="12.5703125" bestFit="1" customWidth="1"/>
    <col min="12294" max="12294" width="12.42578125" customWidth="1"/>
    <col min="12295" max="12295" width="10.7109375" customWidth="1"/>
    <col min="12545" max="12545" width="36.42578125" customWidth="1"/>
    <col min="12546" max="12546" width="16.7109375" customWidth="1"/>
    <col min="12547" max="12547" width="15.5703125" customWidth="1"/>
    <col min="12548" max="12549" width="12.5703125" bestFit="1" customWidth="1"/>
    <col min="12550" max="12550" width="12.42578125" customWidth="1"/>
    <col min="12551" max="12551" width="10.7109375" customWidth="1"/>
    <col min="12801" max="12801" width="36.42578125" customWidth="1"/>
    <col min="12802" max="12802" width="16.7109375" customWidth="1"/>
    <col min="12803" max="12803" width="15.5703125" customWidth="1"/>
    <col min="12804" max="12805" width="12.5703125" bestFit="1" customWidth="1"/>
    <col min="12806" max="12806" width="12.42578125" customWidth="1"/>
    <col min="12807" max="12807" width="10.7109375" customWidth="1"/>
    <col min="13057" max="13057" width="36.42578125" customWidth="1"/>
    <col min="13058" max="13058" width="16.7109375" customWidth="1"/>
    <col min="13059" max="13059" width="15.5703125" customWidth="1"/>
    <col min="13060" max="13061" width="12.5703125" bestFit="1" customWidth="1"/>
    <col min="13062" max="13062" width="12.42578125" customWidth="1"/>
    <col min="13063" max="13063" width="10.7109375" customWidth="1"/>
    <col min="13313" max="13313" width="36.42578125" customWidth="1"/>
    <col min="13314" max="13314" width="16.7109375" customWidth="1"/>
    <col min="13315" max="13315" width="15.5703125" customWidth="1"/>
    <col min="13316" max="13317" width="12.5703125" bestFit="1" customWidth="1"/>
    <col min="13318" max="13318" width="12.42578125" customWidth="1"/>
    <col min="13319" max="13319" width="10.7109375" customWidth="1"/>
    <col min="13569" max="13569" width="36.42578125" customWidth="1"/>
    <col min="13570" max="13570" width="16.7109375" customWidth="1"/>
    <col min="13571" max="13571" width="15.5703125" customWidth="1"/>
    <col min="13572" max="13573" width="12.5703125" bestFit="1" customWidth="1"/>
    <col min="13574" max="13574" width="12.42578125" customWidth="1"/>
    <col min="13575" max="13575" width="10.7109375" customWidth="1"/>
    <col min="13825" max="13825" width="36.42578125" customWidth="1"/>
    <col min="13826" max="13826" width="16.7109375" customWidth="1"/>
    <col min="13827" max="13827" width="15.5703125" customWidth="1"/>
    <col min="13828" max="13829" width="12.5703125" bestFit="1" customWidth="1"/>
    <col min="13830" max="13830" width="12.42578125" customWidth="1"/>
    <col min="13831" max="13831" width="10.7109375" customWidth="1"/>
    <col min="14081" max="14081" width="36.42578125" customWidth="1"/>
    <col min="14082" max="14082" width="16.7109375" customWidth="1"/>
    <col min="14083" max="14083" width="15.5703125" customWidth="1"/>
    <col min="14084" max="14085" width="12.5703125" bestFit="1" customWidth="1"/>
    <col min="14086" max="14086" width="12.42578125" customWidth="1"/>
    <col min="14087" max="14087" width="10.7109375" customWidth="1"/>
    <col min="14337" max="14337" width="36.42578125" customWidth="1"/>
    <col min="14338" max="14338" width="16.7109375" customWidth="1"/>
    <col min="14339" max="14339" width="15.5703125" customWidth="1"/>
    <col min="14340" max="14341" width="12.5703125" bestFit="1" customWidth="1"/>
    <col min="14342" max="14342" width="12.42578125" customWidth="1"/>
    <col min="14343" max="14343" width="10.7109375" customWidth="1"/>
    <col min="14593" max="14593" width="36.42578125" customWidth="1"/>
    <col min="14594" max="14594" width="16.7109375" customWidth="1"/>
    <col min="14595" max="14595" width="15.5703125" customWidth="1"/>
    <col min="14596" max="14597" width="12.5703125" bestFit="1" customWidth="1"/>
    <col min="14598" max="14598" width="12.42578125" customWidth="1"/>
    <col min="14599" max="14599" width="10.7109375" customWidth="1"/>
    <col min="14849" max="14849" width="36.42578125" customWidth="1"/>
    <col min="14850" max="14850" width="16.7109375" customWidth="1"/>
    <col min="14851" max="14851" width="15.5703125" customWidth="1"/>
    <col min="14852" max="14853" width="12.5703125" bestFit="1" customWidth="1"/>
    <col min="14854" max="14854" width="12.42578125" customWidth="1"/>
    <col min="14855" max="14855" width="10.7109375" customWidth="1"/>
    <col min="15105" max="15105" width="36.42578125" customWidth="1"/>
    <col min="15106" max="15106" width="16.7109375" customWidth="1"/>
    <col min="15107" max="15107" width="15.5703125" customWidth="1"/>
    <col min="15108" max="15109" width="12.5703125" bestFit="1" customWidth="1"/>
    <col min="15110" max="15110" width="12.42578125" customWidth="1"/>
    <col min="15111" max="15111" width="10.7109375" customWidth="1"/>
    <col min="15361" max="15361" width="36.42578125" customWidth="1"/>
    <col min="15362" max="15362" width="16.7109375" customWidth="1"/>
    <col min="15363" max="15363" width="15.5703125" customWidth="1"/>
    <col min="15364" max="15365" width="12.5703125" bestFit="1" customWidth="1"/>
    <col min="15366" max="15366" width="12.42578125" customWidth="1"/>
    <col min="15367" max="15367" width="10.7109375" customWidth="1"/>
    <col min="15617" max="15617" width="36.42578125" customWidth="1"/>
    <col min="15618" max="15618" width="16.7109375" customWidth="1"/>
    <col min="15619" max="15619" width="15.5703125" customWidth="1"/>
    <col min="15620" max="15621" width="12.5703125" bestFit="1" customWidth="1"/>
    <col min="15622" max="15622" width="12.42578125" customWidth="1"/>
    <col min="15623" max="15623" width="10.7109375" customWidth="1"/>
    <col min="15873" max="15873" width="36.42578125" customWidth="1"/>
    <col min="15874" max="15874" width="16.7109375" customWidth="1"/>
    <col min="15875" max="15875" width="15.5703125" customWidth="1"/>
    <col min="15876" max="15877" width="12.5703125" bestFit="1" customWidth="1"/>
    <col min="15878" max="15878" width="12.42578125" customWidth="1"/>
    <col min="15879" max="15879" width="10.7109375" customWidth="1"/>
    <col min="16129" max="16129" width="36.42578125" customWidth="1"/>
    <col min="16130" max="16130" width="16.7109375" customWidth="1"/>
    <col min="16131" max="16131" width="15.5703125" customWidth="1"/>
    <col min="16132" max="16133" width="12.5703125" bestFit="1" customWidth="1"/>
    <col min="16134" max="16134" width="12.42578125" customWidth="1"/>
    <col min="16135" max="16135" width="10.7109375" customWidth="1"/>
  </cols>
  <sheetData>
    <row r="1" spans="1:8" x14ac:dyDescent="0.25">
      <c r="A1" s="128" t="s">
        <v>13</v>
      </c>
      <c r="B1" s="128"/>
      <c r="C1" s="128"/>
      <c r="D1" s="128"/>
      <c r="E1" s="128"/>
      <c r="F1" s="128"/>
      <c r="G1" s="128"/>
      <c r="H1" s="128"/>
    </row>
    <row r="2" spans="1:8" x14ac:dyDescent="0.25">
      <c r="A2" t="s">
        <v>14</v>
      </c>
      <c r="B2" s="39" t="s">
        <v>15</v>
      </c>
      <c r="C2" s="39" t="s">
        <v>16</v>
      </c>
      <c r="D2" s="39" t="s">
        <v>17</v>
      </c>
      <c r="E2" s="39" t="s">
        <v>18</v>
      </c>
      <c r="F2" s="39" t="s">
        <v>19</v>
      </c>
      <c r="G2" s="39" t="s">
        <v>20</v>
      </c>
      <c r="H2" s="39" t="s">
        <v>21</v>
      </c>
    </row>
    <row r="3" spans="1:8" x14ac:dyDescent="0.25">
      <c r="A3" t="s">
        <v>22</v>
      </c>
      <c r="B3" s="95">
        <f>52*5/12</f>
        <v>21.666666666666668</v>
      </c>
      <c r="C3" s="38">
        <f>$B$3*2</f>
        <v>43.333333333333336</v>
      </c>
      <c r="D3" s="38">
        <f>$B$3*3</f>
        <v>65</v>
      </c>
      <c r="E3" s="38">
        <f>$B$3*4</f>
        <v>86.666666666666671</v>
      </c>
      <c r="F3" s="38">
        <f>$B$3*5</f>
        <v>108.33333333333334</v>
      </c>
      <c r="G3" s="38">
        <f>$B$3*6</f>
        <v>130</v>
      </c>
      <c r="H3" s="38">
        <f>$B$3*7</f>
        <v>151.66666666666669</v>
      </c>
    </row>
    <row r="4" spans="1:8" x14ac:dyDescent="0.25">
      <c r="A4" t="s">
        <v>23</v>
      </c>
      <c r="B4" s="95">
        <f>52*4/12</f>
        <v>17.333333333333332</v>
      </c>
      <c r="C4" s="38">
        <f>$B$4*2</f>
        <v>34.666666666666664</v>
      </c>
      <c r="D4" s="38">
        <f>$B$4*3</f>
        <v>52</v>
      </c>
      <c r="E4" s="38">
        <f>$B$4*4</f>
        <v>69.333333333333329</v>
      </c>
      <c r="F4" s="38">
        <f>$B$4*5</f>
        <v>86.666666666666657</v>
      </c>
      <c r="G4" s="38">
        <f>$B$4*6</f>
        <v>104</v>
      </c>
      <c r="H4" s="38">
        <f>$B$4*7</f>
        <v>121.33333333333333</v>
      </c>
    </row>
    <row r="5" spans="1:8" x14ac:dyDescent="0.25">
      <c r="A5" t="s">
        <v>24</v>
      </c>
      <c r="B5" s="95">
        <f>52*3/12</f>
        <v>13</v>
      </c>
      <c r="C5" s="38">
        <f>$B$5*2</f>
        <v>26</v>
      </c>
      <c r="D5" s="38">
        <f>$B$5*3</f>
        <v>39</v>
      </c>
      <c r="E5" s="38">
        <f>$B$5*4</f>
        <v>52</v>
      </c>
      <c r="F5" s="38">
        <f>$B$5*5</f>
        <v>65</v>
      </c>
      <c r="G5" s="38">
        <f>$B$5*6</f>
        <v>78</v>
      </c>
      <c r="H5" s="38">
        <f>$B$5*7</f>
        <v>91</v>
      </c>
    </row>
    <row r="6" spans="1:8" x14ac:dyDescent="0.25">
      <c r="A6" t="s">
        <v>25</v>
      </c>
      <c r="B6" s="95">
        <f>52*2/12</f>
        <v>8.6666666666666661</v>
      </c>
      <c r="C6" s="2">
        <f>$B$6*2</f>
        <v>17.333333333333332</v>
      </c>
      <c r="D6" s="2">
        <f>$B$6*3</f>
        <v>26</v>
      </c>
      <c r="E6" s="2">
        <f>$B$6*4</f>
        <v>34.666666666666664</v>
      </c>
      <c r="F6" s="2">
        <f>$B$6*5</f>
        <v>43.333333333333329</v>
      </c>
      <c r="G6" s="2">
        <f>$B$6*6</f>
        <v>52</v>
      </c>
      <c r="H6" s="2">
        <f>$B$6*7</f>
        <v>60.666666666666664</v>
      </c>
    </row>
    <row r="7" spans="1:8" x14ac:dyDescent="0.25">
      <c r="A7" t="s">
        <v>26</v>
      </c>
      <c r="B7" s="95">
        <f>52/12</f>
        <v>4.333333333333333</v>
      </c>
      <c r="C7" s="2">
        <f>$B$7*2</f>
        <v>8.6666666666666661</v>
      </c>
      <c r="D7" s="2">
        <f>$B$7*3</f>
        <v>13</v>
      </c>
      <c r="E7" s="2">
        <f>$B$7*4</f>
        <v>17.333333333333332</v>
      </c>
      <c r="F7" s="2">
        <f>$B$7*5</f>
        <v>21.666666666666664</v>
      </c>
      <c r="G7" s="2">
        <f>$B$7*6</f>
        <v>26</v>
      </c>
      <c r="H7" s="2">
        <f>$B$7*7</f>
        <v>30.333333333333332</v>
      </c>
    </row>
    <row r="8" spans="1:8" x14ac:dyDescent="0.25">
      <c r="A8" t="s">
        <v>27</v>
      </c>
      <c r="B8" s="95">
        <f>26/12</f>
        <v>2.1666666666666665</v>
      </c>
      <c r="C8" s="2">
        <f>$B$8*2</f>
        <v>4.333333333333333</v>
      </c>
      <c r="D8" s="2">
        <f>$B$8*3</f>
        <v>6.5</v>
      </c>
      <c r="E8" s="2">
        <f>$B$8*4</f>
        <v>8.6666666666666661</v>
      </c>
      <c r="F8" s="2">
        <f>$B$8*5</f>
        <v>10.833333333333332</v>
      </c>
      <c r="G8" s="2">
        <f>$B$8*6</f>
        <v>13</v>
      </c>
      <c r="H8" s="2">
        <f>$B$8*7</f>
        <v>15.166666666666666</v>
      </c>
    </row>
    <row r="9" spans="1:8" x14ac:dyDescent="0.25">
      <c r="A9" t="s">
        <v>28</v>
      </c>
      <c r="B9" s="95">
        <f>12/12</f>
        <v>1</v>
      </c>
      <c r="C9" s="2">
        <f>$B$9*2</f>
        <v>2</v>
      </c>
      <c r="D9" s="2">
        <f>$B$9*3</f>
        <v>3</v>
      </c>
      <c r="E9" s="2">
        <f>$B$9*4</f>
        <v>4</v>
      </c>
      <c r="F9" s="2">
        <f>$B$9*5</f>
        <v>5</v>
      </c>
      <c r="G9" s="2">
        <f>$B$9*6</f>
        <v>6</v>
      </c>
      <c r="H9" s="2">
        <f>$B$9*7</f>
        <v>7</v>
      </c>
    </row>
    <row r="10" spans="1:8" x14ac:dyDescent="0.25">
      <c r="B10" s="95"/>
      <c r="C10" s="2"/>
      <c r="D10" s="2"/>
      <c r="E10" s="2"/>
      <c r="F10" s="2"/>
      <c r="G10" s="2"/>
      <c r="H10" s="2"/>
    </row>
    <row r="11" spans="1:8" x14ac:dyDescent="0.25">
      <c r="A11" s="128" t="s">
        <v>3</v>
      </c>
      <c r="B11" s="128"/>
      <c r="C11" s="2"/>
      <c r="D11" s="2"/>
      <c r="E11" s="2"/>
      <c r="F11" s="2"/>
      <c r="G11" s="2"/>
      <c r="H11" s="2"/>
    </row>
    <row r="12" spans="1:8" x14ac:dyDescent="0.25">
      <c r="A12" s="33" t="s">
        <v>29</v>
      </c>
      <c r="B12" s="96" t="s">
        <v>30</v>
      </c>
      <c r="C12" s="2"/>
      <c r="D12" s="2"/>
      <c r="E12" s="2"/>
      <c r="F12" s="2"/>
      <c r="G12" s="2"/>
      <c r="H12" s="2"/>
    </row>
    <row r="13" spans="1:8" x14ac:dyDescent="0.25">
      <c r="A13" s="35" t="s">
        <v>31</v>
      </c>
      <c r="B13" s="97">
        <v>20</v>
      </c>
      <c r="C13" s="2"/>
      <c r="D13" s="2"/>
      <c r="E13" s="2"/>
      <c r="F13" s="2"/>
      <c r="G13" s="2"/>
      <c r="H13" s="2"/>
    </row>
    <row r="14" spans="1:8" x14ac:dyDescent="0.25">
      <c r="A14" s="35" t="s">
        <v>32</v>
      </c>
      <c r="B14" s="97">
        <v>34</v>
      </c>
      <c r="C14" s="2"/>
      <c r="D14" s="2"/>
      <c r="E14" s="2"/>
      <c r="F14" s="2"/>
      <c r="G14" s="2"/>
      <c r="H14" s="2"/>
    </row>
    <row r="15" spans="1:8" x14ac:dyDescent="0.25">
      <c r="A15" s="35" t="s">
        <v>33</v>
      </c>
      <c r="B15" s="97">
        <v>51</v>
      </c>
      <c r="C15" s="2"/>
      <c r="D15" s="2"/>
      <c r="E15" s="2"/>
      <c r="F15" s="2"/>
      <c r="G15" s="2"/>
      <c r="H15" s="2"/>
    </row>
    <row r="16" spans="1:8" x14ac:dyDescent="0.25">
      <c r="A16" s="35" t="s">
        <v>34</v>
      </c>
      <c r="B16" s="97">
        <v>77</v>
      </c>
      <c r="C16" s="2"/>
      <c r="D16" s="2"/>
      <c r="E16" s="2"/>
      <c r="F16" t="s">
        <v>35</v>
      </c>
      <c r="G16" s="97">
        <v>2000</v>
      </c>
      <c r="H16" s="2"/>
    </row>
    <row r="17" spans="1:8" x14ac:dyDescent="0.25">
      <c r="A17" s="35" t="s">
        <v>36</v>
      </c>
      <c r="B17" s="97">
        <v>97</v>
      </c>
      <c r="C17" s="2"/>
      <c r="D17" s="2"/>
      <c r="E17" s="2"/>
      <c r="F17" t="s">
        <v>37</v>
      </c>
      <c r="G17" s="53" t="s">
        <v>38</v>
      </c>
      <c r="H17" s="2"/>
    </row>
    <row r="18" spans="1:8" x14ac:dyDescent="0.25">
      <c r="A18" s="35" t="s">
        <v>39</v>
      </c>
      <c r="B18" s="97">
        <v>117</v>
      </c>
      <c r="C18" s="2"/>
      <c r="D18" s="2"/>
      <c r="E18" s="2"/>
      <c r="H18" s="2"/>
    </row>
    <row r="19" spans="1:8" x14ac:dyDescent="0.25">
      <c r="A19" s="35" t="s">
        <v>40</v>
      </c>
      <c r="B19" s="97">
        <v>157</v>
      </c>
      <c r="C19" s="2"/>
      <c r="D19" s="2"/>
      <c r="E19" s="2"/>
      <c r="F19" s="37"/>
      <c r="G19" s="36"/>
      <c r="H19" s="2"/>
    </row>
    <row r="20" spans="1:8" x14ac:dyDescent="0.25">
      <c r="A20" s="35" t="s">
        <v>187</v>
      </c>
      <c r="B20" s="97">
        <v>37</v>
      </c>
      <c r="C20" s="2" t="s">
        <v>41</v>
      </c>
      <c r="D20" s="2"/>
      <c r="E20" s="2"/>
      <c r="F20" s="37"/>
      <c r="G20" s="36"/>
      <c r="H20" s="2"/>
    </row>
    <row r="21" spans="1:8" x14ac:dyDescent="0.25">
      <c r="A21" s="35" t="s">
        <v>85</v>
      </c>
      <c r="B21" s="97">
        <v>47</v>
      </c>
      <c r="C21" s="2"/>
      <c r="D21" s="2"/>
      <c r="E21" s="2"/>
      <c r="F21" s="2"/>
      <c r="G21" s="2"/>
      <c r="H21" s="2"/>
    </row>
    <row r="22" spans="1:8" x14ac:dyDescent="0.25">
      <c r="A22" s="35" t="s">
        <v>86</v>
      </c>
      <c r="B22" s="97">
        <v>68</v>
      </c>
      <c r="C22" s="2"/>
      <c r="D22" s="2"/>
      <c r="E22" s="2"/>
      <c r="F22" s="2"/>
      <c r="G22" s="2"/>
      <c r="H22" s="2"/>
    </row>
    <row r="23" spans="1:8" x14ac:dyDescent="0.25">
      <c r="A23" s="35" t="s">
        <v>42</v>
      </c>
      <c r="B23" s="97">
        <v>34</v>
      </c>
      <c r="C23" s="2"/>
      <c r="D23" s="2"/>
      <c r="E23" s="2"/>
      <c r="F23" s="2"/>
      <c r="G23" s="2"/>
      <c r="H23" s="2"/>
    </row>
    <row r="24" spans="1:8" x14ac:dyDescent="0.25">
      <c r="A24" s="35" t="s">
        <v>43</v>
      </c>
      <c r="B24" s="97">
        <v>34</v>
      </c>
      <c r="C24" s="2"/>
      <c r="D24" s="2"/>
      <c r="E24" s="2"/>
      <c r="F24" s="2"/>
      <c r="G24" s="2"/>
      <c r="H24" s="2"/>
    </row>
    <row r="25" spans="1:8" x14ac:dyDescent="0.25">
      <c r="A25" s="33" t="s">
        <v>44</v>
      </c>
      <c r="B25" s="97"/>
      <c r="C25" s="2"/>
      <c r="D25" s="2"/>
      <c r="E25" s="2"/>
      <c r="F25" s="2"/>
      <c r="G25" s="2"/>
      <c r="H25" s="2"/>
    </row>
    <row r="26" spans="1:8" x14ac:dyDescent="0.25">
      <c r="A26" s="35" t="s">
        <v>45</v>
      </c>
      <c r="B26" s="97">
        <v>29</v>
      </c>
      <c r="C26" s="2"/>
      <c r="D26" s="2"/>
      <c r="E26" s="2"/>
      <c r="F26" s="2"/>
      <c r="G26" s="2"/>
      <c r="H26" s="2"/>
    </row>
    <row r="27" spans="1:8" x14ac:dyDescent="0.25">
      <c r="A27" s="35" t="s">
        <v>46</v>
      </c>
      <c r="B27" s="97">
        <v>175</v>
      </c>
      <c r="C27" s="2"/>
      <c r="D27" s="2"/>
      <c r="E27" s="2"/>
      <c r="F27" s="2"/>
      <c r="G27" s="2"/>
      <c r="H27" s="2"/>
    </row>
    <row r="28" spans="1:8" x14ac:dyDescent="0.25">
      <c r="A28" s="35" t="s">
        <v>47</v>
      </c>
      <c r="B28" s="97">
        <v>250</v>
      </c>
      <c r="C28" s="2"/>
      <c r="D28" s="2"/>
      <c r="E28" s="2"/>
      <c r="F28" s="2"/>
      <c r="G28" s="2"/>
      <c r="H28" s="2"/>
    </row>
    <row r="29" spans="1:8" x14ac:dyDescent="0.25">
      <c r="A29" s="35" t="s">
        <v>48</v>
      </c>
      <c r="B29" s="97">
        <v>324</v>
      </c>
      <c r="C29" s="2"/>
      <c r="D29" s="2"/>
      <c r="E29" s="2"/>
      <c r="F29" s="2"/>
      <c r="G29" s="2"/>
      <c r="H29" s="2"/>
    </row>
    <row r="30" spans="1:8" x14ac:dyDescent="0.25">
      <c r="A30" s="35" t="s">
        <v>49</v>
      </c>
      <c r="B30" s="97">
        <v>473</v>
      </c>
      <c r="C30" s="2"/>
      <c r="D30" s="2"/>
      <c r="E30" s="2"/>
      <c r="F30" s="2"/>
      <c r="G30" s="2"/>
      <c r="H30" s="2"/>
    </row>
    <row r="31" spans="1:8" x14ac:dyDescent="0.25">
      <c r="A31" s="35" t="s">
        <v>50</v>
      </c>
      <c r="B31" s="97">
        <v>613</v>
      </c>
      <c r="C31" s="2"/>
      <c r="D31" s="2"/>
      <c r="E31" s="2"/>
      <c r="F31" s="2"/>
      <c r="G31" s="2"/>
      <c r="H31" s="2"/>
    </row>
    <row r="32" spans="1:8" x14ac:dyDescent="0.25">
      <c r="A32" s="35" t="s">
        <v>51</v>
      </c>
      <c r="B32" s="97">
        <v>840</v>
      </c>
      <c r="C32" s="2"/>
      <c r="D32" s="2"/>
      <c r="E32" s="2"/>
      <c r="F32" s="2"/>
      <c r="G32" s="2"/>
      <c r="H32" s="2"/>
    </row>
    <row r="33" spans="1:8" x14ac:dyDescent="0.25">
      <c r="A33" s="35" t="s">
        <v>52</v>
      </c>
      <c r="B33" s="97">
        <v>980</v>
      </c>
      <c r="C33" s="2"/>
      <c r="D33" s="2"/>
      <c r="E33" s="2"/>
      <c r="F33" s="2"/>
      <c r="G33" s="2"/>
      <c r="H33" s="2"/>
    </row>
    <row r="34" spans="1:8" x14ac:dyDescent="0.25">
      <c r="A34" s="35" t="s">
        <v>188</v>
      </c>
      <c r="B34" s="97">
        <v>482</v>
      </c>
      <c r="C34" s="2" t="s">
        <v>41</v>
      </c>
      <c r="D34" s="2"/>
      <c r="E34" s="2"/>
      <c r="F34" s="2"/>
      <c r="G34" s="2"/>
      <c r="H34" s="2"/>
    </row>
    <row r="35" spans="1:8" x14ac:dyDescent="0.25">
      <c r="A35" s="35" t="s">
        <v>189</v>
      </c>
      <c r="B35" s="97">
        <v>689</v>
      </c>
      <c r="C35" s="2" t="s">
        <v>41</v>
      </c>
      <c r="D35" s="2"/>
      <c r="E35" s="2"/>
      <c r="F35" s="2"/>
      <c r="G35" s="2"/>
      <c r="H35" s="2"/>
    </row>
    <row r="36" spans="1:8" x14ac:dyDescent="0.25">
      <c r="A36" s="35" t="s">
        <v>53</v>
      </c>
      <c r="B36" s="97">
        <v>892</v>
      </c>
      <c r="C36" s="2" t="s">
        <v>41</v>
      </c>
      <c r="D36" s="2"/>
      <c r="E36" s="2"/>
      <c r="F36" s="2"/>
      <c r="G36" s="2"/>
      <c r="H36" s="2"/>
    </row>
    <row r="37" spans="1:8" x14ac:dyDescent="0.25">
      <c r="A37" s="35" t="s">
        <v>54</v>
      </c>
      <c r="B37" s="97">
        <v>1301</v>
      </c>
      <c r="C37" s="2"/>
      <c r="D37" s="2"/>
      <c r="E37" s="2"/>
      <c r="F37" s="2"/>
      <c r="G37" s="2"/>
      <c r="H37" s="2"/>
    </row>
    <row r="38" spans="1:8" x14ac:dyDescent="0.25">
      <c r="A38" s="35" t="s">
        <v>55</v>
      </c>
      <c r="B38" s="97">
        <v>1686</v>
      </c>
      <c r="C38" s="2"/>
      <c r="D38" s="2"/>
      <c r="E38" s="2"/>
      <c r="F38" s="2"/>
      <c r="G38" s="2"/>
      <c r="H38" s="2"/>
    </row>
    <row r="39" spans="1:8" x14ac:dyDescent="0.25">
      <c r="A39" s="35" t="s">
        <v>190</v>
      </c>
      <c r="B39" s="97">
        <v>2046</v>
      </c>
      <c r="C39" s="2"/>
      <c r="D39" s="2"/>
      <c r="E39" s="2"/>
      <c r="F39" s="2"/>
      <c r="G39" s="2"/>
      <c r="H39" s="2"/>
    </row>
    <row r="40" spans="1:8" x14ac:dyDescent="0.25">
      <c r="A40" s="35" t="s">
        <v>56</v>
      </c>
      <c r="B40" s="97">
        <v>2310</v>
      </c>
      <c r="C40" s="2"/>
      <c r="D40" s="2"/>
      <c r="E40" s="2"/>
      <c r="F40" s="2"/>
      <c r="G40" s="2"/>
      <c r="H40" s="2"/>
    </row>
    <row r="41" spans="1:8" x14ac:dyDescent="0.25">
      <c r="A41" s="35" t="s">
        <v>191</v>
      </c>
      <c r="B41" s="97">
        <v>2800</v>
      </c>
      <c r="C41" s="2" t="s">
        <v>41</v>
      </c>
      <c r="D41" s="2"/>
      <c r="E41" s="2"/>
      <c r="F41" s="2"/>
      <c r="G41" s="2"/>
      <c r="H41" s="2"/>
    </row>
    <row r="42" spans="1:8" x14ac:dyDescent="0.25">
      <c r="A42" s="35" t="s">
        <v>57</v>
      </c>
      <c r="B42" s="97">
        <v>125</v>
      </c>
      <c r="C42" s="2"/>
      <c r="D42" s="2"/>
      <c r="E42" s="2"/>
      <c r="F42" s="2"/>
      <c r="G42" s="2"/>
      <c r="H42" s="2"/>
    </row>
    <row r="43" spans="1:8" x14ac:dyDescent="0.25">
      <c r="B43" s="129" t="s">
        <v>192</v>
      </c>
      <c r="C43" s="129"/>
    </row>
    <row r="46" spans="1:8" x14ac:dyDescent="0.25">
      <c r="A46" s="1" t="s">
        <v>193</v>
      </c>
      <c r="B46" s="54" t="s">
        <v>58</v>
      </c>
      <c r="C46" s="54" t="s">
        <v>59</v>
      </c>
      <c r="F46" s="130" t="s">
        <v>60</v>
      </c>
      <c r="G46" s="130"/>
    </row>
    <row r="47" spans="1:8" x14ac:dyDescent="0.25">
      <c r="A47" s="74" t="s">
        <v>61</v>
      </c>
      <c r="B47" s="98">
        <v>76.5</v>
      </c>
      <c r="C47" s="99">
        <f>B47/2000</f>
        <v>3.8249999999999999E-2</v>
      </c>
      <c r="F47" t="s">
        <v>62</v>
      </c>
      <c r="G47" s="100">
        <f>0.0175</f>
        <v>1.7500000000000002E-2</v>
      </c>
    </row>
    <row r="48" spans="1:8" x14ac:dyDescent="0.25">
      <c r="A48" s="74" t="s">
        <v>63</v>
      </c>
      <c r="B48" s="101">
        <v>80.33</v>
      </c>
      <c r="C48" s="102">
        <f>B48/2000</f>
        <v>4.0164999999999999E-2</v>
      </c>
      <c r="F48" t="s">
        <v>64</v>
      </c>
      <c r="G48" s="103">
        <f>0.0051</f>
        <v>5.1000000000000004E-3</v>
      </c>
    </row>
    <row r="49" spans="1:9" x14ac:dyDescent="0.25">
      <c r="A49" s="35" t="s">
        <v>6</v>
      </c>
      <c r="B49" s="98">
        <f>B48-B47</f>
        <v>3.8299999999999983</v>
      </c>
      <c r="C49" s="104">
        <f>C48-C47</f>
        <v>1.915E-3</v>
      </c>
      <c r="F49" t="s">
        <v>65</v>
      </c>
      <c r="G49" s="105">
        <v>7.4999999999999997E-3</v>
      </c>
    </row>
    <row r="50" spans="1:9" x14ac:dyDescent="0.25">
      <c r="A50" s="106" t="s">
        <v>194</v>
      </c>
      <c r="B50" s="107"/>
      <c r="C50" s="108">
        <f>B64/D64</f>
        <v>0.67857570751719998</v>
      </c>
      <c r="F50" t="s">
        <v>66</v>
      </c>
      <c r="G50" s="34">
        <f>SUM(G47:G49)</f>
        <v>3.0100000000000002E-2</v>
      </c>
    </row>
    <row r="51" spans="1:9" x14ac:dyDescent="0.25">
      <c r="A51" s="106" t="s">
        <v>6</v>
      </c>
      <c r="B51" s="107"/>
      <c r="C51" s="109">
        <f>+C49*C50</f>
        <v>1.2994724798954379E-3</v>
      </c>
      <c r="G51" s="34"/>
    </row>
    <row r="52" spans="1:9" x14ac:dyDescent="0.25">
      <c r="A52" s="1" t="s">
        <v>195</v>
      </c>
      <c r="B52" s="54" t="s">
        <v>58</v>
      </c>
      <c r="C52" s="54" t="s">
        <v>59</v>
      </c>
      <c r="G52" s="34"/>
    </row>
    <row r="53" spans="1:9" x14ac:dyDescent="0.25">
      <c r="A53" s="74" t="s">
        <v>61</v>
      </c>
      <c r="B53" s="98">
        <v>101.5</v>
      </c>
      <c r="C53" s="99">
        <f>B53/2000</f>
        <v>5.0750000000000003E-2</v>
      </c>
      <c r="F53" s="33" t="s">
        <v>68</v>
      </c>
      <c r="G53" s="110">
        <f>1-G50</f>
        <v>0.96989999999999998</v>
      </c>
      <c r="H53" s="33"/>
      <c r="I53" s="33"/>
    </row>
    <row r="54" spans="1:9" x14ac:dyDescent="0.25">
      <c r="A54" s="74" t="s">
        <v>63</v>
      </c>
      <c r="B54" s="101">
        <v>101.5</v>
      </c>
      <c r="C54" s="102">
        <f>B54/2000</f>
        <v>5.0750000000000003E-2</v>
      </c>
    </row>
    <row r="55" spans="1:9" x14ac:dyDescent="0.25">
      <c r="A55" s="35" t="s">
        <v>6</v>
      </c>
      <c r="B55" s="98">
        <f>B54-B53</f>
        <v>0</v>
      </c>
      <c r="C55" s="104">
        <f>C54-C53</f>
        <v>0</v>
      </c>
    </row>
    <row r="56" spans="1:9" x14ac:dyDescent="0.25">
      <c r="A56" s="106" t="s">
        <v>194</v>
      </c>
      <c r="B56" s="107"/>
      <c r="C56" s="108">
        <f>C64/D64</f>
        <v>0.32142429248279991</v>
      </c>
    </row>
    <row r="57" spans="1:9" x14ac:dyDescent="0.25">
      <c r="A57" s="106" t="s">
        <v>6</v>
      </c>
      <c r="B57" s="107"/>
      <c r="C57" s="111">
        <f>+C55*C56</f>
        <v>0</v>
      </c>
    </row>
    <row r="58" spans="1:9" x14ac:dyDescent="0.25">
      <c r="B58" s="107"/>
      <c r="C58" s="112"/>
    </row>
    <row r="59" spans="1:9" x14ac:dyDescent="0.25">
      <c r="A59" s="33" t="s">
        <v>196</v>
      </c>
      <c r="B59" s="107"/>
      <c r="C59" s="109">
        <f>+C57+C51</f>
        <v>1.2994724798954379E-3</v>
      </c>
    </row>
    <row r="60" spans="1:9" x14ac:dyDescent="0.25">
      <c r="B60" s="54" t="s">
        <v>197</v>
      </c>
      <c r="C60" s="54" t="s">
        <v>195</v>
      </c>
    </row>
    <row r="61" spans="1:9" x14ac:dyDescent="0.25">
      <c r="G61" s="34"/>
    </row>
    <row r="62" spans="1:9" x14ac:dyDescent="0.25">
      <c r="A62" t="s">
        <v>67</v>
      </c>
      <c r="B62" s="3">
        <f>B49</f>
        <v>3.8299999999999983</v>
      </c>
      <c r="C62" s="3">
        <f>+B55</f>
        <v>0</v>
      </c>
      <c r="G62" s="34"/>
    </row>
    <row r="63" spans="1:9" x14ac:dyDescent="0.25">
      <c r="A63" t="s">
        <v>69</v>
      </c>
      <c r="B63" s="3">
        <f>B62/$G$53</f>
        <v>3.9488607072894095</v>
      </c>
      <c r="C63" s="3">
        <f>C62/$G$53</f>
        <v>0</v>
      </c>
      <c r="G63" s="34"/>
    </row>
    <row r="64" spans="1:9" x14ac:dyDescent="0.25">
      <c r="A64" t="s">
        <v>70</v>
      </c>
      <c r="B64" s="113">
        <v>14952.28</v>
      </c>
      <c r="C64" s="113">
        <v>7082.52</v>
      </c>
      <c r="D64" s="114">
        <f>+C64+B64</f>
        <v>22034.800000000003</v>
      </c>
    </row>
    <row r="65" spans="1:5" x14ac:dyDescent="0.25">
      <c r="A65" s="33" t="s">
        <v>87</v>
      </c>
      <c r="B65" s="115">
        <f>B63*B64</f>
        <v>59044.470976389297</v>
      </c>
      <c r="C65" s="115">
        <f>C63*C64</f>
        <v>0</v>
      </c>
      <c r="D65" s="116">
        <f>+C65+B65</f>
        <v>59044.470976389297</v>
      </c>
    </row>
    <row r="67" spans="1:5" x14ac:dyDescent="0.25">
      <c r="A67" t="s">
        <v>198</v>
      </c>
      <c r="B67" s="116">
        <f>+[32]Calcs!F114*References!$B$62</f>
        <v>46824.047999999981</v>
      </c>
      <c r="C67" s="116">
        <f>+[32]Calcs!G114*References!$B$62</f>
        <v>10232.687599999994</v>
      </c>
      <c r="D67" s="116">
        <f>+C67+B67</f>
        <v>57056.735599999971</v>
      </c>
      <c r="E67" s="117"/>
    </row>
    <row r="68" spans="1:5" ht="15.75" thickBot="1" x14ac:dyDescent="0.3">
      <c r="D68" s="116">
        <f>+D67+D65</f>
        <v>116101.20657638926</v>
      </c>
      <c r="E68" s="3"/>
    </row>
    <row r="69" spans="1:5" x14ac:dyDescent="0.25">
      <c r="A69" s="32" t="s">
        <v>71</v>
      </c>
      <c r="B69" s="118" t="s">
        <v>72</v>
      </c>
    </row>
    <row r="70" spans="1:5" x14ac:dyDescent="0.25">
      <c r="A70" s="31" t="s">
        <v>76</v>
      </c>
      <c r="B70" s="119">
        <f>'Price Out'!Q75</f>
        <v>60979.513723776872</v>
      </c>
    </row>
    <row r="71" spans="1:5" ht="15.75" thickBot="1" x14ac:dyDescent="0.3">
      <c r="A71" s="30" t="s">
        <v>73</v>
      </c>
      <c r="B71" s="120">
        <f>-D65+B70</f>
        <v>1935.0427473875752</v>
      </c>
    </row>
    <row r="72" spans="1:5" x14ac:dyDescent="0.25">
      <c r="D72" s="3"/>
    </row>
    <row r="79" spans="1:5" x14ac:dyDescent="0.25">
      <c r="C79">
        <f>+B56*[32]Calcs!G112</f>
        <v>0</v>
      </c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45A1-7416-4DCD-917F-9E37A02AD52C}">
  <sheetPr>
    <tabColor rgb="FFFF0000"/>
  </sheetPr>
  <dimension ref="A1:AI121"/>
  <sheetViews>
    <sheetView tabSelected="1" topLeftCell="B43" workbookViewId="0">
      <pane xSplit="2" topLeftCell="D1" activePane="topRight" state="frozen"/>
      <selection activeCell="B1" sqref="B1"/>
      <selection pane="topRight" activeCell="Q75" sqref="Q75"/>
    </sheetView>
  </sheetViews>
  <sheetFormatPr defaultRowHeight="15" x14ac:dyDescent="0.25"/>
  <cols>
    <col min="1" max="1" width="0" hidden="1" customWidth="1"/>
    <col min="2" max="2" width="11.140625" customWidth="1"/>
    <col min="3" max="3" width="35.5703125" customWidth="1"/>
    <col min="4" max="4" width="16.42578125" customWidth="1"/>
    <col min="5" max="5" width="16.85546875" customWidth="1"/>
    <col min="6" max="6" width="16.140625" style="4" customWidth="1"/>
    <col min="7" max="7" width="14.140625" customWidth="1"/>
    <col min="8" max="8" width="14.42578125" customWidth="1"/>
    <col min="9" max="9" width="13.5703125" customWidth="1"/>
    <col min="10" max="10" width="13.42578125" customWidth="1"/>
    <col min="11" max="11" width="12.85546875" customWidth="1"/>
    <col min="12" max="13" width="10.7109375" customWidth="1"/>
    <col min="14" max="14" width="11" bestFit="1" customWidth="1"/>
    <col min="15" max="15" width="17.85546875" customWidth="1"/>
    <col min="16" max="16" width="15.85546875" customWidth="1"/>
    <col min="17" max="17" width="16.42578125" customWidth="1"/>
    <col min="18" max="18" width="13.42578125" bestFit="1" customWidth="1"/>
  </cols>
  <sheetData>
    <row r="1" spans="1:18" ht="44.25" customHeight="1" x14ac:dyDescent="0.25">
      <c r="A1" s="1"/>
      <c r="B1" s="81" t="s">
        <v>100</v>
      </c>
      <c r="C1" s="82" t="s">
        <v>83</v>
      </c>
      <c r="D1" s="9" t="s">
        <v>0</v>
      </c>
      <c r="E1" s="9" t="s">
        <v>1</v>
      </c>
      <c r="F1" s="83" t="s">
        <v>2</v>
      </c>
      <c r="G1" s="84" t="s">
        <v>3</v>
      </c>
      <c r="H1" s="9" t="s">
        <v>4</v>
      </c>
      <c r="I1" s="85" t="s">
        <v>5</v>
      </c>
      <c r="J1" s="86" t="s">
        <v>6</v>
      </c>
      <c r="K1" s="9" t="s">
        <v>7</v>
      </c>
      <c r="L1" s="9" t="s">
        <v>8</v>
      </c>
      <c r="M1" s="9" t="s">
        <v>96</v>
      </c>
      <c r="N1" s="9" t="s">
        <v>98</v>
      </c>
      <c r="O1" s="9" t="s">
        <v>9</v>
      </c>
      <c r="P1" s="9" t="s">
        <v>10</v>
      </c>
      <c r="Q1" s="9" t="s">
        <v>11</v>
      </c>
      <c r="R1" s="123" t="s">
        <v>224</v>
      </c>
    </row>
    <row r="2" spans="1:18" x14ac:dyDescent="0.25">
      <c r="A2" s="131" t="s">
        <v>12</v>
      </c>
      <c r="B2" s="76" t="s">
        <v>226</v>
      </c>
      <c r="C2" s="92" t="s">
        <v>104</v>
      </c>
      <c r="D2" s="25">
        <v>18</v>
      </c>
      <c r="E2" s="7">
        <f>References!B9</f>
        <v>1</v>
      </c>
      <c r="F2" s="10">
        <f>D2*E2*12</f>
        <v>216</v>
      </c>
      <c r="G2" s="16">
        <f>References!B14</f>
        <v>34</v>
      </c>
      <c r="H2" s="8">
        <f>G2*F2</f>
        <v>7344</v>
      </c>
      <c r="I2" s="29">
        <f t="shared" ref="I2:I20" si="0">H2*D$80</f>
        <v>5009.162894600343</v>
      </c>
      <c r="J2" s="12">
        <f>I2*References!C$59</f>
        <v>6.5092693288465178</v>
      </c>
      <c r="K2" s="12">
        <f>J2/References!G$53</f>
        <v>6.7112788213697474</v>
      </c>
      <c r="L2" s="12">
        <f>K2/F2</f>
        <v>3.1070735284119202E-2</v>
      </c>
      <c r="M2" s="72">
        <v>7.44</v>
      </c>
      <c r="N2" s="73">
        <f>M2+L2</f>
        <v>7.4710707352841199</v>
      </c>
      <c r="O2" s="12">
        <f>M2*F2</f>
        <v>1607.0400000000002</v>
      </c>
      <c r="P2" s="12">
        <f>N2*D2*12</f>
        <v>1613.7512788213699</v>
      </c>
      <c r="Q2" s="12">
        <f>P2-O2</f>
        <v>6.7112788213696604</v>
      </c>
      <c r="R2" s="122">
        <f>L2/M2</f>
        <v>4.1761740973278493E-3</v>
      </c>
    </row>
    <row r="3" spans="1:18" x14ac:dyDescent="0.25">
      <c r="A3" s="132"/>
      <c r="B3" s="76" t="s">
        <v>226</v>
      </c>
      <c r="C3" s="92" t="s">
        <v>105</v>
      </c>
      <c r="D3" s="25">
        <v>5</v>
      </c>
      <c r="E3" s="7">
        <f>References!B9</f>
        <v>1</v>
      </c>
      <c r="F3" s="10">
        <f t="shared" ref="F3:F20" si="1">D3*E3*12</f>
        <v>60</v>
      </c>
      <c r="G3" s="16">
        <f>References!B20</f>
        <v>37</v>
      </c>
      <c r="H3" s="8">
        <f t="shared" ref="H3:H20" si="2">G3*F3</f>
        <v>2220</v>
      </c>
      <c r="I3" s="29">
        <f t="shared" si="0"/>
        <v>1514.2077377468358</v>
      </c>
      <c r="J3" s="12">
        <f>I3*References!C$59</f>
        <v>1.9676712840467416</v>
      </c>
      <c r="K3" s="12">
        <f>J3/References!G$53</f>
        <v>2.0287362450219009</v>
      </c>
      <c r="L3" s="12">
        <f>K3/F3</f>
        <v>3.3812270750365012E-2</v>
      </c>
      <c r="M3" s="72">
        <v>9.1499999999999986</v>
      </c>
      <c r="N3" s="73">
        <f t="shared" ref="N3:N20" si="3">M3+L3</f>
        <v>9.183812270750364</v>
      </c>
      <c r="O3" s="12">
        <f t="shared" ref="O3:O20" si="4">M3*D3*12</f>
        <v>548.99999999999989</v>
      </c>
      <c r="P3" s="12">
        <f t="shared" ref="P3:P20" si="5">N3*D3*12</f>
        <v>551.02873624502183</v>
      </c>
      <c r="Q3" s="12">
        <f t="shared" ref="Q3:Q20" si="6">P3-O3</f>
        <v>2.0287362450219462</v>
      </c>
      <c r="R3" s="122">
        <f t="shared" ref="R3:R67" si="7">L3/M3</f>
        <v>3.6953301366519143E-3</v>
      </c>
    </row>
    <row r="4" spans="1:18" x14ac:dyDescent="0.25">
      <c r="A4" s="132"/>
      <c r="B4" s="76" t="s">
        <v>226</v>
      </c>
      <c r="C4" s="92" t="s">
        <v>106</v>
      </c>
      <c r="D4" s="25">
        <v>33</v>
      </c>
      <c r="E4" s="7">
        <f>References!B7</f>
        <v>4.333333333333333</v>
      </c>
      <c r="F4" s="10">
        <f t="shared" si="1"/>
        <v>1716</v>
      </c>
      <c r="G4" s="16">
        <f>References!B13</f>
        <v>20</v>
      </c>
      <c r="H4" s="8">
        <f t="shared" si="2"/>
        <v>34320</v>
      </c>
      <c r="I4" s="29">
        <f t="shared" si="0"/>
        <v>23408.833134897028</v>
      </c>
      <c r="J4" s="12">
        <f>I4*References!C$59</f>
        <v>30.41913444526314</v>
      </c>
      <c r="K4" s="12">
        <f>J4/References!G$53</f>
        <v>31.363165733852089</v>
      </c>
      <c r="L4" s="12">
        <f>K4/F4</f>
        <v>1.8276903108305414E-2</v>
      </c>
      <c r="M4" s="72">
        <v>9.31</v>
      </c>
      <c r="N4" s="73">
        <f t="shared" si="3"/>
        <v>9.3282769031083053</v>
      </c>
      <c r="O4" s="12">
        <f t="shared" si="4"/>
        <v>3686.76</v>
      </c>
      <c r="P4" s="12">
        <f t="shared" si="5"/>
        <v>3693.9976536308886</v>
      </c>
      <c r="Q4" s="12">
        <f t="shared" si="6"/>
        <v>7.237653630888417</v>
      </c>
      <c r="R4" s="122">
        <f t="shared" si="7"/>
        <v>1.9631474874656726E-3</v>
      </c>
    </row>
    <row r="5" spans="1:18" x14ac:dyDescent="0.25">
      <c r="A5" s="132"/>
      <c r="B5" s="76" t="s">
        <v>226</v>
      </c>
      <c r="C5" s="92" t="s">
        <v>107</v>
      </c>
      <c r="D5" s="25">
        <v>52</v>
      </c>
      <c r="E5" s="7">
        <f>References!B7</f>
        <v>4.333333333333333</v>
      </c>
      <c r="F5" s="10">
        <f t="shared" si="1"/>
        <v>2704</v>
      </c>
      <c r="G5" s="16">
        <f>References!B13</f>
        <v>20</v>
      </c>
      <c r="H5" s="8">
        <f t="shared" si="2"/>
        <v>54080</v>
      </c>
      <c r="I5" s="29">
        <f t="shared" si="0"/>
        <v>36886.64615195895</v>
      </c>
      <c r="J5" s="12">
        <f>I5*References!C$59</f>
        <v>47.933181550111613</v>
      </c>
      <c r="K5" s="12">
        <f>J5/References!G$53</f>
        <v>49.420746004857833</v>
      </c>
      <c r="L5" s="12">
        <f t="shared" ref="L5:L20" si="8">K5/D5/12</f>
        <v>7.9199913469323452E-2</v>
      </c>
      <c r="M5" s="72">
        <v>10.39</v>
      </c>
      <c r="N5" s="73">
        <f t="shared" si="3"/>
        <v>10.469199913469325</v>
      </c>
      <c r="O5" s="12">
        <f t="shared" si="4"/>
        <v>6483.36</v>
      </c>
      <c r="P5" s="12">
        <f t="shared" si="5"/>
        <v>6532.780746004858</v>
      </c>
      <c r="Q5" s="12">
        <f t="shared" si="6"/>
        <v>49.420746004858302</v>
      </c>
      <c r="R5" s="122">
        <f t="shared" si="7"/>
        <v>7.6227058199541337E-3</v>
      </c>
    </row>
    <row r="6" spans="1:18" x14ac:dyDescent="0.25">
      <c r="A6" s="132"/>
      <c r="B6" s="76" t="s">
        <v>226</v>
      </c>
      <c r="C6" s="92" t="s">
        <v>108</v>
      </c>
      <c r="D6" s="25">
        <v>762</v>
      </c>
      <c r="E6" s="7">
        <f>References!B7</f>
        <v>4.333333333333333</v>
      </c>
      <c r="F6" s="10">
        <f t="shared" si="1"/>
        <v>39624</v>
      </c>
      <c r="G6" s="16">
        <f>References!B14</f>
        <v>34</v>
      </c>
      <c r="H6" s="8">
        <f t="shared" si="2"/>
        <v>1347216</v>
      </c>
      <c r="I6" s="29">
        <f t="shared" si="0"/>
        <v>918903.10433168511</v>
      </c>
      <c r="J6" s="12">
        <f>I6*References!C$59</f>
        <v>1194.0892957695112</v>
      </c>
      <c r="K6" s="12">
        <f>J6/References!G$53</f>
        <v>1231.1468148979391</v>
      </c>
      <c r="L6" s="12">
        <f t="shared" si="8"/>
        <v>0.13463985289784985</v>
      </c>
      <c r="M6" s="72">
        <v>12.03</v>
      </c>
      <c r="N6" s="73">
        <f t="shared" si="3"/>
        <v>12.164639852897849</v>
      </c>
      <c r="O6" s="12">
        <f t="shared" si="4"/>
        <v>110002.31999999998</v>
      </c>
      <c r="P6" s="12">
        <f t="shared" si="5"/>
        <v>111233.46681489793</v>
      </c>
      <c r="Q6" s="12">
        <f t="shared" si="6"/>
        <v>1231.1468148979475</v>
      </c>
      <c r="R6" s="122">
        <f t="shared" si="7"/>
        <v>1.1192007722182033E-2</v>
      </c>
    </row>
    <row r="7" spans="1:18" x14ac:dyDescent="0.25">
      <c r="A7" s="132"/>
      <c r="B7" s="76" t="s">
        <v>226</v>
      </c>
      <c r="C7" s="92" t="s">
        <v>109</v>
      </c>
      <c r="D7" s="25">
        <v>211</v>
      </c>
      <c r="E7" s="7">
        <f>References!B6</f>
        <v>8.6666666666666661</v>
      </c>
      <c r="F7" s="10">
        <f t="shared" si="1"/>
        <v>21944</v>
      </c>
      <c r="G7" s="16">
        <f>References!$B$14</f>
        <v>34</v>
      </c>
      <c r="H7" s="8">
        <f t="shared" si="2"/>
        <v>746096</v>
      </c>
      <c r="I7" s="29">
        <f t="shared" si="0"/>
        <v>508893.84518106451</v>
      </c>
      <c r="J7" s="12">
        <f>I7*References!C$59</f>
        <v>661.29354700096292</v>
      </c>
      <c r="K7" s="12">
        <f>J7/References!G$53</f>
        <v>681.81621507471175</v>
      </c>
      <c r="L7" s="12">
        <f t="shared" si="8"/>
        <v>0.26927970579569976</v>
      </c>
      <c r="M7" s="72">
        <v>17.77</v>
      </c>
      <c r="N7" s="73">
        <f t="shared" si="3"/>
        <v>18.0392797057957</v>
      </c>
      <c r="O7" s="12">
        <f t="shared" si="4"/>
        <v>44993.64</v>
      </c>
      <c r="P7" s="12">
        <f t="shared" si="5"/>
        <v>45675.456215074715</v>
      </c>
      <c r="Q7" s="12">
        <f t="shared" si="6"/>
        <v>681.81621507471573</v>
      </c>
      <c r="R7" s="122">
        <f t="shared" si="7"/>
        <v>1.5153613156764197E-2</v>
      </c>
    </row>
    <row r="8" spans="1:18" x14ac:dyDescent="0.25">
      <c r="A8" s="132"/>
      <c r="B8" s="76" t="s">
        <v>226</v>
      </c>
      <c r="C8" s="92" t="s">
        <v>110</v>
      </c>
      <c r="D8" s="25">
        <v>11</v>
      </c>
      <c r="E8" s="7">
        <f>References!B5</f>
        <v>13</v>
      </c>
      <c r="F8" s="10">
        <f t="shared" si="1"/>
        <v>1716</v>
      </c>
      <c r="G8" s="16">
        <f>References!$B$14</f>
        <v>34</v>
      </c>
      <c r="H8" s="8">
        <f t="shared" si="2"/>
        <v>58344</v>
      </c>
      <c r="I8" s="29">
        <f t="shared" si="0"/>
        <v>39795.01632932495</v>
      </c>
      <c r="J8" s="12">
        <f>I8*References!C$59</f>
        <v>51.712528556947341</v>
      </c>
      <c r="K8" s="12">
        <f>J8/References!G$53</f>
        <v>53.317381747548552</v>
      </c>
      <c r="L8" s="12">
        <f t="shared" si="8"/>
        <v>0.40391955869354962</v>
      </c>
      <c r="M8" s="72">
        <v>23.56</v>
      </c>
      <c r="N8" s="73">
        <f t="shared" si="3"/>
        <v>23.963919558693547</v>
      </c>
      <c r="O8" s="12">
        <f t="shared" si="4"/>
        <v>3109.9199999999996</v>
      </c>
      <c r="P8" s="12">
        <f t="shared" si="5"/>
        <v>3163.2373817475482</v>
      </c>
      <c r="Q8" s="12">
        <f t="shared" si="6"/>
        <v>53.317381747548552</v>
      </c>
      <c r="R8" s="122">
        <f t="shared" si="7"/>
        <v>1.7144293662714333E-2</v>
      </c>
    </row>
    <row r="9" spans="1:18" x14ac:dyDescent="0.25">
      <c r="A9" s="132"/>
      <c r="B9" s="76" t="s">
        <v>226</v>
      </c>
      <c r="C9" s="92" t="s">
        <v>111</v>
      </c>
      <c r="D9" s="25">
        <v>1</v>
      </c>
      <c r="E9" s="7">
        <f>References!B4</f>
        <v>17.333333333333332</v>
      </c>
      <c r="F9" s="10">
        <f t="shared" si="1"/>
        <v>208</v>
      </c>
      <c r="G9" s="16">
        <f>References!$B$14</f>
        <v>34</v>
      </c>
      <c r="H9" s="8">
        <f t="shared" si="2"/>
        <v>7072</v>
      </c>
      <c r="I9" s="29">
        <f t="shared" si="0"/>
        <v>4823.6383429484786</v>
      </c>
      <c r="J9" s="12">
        <f>I9*References!C$59</f>
        <v>6.2681852796299804</v>
      </c>
      <c r="K9" s="12">
        <f>J9/References!G$53</f>
        <v>6.4627129390967939</v>
      </c>
      <c r="L9" s="12">
        <f t="shared" si="8"/>
        <v>0.53855941159139953</v>
      </c>
      <c r="M9" s="72">
        <v>29.32</v>
      </c>
      <c r="N9" s="73">
        <f t="shared" si="3"/>
        <v>29.858559411591401</v>
      </c>
      <c r="O9" s="12">
        <f t="shared" si="4"/>
        <v>351.84000000000003</v>
      </c>
      <c r="P9" s="12">
        <f t="shared" si="5"/>
        <v>358.30271293909681</v>
      </c>
      <c r="Q9" s="12">
        <f t="shared" si="6"/>
        <v>6.4627129390967752</v>
      </c>
      <c r="R9" s="122">
        <f t="shared" si="7"/>
        <v>1.8368329181152779E-2</v>
      </c>
    </row>
    <row r="10" spans="1:18" x14ac:dyDescent="0.25">
      <c r="A10" s="132"/>
      <c r="B10" s="76" t="s">
        <v>226</v>
      </c>
      <c r="C10" s="92" t="s">
        <v>112</v>
      </c>
      <c r="D10" s="25">
        <v>2</v>
      </c>
      <c r="E10" s="7">
        <f>References!B3</f>
        <v>21.666666666666668</v>
      </c>
      <c r="F10" s="10">
        <f t="shared" si="1"/>
        <v>520</v>
      </c>
      <c r="G10" s="16">
        <f>References!$B$14</f>
        <v>34</v>
      </c>
      <c r="H10" s="8">
        <f t="shared" si="2"/>
        <v>17680</v>
      </c>
      <c r="I10" s="29">
        <f t="shared" si="0"/>
        <v>12059.095857371196</v>
      </c>
      <c r="J10" s="12">
        <f>I10*References!C$59</f>
        <v>15.67046319907495</v>
      </c>
      <c r="K10" s="12">
        <f>J10/References!G$53</f>
        <v>16.156782347741984</v>
      </c>
      <c r="L10" s="12">
        <f t="shared" si="8"/>
        <v>0.67319926448924938</v>
      </c>
      <c r="M10" s="72">
        <v>35.090000000000003</v>
      </c>
      <c r="N10" s="73">
        <f t="shared" si="3"/>
        <v>35.763199264489252</v>
      </c>
      <c r="O10" s="12">
        <f t="shared" si="4"/>
        <v>842.16000000000008</v>
      </c>
      <c r="P10" s="12">
        <f t="shared" si="5"/>
        <v>858.31678234774199</v>
      </c>
      <c r="Q10" s="12">
        <f t="shared" si="6"/>
        <v>16.15678234774191</v>
      </c>
      <c r="R10" s="122">
        <f t="shared" si="7"/>
        <v>1.9184932017362478E-2</v>
      </c>
    </row>
    <row r="11" spans="1:18" x14ac:dyDescent="0.25">
      <c r="A11" s="132"/>
      <c r="B11" s="76" t="s">
        <v>226</v>
      </c>
      <c r="C11" s="92" t="s">
        <v>233</v>
      </c>
      <c r="D11" s="25">
        <v>1</v>
      </c>
      <c r="E11" s="7">
        <f>4.33*6</f>
        <v>25.98</v>
      </c>
      <c r="F11" s="10">
        <f t="shared" ref="F11" si="9">D11*E11*12</f>
        <v>311.76</v>
      </c>
      <c r="G11" s="16">
        <f>References!$B$14</f>
        <v>34</v>
      </c>
      <c r="H11" s="8">
        <f t="shared" ref="H11" si="10">G11*F11</f>
        <v>10599.84</v>
      </c>
      <c r="I11" s="29">
        <f t="shared" ref="I11" si="11">H11*D$80</f>
        <v>7229.891777873162</v>
      </c>
      <c r="J11" s="12">
        <f>I11*References!C$59</f>
        <v>9.3950453979684738</v>
      </c>
      <c r="K11" s="12">
        <f>J11/References!G$53</f>
        <v>9.686612432177002</v>
      </c>
      <c r="L11" s="12">
        <f t="shared" ref="L11" si="12">K11/D11/12</f>
        <v>0.80721770268141679</v>
      </c>
      <c r="M11" s="72">
        <v>40.81</v>
      </c>
      <c r="N11" s="73">
        <f t="shared" ref="N11" si="13">M11+L11</f>
        <v>41.617217702681423</v>
      </c>
      <c r="O11" s="12">
        <f t="shared" ref="O11" si="14">M11*D11*12</f>
        <v>489.72</v>
      </c>
      <c r="P11" s="12">
        <f t="shared" ref="P11" si="15">N11*D11*12</f>
        <v>499.4066124321771</v>
      </c>
      <c r="Q11" s="12">
        <f t="shared" ref="Q11" si="16">P11-O11</f>
        <v>9.6866124321770712</v>
      </c>
      <c r="R11" s="122">
        <f t="shared" ref="R11" si="17">L11/M11</f>
        <v>1.9779899600132732E-2</v>
      </c>
    </row>
    <row r="12" spans="1:18" x14ac:dyDescent="0.25">
      <c r="A12" s="132"/>
      <c r="B12" s="76" t="s">
        <v>226</v>
      </c>
      <c r="C12" s="92" t="s">
        <v>113</v>
      </c>
      <c r="D12" s="25">
        <v>2744</v>
      </c>
      <c r="E12" s="7">
        <f>References!B7</f>
        <v>4.333333333333333</v>
      </c>
      <c r="F12" s="10">
        <f t="shared" si="1"/>
        <v>142688</v>
      </c>
      <c r="G12" s="16">
        <f>References!$B$20</f>
        <v>37</v>
      </c>
      <c r="H12" s="8">
        <f t="shared" si="2"/>
        <v>5279456</v>
      </c>
      <c r="I12" s="29">
        <f t="shared" si="0"/>
        <v>3600987.8947270084</v>
      </c>
      <c r="J12" s="12">
        <f>I12*References!C$59</f>
        <v>4679.384669634358</v>
      </c>
      <c r="K12" s="12">
        <f>J12/References!G$53</f>
        <v>4824.6052888280838</v>
      </c>
      <c r="L12" s="12">
        <f t="shared" si="8"/>
        <v>0.14651983991824841</v>
      </c>
      <c r="M12" s="72">
        <v>13.73</v>
      </c>
      <c r="N12" s="73">
        <f t="shared" si="3"/>
        <v>13.876519839918249</v>
      </c>
      <c r="O12" s="12">
        <f t="shared" si="4"/>
        <v>452101.44000000006</v>
      </c>
      <c r="P12" s="12">
        <f t="shared" si="5"/>
        <v>456926.04528882809</v>
      </c>
      <c r="Q12" s="12">
        <f t="shared" si="6"/>
        <v>4824.6052888280246</v>
      </c>
      <c r="R12" s="122">
        <f t="shared" si="7"/>
        <v>1.0671510554861501E-2</v>
      </c>
    </row>
    <row r="13" spans="1:18" x14ac:dyDescent="0.25">
      <c r="A13" s="132"/>
      <c r="B13" s="76" t="s">
        <v>226</v>
      </c>
      <c r="C13" s="92" t="s">
        <v>114</v>
      </c>
      <c r="D13" s="25">
        <v>7</v>
      </c>
      <c r="E13" s="7">
        <f>References!B6</f>
        <v>8.6666666666666661</v>
      </c>
      <c r="F13" s="10">
        <f t="shared" si="1"/>
        <v>728</v>
      </c>
      <c r="G13" s="16">
        <f>References!$B$20</f>
        <v>37</v>
      </c>
      <c r="H13" s="8">
        <f t="shared" si="2"/>
        <v>26936</v>
      </c>
      <c r="I13" s="29">
        <f t="shared" si="0"/>
        <v>18372.387217994939</v>
      </c>
      <c r="J13" s="12">
        <f>I13*References!C$59</f>
        <v>23.874411579767131</v>
      </c>
      <c r="K13" s="12">
        <f>J13/References!G$53</f>
        <v>24.61533310626573</v>
      </c>
      <c r="L13" s="12">
        <f t="shared" si="8"/>
        <v>0.29303967983649676</v>
      </c>
      <c r="M13" s="75">
        <v>27.450000000000003</v>
      </c>
      <c r="N13" s="73">
        <f t="shared" si="3"/>
        <v>27.7430396798365</v>
      </c>
      <c r="O13" s="12">
        <f t="shared" si="4"/>
        <v>2305.8000000000002</v>
      </c>
      <c r="P13" s="12">
        <f t="shared" si="5"/>
        <v>2330.4153331062662</v>
      </c>
      <c r="Q13" s="12">
        <f t="shared" si="6"/>
        <v>24.615333106266007</v>
      </c>
      <c r="R13" s="122">
        <f t="shared" si="7"/>
        <v>1.0675398172549972E-2</v>
      </c>
    </row>
    <row r="14" spans="1:18" x14ac:dyDescent="0.25">
      <c r="A14" s="132"/>
      <c r="B14" s="76" t="s">
        <v>226</v>
      </c>
      <c r="C14" s="92" t="s">
        <v>115</v>
      </c>
      <c r="D14" s="25">
        <v>1</v>
      </c>
      <c r="E14" s="7">
        <f>References!B4</f>
        <v>17.333333333333332</v>
      </c>
      <c r="F14" s="10">
        <f t="shared" si="1"/>
        <v>208</v>
      </c>
      <c r="G14" s="16">
        <f>References!$B$20</f>
        <v>37</v>
      </c>
      <c r="H14" s="8">
        <f t="shared" si="2"/>
        <v>7696</v>
      </c>
      <c r="I14" s="29">
        <f t="shared" si="0"/>
        <v>5249.2534908556972</v>
      </c>
      <c r="J14" s="12">
        <f>I14*References!C$59</f>
        <v>6.8212604513620372</v>
      </c>
      <c r="K14" s="12">
        <f>J14/References!G$53</f>
        <v>7.0329523160759226</v>
      </c>
      <c r="L14" s="12">
        <f t="shared" si="8"/>
        <v>0.58607935967299352</v>
      </c>
      <c r="M14" s="75">
        <v>54.900000000000006</v>
      </c>
      <c r="N14" s="73">
        <f t="shared" si="3"/>
        <v>55.486079359672999</v>
      </c>
      <c r="O14" s="12">
        <f t="shared" si="4"/>
        <v>658.80000000000007</v>
      </c>
      <c r="P14" s="12">
        <f t="shared" si="5"/>
        <v>665.83295231607599</v>
      </c>
      <c r="Q14" s="12">
        <f t="shared" si="6"/>
        <v>7.0329523160759209</v>
      </c>
      <c r="R14" s="122">
        <f t="shared" si="7"/>
        <v>1.0675398172549972E-2</v>
      </c>
    </row>
    <row r="15" spans="1:18" x14ac:dyDescent="0.25">
      <c r="A15" s="132"/>
      <c r="B15" s="76" t="s">
        <v>226</v>
      </c>
      <c r="C15" s="92" t="s">
        <v>116</v>
      </c>
      <c r="D15" s="25">
        <v>4247</v>
      </c>
      <c r="E15" s="7">
        <f>References!B7</f>
        <v>4.333333333333333</v>
      </c>
      <c r="F15" s="10">
        <f t="shared" si="1"/>
        <v>220843.99999999997</v>
      </c>
      <c r="G15" s="16">
        <f>References!B21</f>
        <v>47</v>
      </c>
      <c r="H15" s="8">
        <f t="shared" si="2"/>
        <v>10379667.999999998</v>
      </c>
      <c r="I15" s="29">
        <f t="shared" si="0"/>
        <v>7079717.8382176664</v>
      </c>
      <c r="J15" s="12">
        <f>I15*References!C$59</f>
        <v>9199.8984961886799</v>
      </c>
      <c r="K15" s="12">
        <f>J15/References!G$53</f>
        <v>9485.4093166189086</v>
      </c>
      <c r="L15" s="12">
        <f t="shared" si="8"/>
        <v>0.18611979665291009</v>
      </c>
      <c r="M15" s="72">
        <v>19.18</v>
      </c>
      <c r="N15" s="73">
        <f t="shared" si="3"/>
        <v>19.36611979665291</v>
      </c>
      <c r="O15" s="12">
        <f t="shared" si="4"/>
        <v>977489.5199999999</v>
      </c>
      <c r="P15" s="12">
        <f t="shared" si="5"/>
        <v>986974.92931661883</v>
      </c>
      <c r="Q15" s="12">
        <f t="shared" si="6"/>
        <v>9485.4093166189268</v>
      </c>
      <c r="R15" s="122">
        <f t="shared" si="7"/>
        <v>9.7038475835719545E-3</v>
      </c>
    </row>
    <row r="16" spans="1:18" x14ac:dyDescent="0.25">
      <c r="A16" s="132"/>
      <c r="B16" s="76" t="s">
        <v>226</v>
      </c>
      <c r="C16" s="92" t="s">
        <v>117</v>
      </c>
      <c r="D16" s="25">
        <v>17</v>
      </c>
      <c r="E16" s="7">
        <f>References!B6</f>
        <v>8.6666666666666661</v>
      </c>
      <c r="F16" s="10">
        <f t="shared" si="1"/>
        <v>1767.9999999999998</v>
      </c>
      <c r="G16" s="16">
        <f>References!B21</f>
        <v>47</v>
      </c>
      <c r="H16" s="8">
        <f t="shared" si="2"/>
        <v>83095.999999999985</v>
      </c>
      <c r="I16" s="29">
        <f t="shared" si="0"/>
        <v>56677.750529644611</v>
      </c>
      <c r="J16" s="12">
        <f>I16*References!C$59</f>
        <v>73.651177035652253</v>
      </c>
      <c r="K16" s="12">
        <f>J16/References!G$53</f>
        <v>75.936877034387308</v>
      </c>
      <c r="L16" s="12">
        <f t="shared" si="8"/>
        <v>0.37223959330582018</v>
      </c>
      <c r="M16" s="75">
        <v>38.36</v>
      </c>
      <c r="N16" s="73">
        <f t="shared" si="3"/>
        <v>38.73223959330582</v>
      </c>
      <c r="O16" s="12">
        <f t="shared" si="4"/>
        <v>7825.4400000000005</v>
      </c>
      <c r="P16" s="12">
        <f t="shared" si="5"/>
        <v>7901.3768770343877</v>
      </c>
      <c r="Q16" s="12">
        <f t="shared" si="6"/>
        <v>75.93687703438718</v>
      </c>
      <c r="R16" s="122">
        <f t="shared" si="7"/>
        <v>9.7038475835719545E-3</v>
      </c>
    </row>
    <row r="17" spans="1:22" x14ac:dyDescent="0.25">
      <c r="A17" s="132"/>
      <c r="B17" s="76" t="s">
        <v>226</v>
      </c>
      <c r="C17" s="92" t="s">
        <v>118</v>
      </c>
      <c r="D17" s="25">
        <v>5449</v>
      </c>
      <c r="E17" s="7">
        <f>References!B7</f>
        <v>4.333333333333333</v>
      </c>
      <c r="F17" s="10">
        <f t="shared" si="1"/>
        <v>283348</v>
      </c>
      <c r="G17" s="16">
        <f>References!B22</f>
        <v>68</v>
      </c>
      <c r="H17" s="8">
        <f t="shared" si="2"/>
        <v>19267664</v>
      </c>
      <c r="I17" s="29">
        <f t="shared" si="0"/>
        <v>13142002.665363129</v>
      </c>
      <c r="J17" s="12">
        <f>I17*References!C$59</f>
        <v>17077.670794351881</v>
      </c>
      <c r="K17" s="12">
        <f>J17/References!G$53</f>
        <v>17607.661402569214</v>
      </c>
      <c r="L17" s="12">
        <f t="shared" si="8"/>
        <v>0.26927970579569976</v>
      </c>
      <c r="M17" s="72">
        <v>24.79</v>
      </c>
      <c r="N17" s="73">
        <f t="shared" si="3"/>
        <v>25.059279705795699</v>
      </c>
      <c r="O17" s="12">
        <f t="shared" si="4"/>
        <v>1620968.52</v>
      </c>
      <c r="P17" s="12">
        <f t="shared" si="5"/>
        <v>1638576.1814025692</v>
      </c>
      <c r="Q17" s="12">
        <f t="shared" si="6"/>
        <v>17607.661402569152</v>
      </c>
      <c r="R17" s="122">
        <f t="shared" si="7"/>
        <v>1.0862432666224275E-2</v>
      </c>
    </row>
    <row r="18" spans="1:22" x14ac:dyDescent="0.25">
      <c r="A18" s="132"/>
      <c r="B18" s="76" t="s">
        <v>226</v>
      </c>
      <c r="C18" s="92" t="s">
        <v>119</v>
      </c>
      <c r="D18" s="25">
        <v>181</v>
      </c>
      <c r="E18" s="7">
        <f>References!B6</f>
        <v>8.6666666666666661</v>
      </c>
      <c r="F18" s="10">
        <f t="shared" si="1"/>
        <v>18824</v>
      </c>
      <c r="G18" s="16">
        <f>References!B22</f>
        <v>68</v>
      </c>
      <c r="H18" s="8">
        <f t="shared" si="2"/>
        <v>1280032</v>
      </c>
      <c r="I18" s="29">
        <f t="shared" si="0"/>
        <v>873078.54007367464</v>
      </c>
      <c r="J18" s="12">
        <f>I18*References!C$59</f>
        <v>1134.5415356130266</v>
      </c>
      <c r="K18" s="12">
        <f>J18/References!G$53</f>
        <v>1169.7510419765199</v>
      </c>
      <c r="L18" s="12">
        <f t="shared" si="8"/>
        <v>0.53855941159139953</v>
      </c>
      <c r="M18" s="75">
        <v>49.57</v>
      </c>
      <c r="N18" s="73">
        <f t="shared" si="3"/>
        <v>50.108559411591401</v>
      </c>
      <c r="O18" s="12">
        <f t="shared" si="4"/>
        <v>107666.04000000001</v>
      </c>
      <c r="P18" s="12">
        <f t="shared" si="5"/>
        <v>108835.79104197654</v>
      </c>
      <c r="Q18" s="12">
        <f t="shared" si="6"/>
        <v>1169.7510419765313</v>
      </c>
      <c r="R18" s="122">
        <f t="shared" si="7"/>
        <v>1.0864623998212619E-2</v>
      </c>
      <c r="S18" s="3"/>
    </row>
    <row r="19" spans="1:22" x14ac:dyDescent="0.25">
      <c r="A19" s="132"/>
      <c r="B19" s="76" t="s">
        <v>226</v>
      </c>
      <c r="C19" s="92" t="s">
        <v>120</v>
      </c>
      <c r="D19" s="25">
        <v>13</v>
      </c>
      <c r="E19" s="7">
        <f>References!B5</f>
        <v>13</v>
      </c>
      <c r="F19" s="10">
        <f t="shared" si="1"/>
        <v>2028</v>
      </c>
      <c r="G19" s="16">
        <f>References!B22</f>
        <v>68</v>
      </c>
      <c r="H19" s="8">
        <f t="shared" si="2"/>
        <v>137904</v>
      </c>
      <c r="I19" s="29">
        <f t="shared" si="0"/>
        <v>94060.947687495325</v>
      </c>
      <c r="J19" s="12">
        <f>I19*References!C$59</f>
        <v>122.22961295278461</v>
      </c>
      <c r="K19" s="12">
        <f>J19/References!G$53</f>
        <v>126.02290231238747</v>
      </c>
      <c r="L19" s="12">
        <f t="shared" si="8"/>
        <v>0.80783911738709913</v>
      </c>
      <c r="M19" s="75">
        <v>74.350000000000009</v>
      </c>
      <c r="N19" s="73">
        <f t="shared" si="3"/>
        <v>75.157839117387113</v>
      </c>
      <c r="O19" s="12">
        <f t="shared" si="4"/>
        <v>11598.6</v>
      </c>
      <c r="P19" s="12">
        <f t="shared" si="5"/>
        <v>11724.622902312389</v>
      </c>
      <c r="Q19" s="12">
        <f t="shared" si="6"/>
        <v>126.0229023123884</v>
      </c>
      <c r="R19" s="122">
        <f t="shared" si="7"/>
        <v>1.0865354638696692E-2</v>
      </c>
      <c r="S19" s="3"/>
    </row>
    <row r="20" spans="1:22" x14ac:dyDescent="0.25">
      <c r="A20" s="132"/>
      <c r="B20" s="76" t="s">
        <v>226</v>
      </c>
      <c r="C20" s="92" t="s">
        <v>121</v>
      </c>
      <c r="D20" s="25">
        <v>2</v>
      </c>
      <c r="E20" s="7">
        <f>References!B4</f>
        <v>17.333333333333332</v>
      </c>
      <c r="F20" s="10">
        <f t="shared" si="1"/>
        <v>416</v>
      </c>
      <c r="G20" s="16">
        <f>References!B22</f>
        <v>68</v>
      </c>
      <c r="H20" s="8">
        <f t="shared" si="2"/>
        <v>28288</v>
      </c>
      <c r="I20" s="29">
        <f t="shared" si="0"/>
        <v>19294.553371793914</v>
      </c>
      <c r="J20" s="12">
        <f>I20*References!C$59</f>
        <v>25.072741118519922</v>
      </c>
      <c r="K20" s="12">
        <f>J20/References!G$53</f>
        <v>25.850851756387176</v>
      </c>
      <c r="L20" s="12">
        <f t="shared" si="8"/>
        <v>1.0771188231827991</v>
      </c>
      <c r="M20" s="75">
        <v>99.13000000000001</v>
      </c>
      <c r="N20" s="73">
        <f t="shared" si="3"/>
        <v>100.20711882318281</v>
      </c>
      <c r="O20" s="12">
        <f t="shared" si="4"/>
        <v>2379.1200000000003</v>
      </c>
      <c r="P20" s="12">
        <f t="shared" si="5"/>
        <v>2404.9708517563877</v>
      </c>
      <c r="Q20" s="12">
        <f t="shared" si="6"/>
        <v>25.850851756387328</v>
      </c>
      <c r="R20" s="122">
        <f t="shared" si="7"/>
        <v>1.0865719995791374E-2</v>
      </c>
      <c r="S20" s="3"/>
    </row>
    <row r="21" spans="1:22" x14ac:dyDescent="0.25">
      <c r="B21" s="51"/>
      <c r="C21" s="47" t="s">
        <v>81</v>
      </c>
      <c r="D21" s="42">
        <f>SUM(D2:D20)</f>
        <v>13757</v>
      </c>
      <c r="E21" s="43"/>
      <c r="F21" s="44">
        <f>SUM(F2:F20)</f>
        <v>739871.76</v>
      </c>
      <c r="G21" s="45"/>
      <c r="H21" s="46">
        <f>SUM(H2:H20)</f>
        <v>38775711.839999996</v>
      </c>
      <c r="I21" s="49">
        <f>SUM(I2:I20)</f>
        <v>26447965.272418737</v>
      </c>
      <c r="J21" s="48">
        <f>SUM(J2:J20)</f>
        <v>34368.403020738391</v>
      </c>
      <c r="K21" s="48">
        <f>SUM(K2:K20)</f>
        <v>35434.99641276255</v>
      </c>
      <c r="L21" s="47"/>
      <c r="M21" s="47"/>
      <c r="N21" s="48"/>
      <c r="O21" s="50">
        <f>SUM(O2:O20)</f>
        <v>3355109.0400000005</v>
      </c>
      <c r="P21" s="48">
        <f>SUM(P2:P20)</f>
        <v>3390519.9109006594</v>
      </c>
      <c r="Q21" s="48">
        <f>SUM(Q2:Q20)</f>
        <v>35410.870900659509</v>
      </c>
      <c r="R21" s="126">
        <f>1-O21/P21</f>
        <v>1.0444082863755311E-2</v>
      </c>
    </row>
    <row r="22" spans="1:22" ht="64.5" x14ac:dyDescent="0.25">
      <c r="B22" s="80" t="s">
        <v>102</v>
      </c>
      <c r="C22" s="79" t="s">
        <v>199</v>
      </c>
      <c r="D22" s="17" t="s">
        <v>0</v>
      </c>
      <c r="E22" s="18" t="s">
        <v>1</v>
      </c>
      <c r="F22" s="19" t="s">
        <v>2</v>
      </c>
      <c r="G22" s="20" t="s">
        <v>74</v>
      </c>
      <c r="H22" s="21" t="s">
        <v>4</v>
      </c>
      <c r="I22" s="22" t="s">
        <v>5</v>
      </c>
      <c r="J22" s="23" t="s">
        <v>6</v>
      </c>
      <c r="K22" s="23" t="s">
        <v>7</v>
      </c>
      <c r="L22" s="22" t="s">
        <v>8</v>
      </c>
      <c r="M22" s="22" t="s">
        <v>97</v>
      </c>
      <c r="N22" s="24" t="s">
        <v>98</v>
      </c>
      <c r="O22" s="22" t="s">
        <v>9</v>
      </c>
      <c r="P22" s="22" t="s">
        <v>10</v>
      </c>
      <c r="Q22" s="22" t="s">
        <v>82</v>
      </c>
      <c r="R22" s="123" t="s">
        <v>224</v>
      </c>
      <c r="S22" s="123" t="s">
        <v>204</v>
      </c>
      <c r="T22" s="123" t="s">
        <v>203</v>
      </c>
      <c r="U22" s="123" t="s">
        <v>205</v>
      </c>
      <c r="V22" s="123" t="s">
        <v>206</v>
      </c>
    </row>
    <row r="23" spans="1:22" ht="13.5" customHeight="1" x14ac:dyDescent="0.25">
      <c r="B23" t="s">
        <v>225</v>
      </c>
      <c r="C23" s="93" t="s">
        <v>122</v>
      </c>
      <c r="D23" s="26">
        <v>9</v>
      </c>
      <c r="E23" s="27">
        <f>References!$B$9</f>
        <v>1</v>
      </c>
      <c r="F23" s="10">
        <f>D23*E23*52</f>
        <v>468</v>
      </c>
      <c r="G23" s="15">
        <f>References!B26</f>
        <v>29</v>
      </c>
      <c r="H23" s="8">
        <f t="shared" ref="H23:H73" si="18">G23*F23</f>
        <v>13572</v>
      </c>
      <c r="I23" s="29">
        <f>H23*D$80</f>
        <v>9257.1294669820072</v>
      </c>
      <c r="J23" s="12">
        <f>I23*References!C$59</f>
        <v>12.029384985172243</v>
      </c>
      <c r="K23" s="12">
        <f>J23/References!G$53</f>
        <v>12.402706449296055</v>
      </c>
      <c r="L23" s="121">
        <f>L2</f>
        <v>3.1070735284119202E-2</v>
      </c>
      <c r="M23" s="72">
        <v>4.45</v>
      </c>
      <c r="N23" s="73">
        <f>M23+L23</f>
        <v>4.4810707352841197</v>
      </c>
      <c r="O23" s="12">
        <f>M23*F23</f>
        <v>2082.6</v>
      </c>
      <c r="P23" s="12">
        <f>N23*F23</f>
        <v>2097.1411041129682</v>
      </c>
      <c r="Q23" s="12">
        <f>P23-O23</f>
        <v>14.541104112968242</v>
      </c>
      <c r="R23" s="122">
        <f t="shared" si="7"/>
        <v>6.9821877042964501E-3</v>
      </c>
    </row>
    <row r="24" spans="1:22" x14ac:dyDescent="0.25">
      <c r="B24" t="s">
        <v>225</v>
      </c>
      <c r="C24" s="93" t="s">
        <v>123</v>
      </c>
      <c r="D24" s="26">
        <v>1</v>
      </c>
      <c r="E24" s="27">
        <v>2</v>
      </c>
      <c r="F24" s="10">
        <f t="shared" ref="F24:F73" si="19">D24*E24*52</f>
        <v>104</v>
      </c>
      <c r="G24" s="15">
        <f>References!B26</f>
        <v>29</v>
      </c>
      <c r="H24" s="8">
        <f t="shared" si="18"/>
        <v>3016</v>
      </c>
      <c r="I24" s="29">
        <f t="shared" ref="I24:I73" si="20">H24*D$80</f>
        <v>2057.1398815515572</v>
      </c>
      <c r="J24" s="12">
        <f>I24*References!C$59</f>
        <v>2.6731966633716095</v>
      </c>
      <c r="K24" s="12">
        <f>J24/References!G$53</f>
        <v>2.7561569887324566</v>
      </c>
      <c r="L24" s="121">
        <f>L23</f>
        <v>3.1070735284119202E-2</v>
      </c>
      <c r="M24" s="72">
        <v>4.45</v>
      </c>
      <c r="N24" s="73">
        <f t="shared" ref="N24:N73" si="21">M24+L24</f>
        <v>4.4810707352841197</v>
      </c>
      <c r="O24" s="12">
        <f t="shared" ref="O24:O73" si="22">M24*F24</f>
        <v>462.8</v>
      </c>
      <c r="P24" s="12">
        <f>N24*F24</f>
        <v>466.03135646954843</v>
      </c>
      <c r="Q24" s="12">
        <f t="shared" ref="Q24:Q73" si="23">P24-O24</f>
        <v>3.231356469548416</v>
      </c>
      <c r="R24" s="122">
        <f t="shared" si="7"/>
        <v>6.9821877042964501E-3</v>
      </c>
    </row>
    <row r="25" spans="1:22" x14ac:dyDescent="0.25">
      <c r="B25" t="s">
        <v>225</v>
      </c>
      <c r="C25" s="93" t="s">
        <v>124</v>
      </c>
      <c r="D25" s="26">
        <v>8</v>
      </c>
      <c r="E25" s="27">
        <f>References!$B$9</f>
        <v>1</v>
      </c>
      <c r="F25" s="10">
        <f t="shared" si="19"/>
        <v>416</v>
      </c>
      <c r="G25" s="15">
        <f>References!B20</f>
        <v>37</v>
      </c>
      <c r="H25" s="8">
        <f t="shared" si="18"/>
        <v>15392</v>
      </c>
      <c r="I25" s="29">
        <f t="shared" si="20"/>
        <v>10498.506981711394</v>
      </c>
      <c r="J25" s="12">
        <f>I25*References!C$59</f>
        <v>13.642520902724074</v>
      </c>
      <c r="K25" s="12">
        <f>J25/References!G$53</f>
        <v>14.065904632151845</v>
      </c>
      <c r="L25" s="12">
        <f>K25/D25/12</f>
        <v>0.14651983991824838</v>
      </c>
      <c r="M25" s="72">
        <v>6.09</v>
      </c>
      <c r="N25" s="73">
        <f t="shared" si="21"/>
        <v>6.2365198399182482</v>
      </c>
      <c r="O25" s="12">
        <f t="shared" si="22"/>
        <v>2533.44</v>
      </c>
      <c r="P25" s="12">
        <f t="shared" ref="P25:P73" si="24">N25*F25</f>
        <v>2594.3922534059911</v>
      </c>
      <c r="Q25" s="12">
        <f t="shared" si="23"/>
        <v>60.952253405991087</v>
      </c>
      <c r="R25" s="122">
        <f t="shared" si="7"/>
        <v>2.4059087014490704E-2</v>
      </c>
      <c r="S25" s="124">
        <v>10.130000000000001</v>
      </c>
      <c r="T25" s="124">
        <f>ROUND(S25*R25,2)+S25</f>
        <v>10.370000000000001</v>
      </c>
    </row>
    <row r="26" spans="1:22" x14ac:dyDescent="0.25">
      <c r="B26" t="s">
        <v>225</v>
      </c>
      <c r="C26" s="93" t="s">
        <v>125</v>
      </c>
      <c r="D26" s="26">
        <v>12</v>
      </c>
      <c r="E26" s="27">
        <f>References!$B$9</f>
        <v>1</v>
      </c>
      <c r="F26" s="10">
        <f t="shared" si="19"/>
        <v>624</v>
      </c>
      <c r="G26" s="15">
        <f>References!B21</f>
        <v>47</v>
      </c>
      <c r="H26" s="8">
        <f t="shared" si="18"/>
        <v>29328</v>
      </c>
      <c r="I26" s="29">
        <f t="shared" si="20"/>
        <v>20003.911951639278</v>
      </c>
      <c r="J26" s="12">
        <f>I26*References!C$59</f>
        <v>25.994533071406682</v>
      </c>
      <c r="K26" s="12">
        <f>J26/References!G$53</f>
        <v>26.801250718019055</v>
      </c>
      <c r="L26" s="121">
        <f>L15</f>
        <v>0.18611979665291009</v>
      </c>
      <c r="M26" s="72">
        <v>7.4799999999999995</v>
      </c>
      <c r="N26" s="73">
        <f t="shared" si="21"/>
        <v>7.66611979665291</v>
      </c>
      <c r="O26" s="12">
        <f t="shared" si="22"/>
        <v>4667.5199999999995</v>
      </c>
      <c r="P26" s="12">
        <f t="shared" si="24"/>
        <v>4783.6587531114155</v>
      </c>
      <c r="Q26" s="12">
        <f t="shared" si="23"/>
        <v>116.13875311141601</v>
      </c>
      <c r="R26" s="122">
        <f t="shared" si="7"/>
        <v>2.4882325755736644E-2</v>
      </c>
      <c r="S26" s="124">
        <v>11.5</v>
      </c>
      <c r="T26" s="124">
        <f t="shared" ref="T26:T27" si="25">ROUND(S26*R26,2)+S26</f>
        <v>11.79</v>
      </c>
    </row>
    <row r="27" spans="1:22" x14ac:dyDescent="0.25">
      <c r="B27" t="s">
        <v>225</v>
      </c>
      <c r="C27" t="s">
        <v>126</v>
      </c>
      <c r="D27" s="26">
        <v>103</v>
      </c>
      <c r="E27" s="27">
        <f>References!$B$9</f>
        <v>1</v>
      </c>
      <c r="F27" s="10">
        <f t="shared" si="19"/>
        <v>5356</v>
      </c>
      <c r="G27" s="15">
        <f>References!$B$22</f>
        <v>68</v>
      </c>
      <c r="H27" s="8">
        <f t="shared" si="18"/>
        <v>364208</v>
      </c>
      <c r="I27" s="29">
        <f t="shared" si="20"/>
        <v>248417.37466184664</v>
      </c>
      <c r="J27" s="12">
        <f>I27*References!C$59</f>
        <v>322.81154190094395</v>
      </c>
      <c r="K27" s="12">
        <f>J27/References!G$53</f>
        <v>332.82971636348486</v>
      </c>
      <c r="L27" s="121">
        <f>L17</f>
        <v>0.26927970579569976</v>
      </c>
      <c r="M27" s="72">
        <v>8.7999999999999989</v>
      </c>
      <c r="N27" s="73">
        <f t="shared" si="21"/>
        <v>9.0692797057956991</v>
      </c>
      <c r="O27" s="12">
        <f t="shared" si="22"/>
        <v>47132.799999999996</v>
      </c>
      <c r="P27" s="12">
        <f t="shared" si="24"/>
        <v>48575.062104241762</v>
      </c>
      <c r="Q27" s="12">
        <f t="shared" si="23"/>
        <v>1442.2621042417668</v>
      </c>
      <c r="R27" s="122">
        <f t="shared" si="7"/>
        <v>3.0599966567693159E-2</v>
      </c>
      <c r="S27" s="124">
        <v>12.81</v>
      </c>
      <c r="T27" s="124">
        <f t="shared" si="25"/>
        <v>13.200000000000001</v>
      </c>
    </row>
    <row r="28" spans="1:22" x14ac:dyDescent="0.25">
      <c r="B28" t="s">
        <v>225</v>
      </c>
      <c r="C28" t="s">
        <v>127</v>
      </c>
      <c r="D28" s="26">
        <v>12</v>
      </c>
      <c r="E28" s="27">
        <v>2</v>
      </c>
      <c r="F28" s="10">
        <f t="shared" si="19"/>
        <v>1248</v>
      </c>
      <c r="G28" s="15">
        <f>References!$B$22</f>
        <v>68</v>
      </c>
      <c r="H28" s="8">
        <f t="shared" si="18"/>
        <v>84864</v>
      </c>
      <c r="I28" s="29">
        <f t="shared" si="20"/>
        <v>57883.660115381739</v>
      </c>
      <c r="J28" s="12">
        <f>I28*References!C$59</f>
        <v>75.218223355559758</v>
      </c>
      <c r="K28" s="12">
        <f>J28/References!G$53</f>
        <v>77.552555269161516</v>
      </c>
      <c r="L28" s="121">
        <f>L27</f>
        <v>0.26927970579569976</v>
      </c>
      <c r="M28" s="72">
        <v>8.7999999999999989</v>
      </c>
      <c r="N28" s="73">
        <f t="shared" si="21"/>
        <v>9.0692797057956991</v>
      </c>
      <c r="O28" s="12">
        <f t="shared" si="22"/>
        <v>10982.399999999998</v>
      </c>
      <c r="P28" s="12">
        <f t="shared" si="24"/>
        <v>11318.461072833032</v>
      </c>
      <c r="Q28" s="12">
        <f t="shared" si="23"/>
        <v>336.0610728330339</v>
      </c>
      <c r="R28" s="122">
        <f t="shared" si="7"/>
        <v>3.0599966567693159E-2</v>
      </c>
    </row>
    <row r="29" spans="1:22" x14ac:dyDescent="0.25">
      <c r="B29" t="s">
        <v>225</v>
      </c>
      <c r="C29" t="s">
        <v>128</v>
      </c>
      <c r="D29" s="26">
        <v>5</v>
      </c>
      <c r="E29" s="27">
        <v>3</v>
      </c>
      <c r="F29" s="10">
        <f t="shared" si="19"/>
        <v>780</v>
      </c>
      <c r="G29" s="15">
        <f>References!$B$22</f>
        <v>68</v>
      </c>
      <c r="H29" s="8">
        <f t="shared" si="18"/>
        <v>53040</v>
      </c>
      <c r="I29" s="29">
        <f t="shared" si="20"/>
        <v>36177.287572113586</v>
      </c>
      <c r="J29" s="12">
        <f>I29*References!C$59</f>
        <v>47.011389597224849</v>
      </c>
      <c r="K29" s="12">
        <f>J29/References!G$53</f>
        <v>48.470347043225949</v>
      </c>
      <c r="L29" s="121">
        <f>L28</f>
        <v>0.26927970579569976</v>
      </c>
      <c r="M29" s="72">
        <v>8.7999999999999989</v>
      </c>
      <c r="N29" s="73">
        <f t="shared" si="21"/>
        <v>9.0692797057956991</v>
      </c>
      <c r="O29" s="12">
        <f t="shared" si="22"/>
        <v>6863.9999999999991</v>
      </c>
      <c r="P29" s="12">
        <f t="shared" si="24"/>
        <v>7074.0381705206455</v>
      </c>
      <c r="Q29" s="12">
        <f t="shared" si="23"/>
        <v>210.03817052064642</v>
      </c>
      <c r="R29" s="122">
        <f t="shared" si="7"/>
        <v>3.0599966567693159E-2</v>
      </c>
    </row>
    <row r="30" spans="1:22" x14ac:dyDescent="0.25">
      <c r="B30" t="s">
        <v>225</v>
      </c>
      <c r="C30" t="s">
        <v>129</v>
      </c>
      <c r="D30" s="26">
        <v>1</v>
      </c>
      <c r="E30" s="27">
        <v>4</v>
      </c>
      <c r="F30" s="10">
        <f t="shared" si="19"/>
        <v>208</v>
      </c>
      <c r="G30" s="15">
        <f>References!$B$22</f>
        <v>68</v>
      </c>
      <c r="H30" s="8">
        <f t="shared" si="18"/>
        <v>14144</v>
      </c>
      <c r="I30" s="29">
        <f t="shared" si="20"/>
        <v>9647.2766858969571</v>
      </c>
      <c r="J30" s="12">
        <f>I30*References!C$59</f>
        <v>12.536370559259961</v>
      </c>
      <c r="K30" s="12">
        <f>J30/References!G$53</f>
        <v>12.925425878193588</v>
      </c>
      <c r="L30" s="121">
        <f>L29</f>
        <v>0.26927970579569976</v>
      </c>
      <c r="M30" s="72">
        <v>8.7999999999999989</v>
      </c>
      <c r="N30" s="73">
        <f t="shared" si="21"/>
        <v>9.0692797057956991</v>
      </c>
      <c r="O30" s="12">
        <f t="shared" si="22"/>
        <v>1830.3999999999999</v>
      </c>
      <c r="P30" s="12">
        <f t="shared" si="24"/>
        <v>1886.4101788055054</v>
      </c>
      <c r="Q30" s="12">
        <f t="shared" si="23"/>
        <v>56.010178805505575</v>
      </c>
      <c r="R30" s="122">
        <f t="shared" si="7"/>
        <v>3.0599966567693159E-2</v>
      </c>
    </row>
    <row r="31" spans="1:22" x14ac:dyDescent="0.25">
      <c r="B31" t="s">
        <v>225</v>
      </c>
      <c r="C31" t="s">
        <v>130</v>
      </c>
      <c r="D31" s="26">
        <v>1</v>
      </c>
      <c r="E31" s="27">
        <v>5</v>
      </c>
      <c r="F31" s="10">
        <f t="shared" si="19"/>
        <v>260</v>
      </c>
      <c r="G31" s="15">
        <f>References!$B$22</f>
        <v>68</v>
      </c>
      <c r="H31" s="8">
        <f t="shared" si="18"/>
        <v>17680</v>
      </c>
      <c r="I31" s="29">
        <f t="shared" si="20"/>
        <v>12059.095857371196</v>
      </c>
      <c r="J31" s="12">
        <f>I31*References!C$59</f>
        <v>15.67046319907495</v>
      </c>
      <c r="K31" s="12">
        <f>J31/References!G$53</f>
        <v>16.156782347741984</v>
      </c>
      <c r="L31" s="121">
        <f>L30</f>
        <v>0.26927970579569976</v>
      </c>
      <c r="M31" s="72">
        <v>8.7999999999999989</v>
      </c>
      <c r="N31" s="73">
        <f t="shared" si="21"/>
        <v>9.0692797057956991</v>
      </c>
      <c r="O31" s="12">
        <f t="shared" si="22"/>
        <v>2287.9999999999995</v>
      </c>
      <c r="P31" s="12">
        <f t="shared" si="24"/>
        <v>2358.0127235068817</v>
      </c>
      <c r="Q31" s="12">
        <f t="shared" si="23"/>
        <v>70.012723506882139</v>
      </c>
      <c r="R31" s="122">
        <f t="shared" si="7"/>
        <v>3.0599966567693159E-2</v>
      </c>
    </row>
    <row r="32" spans="1:22" x14ac:dyDescent="0.25">
      <c r="B32" t="s">
        <v>225</v>
      </c>
      <c r="C32" t="s">
        <v>131</v>
      </c>
      <c r="D32" s="26">
        <v>2</v>
      </c>
      <c r="E32" s="27">
        <v>9</v>
      </c>
      <c r="F32" s="10">
        <f t="shared" si="19"/>
        <v>936</v>
      </c>
      <c r="G32" s="15">
        <f>References!$B$22</f>
        <v>68</v>
      </c>
      <c r="H32" s="8">
        <f t="shared" si="18"/>
        <v>63648</v>
      </c>
      <c r="I32" s="29">
        <f t="shared" si="20"/>
        <v>43412.745086536306</v>
      </c>
      <c r="J32" s="12">
        <f>I32*References!C$59</f>
        <v>56.413667516669818</v>
      </c>
      <c r="K32" s="12">
        <f>J32/References!G$53</f>
        <v>58.164416451871141</v>
      </c>
      <c r="L32" s="121">
        <f>L31</f>
        <v>0.26927970579569976</v>
      </c>
      <c r="M32" s="72">
        <v>8.7999999999999989</v>
      </c>
      <c r="N32" s="73">
        <f t="shared" si="21"/>
        <v>9.0692797057956991</v>
      </c>
      <c r="O32" s="12">
        <f t="shared" si="22"/>
        <v>8236.7999999999993</v>
      </c>
      <c r="P32" s="12">
        <f t="shared" si="24"/>
        <v>8488.8458046247742</v>
      </c>
      <c r="Q32" s="12">
        <f t="shared" si="23"/>
        <v>252.04580462477497</v>
      </c>
      <c r="R32" s="122">
        <f t="shared" si="7"/>
        <v>3.0599966567693159E-2</v>
      </c>
    </row>
    <row r="33" spans="2:35" x14ac:dyDescent="0.25">
      <c r="B33" t="s">
        <v>225</v>
      </c>
      <c r="C33" t="s">
        <v>132</v>
      </c>
      <c r="D33" s="26">
        <v>24</v>
      </c>
      <c r="E33" s="27">
        <v>0.5</v>
      </c>
      <c r="F33" s="10">
        <f t="shared" si="19"/>
        <v>624</v>
      </c>
      <c r="G33" s="15">
        <f>References!B27</f>
        <v>175</v>
      </c>
      <c r="H33" s="8">
        <f t="shared" si="18"/>
        <v>109200</v>
      </c>
      <c r="I33" s="29">
        <f t="shared" si="20"/>
        <v>74482.650883763272</v>
      </c>
      <c r="J33" s="12">
        <f>I33*References!C$59</f>
        <v>96.788155053109989</v>
      </c>
      <c r="K33" s="12">
        <f>J33/References!G$53</f>
        <v>99.791890971347556</v>
      </c>
      <c r="L33" s="11">
        <f t="shared" ref="L33:L42" si="26">K33/F33</f>
        <v>0.15992290219767236</v>
      </c>
      <c r="M33" s="72">
        <v>16.21</v>
      </c>
      <c r="N33" s="73">
        <f t="shared" si="21"/>
        <v>16.369922902197672</v>
      </c>
      <c r="O33" s="12">
        <f t="shared" si="22"/>
        <v>10115.040000000001</v>
      </c>
      <c r="P33" s="12">
        <f t="shared" si="24"/>
        <v>10214.831890971347</v>
      </c>
      <c r="Q33" s="12">
        <f t="shared" si="23"/>
        <v>99.79189097134622</v>
      </c>
      <c r="R33" s="122">
        <f t="shared" si="7"/>
        <v>9.8656941516145798E-3</v>
      </c>
      <c r="S33">
        <v>20.079999999999998</v>
      </c>
      <c r="T33" s="124">
        <f t="shared" ref="T33" si="27">ROUND(S33*R33,2)+S33</f>
        <v>20.279999999999998</v>
      </c>
      <c r="U33">
        <v>27.09</v>
      </c>
      <c r="V33" s="124">
        <f>ROUND(U33*R33,2)+U33</f>
        <v>27.36</v>
      </c>
    </row>
    <row r="34" spans="2:35" x14ac:dyDescent="0.25">
      <c r="B34" t="s">
        <v>225</v>
      </c>
      <c r="C34" t="s">
        <v>133</v>
      </c>
      <c r="D34" s="26">
        <v>92</v>
      </c>
      <c r="E34" s="27">
        <f>References!$B$9</f>
        <v>1</v>
      </c>
      <c r="F34" s="10">
        <f t="shared" si="19"/>
        <v>4784</v>
      </c>
      <c r="G34" s="15">
        <f>References!B27</f>
        <v>175</v>
      </c>
      <c r="H34" s="8">
        <f t="shared" si="18"/>
        <v>837200</v>
      </c>
      <c r="I34" s="29">
        <f t="shared" si="20"/>
        <v>571033.65677551844</v>
      </c>
      <c r="J34" s="12">
        <f>I34*References!C$59</f>
        <v>742.04252207384332</v>
      </c>
      <c r="K34" s="12">
        <f>J34/References!G$53</f>
        <v>765.07116411366462</v>
      </c>
      <c r="L34" s="11">
        <f t="shared" si="26"/>
        <v>0.15992290219767238</v>
      </c>
      <c r="M34" s="72">
        <v>16.21</v>
      </c>
      <c r="N34" s="73">
        <f t="shared" si="21"/>
        <v>16.369922902197672</v>
      </c>
      <c r="O34" s="12">
        <f t="shared" si="22"/>
        <v>77548.639999999999</v>
      </c>
      <c r="P34" s="12">
        <f t="shared" si="24"/>
        <v>78313.711164113658</v>
      </c>
      <c r="Q34" s="12">
        <f t="shared" si="23"/>
        <v>765.0711641136586</v>
      </c>
      <c r="R34" s="122">
        <f t="shared" si="7"/>
        <v>9.8656941516145815E-3</v>
      </c>
    </row>
    <row r="35" spans="2:35" x14ac:dyDescent="0.25">
      <c r="B35" t="s">
        <v>225</v>
      </c>
      <c r="C35" t="s">
        <v>134</v>
      </c>
      <c r="D35" s="26">
        <v>17</v>
      </c>
      <c r="E35" s="27">
        <f>0.5</f>
        <v>0.5</v>
      </c>
      <c r="F35" s="10">
        <f t="shared" si="19"/>
        <v>442</v>
      </c>
      <c r="G35" s="15">
        <f>References!$B$28</f>
        <v>250</v>
      </c>
      <c r="H35" s="8">
        <f t="shared" si="18"/>
        <v>110500</v>
      </c>
      <c r="I35" s="29">
        <f t="shared" si="20"/>
        <v>75369.349108569979</v>
      </c>
      <c r="J35" s="12">
        <f>I35*References!C$59</f>
        <v>97.940394994218451</v>
      </c>
      <c r="K35" s="12">
        <f>J35/References!G$53</f>
        <v>100.97988967338742</v>
      </c>
      <c r="L35" s="11">
        <f t="shared" si="26"/>
        <v>0.2284612888538177</v>
      </c>
      <c r="M35" s="72">
        <v>20.73</v>
      </c>
      <c r="N35" s="73">
        <f t="shared" si="21"/>
        <v>20.958461288853819</v>
      </c>
      <c r="O35" s="12">
        <f t="shared" si="22"/>
        <v>9162.66</v>
      </c>
      <c r="P35" s="12">
        <f t="shared" si="24"/>
        <v>9263.6398896733881</v>
      </c>
      <c r="Q35" s="12">
        <f t="shared" si="23"/>
        <v>100.97988967338824</v>
      </c>
      <c r="R35" s="122">
        <f t="shared" si="7"/>
        <v>1.1020805058071282E-2</v>
      </c>
      <c r="AB35" t="s">
        <v>232</v>
      </c>
    </row>
    <row r="36" spans="2:35" x14ac:dyDescent="0.25">
      <c r="B36" t="s">
        <v>225</v>
      </c>
      <c r="C36" t="s">
        <v>135</v>
      </c>
      <c r="D36" s="26">
        <v>146</v>
      </c>
      <c r="E36" s="27">
        <f>References!$B$9</f>
        <v>1</v>
      </c>
      <c r="F36" s="10">
        <f t="shared" si="19"/>
        <v>7592</v>
      </c>
      <c r="G36" s="15">
        <f>References!$B$28</f>
        <v>250</v>
      </c>
      <c r="H36" s="8">
        <f t="shared" si="18"/>
        <v>1898000</v>
      </c>
      <c r="I36" s="29">
        <f t="shared" si="20"/>
        <v>1294579.4082177903</v>
      </c>
      <c r="J36" s="12">
        <f>I36*References!C$59</f>
        <v>1682.2703140183405</v>
      </c>
      <c r="K36" s="12">
        <f>J36/References!G$53</f>
        <v>1734.4781049781839</v>
      </c>
      <c r="L36" s="11">
        <f t="shared" si="26"/>
        <v>0.2284612888538177</v>
      </c>
      <c r="M36" s="72">
        <v>20.73</v>
      </c>
      <c r="N36" s="73">
        <f t="shared" si="21"/>
        <v>20.958461288853819</v>
      </c>
      <c r="O36" s="12">
        <f t="shared" si="22"/>
        <v>157382.16</v>
      </c>
      <c r="P36" s="12">
        <f t="shared" si="24"/>
        <v>159116.63810497819</v>
      </c>
      <c r="Q36" s="12">
        <f t="shared" si="23"/>
        <v>1734.4781049781886</v>
      </c>
      <c r="R36" s="122">
        <f t="shared" si="7"/>
        <v>1.1020805058071282E-2</v>
      </c>
    </row>
    <row r="37" spans="2:35" x14ac:dyDescent="0.25">
      <c r="B37" t="s">
        <v>225</v>
      </c>
      <c r="C37" t="s">
        <v>136</v>
      </c>
      <c r="D37" s="26">
        <v>1</v>
      </c>
      <c r="E37" s="27">
        <f>References!$B$9</f>
        <v>1</v>
      </c>
      <c r="F37" s="10">
        <f t="shared" si="19"/>
        <v>52</v>
      </c>
      <c r="G37" s="15">
        <f>References!$B$28</f>
        <v>250</v>
      </c>
      <c r="H37" s="8">
        <f t="shared" si="18"/>
        <v>13000</v>
      </c>
      <c r="I37" s="29">
        <f t="shared" si="20"/>
        <v>8866.9822480670555</v>
      </c>
      <c r="J37" s="12">
        <f>I37*References!C$59</f>
        <v>11.522399411084521</v>
      </c>
      <c r="K37" s="12">
        <f>J37/References!G$53</f>
        <v>11.879987020398517</v>
      </c>
      <c r="L37" s="11">
        <f t="shared" si="26"/>
        <v>0.22846128885381761</v>
      </c>
      <c r="M37" s="72">
        <v>20.73</v>
      </c>
      <c r="N37" s="73">
        <f t="shared" si="21"/>
        <v>20.958461288853819</v>
      </c>
      <c r="O37" s="12">
        <f t="shared" si="22"/>
        <v>1077.96</v>
      </c>
      <c r="P37" s="12">
        <f t="shared" si="24"/>
        <v>1089.8399870203987</v>
      </c>
      <c r="Q37" s="12">
        <f t="shared" si="23"/>
        <v>11.87998702039863</v>
      </c>
      <c r="R37" s="122">
        <f t="shared" si="7"/>
        <v>1.1020805058071279E-2</v>
      </c>
    </row>
    <row r="38" spans="2:35" x14ac:dyDescent="0.25">
      <c r="B38" t="s">
        <v>225</v>
      </c>
      <c r="C38" t="s">
        <v>137</v>
      </c>
      <c r="D38" s="26">
        <v>1</v>
      </c>
      <c r="E38" s="27">
        <f>2</f>
        <v>2</v>
      </c>
      <c r="F38" s="10">
        <f t="shared" si="19"/>
        <v>104</v>
      </c>
      <c r="G38" s="15">
        <f>References!$B$28</f>
        <v>250</v>
      </c>
      <c r="H38" s="8">
        <f t="shared" si="18"/>
        <v>26000</v>
      </c>
      <c r="I38" s="29">
        <f t="shared" si="20"/>
        <v>17733.964496134111</v>
      </c>
      <c r="J38" s="12">
        <f>I38*References!C$59</f>
        <v>23.044798822169042</v>
      </c>
      <c r="K38" s="12">
        <f>J38/References!G$53</f>
        <v>23.759974040797033</v>
      </c>
      <c r="L38" s="11">
        <f t="shared" si="26"/>
        <v>0.22846128885381761</v>
      </c>
      <c r="M38" s="72">
        <v>20.73</v>
      </c>
      <c r="N38" s="73">
        <f t="shared" si="21"/>
        <v>20.958461288853819</v>
      </c>
      <c r="O38" s="12">
        <f t="shared" si="22"/>
        <v>2155.92</v>
      </c>
      <c r="P38" s="12">
        <f t="shared" si="24"/>
        <v>2179.6799740407973</v>
      </c>
      <c r="Q38" s="12">
        <f t="shared" si="23"/>
        <v>23.75997404079726</v>
      </c>
      <c r="R38" s="122">
        <f t="shared" si="7"/>
        <v>1.1020805058071279E-2</v>
      </c>
      <c r="AC38" t="s">
        <v>231</v>
      </c>
      <c r="AI38" t="s">
        <v>230</v>
      </c>
    </row>
    <row r="39" spans="2:35" x14ac:dyDescent="0.25">
      <c r="B39" t="s">
        <v>225</v>
      </c>
      <c r="C39" t="s">
        <v>138</v>
      </c>
      <c r="D39" s="26">
        <v>61</v>
      </c>
      <c r="E39" s="27">
        <f>0.5</f>
        <v>0.5</v>
      </c>
      <c r="F39" s="10">
        <f t="shared" si="19"/>
        <v>1586</v>
      </c>
      <c r="G39" s="15">
        <f>References!$B$29</f>
        <v>324</v>
      </c>
      <c r="H39" s="8">
        <f t="shared" si="18"/>
        <v>513864</v>
      </c>
      <c r="I39" s="29">
        <f t="shared" si="20"/>
        <v>350494.07430159458</v>
      </c>
      <c r="J39" s="12">
        <f>I39*References!C$59</f>
        <v>455.457403921349</v>
      </c>
      <c r="K39" s="12">
        <f>J39/References!G$53</f>
        <v>469.59212694231263</v>
      </c>
      <c r="L39" s="11">
        <f t="shared" si="26"/>
        <v>0.29608583035454766</v>
      </c>
      <c r="M39" s="72">
        <v>25.54</v>
      </c>
      <c r="N39" s="73">
        <f t="shared" si="21"/>
        <v>25.836085830354548</v>
      </c>
      <c r="O39" s="12">
        <f t="shared" si="22"/>
        <v>40506.439999999995</v>
      </c>
      <c r="P39" s="12">
        <f t="shared" si="24"/>
        <v>40976.032126942315</v>
      </c>
      <c r="Q39" s="12">
        <f t="shared" si="23"/>
        <v>469.59212694231974</v>
      </c>
      <c r="R39" s="122">
        <f t="shared" si="7"/>
        <v>1.1593023897985421E-2</v>
      </c>
    </row>
    <row r="40" spans="2:35" x14ac:dyDescent="0.25">
      <c r="B40" t="s">
        <v>225</v>
      </c>
      <c r="C40" t="s">
        <v>139</v>
      </c>
      <c r="D40" s="26">
        <v>152</v>
      </c>
      <c r="E40" s="27">
        <f>References!$B$9</f>
        <v>1</v>
      </c>
      <c r="F40" s="10">
        <f t="shared" si="19"/>
        <v>7904</v>
      </c>
      <c r="G40" s="15">
        <f>References!$B$29</f>
        <v>324</v>
      </c>
      <c r="H40" s="8">
        <f t="shared" si="18"/>
        <v>2560896</v>
      </c>
      <c r="I40" s="29">
        <f t="shared" si="20"/>
        <v>1746724.5670112255</v>
      </c>
      <c r="J40" s="12">
        <f>I40*References!C$59</f>
        <v>2269.8205047883621</v>
      </c>
      <c r="K40" s="12">
        <f>J40/References!G$53</f>
        <v>2340.2624031223445</v>
      </c>
      <c r="L40" s="11">
        <f t="shared" si="26"/>
        <v>0.29608583035454761</v>
      </c>
      <c r="M40" s="72">
        <v>25.54</v>
      </c>
      <c r="N40" s="73">
        <f t="shared" si="21"/>
        <v>25.836085830354548</v>
      </c>
      <c r="O40" s="12">
        <f t="shared" si="22"/>
        <v>201868.16</v>
      </c>
      <c r="P40" s="12">
        <f t="shared" si="24"/>
        <v>204208.42240312236</v>
      </c>
      <c r="Q40" s="12">
        <f t="shared" si="23"/>
        <v>2340.2624031223531</v>
      </c>
      <c r="R40" s="122">
        <f t="shared" si="7"/>
        <v>1.159302389798542E-2</v>
      </c>
    </row>
    <row r="41" spans="2:35" x14ac:dyDescent="0.25">
      <c r="B41" t="s">
        <v>225</v>
      </c>
      <c r="C41" t="s">
        <v>140</v>
      </c>
      <c r="D41" s="26">
        <v>1</v>
      </c>
      <c r="E41" s="27">
        <v>2</v>
      </c>
      <c r="F41" s="10">
        <f t="shared" si="19"/>
        <v>104</v>
      </c>
      <c r="G41" s="15">
        <f>References!$B$29</f>
        <v>324</v>
      </c>
      <c r="H41" s="8">
        <f t="shared" si="18"/>
        <v>33696</v>
      </c>
      <c r="I41" s="29">
        <f t="shared" si="20"/>
        <v>22983.21798698981</v>
      </c>
      <c r="J41" s="12">
        <f>I41*References!C$59</f>
        <v>29.866059273531082</v>
      </c>
      <c r="K41" s="12">
        <f>J41/References!G$53</f>
        <v>30.792926356872957</v>
      </c>
      <c r="L41" s="11">
        <f t="shared" si="26"/>
        <v>0.29608583035454766</v>
      </c>
      <c r="M41" s="72">
        <v>25.54</v>
      </c>
      <c r="N41" s="73">
        <f t="shared" si="21"/>
        <v>25.836085830354548</v>
      </c>
      <c r="O41" s="12">
        <f t="shared" si="22"/>
        <v>2656.16</v>
      </c>
      <c r="P41" s="12">
        <f t="shared" si="24"/>
        <v>2686.9529263568729</v>
      </c>
      <c r="Q41" s="12">
        <f t="shared" si="23"/>
        <v>30.792926356873068</v>
      </c>
      <c r="R41" s="122">
        <f t="shared" si="7"/>
        <v>1.1593023897985421E-2</v>
      </c>
    </row>
    <row r="42" spans="2:35" x14ac:dyDescent="0.25">
      <c r="B42" t="s">
        <v>225</v>
      </c>
      <c r="C42" t="s">
        <v>141</v>
      </c>
      <c r="D42" s="26">
        <v>1</v>
      </c>
      <c r="E42" s="27">
        <v>4</v>
      </c>
      <c r="F42" s="10">
        <f t="shared" si="19"/>
        <v>208</v>
      </c>
      <c r="G42" s="15">
        <f>References!$B$29</f>
        <v>324</v>
      </c>
      <c r="H42" s="8">
        <f t="shared" si="18"/>
        <v>67392</v>
      </c>
      <c r="I42" s="29">
        <f t="shared" si="20"/>
        <v>45966.43597397962</v>
      </c>
      <c r="J42" s="12">
        <f>I42*References!C$59</f>
        <v>59.732118547062164</v>
      </c>
      <c r="K42" s="12">
        <f>J42/References!G$53</f>
        <v>61.585852713745915</v>
      </c>
      <c r="L42" s="11">
        <f t="shared" si="26"/>
        <v>0.29608583035454766</v>
      </c>
      <c r="M42" s="72">
        <v>25.54</v>
      </c>
      <c r="N42" s="73">
        <f t="shared" si="21"/>
        <v>25.836085830354548</v>
      </c>
      <c r="O42" s="12">
        <f t="shared" si="22"/>
        <v>5312.32</v>
      </c>
      <c r="P42" s="12">
        <f t="shared" si="24"/>
        <v>5373.9058527137458</v>
      </c>
      <c r="Q42" s="12">
        <f t="shared" si="23"/>
        <v>61.585852713746135</v>
      </c>
      <c r="R42" s="122">
        <f t="shared" si="7"/>
        <v>1.1593023897985421E-2</v>
      </c>
    </row>
    <row r="43" spans="2:35" ht="13.5" customHeight="1" x14ac:dyDescent="0.25">
      <c r="B43" t="s">
        <v>225</v>
      </c>
      <c r="C43" t="s">
        <v>142</v>
      </c>
      <c r="D43" s="26">
        <v>2</v>
      </c>
      <c r="E43" s="27">
        <v>6</v>
      </c>
      <c r="F43" s="10">
        <f t="shared" si="19"/>
        <v>624</v>
      </c>
      <c r="G43" s="15">
        <f>References!$B$29</f>
        <v>324</v>
      </c>
      <c r="H43" s="8">
        <f t="shared" si="18"/>
        <v>202176</v>
      </c>
      <c r="I43" s="29">
        <f t="shared" si="20"/>
        <v>137899.30792193886</v>
      </c>
      <c r="J43" s="12">
        <f>I43*References!C$59</f>
        <v>179.1963556411865</v>
      </c>
      <c r="K43" s="12">
        <f>J43/References!G$53</f>
        <v>184.75755814123775</v>
      </c>
      <c r="L43" s="11">
        <f t="shared" ref="L43:L73" si="28">K43/F43</f>
        <v>0.29608583035454766</v>
      </c>
      <c r="M43" s="72">
        <v>25.54</v>
      </c>
      <c r="N43" s="73">
        <f t="shared" si="21"/>
        <v>25.836085830354548</v>
      </c>
      <c r="O43" s="12">
        <f t="shared" si="22"/>
        <v>15936.96</v>
      </c>
      <c r="P43" s="12">
        <f t="shared" si="24"/>
        <v>16121.717558141238</v>
      </c>
      <c r="Q43" s="12">
        <f t="shared" si="23"/>
        <v>184.75755814123841</v>
      </c>
      <c r="R43" s="122">
        <f t="shared" si="7"/>
        <v>1.1593023897985421E-2</v>
      </c>
    </row>
    <row r="44" spans="2:35" ht="13.5" customHeight="1" x14ac:dyDescent="0.25">
      <c r="B44" t="s">
        <v>225</v>
      </c>
      <c r="C44" t="s">
        <v>143</v>
      </c>
      <c r="D44" s="26">
        <v>14</v>
      </c>
      <c r="E44" s="27">
        <f>0.5</f>
        <v>0.5</v>
      </c>
      <c r="F44" s="10">
        <f t="shared" si="19"/>
        <v>364</v>
      </c>
      <c r="G44" s="15">
        <f>References!$B$30</f>
        <v>473</v>
      </c>
      <c r="H44" s="8">
        <f t="shared" si="18"/>
        <v>172172</v>
      </c>
      <c r="I44" s="29">
        <f t="shared" si="20"/>
        <v>117434.31289340009</v>
      </c>
      <c r="J44" s="12">
        <f>I44*References!C$59</f>
        <v>152.60265780040342</v>
      </c>
      <c r="K44" s="12">
        <f>J44/References!G$53</f>
        <v>157.33854809815799</v>
      </c>
      <c r="L44" s="11">
        <f t="shared" si="28"/>
        <v>0.43224875851142303</v>
      </c>
      <c r="M44" s="72">
        <v>35.3422897317799</v>
      </c>
      <c r="N44" s="73">
        <f t="shared" si="21"/>
        <v>35.77453849029132</v>
      </c>
      <c r="O44" s="12">
        <f t="shared" si="22"/>
        <v>12864.593462367884</v>
      </c>
      <c r="P44" s="12">
        <f t="shared" si="24"/>
        <v>13021.93201046604</v>
      </c>
      <c r="Q44" s="12">
        <f t="shared" si="23"/>
        <v>157.33854809815602</v>
      </c>
      <c r="R44" s="122">
        <f t="shared" si="7"/>
        <v>1.2230355242737528E-2</v>
      </c>
    </row>
    <row r="45" spans="2:35" ht="13.5" customHeight="1" x14ac:dyDescent="0.25">
      <c r="B45" t="s">
        <v>225</v>
      </c>
      <c r="C45" t="s">
        <v>144</v>
      </c>
      <c r="D45" s="26">
        <v>106</v>
      </c>
      <c r="E45" s="27">
        <f>References!$B$9</f>
        <v>1</v>
      </c>
      <c r="F45" s="10">
        <f t="shared" si="19"/>
        <v>5512</v>
      </c>
      <c r="G45" s="15">
        <f>References!$B$30</f>
        <v>473</v>
      </c>
      <c r="H45" s="8">
        <f t="shared" si="18"/>
        <v>2607176</v>
      </c>
      <c r="I45" s="29">
        <f t="shared" si="20"/>
        <v>1778291.0238143443</v>
      </c>
      <c r="J45" s="12">
        <f>I45*References!C$59</f>
        <v>2310.8402466918233</v>
      </c>
      <c r="K45" s="12">
        <f>J45/References!G$53</f>
        <v>2382.5551569149638</v>
      </c>
      <c r="L45" s="11">
        <f t="shared" si="28"/>
        <v>0.43224875851142303</v>
      </c>
      <c r="M45" s="72">
        <v>35.3422897317799</v>
      </c>
      <c r="N45" s="73">
        <f t="shared" si="21"/>
        <v>35.77453849029132</v>
      </c>
      <c r="O45" s="12">
        <f t="shared" si="22"/>
        <v>194806.70100157082</v>
      </c>
      <c r="P45" s="12">
        <f t="shared" si="24"/>
        <v>197189.25615848575</v>
      </c>
      <c r="Q45" s="12">
        <f t="shared" si="23"/>
        <v>2382.5551569149247</v>
      </c>
      <c r="R45" s="122">
        <f t="shared" si="7"/>
        <v>1.2230355242737528E-2</v>
      </c>
    </row>
    <row r="46" spans="2:35" ht="13.5" customHeight="1" x14ac:dyDescent="0.25">
      <c r="B46" t="s">
        <v>225</v>
      </c>
      <c r="C46" t="s">
        <v>145</v>
      </c>
      <c r="D46" s="26">
        <v>4</v>
      </c>
      <c r="E46" s="27">
        <v>2</v>
      </c>
      <c r="F46" s="10">
        <f t="shared" si="19"/>
        <v>416</v>
      </c>
      <c r="G46" s="15">
        <f>References!$B$30</f>
        <v>473</v>
      </c>
      <c r="H46" s="8">
        <f t="shared" si="18"/>
        <v>196768</v>
      </c>
      <c r="I46" s="29">
        <f t="shared" si="20"/>
        <v>134210.64330674298</v>
      </c>
      <c r="J46" s="12">
        <f>I46*References!C$59</f>
        <v>174.40303748617535</v>
      </c>
      <c r="K46" s="12">
        <f>J46/References!G$53</f>
        <v>179.81548354075198</v>
      </c>
      <c r="L46" s="11">
        <f t="shared" si="28"/>
        <v>0.43224875851142303</v>
      </c>
      <c r="M46" s="72">
        <v>35.3422897317799</v>
      </c>
      <c r="N46" s="73">
        <f t="shared" si="21"/>
        <v>35.77453849029132</v>
      </c>
      <c r="O46" s="12">
        <f t="shared" si="22"/>
        <v>14702.392528420438</v>
      </c>
      <c r="P46" s="12">
        <f t="shared" si="24"/>
        <v>14882.208011961189</v>
      </c>
      <c r="Q46" s="12">
        <f t="shared" si="23"/>
        <v>179.8154835407513</v>
      </c>
      <c r="R46" s="122">
        <f t="shared" si="7"/>
        <v>1.2230355242737528E-2</v>
      </c>
    </row>
    <row r="47" spans="2:35" ht="13.5" customHeight="1" x14ac:dyDescent="0.25">
      <c r="B47" t="s">
        <v>225</v>
      </c>
      <c r="C47" t="s">
        <v>146</v>
      </c>
      <c r="D47" s="26">
        <v>2</v>
      </c>
      <c r="E47" s="27">
        <v>3</v>
      </c>
      <c r="F47" s="10">
        <f t="shared" si="19"/>
        <v>312</v>
      </c>
      <c r="G47" s="15">
        <f>References!$B$30</f>
        <v>473</v>
      </c>
      <c r="H47" s="8">
        <f t="shared" si="18"/>
        <v>147576</v>
      </c>
      <c r="I47" s="29">
        <f t="shared" si="20"/>
        <v>100657.98248005722</v>
      </c>
      <c r="J47" s="12">
        <f>I47*References!C$59</f>
        <v>130.80227811463149</v>
      </c>
      <c r="K47" s="12">
        <f>J47/References!G$53</f>
        <v>134.86161265556396</v>
      </c>
      <c r="L47" s="11">
        <f t="shared" si="28"/>
        <v>0.43224875851142297</v>
      </c>
      <c r="M47" s="72">
        <v>35.3422897317799</v>
      </c>
      <c r="N47" s="73">
        <f t="shared" si="21"/>
        <v>35.77453849029132</v>
      </c>
      <c r="O47" s="12">
        <f t="shared" si="22"/>
        <v>11026.794396315328</v>
      </c>
      <c r="P47" s="12">
        <f t="shared" si="24"/>
        <v>11161.656008970891</v>
      </c>
      <c r="Q47" s="12">
        <f t="shared" si="23"/>
        <v>134.86161265556257</v>
      </c>
      <c r="R47" s="122">
        <f t="shared" si="7"/>
        <v>1.2230355242737526E-2</v>
      </c>
    </row>
    <row r="48" spans="2:35" ht="13.5" customHeight="1" x14ac:dyDescent="0.25">
      <c r="B48" t="s">
        <v>225</v>
      </c>
      <c r="C48" t="s">
        <v>147</v>
      </c>
      <c r="D48" s="26">
        <v>4</v>
      </c>
      <c r="E48" s="27">
        <v>4</v>
      </c>
      <c r="F48" s="10">
        <f t="shared" si="19"/>
        <v>832</v>
      </c>
      <c r="G48" s="15">
        <f>References!$B$30</f>
        <v>473</v>
      </c>
      <c r="H48" s="8">
        <f t="shared" si="18"/>
        <v>393536</v>
      </c>
      <c r="I48" s="29">
        <f t="shared" si="20"/>
        <v>268421.28661348595</v>
      </c>
      <c r="J48" s="12">
        <f>I48*References!C$59</f>
        <v>348.8060749723507</v>
      </c>
      <c r="K48" s="12">
        <f>J48/References!G$53</f>
        <v>359.63096708150397</v>
      </c>
      <c r="L48" s="11">
        <f t="shared" si="28"/>
        <v>0.43224875851142303</v>
      </c>
      <c r="M48" s="72">
        <v>35.3422897317799</v>
      </c>
      <c r="N48" s="73">
        <f t="shared" si="21"/>
        <v>35.77453849029132</v>
      </c>
      <c r="O48" s="12">
        <f t="shared" si="22"/>
        <v>29404.785056840876</v>
      </c>
      <c r="P48" s="12">
        <f t="shared" si="24"/>
        <v>29764.416023922378</v>
      </c>
      <c r="Q48" s="12">
        <f t="shared" si="23"/>
        <v>359.6309670815026</v>
      </c>
      <c r="R48" s="122">
        <f t="shared" si="7"/>
        <v>1.2230355242737528E-2</v>
      </c>
    </row>
    <row r="49" spans="2:18" x14ac:dyDescent="0.25">
      <c r="B49" t="s">
        <v>225</v>
      </c>
      <c r="C49" t="s">
        <v>148</v>
      </c>
      <c r="D49" s="26">
        <v>1</v>
      </c>
      <c r="E49" s="27">
        <v>10</v>
      </c>
      <c r="F49" s="10">
        <f t="shared" si="19"/>
        <v>520</v>
      </c>
      <c r="G49" s="15">
        <f>References!$B$30</f>
        <v>473</v>
      </c>
      <c r="H49" s="8">
        <f t="shared" si="18"/>
        <v>245960</v>
      </c>
      <c r="I49" s="29">
        <f t="shared" si="20"/>
        <v>167763.3041334287</v>
      </c>
      <c r="J49" s="12">
        <f>I49*References!C$59</f>
        <v>218.00379685771915</v>
      </c>
      <c r="K49" s="12">
        <f>J49/References!G$53</f>
        <v>224.76935442593995</v>
      </c>
      <c r="L49" s="11">
        <f t="shared" si="28"/>
        <v>0.43224875851142297</v>
      </c>
      <c r="M49" s="72">
        <v>35.3422897317799</v>
      </c>
      <c r="N49" s="73">
        <f t="shared" si="21"/>
        <v>35.77453849029132</v>
      </c>
      <c r="O49" s="12">
        <f t="shared" si="22"/>
        <v>18377.990660525549</v>
      </c>
      <c r="P49" s="12">
        <f t="shared" si="24"/>
        <v>18602.760014951487</v>
      </c>
      <c r="Q49" s="12">
        <f t="shared" si="23"/>
        <v>224.76935442593822</v>
      </c>
      <c r="R49" s="122">
        <f t="shared" si="7"/>
        <v>1.2230355242737526E-2</v>
      </c>
    </row>
    <row r="50" spans="2:18" x14ac:dyDescent="0.25">
      <c r="B50" t="s">
        <v>225</v>
      </c>
      <c r="C50" t="s">
        <v>149</v>
      </c>
      <c r="D50" s="26">
        <v>8</v>
      </c>
      <c r="E50" s="27">
        <v>0.23</v>
      </c>
      <c r="F50" s="10">
        <f t="shared" si="19"/>
        <v>95.68</v>
      </c>
      <c r="G50" s="15">
        <f>References!$B$31</f>
        <v>613</v>
      </c>
      <c r="H50" s="8">
        <f t="shared" si="18"/>
        <v>58651.840000000004</v>
      </c>
      <c r="I50" s="29">
        <f t="shared" si="20"/>
        <v>40004.986468959178</v>
      </c>
      <c r="J50" s="12">
        <f>I50*References!C$59</f>
        <v>51.985378975001822</v>
      </c>
      <c r="K50" s="12">
        <f>J50/References!G$53</f>
        <v>53.598699840191593</v>
      </c>
      <c r="L50" s="11">
        <f t="shared" si="28"/>
        <v>0.56018708026956088</v>
      </c>
      <c r="M50" s="72">
        <v>45.100874430403969</v>
      </c>
      <c r="N50" s="73">
        <f t="shared" si="21"/>
        <v>45.661061510673534</v>
      </c>
      <c r="O50" s="12">
        <f t="shared" si="22"/>
        <v>4315.2516655010522</v>
      </c>
      <c r="P50" s="12">
        <f t="shared" si="24"/>
        <v>4368.8503653412445</v>
      </c>
      <c r="Q50" s="12">
        <f t="shared" si="23"/>
        <v>53.598699840192239</v>
      </c>
      <c r="R50" s="122">
        <f t="shared" si="7"/>
        <v>1.242075874014364E-2</v>
      </c>
    </row>
    <row r="51" spans="2:18" x14ac:dyDescent="0.25">
      <c r="B51" t="s">
        <v>225</v>
      </c>
      <c r="C51" t="s">
        <v>150</v>
      </c>
      <c r="D51" s="26">
        <v>20</v>
      </c>
      <c r="E51" s="27">
        <f>0.5</f>
        <v>0.5</v>
      </c>
      <c r="F51" s="10">
        <f t="shared" si="19"/>
        <v>520</v>
      </c>
      <c r="G51" s="15">
        <f>References!$B$31</f>
        <v>613</v>
      </c>
      <c r="H51" s="8">
        <f t="shared" si="18"/>
        <v>318760</v>
      </c>
      <c r="I51" s="29">
        <f t="shared" si="20"/>
        <v>217418.40472260423</v>
      </c>
      <c r="J51" s="12">
        <f>I51*References!C$59</f>
        <v>282.52923355979249</v>
      </c>
      <c r="K51" s="12">
        <f>J51/References!G$53</f>
        <v>291.29728174017168</v>
      </c>
      <c r="L51" s="11">
        <f t="shared" si="28"/>
        <v>0.56018708026956088</v>
      </c>
      <c r="M51" s="72">
        <v>45.100874430403969</v>
      </c>
      <c r="N51" s="73">
        <f t="shared" si="21"/>
        <v>45.661061510673534</v>
      </c>
      <c r="O51" s="12">
        <f t="shared" si="22"/>
        <v>23452.454703810065</v>
      </c>
      <c r="P51" s="12">
        <f t="shared" si="24"/>
        <v>23743.751985550236</v>
      </c>
      <c r="Q51" s="12">
        <f t="shared" si="23"/>
        <v>291.29728174017146</v>
      </c>
      <c r="R51" s="122">
        <f t="shared" si="7"/>
        <v>1.242075874014364E-2</v>
      </c>
    </row>
    <row r="52" spans="2:18" x14ac:dyDescent="0.25">
      <c r="B52" t="s">
        <v>225</v>
      </c>
      <c r="C52" t="s">
        <v>151</v>
      </c>
      <c r="D52" s="26">
        <v>108</v>
      </c>
      <c r="E52" s="27">
        <f>References!$B$9</f>
        <v>1</v>
      </c>
      <c r="F52" s="10">
        <f t="shared" si="19"/>
        <v>5616</v>
      </c>
      <c r="G52" s="15">
        <f>References!$B$31</f>
        <v>613</v>
      </c>
      <c r="H52" s="8">
        <f t="shared" si="18"/>
        <v>3442608</v>
      </c>
      <c r="I52" s="29">
        <f t="shared" si="20"/>
        <v>2348118.7710041255</v>
      </c>
      <c r="J52" s="12">
        <f>I52*References!C$59</f>
        <v>3051.3157224457586</v>
      </c>
      <c r="K52" s="12">
        <f>J52/References!G$53</f>
        <v>3146.0106427938535</v>
      </c>
      <c r="L52" s="11">
        <f t="shared" si="28"/>
        <v>0.56018708026956077</v>
      </c>
      <c r="M52" s="72">
        <v>45.100874430403969</v>
      </c>
      <c r="N52" s="73">
        <f t="shared" si="21"/>
        <v>45.661061510673534</v>
      </c>
      <c r="O52" s="12">
        <f t="shared" si="22"/>
        <v>253286.51080114869</v>
      </c>
      <c r="P52" s="12">
        <f t="shared" si="24"/>
        <v>256432.52144394256</v>
      </c>
      <c r="Q52" s="12">
        <f t="shared" si="23"/>
        <v>3146.0106427938736</v>
      </c>
      <c r="R52" s="122">
        <f t="shared" si="7"/>
        <v>1.2420758740143636E-2</v>
      </c>
    </row>
    <row r="53" spans="2:18" x14ac:dyDescent="0.25">
      <c r="B53" t="s">
        <v>225</v>
      </c>
      <c r="C53" t="s">
        <v>152</v>
      </c>
      <c r="D53" s="26">
        <v>10</v>
      </c>
      <c r="E53" s="27">
        <v>2</v>
      </c>
      <c r="F53" s="10">
        <f t="shared" si="19"/>
        <v>1040</v>
      </c>
      <c r="G53" s="15">
        <f>References!$B$31</f>
        <v>613</v>
      </c>
      <c r="H53" s="8">
        <f t="shared" si="18"/>
        <v>637520</v>
      </c>
      <c r="I53" s="29">
        <f t="shared" si="20"/>
        <v>434836.80944520846</v>
      </c>
      <c r="J53" s="12">
        <f>I53*References!C$59</f>
        <v>565.05846711958498</v>
      </c>
      <c r="K53" s="12">
        <f>J53/References!G$53</f>
        <v>582.59456348034337</v>
      </c>
      <c r="L53" s="11">
        <f t="shared" si="28"/>
        <v>0.56018708026956088</v>
      </c>
      <c r="M53" s="72">
        <v>45.100874430403969</v>
      </c>
      <c r="N53" s="73">
        <f t="shared" si="21"/>
        <v>45.661061510673534</v>
      </c>
      <c r="O53" s="12">
        <f t="shared" si="22"/>
        <v>46904.909407620129</v>
      </c>
      <c r="P53" s="12">
        <f t="shared" si="24"/>
        <v>47487.503971100472</v>
      </c>
      <c r="Q53" s="12">
        <f t="shared" si="23"/>
        <v>582.59456348034291</v>
      </c>
      <c r="R53" s="122">
        <f t="shared" si="7"/>
        <v>1.242075874014364E-2</v>
      </c>
    </row>
    <row r="54" spans="2:18" x14ac:dyDescent="0.25">
      <c r="B54" t="s">
        <v>225</v>
      </c>
      <c r="C54" t="s">
        <v>153</v>
      </c>
      <c r="D54" s="26">
        <v>1</v>
      </c>
      <c r="E54" s="27">
        <v>3</v>
      </c>
      <c r="F54" s="10">
        <f t="shared" si="19"/>
        <v>156</v>
      </c>
      <c r="G54" s="15">
        <f>References!$B$31</f>
        <v>613</v>
      </c>
      <c r="H54" s="8">
        <f t="shared" si="18"/>
        <v>95628</v>
      </c>
      <c r="I54" s="29">
        <f t="shared" si="20"/>
        <v>65225.521416781266</v>
      </c>
      <c r="J54" s="12">
        <f>I54*References!C$59</f>
        <v>84.758770067937746</v>
      </c>
      <c r="K54" s="12">
        <f>J54/References!G$53</f>
        <v>87.389184522051494</v>
      </c>
      <c r="L54" s="11">
        <f t="shared" si="28"/>
        <v>0.56018708026956088</v>
      </c>
      <c r="M54" s="72">
        <v>45.100874430403969</v>
      </c>
      <c r="N54" s="73">
        <f t="shared" si="21"/>
        <v>45.661061510673534</v>
      </c>
      <c r="O54" s="12">
        <f t="shared" si="22"/>
        <v>7035.7364111430188</v>
      </c>
      <c r="P54" s="12">
        <f t="shared" si="24"/>
        <v>7123.1255956650712</v>
      </c>
      <c r="Q54" s="12">
        <f t="shared" si="23"/>
        <v>87.389184522052346</v>
      </c>
      <c r="R54" s="122">
        <f t="shared" si="7"/>
        <v>1.242075874014364E-2</v>
      </c>
    </row>
    <row r="55" spans="2:18" x14ac:dyDescent="0.25">
      <c r="B55" t="s">
        <v>225</v>
      </c>
      <c r="C55" t="s">
        <v>154</v>
      </c>
      <c r="D55" s="26">
        <v>1</v>
      </c>
      <c r="E55" s="27">
        <v>4</v>
      </c>
      <c r="F55" s="10">
        <f t="shared" si="19"/>
        <v>208</v>
      </c>
      <c r="G55" s="15">
        <f>References!$B$31</f>
        <v>613</v>
      </c>
      <c r="H55" s="8">
        <f t="shared" si="18"/>
        <v>127504</v>
      </c>
      <c r="I55" s="29">
        <f t="shared" si="20"/>
        <v>86967.361889041684</v>
      </c>
      <c r="J55" s="12">
        <f>I55*References!C$59</f>
        <v>113.011693423917</v>
      </c>
      <c r="K55" s="12">
        <f>J55/References!G$53</f>
        <v>116.51891269606867</v>
      </c>
      <c r="L55" s="11">
        <f t="shared" si="28"/>
        <v>0.56018708026956088</v>
      </c>
      <c r="M55" s="72">
        <v>45.100874430403969</v>
      </c>
      <c r="N55" s="73">
        <f t="shared" si="21"/>
        <v>45.661061510673534</v>
      </c>
      <c r="O55" s="12">
        <f t="shared" si="22"/>
        <v>9380.9818815240251</v>
      </c>
      <c r="P55" s="12">
        <f t="shared" si="24"/>
        <v>9497.5007942200955</v>
      </c>
      <c r="Q55" s="12">
        <f t="shared" si="23"/>
        <v>116.5189126960704</v>
      </c>
      <c r="R55" s="122">
        <f t="shared" si="7"/>
        <v>1.242075874014364E-2</v>
      </c>
    </row>
    <row r="56" spans="2:18" x14ac:dyDescent="0.25">
      <c r="B56" t="s">
        <v>225</v>
      </c>
      <c r="C56" t="s">
        <v>155</v>
      </c>
      <c r="D56" s="26">
        <v>1</v>
      </c>
      <c r="E56" s="27">
        <v>9</v>
      </c>
      <c r="F56" s="10">
        <f t="shared" si="19"/>
        <v>468</v>
      </c>
      <c r="G56" s="15">
        <f>References!$B$31</f>
        <v>613</v>
      </c>
      <c r="H56" s="8">
        <f t="shared" si="18"/>
        <v>286884</v>
      </c>
      <c r="I56" s="29">
        <f t="shared" si="20"/>
        <v>195676.5642503438</v>
      </c>
      <c r="J56" s="12">
        <f>I56*References!C$59</f>
        <v>254.27631020381324</v>
      </c>
      <c r="K56" s="12">
        <f>J56/References!G$53</f>
        <v>262.16755356615448</v>
      </c>
      <c r="L56" s="11">
        <f t="shared" si="28"/>
        <v>0.56018708026956088</v>
      </c>
      <c r="M56" s="72">
        <v>45.100874430403969</v>
      </c>
      <c r="N56" s="73">
        <f t="shared" si="21"/>
        <v>45.661061510673534</v>
      </c>
      <c r="O56" s="12">
        <f t="shared" si="22"/>
        <v>21107.209233429057</v>
      </c>
      <c r="P56" s="12">
        <f t="shared" si="24"/>
        <v>21369.376786995213</v>
      </c>
      <c r="Q56" s="12">
        <f t="shared" si="23"/>
        <v>262.16755356615613</v>
      </c>
      <c r="R56" s="122">
        <f t="shared" si="7"/>
        <v>1.242075874014364E-2</v>
      </c>
    </row>
    <row r="57" spans="2:18" x14ac:dyDescent="0.25">
      <c r="B57" t="s">
        <v>225</v>
      </c>
      <c r="C57" t="s">
        <v>156</v>
      </c>
      <c r="D57" s="26">
        <v>1</v>
      </c>
      <c r="E57" s="27">
        <f>2</f>
        <v>2</v>
      </c>
      <c r="F57" s="10">
        <f t="shared" si="19"/>
        <v>104</v>
      </c>
      <c r="G57" s="15">
        <f>References!$B$31</f>
        <v>613</v>
      </c>
      <c r="H57" s="8">
        <f t="shared" si="18"/>
        <v>63752</v>
      </c>
      <c r="I57" s="29">
        <f t="shared" si="20"/>
        <v>43483.680944520842</v>
      </c>
      <c r="J57" s="12">
        <f>I57*References!C$59</f>
        <v>56.505846711958498</v>
      </c>
      <c r="K57" s="12">
        <f>J57/References!G$53</f>
        <v>58.259456348034334</v>
      </c>
      <c r="L57" s="11">
        <f t="shared" si="28"/>
        <v>0.56018708026956088</v>
      </c>
      <c r="M57" s="72">
        <v>45.100874430403969</v>
      </c>
      <c r="N57" s="73">
        <f t="shared" si="21"/>
        <v>45.661061510673534</v>
      </c>
      <c r="O57" s="12">
        <f t="shared" si="22"/>
        <v>4690.4909407620125</v>
      </c>
      <c r="P57" s="12">
        <f t="shared" si="24"/>
        <v>4748.7503971100477</v>
      </c>
      <c r="Q57" s="12">
        <f t="shared" si="23"/>
        <v>58.259456348035201</v>
      </c>
      <c r="R57" s="122">
        <f t="shared" si="7"/>
        <v>1.242075874014364E-2</v>
      </c>
    </row>
    <row r="58" spans="2:18" x14ac:dyDescent="0.25">
      <c r="B58" t="s">
        <v>225</v>
      </c>
      <c r="C58" t="s">
        <v>157</v>
      </c>
      <c r="D58" s="26">
        <v>7</v>
      </c>
      <c r="E58" s="27">
        <f>0.5</f>
        <v>0.5</v>
      </c>
      <c r="F58" s="10">
        <f t="shared" si="19"/>
        <v>182</v>
      </c>
      <c r="G58" s="15">
        <f>References!$B$32</f>
        <v>840</v>
      </c>
      <c r="H58" s="8">
        <f t="shared" si="18"/>
        <v>152880</v>
      </c>
      <c r="I58" s="29">
        <f t="shared" si="20"/>
        <v>104275.71123726858</v>
      </c>
      <c r="J58" s="12">
        <f>I58*References!C$59</f>
        <v>135.50341707435399</v>
      </c>
      <c r="K58" s="12">
        <f>J58/References!G$53</f>
        <v>139.70864735988658</v>
      </c>
      <c r="L58" s="11">
        <f t="shared" si="28"/>
        <v>0.76762993054882733</v>
      </c>
      <c r="M58" s="72">
        <v>63.841508191744424</v>
      </c>
      <c r="N58" s="73">
        <f t="shared" si="21"/>
        <v>64.609138122293245</v>
      </c>
      <c r="O58" s="12">
        <f t="shared" si="22"/>
        <v>11619.154490897485</v>
      </c>
      <c r="P58" s="12">
        <f t="shared" si="24"/>
        <v>11758.863138257371</v>
      </c>
      <c r="Q58" s="12">
        <f t="shared" si="23"/>
        <v>139.70864735988653</v>
      </c>
      <c r="R58" s="122">
        <f t="shared" si="7"/>
        <v>1.2023994299183745E-2</v>
      </c>
    </row>
    <row r="59" spans="2:18" x14ac:dyDescent="0.25">
      <c r="B59" t="s">
        <v>225</v>
      </c>
      <c r="C59" t="s">
        <v>158</v>
      </c>
      <c r="D59" s="26">
        <v>62</v>
      </c>
      <c r="E59" s="27">
        <f>References!$B$9</f>
        <v>1</v>
      </c>
      <c r="F59" s="10">
        <f t="shared" si="19"/>
        <v>3224</v>
      </c>
      <c r="G59" s="15">
        <f>References!$B$32</f>
        <v>840</v>
      </c>
      <c r="H59" s="8">
        <f t="shared" si="18"/>
        <v>2708160</v>
      </c>
      <c r="I59" s="29">
        <f t="shared" si="20"/>
        <v>1847169.7419173291</v>
      </c>
      <c r="J59" s="12">
        <f>I59*References!C$59</f>
        <v>2400.3462453171278</v>
      </c>
      <c r="K59" s="12">
        <f>J59/References!G$53</f>
        <v>2474.8388960894194</v>
      </c>
      <c r="L59" s="11">
        <f t="shared" si="28"/>
        <v>0.76762993054882733</v>
      </c>
      <c r="M59" s="72">
        <v>63.841508191744424</v>
      </c>
      <c r="N59" s="73">
        <f t="shared" si="21"/>
        <v>64.609138122293245</v>
      </c>
      <c r="O59" s="12">
        <f t="shared" si="22"/>
        <v>205825.02241018403</v>
      </c>
      <c r="P59" s="12">
        <f t="shared" si="24"/>
        <v>208299.86130627344</v>
      </c>
      <c r="Q59" s="12">
        <f t="shared" si="23"/>
        <v>2474.8388960894081</v>
      </c>
      <c r="R59" s="122">
        <f t="shared" si="7"/>
        <v>1.2023994299183745E-2</v>
      </c>
    </row>
    <row r="60" spans="2:18" x14ac:dyDescent="0.25">
      <c r="B60" t="s">
        <v>225</v>
      </c>
      <c r="C60" t="s">
        <v>159</v>
      </c>
      <c r="D60" s="26">
        <v>5</v>
      </c>
      <c r="E60" s="27">
        <v>2</v>
      </c>
      <c r="F60" s="10">
        <f t="shared" si="19"/>
        <v>520</v>
      </c>
      <c r="G60" s="15">
        <f>References!$B$32</f>
        <v>840</v>
      </c>
      <c r="H60" s="8">
        <f t="shared" si="18"/>
        <v>436800</v>
      </c>
      <c r="I60" s="29">
        <f t="shared" si="20"/>
        <v>297930.60353505309</v>
      </c>
      <c r="J60" s="12">
        <f>I60*References!C$59</f>
        <v>387.15262021243996</v>
      </c>
      <c r="K60" s="12">
        <f>J60/References!G$53</f>
        <v>399.16756388539022</v>
      </c>
      <c r="L60" s="11">
        <f t="shared" si="28"/>
        <v>0.76762993054882733</v>
      </c>
      <c r="M60" s="72">
        <v>63.841508191744424</v>
      </c>
      <c r="N60" s="73">
        <f t="shared" si="21"/>
        <v>64.609138122293245</v>
      </c>
      <c r="O60" s="12">
        <f t="shared" si="22"/>
        <v>33197.584259707102</v>
      </c>
      <c r="P60" s="12">
        <f t="shared" si="24"/>
        <v>33596.751823592487</v>
      </c>
      <c r="Q60" s="12">
        <f t="shared" si="23"/>
        <v>399.16756388538488</v>
      </c>
      <c r="R60" s="122">
        <f t="shared" si="7"/>
        <v>1.2023994299183745E-2</v>
      </c>
    </row>
    <row r="61" spans="2:18" x14ac:dyDescent="0.25">
      <c r="B61" t="s">
        <v>225</v>
      </c>
      <c r="C61" t="s">
        <v>160</v>
      </c>
      <c r="D61" s="26">
        <v>2</v>
      </c>
      <c r="E61" s="27">
        <v>3</v>
      </c>
      <c r="F61" s="10">
        <f t="shared" si="19"/>
        <v>312</v>
      </c>
      <c r="G61" s="15">
        <f>References!$B$32</f>
        <v>840</v>
      </c>
      <c r="H61" s="8">
        <f t="shared" si="18"/>
        <v>262080</v>
      </c>
      <c r="I61" s="29">
        <f t="shared" si="20"/>
        <v>178758.36212103185</v>
      </c>
      <c r="J61" s="12">
        <f>I61*References!C$59</f>
        <v>232.29157212746398</v>
      </c>
      <c r="K61" s="12">
        <f>J61/References!G$53</f>
        <v>239.50053833123414</v>
      </c>
      <c r="L61" s="11">
        <f t="shared" si="28"/>
        <v>0.76762993054882733</v>
      </c>
      <c r="M61" s="72">
        <v>63.841508191744424</v>
      </c>
      <c r="N61" s="73">
        <f t="shared" si="21"/>
        <v>64.609138122293245</v>
      </c>
      <c r="O61" s="12">
        <f t="shared" si="22"/>
        <v>19918.550555824258</v>
      </c>
      <c r="P61" s="12">
        <f t="shared" si="24"/>
        <v>20158.051094155493</v>
      </c>
      <c r="Q61" s="12">
        <f t="shared" si="23"/>
        <v>239.50053833123457</v>
      </c>
      <c r="R61" s="122">
        <f t="shared" si="7"/>
        <v>1.2023994299183745E-2</v>
      </c>
    </row>
    <row r="62" spans="2:18" x14ac:dyDescent="0.25">
      <c r="B62" t="s">
        <v>225</v>
      </c>
      <c r="C62" t="s">
        <v>161</v>
      </c>
      <c r="D62" s="26">
        <v>1</v>
      </c>
      <c r="E62" s="27">
        <v>5</v>
      </c>
      <c r="F62" s="10">
        <f t="shared" si="19"/>
        <v>260</v>
      </c>
      <c r="G62" s="15">
        <f>References!$B$32</f>
        <v>840</v>
      </c>
      <c r="H62" s="8">
        <f t="shared" si="18"/>
        <v>218400</v>
      </c>
      <c r="I62" s="29">
        <f t="shared" si="20"/>
        <v>148965.30176752654</v>
      </c>
      <c r="J62" s="12">
        <f>I62*References!C$59</f>
        <v>193.57631010621998</v>
      </c>
      <c r="K62" s="12">
        <f>J62/References!G$53</f>
        <v>199.58378194269511</v>
      </c>
      <c r="L62" s="11">
        <f t="shared" si="28"/>
        <v>0.76762993054882733</v>
      </c>
      <c r="M62" s="72">
        <v>63.841508191744424</v>
      </c>
      <c r="N62" s="73">
        <f t="shared" si="21"/>
        <v>64.609138122293245</v>
      </c>
      <c r="O62" s="12">
        <f t="shared" si="22"/>
        <v>16598.792129853551</v>
      </c>
      <c r="P62" s="12">
        <f t="shared" si="24"/>
        <v>16798.375911796244</v>
      </c>
      <c r="Q62" s="12">
        <f t="shared" si="23"/>
        <v>199.58378194269244</v>
      </c>
      <c r="R62" s="122">
        <f t="shared" si="7"/>
        <v>1.2023994299183745E-2</v>
      </c>
    </row>
    <row r="63" spans="2:18" x14ac:dyDescent="0.25">
      <c r="B63" t="s">
        <v>225</v>
      </c>
      <c r="C63" t="s">
        <v>162</v>
      </c>
      <c r="D63" s="26">
        <v>1</v>
      </c>
      <c r="E63" s="27">
        <v>7</v>
      </c>
      <c r="F63" s="10">
        <f t="shared" si="19"/>
        <v>364</v>
      </c>
      <c r="G63" s="15">
        <f>References!$B$32</f>
        <v>840</v>
      </c>
      <c r="H63" s="8">
        <f t="shared" si="18"/>
        <v>305760</v>
      </c>
      <c r="I63" s="29">
        <f t="shared" si="20"/>
        <v>208551.42247453716</v>
      </c>
      <c r="J63" s="12">
        <f>I63*References!C$59</f>
        <v>271.00683414870798</v>
      </c>
      <c r="K63" s="12">
        <f>J63/References!G$53</f>
        <v>279.41729471977317</v>
      </c>
      <c r="L63" s="11">
        <f t="shared" si="28"/>
        <v>0.76762993054882733</v>
      </c>
      <c r="M63" s="72">
        <v>63.841508191744424</v>
      </c>
      <c r="N63" s="73">
        <f t="shared" si="21"/>
        <v>64.609138122293245</v>
      </c>
      <c r="O63" s="12">
        <f t="shared" si="22"/>
        <v>23238.308981794969</v>
      </c>
      <c r="P63" s="12">
        <f t="shared" si="24"/>
        <v>23517.726276514742</v>
      </c>
      <c r="Q63" s="12">
        <f t="shared" si="23"/>
        <v>279.41729471977305</v>
      </c>
      <c r="R63" s="122">
        <f t="shared" si="7"/>
        <v>1.2023994299183745E-2</v>
      </c>
    </row>
    <row r="64" spans="2:18" x14ac:dyDescent="0.25">
      <c r="B64" t="s">
        <v>225</v>
      </c>
      <c r="C64" t="s">
        <v>163</v>
      </c>
      <c r="D64" s="26">
        <v>1</v>
      </c>
      <c r="E64" s="27">
        <f>2</f>
        <v>2</v>
      </c>
      <c r="F64" s="10">
        <f t="shared" si="19"/>
        <v>104</v>
      </c>
      <c r="G64" s="15">
        <f>References!$B$32</f>
        <v>840</v>
      </c>
      <c r="H64" s="8">
        <f t="shared" si="18"/>
        <v>87360</v>
      </c>
      <c r="I64" s="29">
        <f t="shared" si="20"/>
        <v>59586.120707010617</v>
      </c>
      <c r="J64" s="12">
        <f>I64*References!C$59</f>
        <v>77.430524042487988</v>
      </c>
      <c r="K64" s="12">
        <f>J64/References!G$53</f>
        <v>79.833512777078042</v>
      </c>
      <c r="L64" s="11">
        <f t="shared" si="28"/>
        <v>0.76762993054882733</v>
      </c>
      <c r="M64" s="72">
        <v>63.841508191744424</v>
      </c>
      <c r="N64" s="73">
        <f t="shared" si="21"/>
        <v>64.609138122293245</v>
      </c>
      <c r="O64" s="12">
        <f t="shared" si="22"/>
        <v>6639.5168519414201</v>
      </c>
      <c r="P64" s="12">
        <f t="shared" si="24"/>
        <v>6719.3503647184971</v>
      </c>
      <c r="Q64" s="12">
        <f t="shared" si="23"/>
        <v>79.833512777076976</v>
      </c>
      <c r="R64" s="122">
        <f t="shared" si="7"/>
        <v>1.2023994299183745E-2</v>
      </c>
    </row>
    <row r="65" spans="2:18" x14ac:dyDescent="0.25">
      <c r="B65" t="s">
        <v>225</v>
      </c>
      <c r="C65" t="s">
        <v>164</v>
      </c>
      <c r="D65" s="26">
        <v>2</v>
      </c>
      <c r="E65" s="27">
        <v>4</v>
      </c>
      <c r="F65" s="10">
        <f t="shared" si="19"/>
        <v>416</v>
      </c>
      <c r="G65" s="15">
        <f>References!$B$32</f>
        <v>840</v>
      </c>
      <c r="H65" s="8">
        <f t="shared" si="18"/>
        <v>349440</v>
      </c>
      <c r="I65" s="29">
        <f t="shared" si="20"/>
        <v>238344.48282804247</v>
      </c>
      <c r="J65" s="12">
        <f>I65*References!C$59</f>
        <v>309.72209616995195</v>
      </c>
      <c r="K65" s="12">
        <f>J65/References!G$53</f>
        <v>319.33405110831217</v>
      </c>
      <c r="L65" s="11">
        <f t="shared" si="28"/>
        <v>0.76762993054882733</v>
      </c>
      <c r="M65" s="72">
        <v>63.841508191744424</v>
      </c>
      <c r="N65" s="73">
        <f t="shared" si="21"/>
        <v>64.609138122293245</v>
      </c>
      <c r="O65" s="12">
        <f t="shared" si="22"/>
        <v>26558.06740776568</v>
      </c>
      <c r="P65" s="12">
        <f t="shared" si="24"/>
        <v>26877.401458873988</v>
      </c>
      <c r="Q65" s="12">
        <f t="shared" si="23"/>
        <v>319.3340511083079</v>
      </c>
      <c r="R65" s="122">
        <f t="shared" si="7"/>
        <v>1.2023994299183745E-2</v>
      </c>
    </row>
    <row r="66" spans="2:18" x14ac:dyDescent="0.25">
      <c r="B66" t="s">
        <v>225</v>
      </c>
      <c r="C66" t="s">
        <v>165</v>
      </c>
      <c r="D66" s="26">
        <v>4</v>
      </c>
      <c r="E66" s="27">
        <v>0.5</v>
      </c>
      <c r="F66" s="10">
        <f t="shared" si="19"/>
        <v>104</v>
      </c>
      <c r="G66" s="15">
        <f>References!$B$33</f>
        <v>980</v>
      </c>
      <c r="H66" s="8">
        <f t="shared" si="18"/>
        <v>101920</v>
      </c>
      <c r="I66" s="29">
        <f t="shared" si="20"/>
        <v>69517.140824845716</v>
      </c>
      <c r="J66" s="12">
        <f>I66*References!C$59</f>
        <v>90.335611382902655</v>
      </c>
      <c r="K66" s="12">
        <f>J66/References!G$53</f>
        <v>93.13909823992438</v>
      </c>
      <c r="L66" s="11">
        <f t="shared" si="28"/>
        <v>0.89556825230696524</v>
      </c>
      <c r="M66" s="72">
        <v>82.480092890368496</v>
      </c>
      <c r="N66" s="73">
        <f t="shared" si="21"/>
        <v>83.375661142675455</v>
      </c>
      <c r="O66" s="12">
        <f t="shared" si="22"/>
        <v>8577.9296605983236</v>
      </c>
      <c r="P66" s="12">
        <f t="shared" si="24"/>
        <v>8671.068758838248</v>
      </c>
      <c r="Q66" s="12">
        <f t="shared" si="23"/>
        <v>93.139098239924351</v>
      </c>
      <c r="R66" s="122">
        <f t="shared" si="7"/>
        <v>1.0857992770417262E-2</v>
      </c>
    </row>
    <row r="67" spans="2:18" x14ac:dyDescent="0.25">
      <c r="B67" t="s">
        <v>225</v>
      </c>
      <c r="C67" t="s">
        <v>166</v>
      </c>
      <c r="D67" s="26">
        <v>51</v>
      </c>
      <c r="E67" s="27">
        <f>References!$B$9</f>
        <v>1</v>
      </c>
      <c r="F67" s="10">
        <f t="shared" si="19"/>
        <v>2652</v>
      </c>
      <c r="G67" s="15">
        <f>References!$B$33</f>
        <v>980</v>
      </c>
      <c r="H67" s="8">
        <f t="shared" si="18"/>
        <v>2598960</v>
      </c>
      <c r="I67" s="29">
        <f t="shared" si="20"/>
        <v>1772687.0910335658</v>
      </c>
      <c r="J67" s="12">
        <f>I67*References!C$59</f>
        <v>2303.5580902640177</v>
      </c>
      <c r="K67" s="12">
        <f>J67/References!G$53</f>
        <v>2375.0470051180719</v>
      </c>
      <c r="L67" s="11">
        <f t="shared" si="28"/>
        <v>0.89556825230696524</v>
      </c>
      <c r="M67" s="72">
        <v>82.480092890368496</v>
      </c>
      <c r="N67" s="73">
        <f t="shared" si="21"/>
        <v>83.375661142675455</v>
      </c>
      <c r="O67" s="12">
        <f t="shared" si="22"/>
        <v>218737.20634525726</v>
      </c>
      <c r="P67" s="12">
        <f t="shared" si="24"/>
        <v>221112.25335037531</v>
      </c>
      <c r="Q67" s="12">
        <f t="shared" si="23"/>
        <v>2375.0470051180455</v>
      </c>
      <c r="R67" s="122">
        <f t="shared" si="7"/>
        <v>1.0857992770417262E-2</v>
      </c>
    </row>
    <row r="68" spans="2:18" x14ac:dyDescent="0.25">
      <c r="B68" t="s">
        <v>225</v>
      </c>
      <c r="C68" t="s">
        <v>167</v>
      </c>
      <c r="D68" s="26">
        <v>10</v>
      </c>
      <c r="E68" s="27">
        <v>2</v>
      </c>
      <c r="F68" s="10">
        <f t="shared" si="19"/>
        <v>1040</v>
      </c>
      <c r="G68" s="15">
        <f>References!$B$33</f>
        <v>980</v>
      </c>
      <c r="H68" s="8">
        <f t="shared" si="18"/>
        <v>1019200</v>
      </c>
      <c r="I68" s="29">
        <f t="shared" si="20"/>
        <v>695171.40824845724</v>
      </c>
      <c r="J68" s="12">
        <f>I68*References!C$59</f>
        <v>903.35611382902664</v>
      </c>
      <c r="K68" s="12">
        <f>J68/References!G$53</f>
        <v>931.39098239924385</v>
      </c>
      <c r="L68" s="11">
        <f t="shared" si="28"/>
        <v>0.89556825230696524</v>
      </c>
      <c r="M68" s="72">
        <v>82.480092890368496</v>
      </c>
      <c r="N68" s="73">
        <f t="shared" si="21"/>
        <v>83.375661142675455</v>
      </c>
      <c r="O68" s="12">
        <f t="shared" si="22"/>
        <v>85779.29660598324</v>
      </c>
      <c r="P68" s="12">
        <f t="shared" si="24"/>
        <v>86710.687588382469</v>
      </c>
      <c r="Q68" s="12">
        <f t="shared" si="23"/>
        <v>931.39098239922896</v>
      </c>
      <c r="R68" s="122">
        <f t="shared" ref="R68:R73" si="29">L68/M68</f>
        <v>1.0857992770417262E-2</v>
      </c>
    </row>
    <row r="69" spans="2:18" x14ac:dyDescent="0.25">
      <c r="B69" t="s">
        <v>225</v>
      </c>
      <c r="C69" t="s">
        <v>168</v>
      </c>
      <c r="D69" s="26">
        <v>4</v>
      </c>
      <c r="E69" s="27">
        <v>3</v>
      </c>
      <c r="F69" s="10">
        <f t="shared" si="19"/>
        <v>624</v>
      </c>
      <c r="G69" s="15">
        <f>References!$B$33</f>
        <v>980</v>
      </c>
      <c r="H69" s="8">
        <f t="shared" si="18"/>
        <v>611520</v>
      </c>
      <c r="I69" s="29">
        <f t="shared" si="20"/>
        <v>417102.84494907432</v>
      </c>
      <c r="J69" s="12">
        <f>I69*References!C$59</f>
        <v>542.01366829741596</v>
      </c>
      <c r="K69" s="12">
        <f>J69/References!G$53</f>
        <v>558.83458943954633</v>
      </c>
      <c r="L69" s="11">
        <f t="shared" si="28"/>
        <v>0.89556825230696524</v>
      </c>
      <c r="M69" s="72">
        <v>82.480092890368496</v>
      </c>
      <c r="N69" s="73">
        <f t="shared" si="21"/>
        <v>83.375661142675455</v>
      </c>
      <c r="O69" s="12">
        <f t="shared" si="22"/>
        <v>51467.577963589938</v>
      </c>
      <c r="P69" s="12">
        <f t="shared" si="24"/>
        <v>52026.412553029484</v>
      </c>
      <c r="Q69" s="12">
        <f t="shared" si="23"/>
        <v>558.83458943954611</v>
      </c>
      <c r="R69" s="122">
        <f t="shared" si="29"/>
        <v>1.0857992770417262E-2</v>
      </c>
    </row>
    <row r="70" spans="2:18" x14ac:dyDescent="0.25">
      <c r="B70" t="s">
        <v>225</v>
      </c>
      <c r="C70" t="s">
        <v>169</v>
      </c>
      <c r="D70" s="26">
        <v>2</v>
      </c>
      <c r="E70" s="27">
        <v>2</v>
      </c>
      <c r="F70" s="10">
        <f t="shared" si="19"/>
        <v>208</v>
      </c>
      <c r="G70" s="15">
        <f>References!$B$33</f>
        <v>980</v>
      </c>
      <c r="H70" s="8">
        <f t="shared" si="18"/>
        <v>203840</v>
      </c>
      <c r="I70" s="29">
        <f t="shared" si="20"/>
        <v>139034.28164969143</v>
      </c>
      <c r="J70" s="12">
        <f>I70*References!C$59</f>
        <v>180.67122276580531</v>
      </c>
      <c r="K70" s="12">
        <f>J70/References!G$53</f>
        <v>186.27819647984876</v>
      </c>
      <c r="L70" s="11">
        <f t="shared" si="28"/>
        <v>0.89556825230696524</v>
      </c>
      <c r="M70" s="72">
        <v>82.480092890368496</v>
      </c>
      <c r="N70" s="73">
        <f t="shared" si="21"/>
        <v>83.375661142675455</v>
      </c>
      <c r="O70" s="12">
        <f t="shared" si="22"/>
        <v>17155.859321196647</v>
      </c>
      <c r="P70" s="12">
        <f t="shared" si="24"/>
        <v>17342.137517676496</v>
      </c>
      <c r="Q70" s="12">
        <f t="shared" si="23"/>
        <v>186.2781964798487</v>
      </c>
      <c r="R70" s="122">
        <f t="shared" si="29"/>
        <v>1.0857992770417262E-2</v>
      </c>
    </row>
    <row r="71" spans="2:18" x14ac:dyDescent="0.25">
      <c r="B71" t="s">
        <v>225</v>
      </c>
      <c r="C71" t="s">
        <v>170</v>
      </c>
      <c r="D71" s="26">
        <v>1</v>
      </c>
      <c r="E71" s="27">
        <v>8</v>
      </c>
      <c r="F71" s="10">
        <f t="shared" si="19"/>
        <v>416</v>
      </c>
      <c r="G71" s="15">
        <f>References!$B$33</f>
        <v>980</v>
      </c>
      <c r="H71" s="8">
        <f t="shared" si="18"/>
        <v>407680</v>
      </c>
      <c r="I71" s="29">
        <f t="shared" si="20"/>
        <v>278068.56329938286</v>
      </c>
      <c r="J71" s="12">
        <f>I71*References!C$59</f>
        <v>361.34244553161062</v>
      </c>
      <c r="K71" s="12">
        <f>J71/References!G$53</f>
        <v>372.55639295969752</v>
      </c>
      <c r="L71" s="11">
        <f t="shared" si="28"/>
        <v>0.89556825230696524</v>
      </c>
      <c r="M71" s="72">
        <v>82.480092890368496</v>
      </c>
      <c r="N71" s="73">
        <f t="shared" si="21"/>
        <v>83.375661142675455</v>
      </c>
      <c r="O71" s="12">
        <f t="shared" si="22"/>
        <v>34311.718642393294</v>
      </c>
      <c r="P71" s="12">
        <f t="shared" si="24"/>
        <v>34684.275035352992</v>
      </c>
      <c r="Q71" s="12">
        <f t="shared" si="23"/>
        <v>372.5563929596974</v>
      </c>
      <c r="R71" s="122">
        <f t="shared" si="29"/>
        <v>1.0857992770417262E-2</v>
      </c>
    </row>
    <row r="72" spans="2:18" ht="13.5" customHeight="1" x14ac:dyDescent="0.25">
      <c r="B72" t="s">
        <v>225</v>
      </c>
      <c r="C72" t="s">
        <v>171</v>
      </c>
      <c r="D72" s="26">
        <v>2</v>
      </c>
      <c r="E72" s="27">
        <f>3</f>
        <v>3</v>
      </c>
      <c r="F72" s="10">
        <f t="shared" si="19"/>
        <v>312</v>
      </c>
      <c r="G72" s="15">
        <f>References!$B$33</f>
        <v>980</v>
      </c>
      <c r="H72" s="8">
        <f t="shared" si="18"/>
        <v>305760</v>
      </c>
      <c r="I72" s="29">
        <f t="shared" si="20"/>
        <v>208551.42247453716</v>
      </c>
      <c r="J72" s="12">
        <f>I72*References!C$59</f>
        <v>271.00683414870798</v>
      </c>
      <c r="K72" s="12">
        <f>J72/References!G$53</f>
        <v>279.41729471977317</v>
      </c>
      <c r="L72" s="11">
        <f t="shared" si="28"/>
        <v>0.89556825230696524</v>
      </c>
      <c r="M72" s="72">
        <v>82.480092890368496</v>
      </c>
      <c r="N72" s="73">
        <f t="shared" si="21"/>
        <v>83.375661142675455</v>
      </c>
      <c r="O72" s="12">
        <f t="shared" si="22"/>
        <v>25733.788981794969</v>
      </c>
      <c r="P72" s="12">
        <f t="shared" si="24"/>
        <v>26013.206276514742</v>
      </c>
      <c r="Q72" s="12">
        <f t="shared" si="23"/>
        <v>279.41729471977305</v>
      </c>
      <c r="R72" s="122">
        <f t="shared" si="29"/>
        <v>1.0857992770417262E-2</v>
      </c>
    </row>
    <row r="73" spans="2:18" x14ac:dyDescent="0.25">
      <c r="B73" t="s">
        <v>225</v>
      </c>
      <c r="C73" t="s">
        <v>172</v>
      </c>
      <c r="D73" s="26">
        <v>2</v>
      </c>
      <c r="E73" s="27">
        <f>References!$B$9</f>
        <v>1</v>
      </c>
      <c r="F73" s="10">
        <f t="shared" si="19"/>
        <v>104</v>
      </c>
      <c r="G73" s="15">
        <f>References!B40</f>
        <v>2310</v>
      </c>
      <c r="H73" s="8">
        <f t="shared" si="18"/>
        <v>240240</v>
      </c>
      <c r="I73" s="29">
        <f t="shared" si="20"/>
        <v>163861.8319442792</v>
      </c>
      <c r="J73" s="12">
        <f>I73*References!C$59</f>
        <v>212.93394111684196</v>
      </c>
      <c r="K73" s="12">
        <f>J73/References!G$53</f>
        <v>219.54216013696461</v>
      </c>
      <c r="L73" s="11">
        <f t="shared" si="28"/>
        <v>2.110982309009275</v>
      </c>
      <c r="M73" s="72">
        <v>191.09164752729717</v>
      </c>
      <c r="N73" s="73">
        <f t="shared" si="21"/>
        <v>193.20262983630644</v>
      </c>
      <c r="O73" s="12">
        <f t="shared" si="22"/>
        <v>19873.531342838905</v>
      </c>
      <c r="P73" s="12">
        <f t="shared" si="24"/>
        <v>20093.073502975869</v>
      </c>
      <c r="Q73" s="12">
        <f t="shared" si="23"/>
        <v>219.5421601369635</v>
      </c>
      <c r="R73" s="122">
        <f t="shared" si="29"/>
        <v>1.1046962733981997E-2</v>
      </c>
    </row>
    <row r="74" spans="2:18" s="51" customFormat="1" x14ac:dyDescent="0.25">
      <c r="C74" s="56" t="s">
        <v>66</v>
      </c>
      <c r="D74" s="57">
        <f>SUM(D23:D73)</f>
        <v>1090</v>
      </c>
      <c r="E74" s="57"/>
      <c r="F74" s="57">
        <f>SUM(F23:F73)</f>
        <v>61429.68</v>
      </c>
      <c r="G74" s="57"/>
      <c r="H74" s="57">
        <f>SUM(H23:H73)</f>
        <v>25835311.84</v>
      </c>
      <c r="I74" s="57">
        <f>SUM(I23:I73)</f>
        <v>17621634.727581281</v>
      </c>
      <c r="J74" s="57"/>
      <c r="K74" s="57"/>
      <c r="L74" s="57"/>
      <c r="M74" s="57"/>
      <c r="N74" s="57"/>
      <c r="O74" s="57">
        <f>SUM(O23:O73)</f>
        <v>2067391.8881025994</v>
      </c>
      <c r="P74" s="57">
        <f>SUM(P23:P73)</f>
        <v>2092960.5309257177</v>
      </c>
      <c r="Q74" s="65">
        <f>SUM(Q23:Q73)</f>
        <v>25568.642823117363</v>
      </c>
      <c r="R74" s="125">
        <f>1-O74/P74</f>
        <v>1.2216495459572374E-2</v>
      </c>
    </row>
    <row r="75" spans="2:18" s="51" customFormat="1" x14ac:dyDescent="0.25">
      <c r="C75" s="56" t="s">
        <v>84</v>
      </c>
      <c r="D75" s="57">
        <f>D74+D21</f>
        <v>14847</v>
      </c>
      <c r="E75" s="62"/>
      <c r="F75" s="63"/>
      <c r="G75" s="64"/>
      <c r="H75" s="64">
        <f>H74+H21</f>
        <v>64611023.679999992</v>
      </c>
      <c r="I75" s="64">
        <f>I74+I21</f>
        <v>44069600.000000015</v>
      </c>
      <c r="J75" s="65"/>
      <c r="K75" s="65"/>
      <c r="L75" s="65"/>
      <c r="M75" s="65"/>
      <c r="N75" s="65"/>
      <c r="O75" s="65">
        <f>O74+O21</f>
        <v>5422500.9281025995</v>
      </c>
      <c r="P75" s="65">
        <f>P74+P21</f>
        <v>5483480.4418263771</v>
      </c>
      <c r="Q75" s="65">
        <f>Q74+Q21</f>
        <v>60979.513723776872</v>
      </c>
      <c r="R75" s="125">
        <f>1-O75/P75</f>
        <v>1.1120585615413847E-2</v>
      </c>
    </row>
    <row r="76" spans="2:18" x14ac:dyDescent="0.25">
      <c r="C76" s="13" t="s">
        <v>80</v>
      </c>
      <c r="N76" s="11"/>
      <c r="R76" s="122"/>
    </row>
    <row r="77" spans="2:18" x14ac:dyDescent="0.25">
      <c r="C77" s="14" t="s">
        <v>77</v>
      </c>
      <c r="D77" s="40">
        <f>References!D64</f>
        <v>22034.800000000003</v>
      </c>
      <c r="E77" s="37" t="s">
        <v>200</v>
      </c>
      <c r="N77" s="11"/>
      <c r="R77" s="122"/>
    </row>
    <row r="78" spans="2:18" x14ac:dyDescent="0.25">
      <c r="C78" s="14" t="s">
        <v>78</v>
      </c>
      <c r="D78" s="2">
        <f>D77*2000</f>
        <v>44069600.000000007</v>
      </c>
      <c r="F78" s="87"/>
      <c r="G78" s="88"/>
      <c r="H78" s="6"/>
      <c r="I78" s="7"/>
      <c r="J78" s="89"/>
      <c r="K78" s="16"/>
      <c r="L78" s="90"/>
      <c r="M78" s="91"/>
      <c r="N78" s="11"/>
      <c r="O78" s="11"/>
      <c r="P78" s="11"/>
      <c r="Q78" s="55"/>
      <c r="R78" s="122"/>
    </row>
    <row r="79" spans="2:18" x14ac:dyDescent="0.25">
      <c r="C79" s="14" t="s">
        <v>79</v>
      </c>
      <c r="D79" s="5">
        <f>H75</f>
        <v>64611023.679999992</v>
      </c>
      <c r="F79" s="66"/>
      <c r="G79" s="6"/>
      <c r="H79" s="6"/>
      <c r="I79" s="6"/>
      <c r="J79" s="6"/>
      <c r="K79" s="6"/>
      <c r="L79" s="6"/>
      <c r="M79" s="6"/>
      <c r="N79" s="11"/>
      <c r="O79" s="6"/>
      <c r="P79" s="6"/>
      <c r="Q79" s="6"/>
      <c r="R79" s="122"/>
    </row>
    <row r="80" spans="2:18" x14ac:dyDescent="0.25">
      <c r="C80" s="14" t="s">
        <v>75</v>
      </c>
      <c r="D80" s="41">
        <f>D78/D79</f>
        <v>0.6820755575436197</v>
      </c>
      <c r="N80" s="11"/>
      <c r="R80" s="122"/>
    </row>
    <row r="81" spans="2:17" x14ac:dyDescent="0.25">
      <c r="N81" s="11"/>
    </row>
    <row r="82" spans="2:17" x14ac:dyDescent="0.25">
      <c r="N82" s="11"/>
    </row>
    <row r="83" spans="2:17" s="51" customFormat="1" ht="45" x14ac:dyDescent="0.25">
      <c r="B83" s="77" t="s">
        <v>101</v>
      </c>
      <c r="C83" s="78" t="s">
        <v>103</v>
      </c>
      <c r="D83" s="58" t="s">
        <v>88</v>
      </c>
      <c r="E83" s="59" t="s">
        <v>89</v>
      </c>
      <c r="F83" s="60" t="s">
        <v>90</v>
      </c>
      <c r="G83" s="67" t="s">
        <v>91</v>
      </c>
      <c r="H83" s="68" t="s">
        <v>4</v>
      </c>
      <c r="I83" s="68" t="s">
        <v>92</v>
      </c>
      <c r="J83" s="61" t="s">
        <v>6</v>
      </c>
      <c r="K83" s="61" t="s">
        <v>93</v>
      </c>
      <c r="L83" s="69" t="s">
        <v>94</v>
      </c>
      <c r="M83" s="69" t="s">
        <v>95</v>
      </c>
      <c r="N83" s="69" t="s">
        <v>99</v>
      </c>
      <c r="O83" s="69" t="s">
        <v>224</v>
      </c>
      <c r="P83" s="52"/>
      <c r="Q83" s="52"/>
    </row>
    <row r="84" spans="2:17" x14ac:dyDescent="0.25">
      <c r="B84" s="76">
        <v>25</v>
      </c>
      <c r="C84" s="94" t="s">
        <v>202</v>
      </c>
      <c r="D84">
        <v>1</v>
      </c>
      <c r="E84" s="2">
        <f>References!B7</f>
        <v>4.333333333333333</v>
      </c>
      <c r="F84" s="4">
        <f>D84*E84*12</f>
        <v>52</v>
      </c>
      <c r="G84">
        <f>References!B20</f>
        <v>37</v>
      </c>
      <c r="H84">
        <f>F84*G84</f>
        <v>1924</v>
      </c>
      <c r="I84" s="71">
        <f>H84*D$80</f>
        <v>1312.3133727139243</v>
      </c>
      <c r="J84" s="70">
        <f>I84*References!C$59</f>
        <v>1.7053151128405093</v>
      </c>
      <c r="K84" s="70">
        <f>J84/References!G$53</f>
        <v>1.7582380790189807</v>
      </c>
      <c r="L84" s="28">
        <f>K84/F84*E84</f>
        <v>0.14651983991824838</v>
      </c>
      <c r="M84" s="72">
        <v>11.251783904852806</v>
      </c>
      <c r="N84" s="73">
        <f>M84+L84</f>
        <v>11.398303744771054</v>
      </c>
      <c r="O84" s="122">
        <f>L84/M84</f>
        <v>1.3021920893366564E-2</v>
      </c>
    </row>
    <row r="85" spans="2:17" x14ac:dyDescent="0.25">
      <c r="B85" s="76">
        <v>25</v>
      </c>
      <c r="C85" s="94" t="s">
        <v>173</v>
      </c>
      <c r="D85">
        <v>1</v>
      </c>
      <c r="E85" s="2">
        <f>References!B6</f>
        <v>8.6666666666666661</v>
      </c>
      <c r="F85" s="4">
        <f t="shared" ref="F85:F104" si="30">D85*E85*12</f>
        <v>104</v>
      </c>
      <c r="G85">
        <f>References!B20</f>
        <v>37</v>
      </c>
      <c r="H85">
        <f t="shared" ref="H85:H99" si="31">F85*G85</f>
        <v>3848</v>
      </c>
      <c r="I85" s="71">
        <f t="shared" ref="I85:I99" si="32">H85*D$80</f>
        <v>2624.6267454278486</v>
      </c>
      <c r="J85" s="70">
        <f>I85*References!C$59</f>
        <v>3.4106302256810186</v>
      </c>
      <c r="K85" s="70">
        <f>J85/References!G$53</f>
        <v>3.5164761580379613</v>
      </c>
      <c r="L85" s="28">
        <f>K85/F85*E85</f>
        <v>0.29303967983649676</v>
      </c>
      <c r="M85" s="72">
        <v>13.98356780970561</v>
      </c>
      <c r="N85" s="73">
        <f t="shared" ref="N85:N121" si="33">M85+L85</f>
        <v>14.276607489542107</v>
      </c>
      <c r="O85" s="122">
        <f t="shared" ref="O85:O121" si="34">L85/M85</f>
        <v>2.0956002346776335E-2</v>
      </c>
    </row>
    <row r="86" spans="2:17" x14ac:dyDescent="0.25">
      <c r="B86" s="76">
        <v>25</v>
      </c>
      <c r="C86" s="94" t="s">
        <v>174</v>
      </c>
      <c r="D86">
        <v>1</v>
      </c>
      <c r="E86" s="2">
        <f>References!B7</f>
        <v>4.333333333333333</v>
      </c>
      <c r="F86" s="4">
        <f t="shared" si="30"/>
        <v>52</v>
      </c>
      <c r="G86">
        <f>References!B21</f>
        <v>47</v>
      </c>
      <c r="H86">
        <f t="shared" si="31"/>
        <v>2444</v>
      </c>
      <c r="I86" s="71">
        <f t="shared" si="32"/>
        <v>1666.9926626366066</v>
      </c>
      <c r="J86" s="70">
        <f>I86*References!C$59</f>
        <v>2.1662110892838902</v>
      </c>
      <c r="K86" s="70">
        <f>J86/References!G$53</f>
        <v>2.2334375598349214</v>
      </c>
      <c r="L86" s="28">
        <f t="shared" ref="L86:L99" si="35">K86/F86*E86</f>
        <v>0.18611979665291012</v>
      </c>
      <c r="M86" s="72">
        <v>13.79253631156978</v>
      </c>
      <c r="N86" s="73">
        <f t="shared" si="33"/>
        <v>13.97865610822269</v>
      </c>
      <c r="O86" s="122">
        <f t="shared" si="34"/>
        <v>1.3494240105555113E-2</v>
      </c>
    </row>
    <row r="87" spans="2:17" x14ac:dyDescent="0.25">
      <c r="B87" s="76">
        <v>25</v>
      </c>
      <c r="C87" s="94" t="s">
        <v>175</v>
      </c>
      <c r="D87">
        <v>1</v>
      </c>
      <c r="E87" s="2">
        <f>References!B6</f>
        <v>8.6666666666666661</v>
      </c>
      <c r="F87" s="4">
        <f t="shared" si="30"/>
        <v>104</v>
      </c>
      <c r="G87">
        <f>References!B21</f>
        <v>47</v>
      </c>
      <c r="H87">
        <f t="shared" si="31"/>
        <v>4888</v>
      </c>
      <c r="I87" s="71">
        <f t="shared" si="32"/>
        <v>3333.9853252732132</v>
      </c>
      <c r="J87" s="70">
        <f>I87*References!C$59</f>
        <v>4.3324221785677803</v>
      </c>
      <c r="K87" s="70">
        <f>J87/References!G$53</f>
        <v>4.4668751196698429</v>
      </c>
      <c r="L87" s="28">
        <f t="shared" si="35"/>
        <v>0.37223959330582024</v>
      </c>
      <c r="M87" s="72">
        <v>19.505072623139558</v>
      </c>
      <c r="N87" s="73">
        <f t="shared" si="33"/>
        <v>19.877312216445379</v>
      </c>
      <c r="O87" s="122">
        <f t="shared" si="34"/>
        <v>1.908424544209178E-2</v>
      </c>
    </row>
    <row r="88" spans="2:17" x14ac:dyDescent="0.25">
      <c r="B88" s="76">
        <v>25</v>
      </c>
      <c r="C88" s="94" t="s">
        <v>176</v>
      </c>
      <c r="D88">
        <v>1</v>
      </c>
      <c r="E88" s="2">
        <f>References!B7</f>
        <v>4.333333333333333</v>
      </c>
      <c r="F88" s="4">
        <f t="shared" si="30"/>
        <v>52</v>
      </c>
      <c r="G88">
        <f>References!B22</f>
        <v>68</v>
      </c>
      <c r="H88">
        <f t="shared" si="31"/>
        <v>3536</v>
      </c>
      <c r="I88" s="71">
        <f t="shared" si="32"/>
        <v>2411.8191714742393</v>
      </c>
      <c r="J88" s="70">
        <f>I88*References!C$59</f>
        <v>3.1340926398149902</v>
      </c>
      <c r="K88" s="70">
        <f>J88/References!G$53</f>
        <v>3.2313564695483969</v>
      </c>
      <c r="L88" s="28">
        <f>K88/F88*E88</f>
        <v>0.26927970579569976</v>
      </c>
      <c r="M88" s="72">
        <v>20.861116365675425</v>
      </c>
      <c r="N88" s="73">
        <f t="shared" si="33"/>
        <v>21.130396071471125</v>
      </c>
      <c r="O88" s="122">
        <f t="shared" si="34"/>
        <v>1.2908211673598093E-2</v>
      </c>
    </row>
    <row r="89" spans="2:17" x14ac:dyDescent="0.25">
      <c r="B89" s="76">
        <v>25</v>
      </c>
      <c r="C89" s="94" t="s">
        <v>177</v>
      </c>
      <c r="D89">
        <v>1</v>
      </c>
      <c r="E89" s="2">
        <f>References!B6</f>
        <v>8.6666666666666661</v>
      </c>
      <c r="F89" s="4">
        <f t="shared" si="30"/>
        <v>104</v>
      </c>
      <c r="G89">
        <f>References!B22</f>
        <v>68</v>
      </c>
      <c r="H89">
        <f t="shared" si="31"/>
        <v>7072</v>
      </c>
      <c r="I89" s="71">
        <f t="shared" si="32"/>
        <v>4823.6383429484786</v>
      </c>
      <c r="J89" s="70">
        <f>I89*References!C$59</f>
        <v>6.2681852796299804</v>
      </c>
      <c r="K89" s="70">
        <f>J89/References!G$53</f>
        <v>6.4627129390967939</v>
      </c>
      <c r="L89" s="28">
        <f t="shared" si="35"/>
        <v>0.53855941159139953</v>
      </c>
      <c r="M89" s="72">
        <v>25.262232731350849</v>
      </c>
      <c r="N89" s="73">
        <f t="shared" si="33"/>
        <v>25.80079214294225</v>
      </c>
      <c r="O89" s="122">
        <f t="shared" si="34"/>
        <v>2.1318757424122627E-2</v>
      </c>
    </row>
    <row r="90" spans="2:17" x14ac:dyDescent="0.25">
      <c r="B90" s="76">
        <v>23</v>
      </c>
      <c r="C90" s="94" t="s">
        <v>201</v>
      </c>
      <c r="D90">
        <v>1</v>
      </c>
      <c r="E90" s="2">
        <f>References!G7</f>
        <v>26</v>
      </c>
      <c r="F90" s="4">
        <f t="shared" ref="F90:F91" si="36">D90*E90*12</f>
        <v>312</v>
      </c>
      <c r="G90">
        <f>References!B23</f>
        <v>34</v>
      </c>
      <c r="H90">
        <f t="shared" ref="H90:H91" si="37">F90*G90</f>
        <v>10608</v>
      </c>
      <c r="I90" s="71">
        <f t="shared" ref="I90:I91" si="38">H90*D$80</f>
        <v>7235.4575144227174</v>
      </c>
      <c r="J90" s="70">
        <f>I90*References!C$59</f>
        <v>9.4022779194449697</v>
      </c>
      <c r="K90" s="70">
        <f>J90/References!G$53</f>
        <v>9.6940694086451895</v>
      </c>
      <c r="L90" s="28">
        <f t="shared" ref="L90" si="39">K90/F90*E90</f>
        <v>0.80783911738709913</v>
      </c>
      <c r="M90" s="72">
        <v>40.813349097026276</v>
      </c>
      <c r="N90" s="73">
        <f t="shared" ref="N90:N91" si="40">M90+L90</f>
        <v>41.621188214413372</v>
      </c>
      <c r="O90" s="122">
        <f t="shared" si="34"/>
        <v>1.9793502255024683E-2</v>
      </c>
    </row>
    <row r="91" spans="2:17" x14ac:dyDescent="0.25">
      <c r="B91" s="76">
        <v>36</v>
      </c>
      <c r="C91" s="94" t="s">
        <v>227</v>
      </c>
      <c r="D91">
        <v>1</v>
      </c>
      <c r="E91" s="2">
        <f>References!B8</f>
        <v>2.1666666666666665</v>
      </c>
      <c r="F91" s="4">
        <f t="shared" si="36"/>
        <v>26</v>
      </c>
      <c r="G91">
        <f>References!B14</f>
        <v>34</v>
      </c>
      <c r="H91">
        <f t="shared" si="37"/>
        <v>884</v>
      </c>
      <c r="I91" s="71">
        <f t="shared" si="38"/>
        <v>602.95479286855982</v>
      </c>
      <c r="J91" s="70">
        <f>I91*References!C$59</f>
        <v>0.78352315995374755</v>
      </c>
      <c r="K91" s="70">
        <f>J91/References!G$53</f>
        <v>0.80783911738709924</v>
      </c>
      <c r="L91" s="28">
        <f>K91/F91*E91</f>
        <v>6.7319926448924941E-2</v>
      </c>
      <c r="M91" s="72">
        <v>4.5002790914188564</v>
      </c>
      <c r="N91" s="73">
        <f t="shared" si="40"/>
        <v>4.5675990178677814</v>
      </c>
      <c r="O91" s="122">
        <f t="shared" ref="O91" si="41">L91/M91</f>
        <v>1.4959055889953747E-2</v>
      </c>
    </row>
    <row r="92" spans="2:17" x14ac:dyDescent="0.25">
      <c r="B92" s="76">
        <v>36</v>
      </c>
      <c r="C92" s="94" t="s">
        <v>178</v>
      </c>
      <c r="D92">
        <v>1</v>
      </c>
      <c r="E92" s="2">
        <f>References!B9</f>
        <v>1</v>
      </c>
      <c r="F92" s="4">
        <f t="shared" si="30"/>
        <v>12</v>
      </c>
      <c r="G92">
        <f>References!B14</f>
        <v>34</v>
      </c>
      <c r="H92">
        <f t="shared" si="31"/>
        <v>408</v>
      </c>
      <c r="I92" s="71">
        <f t="shared" si="32"/>
        <v>278.28682747779686</v>
      </c>
      <c r="J92" s="70">
        <f>I92*References!C$59</f>
        <v>0.3616260738248066</v>
      </c>
      <c r="K92" s="70">
        <f>J92/References!G$53</f>
        <v>0.37284882340943049</v>
      </c>
      <c r="L92" s="28">
        <f>K92/F92*E92</f>
        <v>3.1070735284119206E-2</v>
      </c>
      <c r="M92" s="72">
        <v>18.025513426808701</v>
      </c>
      <c r="N92" s="73">
        <f t="shared" si="33"/>
        <v>18.056584162092818</v>
      </c>
      <c r="O92" s="122">
        <f t="shared" si="34"/>
        <v>1.723708753721756E-3</v>
      </c>
    </row>
    <row r="93" spans="2:17" x14ac:dyDescent="0.25">
      <c r="B93" s="76">
        <v>36</v>
      </c>
      <c r="C93" s="94" t="s">
        <v>179</v>
      </c>
      <c r="D93">
        <v>1</v>
      </c>
      <c r="E93" s="2">
        <f>References!B9</f>
        <v>1</v>
      </c>
      <c r="F93" s="4">
        <f t="shared" si="30"/>
        <v>12</v>
      </c>
      <c r="G93">
        <f>References!B23</f>
        <v>34</v>
      </c>
      <c r="H93">
        <f t="shared" si="31"/>
        <v>408</v>
      </c>
      <c r="I93" s="71">
        <f t="shared" si="32"/>
        <v>278.28682747779686</v>
      </c>
      <c r="J93" s="70">
        <f>I93*References!C$59</f>
        <v>0.3616260738248066</v>
      </c>
      <c r="K93" s="70">
        <f>J93/References!G$53</f>
        <v>0.37284882340943049</v>
      </c>
      <c r="L93" s="28">
        <f t="shared" si="35"/>
        <v>3.1070735284119206E-2</v>
      </c>
      <c r="M93" s="72">
        <v>13.015513426808704</v>
      </c>
      <c r="N93" s="73">
        <f t="shared" si="33"/>
        <v>13.046584162092824</v>
      </c>
      <c r="O93" s="122">
        <f t="shared" si="34"/>
        <v>2.3872078085003744E-3</v>
      </c>
    </row>
    <row r="94" spans="2:17" x14ac:dyDescent="0.25">
      <c r="B94" s="76">
        <v>28</v>
      </c>
      <c r="C94" s="94" t="s">
        <v>180</v>
      </c>
      <c r="D94">
        <v>1</v>
      </c>
      <c r="E94" s="2">
        <f>References!B9</f>
        <v>1</v>
      </c>
      <c r="F94" s="4">
        <f t="shared" si="30"/>
        <v>12</v>
      </c>
      <c r="G94">
        <f>References!B42</f>
        <v>125</v>
      </c>
      <c r="H94">
        <f t="shared" si="31"/>
        <v>1500</v>
      </c>
      <c r="I94" s="71">
        <f t="shared" si="32"/>
        <v>1023.1133363154296</v>
      </c>
      <c r="J94" s="70">
        <f>I94*References!C$59</f>
        <v>1.3295076243559065</v>
      </c>
      <c r="K94" s="70">
        <f>J94/References!G$53</f>
        <v>1.370767733122906</v>
      </c>
      <c r="L94" s="28">
        <f t="shared" si="35"/>
        <v>0.11423064442690883</v>
      </c>
      <c r="M94" s="72">
        <v>15.874093480914349</v>
      </c>
      <c r="N94" s="73">
        <f t="shared" si="33"/>
        <v>15.988324125341258</v>
      </c>
      <c r="O94" s="122">
        <f t="shared" si="34"/>
        <v>7.196042064653959E-3</v>
      </c>
    </row>
    <row r="95" spans="2:17" x14ac:dyDescent="0.25">
      <c r="B95" s="76">
        <v>28</v>
      </c>
      <c r="C95" s="94" t="s">
        <v>181</v>
      </c>
      <c r="D95">
        <v>1</v>
      </c>
      <c r="E95" s="2">
        <f>References!$B$9</f>
        <v>1</v>
      </c>
      <c r="F95" s="4">
        <f t="shared" si="30"/>
        <v>12</v>
      </c>
      <c r="G95">
        <f>References!B42</f>
        <v>125</v>
      </c>
      <c r="H95">
        <f t="shared" si="31"/>
        <v>1500</v>
      </c>
      <c r="I95" s="71">
        <f t="shared" si="32"/>
        <v>1023.1133363154296</v>
      </c>
      <c r="J95" s="70">
        <f>I95*References!C$59</f>
        <v>1.3295076243559065</v>
      </c>
      <c r="K95" s="70">
        <f>J95/References!G$53</f>
        <v>1.370767733122906</v>
      </c>
      <c r="L95" s="28">
        <f t="shared" si="35"/>
        <v>0.11423064442690883</v>
      </c>
      <c r="M95" s="72">
        <v>14.524093480914349</v>
      </c>
      <c r="N95" s="73">
        <f t="shared" si="33"/>
        <v>14.638324125341258</v>
      </c>
      <c r="O95" s="122">
        <f t="shared" si="34"/>
        <v>7.8649069958834743E-3</v>
      </c>
    </row>
    <row r="96" spans="2:17" x14ac:dyDescent="0.25">
      <c r="B96" s="76">
        <v>37</v>
      </c>
      <c r="C96" s="94" t="s">
        <v>182</v>
      </c>
      <c r="D96">
        <v>1</v>
      </c>
      <c r="E96" s="2">
        <f>References!$B$9</f>
        <v>1</v>
      </c>
      <c r="F96" s="4">
        <f t="shared" si="30"/>
        <v>12</v>
      </c>
      <c r="G96">
        <f>References!B34</f>
        <v>482</v>
      </c>
      <c r="H96">
        <f t="shared" si="31"/>
        <v>5784</v>
      </c>
      <c r="I96" s="71">
        <f t="shared" si="32"/>
        <v>3945.1250248322963</v>
      </c>
      <c r="J96" s="70">
        <f>I96*References!C$59</f>
        <v>5.1265813995163754</v>
      </c>
      <c r="K96" s="70">
        <f>J96/References!G$53</f>
        <v>5.2856803789219251</v>
      </c>
      <c r="L96" s="28">
        <f t="shared" si="35"/>
        <v>0.44047336491016043</v>
      </c>
      <c r="M96" s="72">
        <v>44.046984462405725</v>
      </c>
      <c r="N96" s="73">
        <f t="shared" si="33"/>
        <v>44.487457827315886</v>
      </c>
      <c r="O96" s="122">
        <f t="shared" si="34"/>
        <v>1.0000079921160237E-2</v>
      </c>
    </row>
    <row r="97" spans="2:17" x14ac:dyDescent="0.25">
      <c r="B97" s="76">
        <v>37</v>
      </c>
      <c r="C97" s="94" t="s">
        <v>183</v>
      </c>
      <c r="D97">
        <v>1</v>
      </c>
      <c r="E97" s="2">
        <f>References!$B$9</f>
        <v>1</v>
      </c>
      <c r="F97" s="4">
        <f t="shared" si="30"/>
        <v>12</v>
      </c>
      <c r="G97">
        <f>References!B34</f>
        <v>482</v>
      </c>
      <c r="H97">
        <f t="shared" si="31"/>
        <v>5784</v>
      </c>
      <c r="I97" s="71">
        <f t="shared" si="32"/>
        <v>3945.1250248322963</v>
      </c>
      <c r="J97" s="70">
        <f>I97*References!C$59</f>
        <v>5.1265813995163754</v>
      </c>
      <c r="K97" s="70">
        <f>J97/References!G$53</f>
        <v>5.2856803789219251</v>
      </c>
      <c r="L97" s="28">
        <f t="shared" si="35"/>
        <v>0.44047336491016043</v>
      </c>
      <c r="M97" s="72">
        <v>49.416984462405729</v>
      </c>
      <c r="N97" s="73">
        <f t="shared" si="33"/>
        <v>49.857457827315891</v>
      </c>
      <c r="O97" s="122">
        <f t="shared" si="34"/>
        <v>8.9134003157406994E-3</v>
      </c>
    </row>
    <row r="98" spans="2:17" x14ac:dyDescent="0.25">
      <c r="B98" s="76">
        <v>37</v>
      </c>
      <c r="C98" s="94" t="s">
        <v>184</v>
      </c>
      <c r="D98">
        <v>1</v>
      </c>
      <c r="E98" s="2">
        <f>References!$B$9</f>
        <v>1</v>
      </c>
      <c r="F98" s="4">
        <f t="shared" si="30"/>
        <v>12</v>
      </c>
      <c r="G98">
        <f>References!B37</f>
        <v>1301</v>
      </c>
      <c r="H98">
        <f t="shared" si="31"/>
        <v>15612</v>
      </c>
      <c r="I98" s="71">
        <f t="shared" si="32"/>
        <v>10648.563604370991</v>
      </c>
      <c r="J98" s="70">
        <f>I98*References!C$59</f>
        <v>13.837515354296274</v>
      </c>
      <c r="K98" s="70">
        <f>J98/References!G$53</f>
        <v>14.266950566343205</v>
      </c>
      <c r="L98" s="28">
        <f>K98/F98*E98</f>
        <v>1.1889125471952671</v>
      </c>
      <c r="M98" s="72">
        <v>109.42420494935654</v>
      </c>
      <c r="N98" s="73">
        <f t="shared" si="33"/>
        <v>110.61311749655181</v>
      </c>
      <c r="O98" s="122">
        <f t="shared" si="34"/>
        <v>1.0865169618966086E-2</v>
      </c>
    </row>
    <row r="99" spans="2:17" x14ac:dyDescent="0.25">
      <c r="B99" s="76">
        <v>37</v>
      </c>
      <c r="C99" s="94" t="s">
        <v>185</v>
      </c>
      <c r="D99">
        <v>1</v>
      </c>
      <c r="E99" s="2">
        <f>References!$B$9</f>
        <v>1</v>
      </c>
      <c r="F99" s="4">
        <f t="shared" si="30"/>
        <v>12</v>
      </c>
      <c r="G99">
        <f>References!B37</f>
        <v>1301</v>
      </c>
      <c r="H99">
        <f t="shared" si="31"/>
        <v>15612</v>
      </c>
      <c r="I99" s="71">
        <f t="shared" si="32"/>
        <v>10648.563604370991</v>
      </c>
      <c r="J99" s="70">
        <f>I99*References!C$59</f>
        <v>13.837515354296274</v>
      </c>
      <c r="K99" s="70">
        <f>J99/References!G$53</f>
        <v>14.266950566343205</v>
      </c>
      <c r="L99" s="28">
        <f t="shared" si="35"/>
        <v>1.1889125471952671</v>
      </c>
      <c r="M99" s="72">
        <v>114.78420494935654</v>
      </c>
      <c r="N99" s="73">
        <f t="shared" si="33"/>
        <v>115.97311749655181</v>
      </c>
      <c r="O99" s="122">
        <f t="shared" si="34"/>
        <v>1.0357806178296241E-2</v>
      </c>
    </row>
    <row r="100" spans="2:17" x14ac:dyDescent="0.25">
      <c r="B100" s="76">
        <v>37</v>
      </c>
      <c r="C100" s="94" t="s">
        <v>186</v>
      </c>
      <c r="D100">
        <v>1</v>
      </c>
      <c r="E100" s="2">
        <f>References!$B$9</f>
        <v>1</v>
      </c>
      <c r="F100" s="10">
        <f t="shared" si="30"/>
        <v>12</v>
      </c>
      <c r="G100" s="15">
        <f>References!B38</f>
        <v>1686</v>
      </c>
      <c r="H100" s="8">
        <f t="shared" ref="H100:H104" si="42">G100*F100</f>
        <v>20232</v>
      </c>
      <c r="I100" s="29">
        <f t="shared" ref="I100:I102" si="43">H100*D$80</f>
        <v>13799.752680222515</v>
      </c>
      <c r="J100" s="70">
        <f>I100*References!C$59</f>
        <v>17.932398837312469</v>
      </c>
      <c r="K100" s="70">
        <f>J100/References!G$53</f>
        <v>18.488915184361758</v>
      </c>
      <c r="L100" s="28">
        <f t="shared" ref="L100:L102" si="44">K100/F100</f>
        <v>1.5407429320301465</v>
      </c>
      <c r="M100" s="72">
        <v>131.60281287057273</v>
      </c>
      <c r="N100" s="73">
        <f t="shared" si="33"/>
        <v>133.14355580260289</v>
      </c>
      <c r="O100" s="122">
        <f t="shared" si="34"/>
        <v>1.1707522798509019E-2</v>
      </c>
      <c r="P100" s="12"/>
      <c r="Q100" s="12"/>
    </row>
    <row r="101" spans="2:17" x14ac:dyDescent="0.25">
      <c r="B101" s="76">
        <v>37</v>
      </c>
      <c r="C101" s="94" t="s">
        <v>229</v>
      </c>
      <c r="D101">
        <v>1</v>
      </c>
      <c r="E101" s="2">
        <f>References!$B$9</f>
        <v>1</v>
      </c>
      <c r="F101" s="10">
        <f t="shared" si="30"/>
        <v>12</v>
      </c>
      <c r="G101" s="15">
        <f>References!B38</f>
        <v>1686</v>
      </c>
      <c r="H101" s="8">
        <f t="shared" si="42"/>
        <v>20232</v>
      </c>
      <c r="I101" s="29">
        <f t="shared" si="43"/>
        <v>13799.752680222515</v>
      </c>
      <c r="J101" s="70">
        <f>I101*References!C$59</f>
        <v>17.932398837312469</v>
      </c>
      <c r="K101" s="70">
        <f>J101/References!G$53</f>
        <v>18.488915184361758</v>
      </c>
      <c r="L101" s="28">
        <f t="shared" si="44"/>
        <v>1.5407429320301465</v>
      </c>
      <c r="M101" s="72">
        <v>136.97281287057274</v>
      </c>
      <c r="N101" s="73">
        <f t="shared" si="33"/>
        <v>138.51355580260289</v>
      </c>
      <c r="O101" s="122">
        <f t="shared" si="34"/>
        <v>1.1248531002177877E-2</v>
      </c>
      <c r="P101" s="12"/>
      <c r="Q101" s="12"/>
    </row>
    <row r="102" spans="2:17" x14ac:dyDescent="0.25">
      <c r="B102" s="76">
        <v>37</v>
      </c>
      <c r="C102" s="94" t="s">
        <v>234</v>
      </c>
      <c r="D102">
        <v>1</v>
      </c>
      <c r="E102" s="2">
        <f>References!$B$9</f>
        <v>1</v>
      </c>
      <c r="F102" s="10">
        <f t="shared" si="30"/>
        <v>12</v>
      </c>
      <c r="G102" s="15">
        <f>References!B39</f>
        <v>2046</v>
      </c>
      <c r="H102" s="8">
        <f t="shared" si="42"/>
        <v>24552</v>
      </c>
      <c r="I102" s="29">
        <f t="shared" si="43"/>
        <v>16746.319088810949</v>
      </c>
      <c r="J102" s="70">
        <f>I102*References!C$59</f>
        <v>21.761380795457473</v>
      </c>
      <c r="K102" s="70">
        <f>J102/References!G$53</f>
        <v>22.436726255755719</v>
      </c>
      <c r="L102" s="28">
        <f t="shared" si="44"/>
        <v>1.8697271879796433</v>
      </c>
      <c r="M102" s="72">
        <v>191.09</v>
      </c>
      <c r="N102" s="73">
        <f t="shared" ref="N102" si="45">M102+L102</f>
        <v>192.95972718797964</v>
      </c>
      <c r="O102" s="122">
        <f t="shared" si="34"/>
        <v>9.7845370661973057E-3</v>
      </c>
      <c r="P102" s="12"/>
      <c r="Q102" s="12"/>
    </row>
    <row r="103" spans="2:17" x14ac:dyDescent="0.25">
      <c r="B103" s="76">
        <v>37</v>
      </c>
      <c r="C103" s="94" t="s">
        <v>228</v>
      </c>
      <c r="D103">
        <v>1</v>
      </c>
      <c r="E103" s="2">
        <f>References!$B$9</f>
        <v>1</v>
      </c>
      <c r="F103" s="10">
        <f t="shared" ref="F103" si="46">D103*E103*12</f>
        <v>12</v>
      </c>
      <c r="G103" s="15">
        <f>References!B40</f>
        <v>2310</v>
      </c>
      <c r="H103" s="8">
        <f t="shared" ref="H103" si="47">G103*F103</f>
        <v>27720</v>
      </c>
      <c r="I103" s="29">
        <f t="shared" ref="I103" si="48">H103*D$80</f>
        <v>18907.134455109139</v>
      </c>
      <c r="J103" s="70">
        <f>I103*References!C$59</f>
        <v>24.569300898097151</v>
      </c>
      <c r="K103" s="70">
        <f>J103/References!G$53</f>
        <v>25.3317877081113</v>
      </c>
      <c r="L103" s="28">
        <f t="shared" ref="L103" si="49">K103/F103</f>
        <v>2.110982309009275</v>
      </c>
      <c r="M103" s="72">
        <v>196.39</v>
      </c>
      <c r="N103" s="73">
        <f t="shared" si="33"/>
        <v>198.50098230900926</v>
      </c>
      <c r="O103" s="122">
        <f t="shared" ref="O103" si="50">L103/M103</f>
        <v>1.0748929726611718E-2</v>
      </c>
      <c r="P103" s="127"/>
      <c r="Q103" s="12"/>
    </row>
    <row r="104" spans="2:17" x14ac:dyDescent="0.25">
      <c r="B104" s="76">
        <v>26</v>
      </c>
      <c r="C104" s="94" t="s">
        <v>43</v>
      </c>
      <c r="D104">
        <v>1</v>
      </c>
      <c r="E104" s="2">
        <v>1</v>
      </c>
      <c r="F104" s="10">
        <f t="shared" si="30"/>
        <v>12</v>
      </c>
      <c r="G104" s="15">
        <f>References!B24</f>
        <v>34</v>
      </c>
      <c r="H104" s="8">
        <f t="shared" si="42"/>
        <v>408</v>
      </c>
      <c r="I104" s="29">
        <f>H104*D$80</f>
        <v>278.28682747779686</v>
      </c>
      <c r="J104" s="70">
        <f>I104*References!C$59</f>
        <v>0.3616260738248066</v>
      </c>
      <c r="K104" s="70">
        <f>J104/References!G$53</f>
        <v>0.37284882340943049</v>
      </c>
      <c r="L104" s="28">
        <f t="shared" ref="L104" si="51">K104/F104*E104</f>
        <v>3.1070735284119206E-2</v>
      </c>
      <c r="M104" s="72">
        <v>3.595513426808703</v>
      </c>
      <c r="N104" s="73">
        <f t="shared" si="33"/>
        <v>3.6265841620928221</v>
      </c>
      <c r="O104" s="122">
        <f t="shared" si="34"/>
        <v>8.6415294829525618E-3</v>
      </c>
      <c r="P104" s="12"/>
      <c r="Q104" s="12"/>
    </row>
    <row r="105" spans="2:17" x14ac:dyDescent="0.25">
      <c r="B105" t="s">
        <v>225</v>
      </c>
      <c r="C105" s="94" t="s">
        <v>207</v>
      </c>
      <c r="D105">
        <v>1</v>
      </c>
      <c r="E105" s="2">
        <v>1</v>
      </c>
      <c r="F105" s="10">
        <f t="shared" ref="F105:F121" si="52">D105*E105*12</f>
        <v>12</v>
      </c>
      <c r="G105" s="15">
        <f>References!B20</f>
        <v>37</v>
      </c>
      <c r="H105" s="8">
        <f t="shared" ref="H105:H121" si="53">G105*F105</f>
        <v>444</v>
      </c>
      <c r="I105" s="29">
        <f t="shared" ref="I105:I121" si="54">H105*D$80</f>
        <v>302.84154754936714</v>
      </c>
      <c r="J105" s="70">
        <f>I105*References!C$59</f>
        <v>0.39353425680934828</v>
      </c>
      <c r="K105" s="70">
        <f>J105/References!G$53</f>
        <v>0.40574724900438014</v>
      </c>
      <c r="L105" s="28">
        <f t="shared" ref="L105:L121" si="55">K105/F105*E105</f>
        <v>3.3812270750365012E-2</v>
      </c>
      <c r="M105" s="72">
        <v>10.190411670350649</v>
      </c>
      <c r="N105" s="73">
        <f t="shared" si="33"/>
        <v>10.224223941101014</v>
      </c>
      <c r="O105" s="122">
        <f t="shared" si="34"/>
        <v>3.3180475768945597E-3</v>
      </c>
    </row>
    <row r="106" spans="2:17" x14ac:dyDescent="0.25">
      <c r="B106" t="s">
        <v>225</v>
      </c>
      <c r="C106" s="94" t="s">
        <v>208</v>
      </c>
      <c r="D106">
        <v>1</v>
      </c>
      <c r="E106" s="2">
        <v>1</v>
      </c>
      <c r="F106" s="10">
        <f t="shared" si="52"/>
        <v>12</v>
      </c>
      <c r="G106" s="15">
        <f>References!B21</f>
        <v>47</v>
      </c>
      <c r="H106" s="8">
        <f t="shared" si="53"/>
        <v>564</v>
      </c>
      <c r="I106" s="29">
        <f t="shared" si="54"/>
        <v>384.69061445460153</v>
      </c>
      <c r="J106" s="70">
        <f>I106*References!C$59</f>
        <v>0.49989486675782085</v>
      </c>
      <c r="K106" s="70">
        <f>J106/References!G$53</f>
        <v>0.51540866765421267</v>
      </c>
      <c r="L106" s="28">
        <f t="shared" si="55"/>
        <v>4.295072230451772E-2</v>
      </c>
      <c r="M106" s="72">
        <v>11.576739148823796</v>
      </c>
      <c r="N106" s="73">
        <f t="shared" si="33"/>
        <v>11.619689871128314</v>
      </c>
      <c r="O106" s="122">
        <f t="shared" si="34"/>
        <v>3.7100881131006173E-3</v>
      </c>
    </row>
    <row r="107" spans="2:17" x14ac:dyDescent="0.25">
      <c r="B107" t="s">
        <v>225</v>
      </c>
      <c r="C107" s="94" t="s">
        <v>209</v>
      </c>
      <c r="D107">
        <v>1</v>
      </c>
      <c r="E107" s="2">
        <v>1</v>
      </c>
      <c r="F107" s="10">
        <f t="shared" si="52"/>
        <v>12</v>
      </c>
      <c r="G107" s="15">
        <f>References!B22</f>
        <v>68</v>
      </c>
      <c r="H107" s="8">
        <f t="shared" si="53"/>
        <v>816</v>
      </c>
      <c r="I107" s="29">
        <f t="shared" si="54"/>
        <v>556.57365495559372</v>
      </c>
      <c r="J107" s="70">
        <f>I107*References!C$59</f>
        <v>0.72325214764961321</v>
      </c>
      <c r="K107" s="70">
        <f>J107/References!G$53</f>
        <v>0.74569764681886097</v>
      </c>
      <c r="L107" s="28">
        <f t="shared" si="55"/>
        <v>6.2141470568238412E-2</v>
      </c>
      <c r="M107" s="72">
        <v>12.921026853617406</v>
      </c>
      <c r="N107" s="73">
        <f t="shared" si="33"/>
        <v>12.983168324185645</v>
      </c>
      <c r="O107" s="122">
        <f t="shared" si="34"/>
        <v>4.8093291092295128E-3</v>
      </c>
    </row>
    <row r="108" spans="2:17" x14ac:dyDescent="0.25">
      <c r="B108" t="s">
        <v>225</v>
      </c>
      <c r="C108" s="94" t="s">
        <v>210</v>
      </c>
      <c r="D108">
        <v>1</v>
      </c>
      <c r="E108" s="2">
        <v>1</v>
      </c>
      <c r="F108" s="10">
        <f t="shared" si="52"/>
        <v>12</v>
      </c>
      <c r="G108" s="15">
        <f>References!B27</f>
        <v>175</v>
      </c>
      <c r="H108" s="8">
        <f t="shared" si="53"/>
        <v>2100</v>
      </c>
      <c r="I108" s="29">
        <f t="shared" si="54"/>
        <v>1432.3586708416015</v>
      </c>
      <c r="J108" s="70">
        <f>I108*References!C$59</f>
        <v>1.8613106740982692</v>
      </c>
      <c r="K108" s="70">
        <f>J108/References!G$53</f>
        <v>1.9190748263720685</v>
      </c>
      <c r="L108" s="28">
        <f t="shared" si="55"/>
        <v>0.15992290219767238</v>
      </c>
      <c r="M108" s="72">
        <v>20.365730873280086</v>
      </c>
      <c r="N108" s="73">
        <f t="shared" si="33"/>
        <v>20.525653775477757</v>
      </c>
      <c r="O108" s="122">
        <f t="shared" si="34"/>
        <v>7.8525491273918301E-3</v>
      </c>
    </row>
    <row r="109" spans="2:17" x14ac:dyDescent="0.25">
      <c r="B109" t="s">
        <v>225</v>
      </c>
      <c r="C109" s="94" t="s">
        <v>211</v>
      </c>
      <c r="D109">
        <v>1</v>
      </c>
      <c r="E109" s="2">
        <v>1</v>
      </c>
      <c r="F109" s="10">
        <f t="shared" si="52"/>
        <v>12</v>
      </c>
      <c r="G109" s="15">
        <f>References!B28</f>
        <v>250</v>
      </c>
      <c r="H109" s="8">
        <f t="shared" si="53"/>
        <v>3000</v>
      </c>
      <c r="I109" s="29">
        <f t="shared" si="54"/>
        <v>2046.2266726308592</v>
      </c>
      <c r="J109" s="70">
        <f>I109*References!C$59</f>
        <v>2.6590152487118131</v>
      </c>
      <c r="K109" s="70">
        <f>J109/References!G$53</f>
        <v>2.741535466245812</v>
      </c>
      <c r="L109" s="28">
        <f t="shared" si="55"/>
        <v>0.22846128885381767</v>
      </c>
      <c r="M109" s="72">
        <v>24.868186961828698</v>
      </c>
      <c r="N109" s="73">
        <f t="shared" si="33"/>
        <v>25.096648250682517</v>
      </c>
      <c r="O109" s="122">
        <f t="shared" si="34"/>
        <v>9.186889627478401E-3</v>
      </c>
    </row>
    <row r="110" spans="2:17" x14ac:dyDescent="0.25">
      <c r="B110" t="s">
        <v>225</v>
      </c>
      <c r="C110" s="94" t="s">
        <v>212</v>
      </c>
      <c r="D110">
        <v>1</v>
      </c>
      <c r="E110" s="2">
        <v>1</v>
      </c>
      <c r="F110" s="10">
        <f t="shared" si="52"/>
        <v>12</v>
      </c>
      <c r="G110" s="15">
        <f>References!B29</f>
        <v>324</v>
      </c>
      <c r="H110" s="8">
        <f t="shared" si="53"/>
        <v>3888</v>
      </c>
      <c r="I110" s="29">
        <f t="shared" si="54"/>
        <v>2651.9097677295936</v>
      </c>
      <c r="J110" s="70">
        <f>I110*References!C$59</f>
        <v>3.4460837623305096</v>
      </c>
      <c r="K110" s="70">
        <f>J110/References!G$53</f>
        <v>3.5530299642545722</v>
      </c>
      <c r="L110" s="28">
        <f t="shared" si="55"/>
        <v>0.29608583035454766</v>
      </c>
      <c r="M110" s="72">
        <v>29.679010302529992</v>
      </c>
      <c r="N110" s="73">
        <f t="shared" si="33"/>
        <v>29.975096132884541</v>
      </c>
      <c r="O110" s="122">
        <f t="shared" si="34"/>
        <v>9.9762703451505511E-3</v>
      </c>
    </row>
    <row r="111" spans="2:17" x14ac:dyDescent="0.25">
      <c r="B111" t="s">
        <v>225</v>
      </c>
      <c r="C111" s="94" t="s">
        <v>222</v>
      </c>
      <c r="D111">
        <v>1</v>
      </c>
      <c r="E111" s="2">
        <v>1</v>
      </c>
      <c r="F111" s="10">
        <f t="shared" si="52"/>
        <v>12</v>
      </c>
      <c r="G111" s="15">
        <f>References!B30</f>
        <v>473</v>
      </c>
      <c r="H111" s="8">
        <f t="shared" ref="H111" si="56">G111*F111</f>
        <v>5676</v>
      </c>
      <c r="I111" s="29">
        <f t="shared" ref="I111" si="57">H111*D$80</f>
        <v>3871.4608646175852</v>
      </c>
      <c r="J111" s="70">
        <f>I111*References!C$59</f>
        <v>5.03085685056275</v>
      </c>
      <c r="K111" s="70">
        <f>J111/References!G$53</f>
        <v>5.1869851021370756</v>
      </c>
      <c r="L111" s="28">
        <f t="shared" ref="L111" si="58">K111/F111*E111</f>
        <v>0.43224875851142297</v>
      </c>
      <c r="M111" s="72">
        <v>39.492289731779898</v>
      </c>
      <c r="N111" s="73">
        <f t="shared" si="33"/>
        <v>39.924538490291319</v>
      </c>
      <c r="O111" s="122">
        <f t="shared" si="34"/>
        <v>1.0945142999991398E-2</v>
      </c>
    </row>
    <row r="112" spans="2:17" x14ac:dyDescent="0.25">
      <c r="B112" t="s">
        <v>225</v>
      </c>
      <c r="C112" s="94" t="s">
        <v>213</v>
      </c>
      <c r="D112">
        <v>1</v>
      </c>
      <c r="E112" s="2">
        <v>1</v>
      </c>
      <c r="F112" s="10">
        <f t="shared" si="52"/>
        <v>12</v>
      </c>
      <c r="G112" s="15">
        <f>References!B31</f>
        <v>613</v>
      </c>
      <c r="H112" s="8">
        <f t="shared" si="53"/>
        <v>7356</v>
      </c>
      <c r="I112" s="29">
        <f t="shared" si="54"/>
        <v>5017.3478012908663</v>
      </c>
      <c r="J112" s="70">
        <f>I112*References!C$59</f>
        <v>6.519905389841365</v>
      </c>
      <c r="K112" s="70">
        <f>J112/References!G$53</f>
        <v>6.7222449632347301</v>
      </c>
      <c r="L112" s="28">
        <f t="shared" si="55"/>
        <v>0.56018708026956088</v>
      </c>
      <c r="M112" s="72">
        <v>49.260874430403966</v>
      </c>
      <c r="N112" s="73">
        <f t="shared" si="33"/>
        <v>49.82106151067353</v>
      </c>
      <c r="O112" s="122">
        <f t="shared" si="34"/>
        <v>1.1371846049160094E-2</v>
      </c>
    </row>
    <row r="113" spans="2:15" x14ac:dyDescent="0.25">
      <c r="B113" t="s">
        <v>225</v>
      </c>
      <c r="C113" s="94" t="s">
        <v>214</v>
      </c>
      <c r="D113">
        <v>1</v>
      </c>
      <c r="E113" s="2">
        <v>1</v>
      </c>
      <c r="F113" s="10">
        <f t="shared" si="52"/>
        <v>12</v>
      </c>
      <c r="G113" s="15">
        <f>References!B32</f>
        <v>840</v>
      </c>
      <c r="H113" s="8">
        <f t="shared" si="53"/>
        <v>10080</v>
      </c>
      <c r="I113" s="29">
        <f t="shared" si="54"/>
        <v>6875.3216200396864</v>
      </c>
      <c r="J113" s="70">
        <f>I113*References!C$59</f>
        <v>8.9342912356716919</v>
      </c>
      <c r="K113" s="70">
        <f>J113/References!G$53</f>
        <v>9.2115591665859284</v>
      </c>
      <c r="L113" s="28">
        <f t="shared" si="55"/>
        <v>0.76762993054882733</v>
      </c>
      <c r="M113" s="72">
        <v>66.99150819174443</v>
      </c>
      <c r="N113" s="73">
        <f t="shared" si="33"/>
        <v>67.759138122293251</v>
      </c>
      <c r="O113" s="122">
        <f t="shared" si="34"/>
        <v>1.1458615446478703E-2</v>
      </c>
    </row>
    <row r="114" spans="2:15" x14ac:dyDescent="0.25">
      <c r="B114" t="s">
        <v>225</v>
      </c>
      <c r="C114" s="94" t="s">
        <v>215</v>
      </c>
      <c r="D114">
        <v>1</v>
      </c>
      <c r="E114" s="2">
        <v>1</v>
      </c>
      <c r="F114" s="10">
        <f t="shared" si="52"/>
        <v>12</v>
      </c>
      <c r="G114" s="15">
        <f>References!B33</f>
        <v>980</v>
      </c>
      <c r="H114" s="8">
        <f t="shared" si="53"/>
        <v>11760</v>
      </c>
      <c r="I114" s="29">
        <f t="shared" si="54"/>
        <v>8021.2085567129679</v>
      </c>
      <c r="J114" s="70">
        <f>I114*References!C$59</f>
        <v>10.423339774950307</v>
      </c>
      <c r="K114" s="70">
        <f>J114/References!G$53</f>
        <v>10.746819027683584</v>
      </c>
      <c r="L114" s="28">
        <f t="shared" si="55"/>
        <v>0.89556825230696535</v>
      </c>
      <c r="M114" s="72">
        <v>86.630092890368502</v>
      </c>
      <c r="N114" s="73">
        <f t="shared" si="33"/>
        <v>87.52566114267546</v>
      </c>
      <c r="O114" s="122">
        <f t="shared" si="34"/>
        <v>1.0337842456665936E-2</v>
      </c>
    </row>
    <row r="115" spans="2:15" x14ac:dyDescent="0.25">
      <c r="B115" t="s">
        <v>225</v>
      </c>
      <c r="C115" s="94" t="s">
        <v>216</v>
      </c>
      <c r="D115">
        <v>1</v>
      </c>
      <c r="E115" s="2">
        <v>1</v>
      </c>
      <c r="F115" s="10">
        <f t="shared" si="52"/>
        <v>12</v>
      </c>
      <c r="G115" s="15">
        <f>References!B27</f>
        <v>175</v>
      </c>
      <c r="H115" s="8">
        <f t="shared" si="53"/>
        <v>2100</v>
      </c>
      <c r="I115" s="29">
        <f t="shared" si="54"/>
        <v>1432.3586708416015</v>
      </c>
      <c r="J115" s="70">
        <f>I115*References!C$59</f>
        <v>1.8613106740982692</v>
      </c>
      <c r="K115" s="70">
        <f>J115/References!G$53</f>
        <v>1.9190748263720685</v>
      </c>
      <c r="L115" s="28">
        <f t="shared" si="55"/>
        <v>0.15992290219767238</v>
      </c>
      <c r="M115" s="72">
        <v>27.375730873280087</v>
      </c>
      <c r="N115" s="73">
        <f t="shared" si="33"/>
        <v>27.535653775477758</v>
      </c>
      <c r="O115" s="122">
        <f t="shared" si="34"/>
        <v>5.841776533307615E-3</v>
      </c>
    </row>
    <row r="116" spans="2:15" x14ac:dyDescent="0.25">
      <c r="B116" t="s">
        <v>225</v>
      </c>
      <c r="C116" s="94" t="s">
        <v>217</v>
      </c>
      <c r="D116">
        <v>1</v>
      </c>
      <c r="E116" s="2">
        <v>1</v>
      </c>
      <c r="F116" s="10">
        <f t="shared" si="52"/>
        <v>12</v>
      </c>
      <c r="G116" s="15">
        <f>References!B28</f>
        <v>250</v>
      </c>
      <c r="H116" s="8">
        <f t="shared" si="53"/>
        <v>3000</v>
      </c>
      <c r="I116" s="29">
        <f t="shared" si="54"/>
        <v>2046.2266726308592</v>
      </c>
      <c r="J116" s="70">
        <f>I116*References!C$59</f>
        <v>2.6590152487118131</v>
      </c>
      <c r="K116" s="70">
        <f>J116/References!G$53</f>
        <v>2.741535466245812</v>
      </c>
      <c r="L116" s="28">
        <f t="shared" si="55"/>
        <v>0.22846128885381767</v>
      </c>
      <c r="M116" s="72">
        <v>31.858186961828697</v>
      </c>
      <c r="N116" s="73">
        <f t="shared" si="33"/>
        <v>32.086648250682515</v>
      </c>
      <c r="O116" s="122">
        <f t="shared" si="34"/>
        <v>7.1711955588543552E-3</v>
      </c>
    </row>
    <row r="117" spans="2:15" x14ac:dyDescent="0.25">
      <c r="B117" t="s">
        <v>225</v>
      </c>
      <c r="C117" s="94" t="s">
        <v>218</v>
      </c>
      <c r="D117">
        <v>1</v>
      </c>
      <c r="E117" s="2">
        <v>1</v>
      </c>
      <c r="F117" s="10">
        <f t="shared" si="52"/>
        <v>12</v>
      </c>
      <c r="G117" s="15">
        <f>References!B29</f>
        <v>324</v>
      </c>
      <c r="H117" s="8">
        <f t="shared" si="53"/>
        <v>3888</v>
      </c>
      <c r="I117" s="29">
        <f t="shared" si="54"/>
        <v>2651.9097677295936</v>
      </c>
      <c r="J117" s="70">
        <f>I117*References!C$59</f>
        <v>3.4460837623305096</v>
      </c>
      <c r="K117" s="70">
        <f>J117/References!G$53</f>
        <v>3.5530299642545722</v>
      </c>
      <c r="L117" s="28">
        <f t="shared" si="55"/>
        <v>0.29608583035454766</v>
      </c>
      <c r="M117" s="72">
        <v>36.66901030252999</v>
      </c>
      <c r="N117" s="73">
        <f t="shared" si="33"/>
        <v>36.96509613288454</v>
      </c>
      <c r="O117" s="122">
        <f t="shared" si="34"/>
        <v>8.0745519966793078E-3</v>
      </c>
    </row>
    <row r="118" spans="2:15" x14ac:dyDescent="0.25">
      <c r="B118" t="s">
        <v>225</v>
      </c>
      <c r="C118" s="94" t="s">
        <v>223</v>
      </c>
      <c r="D118">
        <v>1</v>
      </c>
      <c r="E118" s="2">
        <v>1</v>
      </c>
      <c r="F118" s="10">
        <f t="shared" si="52"/>
        <v>12</v>
      </c>
      <c r="G118" s="15">
        <f>References!B30</f>
        <v>473</v>
      </c>
      <c r="H118" s="8">
        <f t="shared" ref="H118" si="59">G118*F118</f>
        <v>5676</v>
      </c>
      <c r="I118" s="29">
        <f t="shared" ref="I118" si="60">H118*D$80</f>
        <v>3871.4608646175852</v>
      </c>
      <c r="J118" s="70">
        <f>I118*References!C$59</f>
        <v>5.03085685056275</v>
      </c>
      <c r="K118" s="70">
        <f>J118/References!G$53</f>
        <v>5.1869851021370756</v>
      </c>
      <c r="L118" s="28">
        <f t="shared" ref="L118" si="61">K118/F118*E118</f>
        <v>0.43224875851142297</v>
      </c>
      <c r="M118" s="72">
        <v>46.492289731779898</v>
      </c>
      <c r="N118" s="73">
        <f t="shared" si="33"/>
        <v>46.924538490291319</v>
      </c>
      <c r="O118" s="122">
        <f t="shared" si="34"/>
        <v>9.2972138177130573E-3</v>
      </c>
    </row>
    <row r="119" spans="2:15" x14ac:dyDescent="0.25">
      <c r="B119" t="s">
        <v>225</v>
      </c>
      <c r="C119" s="94" t="s">
        <v>221</v>
      </c>
      <c r="D119">
        <v>1</v>
      </c>
      <c r="E119" s="2">
        <v>1</v>
      </c>
      <c r="F119" s="10">
        <f t="shared" si="52"/>
        <v>12</v>
      </c>
      <c r="G119" s="15">
        <f>References!B31</f>
        <v>613</v>
      </c>
      <c r="H119" s="8">
        <f t="shared" si="53"/>
        <v>7356</v>
      </c>
      <c r="I119" s="29">
        <f t="shared" si="54"/>
        <v>5017.3478012908663</v>
      </c>
      <c r="J119" s="70">
        <f>I119*References!C$59</f>
        <v>6.519905389841365</v>
      </c>
      <c r="K119" s="70">
        <f>J119/References!G$53</f>
        <v>6.7222449632347301</v>
      </c>
      <c r="L119" s="28">
        <f t="shared" si="55"/>
        <v>0.56018708026956088</v>
      </c>
      <c r="M119" s="72">
        <v>56.260874430403966</v>
      </c>
      <c r="N119" s="73">
        <f t="shared" si="33"/>
        <v>56.82106151067353</v>
      </c>
      <c r="O119" s="122">
        <f t="shared" si="34"/>
        <v>9.9569565162469266E-3</v>
      </c>
    </row>
    <row r="120" spans="2:15" x14ac:dyDescent="0.25">
      <c r="B120" t="s">
        <v>225</v>
      </c>
      <c r="C120" s="94" t="s">
        <v>219</v>
      </c>
      <c r="D120">
        <v>1</v>
      </c>
      <c r="E120" s="2">
        <v>1</v>
      </c>
      <c r="F120" s="10">
        <f t="shared" si="52"/>
        <v>12</v>
      </c>
      <c r="G120" s="15">
        <f>References!B32</f>
        <v>840</v>
      </c>
      <c r="H120" s="8">
        <f t="shared" si="53"/>
        <v>10080</v>
      </c>
      <c r="I120" s="29">
        <f t="shared" si="54"/>
        <v>6875.3216200396864</v>
      </c>
      <c r="J120" s="70">
        <f>I120*References!C$59</f>
        <v>8.9342912356716919</v>
      </c>
      <c r="K120" s="70">
        <f>J120/References!G$53</f>
        <v>9.2115591665859284</v>
      </c>
      <c r="L120" s="28">
        <f t="shared" si="55"/>
        <v>0.76762993054882733</v>
      </c>
      <c r="M120" s="72">
        <v>74.99150819174443</v>
      </c>
      <c r="N120" s="73">
        <f t="shared" si="33"/>
        <v>75.759138122293251</v>
      </c>
      <c r="O120" s="122">
        <f t="shared" si="34"/>
        <v>1.0236224728086388E-2</v>
      </c>
    </row>
    <row r="121" spans="2:15" x14ac:dyDescent="0.25">
      <c r="B121" t="s">
        <v>225</v>
      </c>
      <c r="C121" s="94" t="s">
        <v>220</v>
      </c>
      <c r="D121">
        <v>1</v>
      </c>
      <c r="E121" s="2">
        <v>1</v>
      </c>
      <c r="F121" s="10">
        <f t="shared" si="52"/>
        <v>12</v>
      </c>
      <c r="G121" s="15">
        <f>References!B33</f>
        <v>980</v>
      </c>
      <c r="H121" s="8">
        <f t="shared" si="53"/>
        <v>11760</v>
      </c>
      <c r="I121" s="29">
        <f t="shared" si="54"/>
        <v>8021.2085567129679</v>
      </c>
      <c r="J121" s="70">
        <f>I121*References!C$59</f>
        <v>10.423339774950307</v>
      </c>
      <c r="K121" s="70">
        <f>J121/References!G$53</f>
        <v>10.746819027683584</v>
      </c>
      <c r="L121" s="28">
        <f t="shared" si="55"/>
        <v>0.89556825230696535</v>
      </c>
      <c r="M121" s="72">
        <v>93.620092890368497</v>
      </c>
      <c r="N121" s="73">
        <f t="shared" si="33"/>
        <v>94.515661142675455</v>
      </c>
      <c r="O121" s="122">
        <f t="shared" si="34"/>
        <v>9.5659833766208544E-3</v>
      </c>
    </row>
  </sheetData>
  <mergeCells count="1">
    <mergeCell ref="A2:A20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D6D2BF08226D4CA0B5F157AF2F28C7" ma:contentTypeVersion="24" ma:contentTypeDescription="" ma:contentTypeScope="" ma:versionID="562a65da3ab1d9734f7e79c1d24ed55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2023-04-17T07:00:00+00:00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230255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ED4170-7502-4992-B20E-762D3DD1EE0A}"/>
</file>

<file path=customXml/itemProps2.xml><?xml version="1.0" encoding="utf-8"?>
<ds:datastoreItem xmlns:ds="http://schemas.openxmlformats.org/officeDocument/2006/customXml" ds:itemID="{D96A8C09-7784-4802-BD60-6D35BEB8AB71}"/>
</file>

<file path=customXml/itemProps3.xml><?xml version="1.0" encoding="utf-8"?>
<ds:datastoreItem xmlns:ds="http://schemas.openxmlformats.org/officeDocument/2006/customXml" ds:itemID="{9D81F776-E83D-4090-9EF5-2FF4FEAF84DD}"/>
</file>

<file path=customXml/itemProps4.xml><?xml version="1.0" encoding="utf-8"?>
<ds:datastoreItem xmlns:ds="http://schemas.openxmlformats.org/officeDocument/2006/customXml" ds:itemID="{70506768-1AD0-47C5-8B99-AE16A622B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References</vt:lpstr>
      <vt:lpstr>Price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Jaclynn (UTC)</dc:creator>
  <cp:lastModifiedBy>Administrator</cp:lastModifiedBy>
  <dcterms:created xsi:type="dcterms:W3CDTF">2021-11-12T22:53:39Z</dcterms:created>
  <dcterms:modified xsi:type="dcterms:W3CDTF">2023-04-17T21:59:01Z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0x0101006E56B4D1795A2E4DB2F0B01679ED314A009CD6D2BF08226D4CA0B5F157AF2F28C7</vt:lpwstr>
  </property>
  <property fmtid="{D5CDD505-2E9C-101B-9397-08002B2CF9AE}" pid="5" name="_docset_NoMedatataSyncRequired">
    <vt:lpwstr>False</vt:lpwstr>
  </property>
</Properties>
</file>