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600" windowHeight="9240" tabRatio="886" activeTab="1"/>
  </bookViews>
  <sheets>
    <sheet name="References" sheetId="1" r:id="rId1"/>
    <sheet name="Calc. and priceout" sheetId="2" r:id="rId2"/>
    <sheet name="Co. Pro Tonnage" sheetId="3" r:id="rId3"/>
  </sheets>
  <definedNames>
    <definedName name="_xlnm.Print_Area" localSheetId="1">'Calc. and priceout'!$A$1:$R$101</definedName>
    <definedName name="_xlnm.Print_Area" localSheetId="2">'Co. Pro Tonnage'!$A$1:$P$14</definedName>
    <definedName name="_xlnm.Print_Area" localSheetId="0">'References'!$A$1:$H$64</definedName>
    <definedName name="_xlnm.Print_Titles" localSheetId="1">'Calc. and priceout'!$1:$1</definedName>
  </definedNames>
  <calcPr fullCalcOnLoad="1"/>
</workbook>
</file>

<file path=xl/sharedStrings.xml><?xml version="1.0" encoding="utf-8"?>
<sst xmlns="http://schemas.openxmlformats.org/spreadsheetml/2006/main" count="229" uniqueCount="202">
  <si>
    <t>Pro Forma</t>
  </si>
  <si>
    <t>Adj.</t>
  </si>
  <si>
    <t>%</t>
  </si>
  <si>
    <t>Total</t>
  </si>
  <si>
    <t>Disposal Summary</t>
  </si>
  <si>
    <t>Current</t>
  </si>
  <si>
    <t>Cost</t>
  </si>
  <si>
    <t>Proposed</t>
  </si>
  <si>
    <t>Tons</t>
  </si>
  <si>
    <t>Rate</t>
  </si>
  <si>
    <t>Expense</t>
  </si>
  <si>
    <t>Commercial garbage</t>
  </si>
  <si>
    <t>Residential garbage</t>
  </si>
  <si>
    <t>Roll Off garbage</t>
  </si>
  <si>
    <t>Regulated</t>
  </si>
  <si>
    <t>Monthly Factor</t>
  </si>
  <si>
    <t>Pickups:</t>
  </si>
  <si>
    <t>1 unit</t>
  </si>
  <si>
    <t>2 units</t>
  </si>
  <si>
    <t>3 units</t>
  </si>
  <si>
    <t>4 units</t>
  </si>
  <si>
    <t>5 units</t>
  </si>
  <si>
    <t>6 units</t>
  </si>
  <si>
    <t>7 unit</t>
  </si>
  <si>
    <t>5 Times per Week</t>
  </si>
  <si>
    <t>4 Times per Week</t>
  </si>
  <si>
    <t>3 Times per Week</t>
  </si>
  <si>
    <t>2 Times per Week</t>
  </si>
  <si>
    <t>Weekly Pickup (WG)</t>
  </si>
  <si>
    <t>Every Other Week (EOWG)</t>
  </si>
  <si>
    <t>Monthly (MG)</t>
  </si>
  <si>
    <t>Meeks Weights</t>
  </si>
  <si>
    <t>Res'l</t>
  </si>
  <si>
    <t>Pounds per Pickup</t>
  </si>
  <si>
    <t>20 gal minican</t>
  </si>
  <si>
    <t>1 can</t>
  </si>
  <si>
    <t>2 cans</t>
  </si>
  <si>
    <t>3 cans</t>
  </si>
  <si>
    <t>Lbs. per ton</t>
  </si>
  <si>
    <t>4 cans</t>
  </si>
  <si>
    <t>Yds. Per ton</t>
  </si>
  <si>
    <t>n/a</t>
  </si>
  <si>
    <t>5 cans</t>
  </si>
  <si>
    <t>6 cans</t>
  </si>
  <si>
    <t>35 gallon Can</t>
  </si>
  <si>
    <t>*</t>
  </si>
  <si>
    <t>Supercan 60</t>
  </si>
  <si>
    <t>Supercan 90</t>
  </si>
  <si>
    <t>Once a month</t>
  </si>
  <si>
    <t>Extras</t>
  </si>
  <si>
    <t>Com'l</t>
  </si>
  <si>
    <t>Cans</t>
  </si>
  <si>
    <t>1 yd container</t>
  </si>
  <si>
    <t>1.5 yd container</t>
  </si>
  <si>
    <t>2 yd container</t>
  </si>
  <si>
    <t>3 yd container</t>
  </si>
  <si>
    <t>4 yd container</t>
  </si>
  <si>
    <t>6 yd container</t>
  </si>
  <si>
    <t>8 yd container</t>
  </si>
  <si>
    <t>1 yd packer/compactor</t>
  </si>
  <si>
    <t>1.5 yd packer/compactor</t>
  </si>
  <si>
    <t>2 yd packer/compactor</t>
  </si>
  <si>
    <t>3 yd packer/compactor</t>
  </si>
  <si>
    <t>4 yd packer/compactor</t>
  </si>
  <si>
    <t>5 yd packer/compactor</t>
  </si>
  <si>
    <t>6 yd packer/compactor</t>
  </si>
  <si>
    <t>8 yd packer/compactor</t>
  </si>
  <si>
    <t>Yards</t>
  </si>
  <si>
    <t>* not on meeks - calculated by staff</t>
  </si>
  <si>
    <t>Kitsap County</t>
  </si>
  <si>
    <t>Per Ton</t>
  </si>
  <si>
    <t>Per Pound</t>
  </si>
  <si>
    <t>Gross Up Factors</t>
  </si>
  <si>
    <t xml:space="preserve">Current Rate </t>
  </si>
  <si>
    <t>B&amp;O tax</t>
  </si>
  <si>
    <t>New Rate per ton</t>
  </si>
  <si>
    <t>WUTC fees</t>
  </si>
  <si>
    <t>Increase</t>
  </si>
  <si>
    <t>Bad Debts</t>
  </si>
  <si>
    <t>Transfer Station</t>
  </si>
  <si>
    <t>Increase per ton</t>
  </si>
  <si>
    <t>Factor</t>
  </si>
  <si>
    <t>Grossed Up Increase per ton</t>
  </si>
  <si>
    <t>Tons Collected</t>
  </si>
  <si>
    <t>Disposal Fee Revenue Increase</t>
  </si>
  <si>
    <t>Tariff Page</t>
  </si>
  <si>
    <t>Scheduled Service</t>
  </si>
  <si>
    <t>Monthly Frequency</t>
  </si>
  <si>
    <t>Annual PU's</t>
  </si>
  <si>
    <t>Calculated Annual Pounds</t>
  </si>
  <si>
    <t>Adjusted Annual Pounds</t>
  </si>
  <si>
    <t>Gross Up</t>
  </si>
  <si>
    <t>Tariff Rate Increase</t>
  </si>
  <si>
    <t>Company Current Tariff</t>
  </si>
  <si>
    <t>Company Current Revenue</t>
  </si>
  <si>
    <t>Revised Tariff Rate</t>
  </si>
  <si>
    <t>Revised Revenue</t>
  </si>
  <si>
    <t>Revised Revenue Increase</t>
  </si>
  <si>
    <t>Residential</t>
  </si>
  <si>
    <t>Commercial</t>
  </si>
  <si>
    <t>Totals</t>
  </si>
  <si>
    <t>Adjustment Factor Calculation</t>
  </si>
  <si>
    <t>Not on Meeks</t>
  </si>
  <si>
    <t>Total Tonnage</t>
  </si>
  <si>
    <t>Total Pounds</t>
  </si>
  <si>
    <t>Total Pick Ups</t>
  </si>
  <si>
    <t>na - multiple pickups not on tariff</t>
  </si>
  <si>
    <t>Adjustment factor</t>
  </si>
  <si>
    <t>Company Proposed Tariff</t>
  </si>
  <si>
    <t>Roll Off</t>
  </si>
  <si>
    <t>Estimated</t>
  </si>
  <si>
    <t>WM Skagit</t>
  </si>
  <si>
    <t>(per TG-180752)</t>
  </si>
  <si>
    <t>32 GAL CAN MSW EOW</t>
  </si>
  <si>
    <t>1-32 GAL CAN MSW</t>
  </si>
  <si>
    <t>2-32 GAL CANS MSW</t>
  </si>
  <si>
    <t>3-32 GAL CANS MSW</t>
  </si>
  <si>
    <t>35 GAL CART MSW 1X WK</t>
  </si>
  <si>
    <t>2-35 GAL CARTS MSW</t>
  </si>
  <si>
    <t>1-64 GAL CART MSW</t>
  </si>
  <si>
    <t>2-64 GAL CARTS MSW</t>
  </si>
  <si>
    <t>6-64 GAL CARTS MSW</t>
  </si>
  <si>
    <t>10-64 GAL CARTS MSW</t>
  </si>
  <si>
    <t>30-64 GAL CARTS MSW</t>
  </si>
  <si>
    <t>1-96 GAL CART MSW</t>
  </si>
  <si>
    <t>2-96 GAL CARTS MSW</t>
  </si>
  <si>
    <t>1 YD MSW EOW</t>
  </si>
  <si>
    <t>1-1 YD 1X PER WEEK</t>
  </si>
  <si>
    <t>2-1 YD 1X PER WEEK</t>
  </si>
  <si>
    <t>2-1 YD 2X PER WEEK</t>
  </si>
  <si>
    <t>3-1 YD 2X PER WEEK</t>
  </si>
  <si>
    <t>1-1 YD 3X PER WEEK</t>
  </si>
  <si>
    <t>1.5 YD MSW EOW</t>
  </si>
  <si>
    <t>1-1.5 YD 1X PER WEEK</t>
  </si>
  <si>
    <t>1-1.5 YD 2X PER WEEK</t>
  </si>
  <si>
    <t>2YD FEL ON CALL</t>
  </si>
  <si>
    <t>2 YD MSW EOW</t>
  </si>
  <si>
    <t>1-2 YD 1X PER WEEK</t>
  </si>
  <si>
    <t>2-2 YD 1X PER WEEK</t>
  </si>
  <si>
    <t>3-2 YD 1X PER WEEK</t>
  </si>
  <si>
    <t>4-2 YD 1X PER WEEK</t>
  </si>
  <si>
    <t>5-2 YD 1X PER WEEK</t>
  </si>
  <si>
    <t>6-2 YD 1X PER WEEK</t>
  </si>
  <si>
    <t>7-2 YD 1X PER WEEK</t>
  </si>
  <si>
    <t>1-2 YD 2X PER WEEK</t>
  </si>
  <si>
    <t>2-2 YD 2X PER WEEK</t>
  </si>
  <si>
    <t>7-2 YD 2X PER WEEK</t>
  </si>
  <si>
    <t>1-2 YD 3X PER WEEK</t>
  </si>
  <si>
    <t>3 YD MSW EOW</t>
  </si>
  <si>
    <t>1-3 YD 1X PER WEEK</t>
  </si>
  <si>
    <t>2-3 YD 1X PER WEEK</t>
  </si>
  <si>
    <t>3-3 YD 1X PER WEEK</t>
  </si>
  <si>
    <t>4-3 YD 1X PER WEEK</t>
  </si>
  <si>
    <t>7-3 YD 1X PER WEEK</t>
  </si>
  <si>
    <t>1-3 YD 2X PER WEEK</t>
  </si>
  <si>
    <t>1-8 YD 3X PER WEEK</t>
  </si>
  <si>
    <t>2-3 YD 3X PER WEEK</t>
  </si>
  <si>
    <t>4YD FEL ON CALL</t>
  </si>
  <si>
    <t>4 YD 1X PER WEEK</t>
  </si>
  <si>
    <t>4 YD MSW EOW</t>
  </si>
  <si>
    <t>2-4 YD 1X PER WEEK</t>
  </si>
  <si>
    <t>6-4 YD 1X PER WEEK</t>
  </si>
  <si>
    <t>8-4 YD 1X PER WEEK</t>
  </si>
  <si>
    <t>1-4 YD 2X PER WEEK</t>
  </si>
  <si>
    <t>2-4 YD 2X PER WEEK</t>
  </si>
  <si>
    <t>4-4 YD 2X PER WEEK</t>
  </si>
  <si>
    <t>1-4 YD 3X PER WEEK</t>
  </si>
  <si>
    <t>6YD FEL ON CALL</t>
  </si>
  <si>
    <t>6 YD MSW EOW</t>
  </si>
  <si>
    <t>1-6 YD 1X PER WEEK</t>
  </si>
  <si>
    <t>2-6 YD 1X PER WEEK</t>
  </si>
  <si>
    <t>3-6 YD 1X PER WEEK</t>
  </si>
  <si>
    <t>4-6 YD 1X PER WEEK</t>
  </si>
  <si>
    <t>5-6 YD 1X PER WEEK</t>
  </si>
  <si>
    <t>6-6 YD 1X PER WEEK</t>
  </si>
  <si>
    <t>1-6 YD 2X PER WEEK</t>
  </si>
  <si>
    <t>2-6 YD 2X PER WEEK</t>
  </si>
  <si>
    <t>4-6 YD 2X PER WEEK</t>
  </si>
  <si>
    <t>7-6 YD 2X PER WEEK</t>
  </si>
  <si>
    <t>1-6 YD 3X PER WEEK</t>
  </si>
  <si>
    <t>2-6 YD 3X PER WEEK</t>
  </si>
  <si>
    <t>8 YD MSW EOW</t>
  </si>
  <si>
    <t>1-8 YD 1X PER WEEK</t>
  </si>
  <si>
    <t>1-8 YD 2X PER WEEK</t>
  </si>
  <si>
    <t>32 GAL CAN MSW 1X MO</t>
  </si>
  <si>
    <t>32 GAL CAN MSW ON CALL</t>
  </si>
  <si>
    <t>1-20 GAL MINI CAN MSW</t>
  </si>
  <si>
    <t>2-20 GAL MINI CAN MSW</t>
  </si>
  <si>
    <t>4-32 GAL CANS MSW</t>
  </si>
  <si>
    <t>5-32 GAL CANS MSW</t>
  </si>
  <si>
    <t>6-32 GAL CANS MSW</t>
  </si>
  <si>
    <t>20 GAL CART MSW</t>
  </si>
  <si>
    <t>35 GAL CART MSW 1X MO</t>
  </si>
  <si>
    <t>35 GAL CART MSW ON CALL</t>
  </si>
  <si>
    <t>35 GAL CART MSW EOW</t>
  </si>
  <si>
    <t>1-35 GAL CART MSW</t>
  </si>
  <si>
    <t>3-35 GAL CARTS MSW</t>
  </si>
  <si>
    <t>4-35 GAL CARTS MSW</t>
  </si>
  <si>
    <t>Monthly Customers/Containers</t>
  </si>
  <si>
    <t>3-64 GAL CARTS MSW</t>
  </si>
  <si>
    <t>Item 255 - Container Service - Dumped in Company's Vehicle</t>
  </si>
  <si>
    <t>Item 150 - Loose and Bulky Material, Page No. 27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</si>
</sst>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_(* #,##0.0_);_(* \(#,##0.0\);_(* &quot;-&quot;??_);_(@_)"/>
    <numFmt numFmtId="166" formatCode="_(* #,##0_);_(* \(#,##0\);_(* &quot;-&quot;??_);_(@_)"/>
    <numFmt numFmtId="167" formatCode="m/d/yy\ h:mm\ AM/PM"/>
    <numFmt numFmtId="168" formatCode="mm/dd/yy"/>
    <numFmt numFmtId="169" formatCode="mmm\-yyyy"/>
    <numFmt numFmtId="170" formatCode="mmmm\-yy"/>
    <numFmt numFmtId="171" formatCode="_*\ #,###.0,;_(* \(#,###.0,\);_(* &quot;-&quot;??_);_(@_)"/>
    <numFmt numFmtId="172" formatCode="0.0%"/>
    <numFmt numFmtId="173" formatCode="_(* #,##0,_);_(* \(#,##0,\);_(* &quot;-&quot;??_);_(@_)"/>
    <numFmt numFmtId="174" formatCode="_(&quot;$&quot;* #,##0_);_(&quot;$&quot;* \(#,##0\);_(&quot;$&quot;* &quot;-&quot;??_);_(@_)"/>
    <numFmt numFmtId="175" formatCode="_(* #,##0_);_(&quot;$&quot;* \(#,##0\);_(* &quot;-&quot;??_);_(@_)"/>
    <numFmt numFmtId="176" formatCode="#,##0.0000_);\(#,##0.0000\)"/>
    <numFmt numFmtId="177" formatCode=";;;"/>
    <numFmt numFmtId="178" formatCode="#,##0.000_);\(#,##0.000\)"/>
    <numFmt numFmtId="179" formatCode="0.0000%"/>
    <numFmt numFmtId="180" formatCode="#,##0.0_);\(#,##0.0\)"/>
    <numFmt numFmtId="181" formatCode="m/d/yy;@"/>
    <numFmt numFmtId="182" formatCode="General_)"/>
    <numFmt numFmtId="183" formatCode="_(&quot;$&quot;* #,##0.000_);_(&quot;$&quot;* \(#,##0.000\);_(&quot;$&quot;* &quot;-&quot;??_);_(@_)"/>
    <numFmt numFmtId="184" formatCode="0.000%"/>
    <numFmt numFmtId="185" formatCode="_(&quot;$&quot;* #,##0.000000_);_(&quot;$&quot;* \(#,##0.000000\);_(&quot;$&quot;* &quot;-&quot;??????_);_(@_)"/>
    <numFmt numFmtId="186" formatCode="_(&quot;$&quot;* #,##0.0_);_(&quot;$&quot;* \(#,##0.0\);_(&quot;$&quot;* &quot;-&quot;??_);_(@_)"/>
    <numFmt numFmtId="187" formatCode="_(&quot;$&quot;* #,##0.0000_);_(&quot;$&quot;* \(#,##0.0000\);_(&quot;$&quot;* &quot;-&quot;????_);_(@_)"/>
    <numFmt numFmtId="188" formatCode="_(* #,##0.000000_);_(* \(#,##0.000000\);_(* &quot;-&quot;??_);_(@_)"/>
    <numFmt numFmtId="189" formatCode="_(&quot;$&quot;* #,##0.000000_);_(&quot;$&quot;* \(#,##0.000000\);_(&quot;$&quot;* &quot;-&quot;??_);_(@_)"/>
    <numFmt numFmtId="190" formatCode="0.000000"/>
    <numFmt numFmtId="191" formatCode="#,##0.00000000"/>
    <numFmt numFmtId="192" formatCode="_(* #,##0.000_);_(* \(#,##0.000\);_(* &quot;-&quot;??_);_(@_)"/>
    <numFmt numFmtId="193" formatCode="_(* #,##0.000_);_(* \(#,##0.000\);_(* &quot;-&quot;???_);_(@_)"/>
    <numFmt numFmtId="194" formatCode="0.0000"/>
    <numFmt numFmtId="195" formatCode="0.000"/>
    <numFmt numFmtId="196" formatCode="_(* #,##0.0000_);_(* \(#,##0.0000\);_(* &quot;-&quot;??_);_(@_)"/>
    <numFmt numFmtId="197" formatCode="_(* #,##0.00000_);_(* \(#,##0.00000\);_(* &quot;-&quot;??_);_(@_)"/>
    <numFmt numFmtId="198" formatCode="_(&quot;$&quot;* #,##0.0000_);_(&quot;$&quot;* \(#,##0.0000\);_(&quot;$&quot;* &quot;-&quot;??_);_(@_)"/>
    <numFmt numFmtId="199" formatCode="_(&quot;$&quot;* #,##0.00000_);_(&quot;$&quot;* \(#,##0.00000\);_(&quot;$&quot;* &quot;-&quot;??_);_(@_)"/>
    <numFmt numFmtId="200" formatCode="_(* #,##0.0000_);_(* \(#,##0.0000\);_(* &quot;-&quot;????_);_(@_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8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8"/>
      <color indexed="56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0"/>
      <name val="MS Sans Serif"/>
      <family val="2"/>
    </font>
    <font>
      <sz val="10"/>
      <name val="MS Sans Serif"/>
      <family val="2"/>
    </font>
    <font>
      <u val="single"/>
      <sz val="10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b/>
      <u val="single"/>
      <sz val="12"/>
      <color indexed="8"/>
      <name val="Arial"/>
      <family val="2"/>
    </font>
    <font>
      <b/>
      <u val="singleAccounting"/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8"/>
      <name val="Arial"/>
      <family val="2"/>
    </font>
    <font>
      <b/>
      <sz val="20"/>
      <color indexed="8"/>
      <name val="Arial"/>
      <family val="2"/>
    </font>
    <font>
      <sz val="12"/>
      <color indexed="10"/>
      <name val="Arial"/>
      <family val="2"/>
    </font>
    <font>
      <u val="singleAccounting"/>
      <sz val="12"/>
      <color indexed="8"/>
      <name val="Arial"/>
      <family val="2"/>
    </font>
    <font>
      <b/>
      <u val="doubleAccounting"/>
      <sz val="12"/>
      <color indexed="8"/>
      <name val="Arial"/>
      <family val="2"/>
    </font>
    <font>
      <sz val="12"/>
      <color indexed="8"/>
      <name val="Calibri"/>
      <family val="2"/>
    </font>
    <font>
      <u val="singleAccounting"/>
      <sz val="12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u val="doubleAccounting"/>
      <sz val="11"/>
      <color indexed="8"/>
      <name val="Calibri"/>
      <family val="2"/>
    </font>
    <font>
      <u val="singleAccounting"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b/>
      <u val="double"/>
      <sz val="11"/>
      <color indexed="8"/>
      <name val="Calibri"/>
      <family val="2"/>
    </font>
    <font>
      <u val="double"/>
      <sz val="11"/>
      <color indexed="8"/>
      <name val="Calibri"/>
      <family val="2"/>
    </font>
    <font>
      <sz val="10"/>
      <color indexed="8"/>
      <name val="Arial"/>
      <family val="2"/>
    </font>
    <font>
      <u val="single"/>
      <sz val="10"/>
      <color indexed="8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b/>
      <u val="single"/>
      <sz val="12"/>
      <color theme="1"/>
      <name val="Arial"/>
      <family val="2"/>
    </font>
    <font>
      <b/>
      <u val="singleAccounting"/>
      <sz val="12"/>
      <color theme="1"/>
      <name val="Arial"/>
      <family val="2"/>
    </font>
    <font>
      <b/>
      <sz val="12"/>
      <color theme="1"/>
      <name val="Arial"/>
      <family val="2"/>
    </font>
    <font>
      <b/>
      <sz val="16"/>
      <color theme="1"/>
      <name val="Arial"/>
      <family val="2"/>
    </font>
    <font>
      <b/>
      <sz val="20"/>
      <color theme="1"/>
      <name val="Arial"/>
      <family val="2"/>
    </font>
    <font>
      <sz val="12"/>
      <color rgb="FFFF0000"/>
      <name val="Arial"/>
      <family val="2"/>
    </font>
    <font>
      <u val="singleAccounting"/>
      <sz val="12"/>
      <color theme="1"/>
      <name val="Arial"/>
      <family val="2"/>
    </font>
    <font>
      <b/>
      <u val="doubleAccounting"/>
      <sz val="12"/>
      <color theme="1"/>
      <name val="Arial"/>
      <family val="2"/>
    </font>
    <font>
      <sz val="12"/>
      <color theme="1"/>
      <name val="Calibri"/>
      <family val="2"/>
    </font>
    <font>
      <u val="singleAccounting"/>
      <sz val="12"/>
      <color theme="1"/>
      <name val="Calibri"/>
      <family val="2"/>
    </font>
    <font>
      <sz val="11"/>
      <color theme="3" tint="0.39998000860214233"/>
      <name val="Calibri"/>
      <family val="2"/>
    </font>
    <font>
      <b/>
      <u val="doubleAccounting"/>
      <sz val="11"/>
      <color theme="1"/>
      <name val="Calibri"/>
      <family val="2"/>
    </font>
    <font>
      <u val="singleAccounting"/>
      <sz val="11"/>
      <color theme="1"/>
      <name val="Calibri"/>
      <family val="2"/>
    </font>
    <font>
      <u val="single"/>
      <sz val="11"/>
      <color theme="1"/>
      <name val="Calibri"/>
      <family val="2"/>
    </font>
    <font>
      <b/>
      <u val="double"/>
      <sz val="11"/>
      <color theme="1"/>
      <name val="Calibri"/>
      <family val="2"/>
    </font>
    <font>
      <u val="double"/>
      <sz val="11"/>
      <color theme="1"/>
      <name val="Calibri"/>
      <family val="2"/>
    </font>
    <font>
      <sz val="10"/>
      <color theme="1"/>
      <name val="Arial"/>
      <family val="2"/>
    </font>
    <font>
      <u val="single"/>
      <sz val="10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9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38" fontId="5" fillId="0" borderId="0" applyNumberFormat="0" applyFont="0" applyFill="0" applyBorder="0">
      <alignment horizontal="left" indent="4"/>
      <protection locked="0"/>
    </xf>
    <xf numFmtId="0" fontId="9" fillId="0" borderId="0" applyNumberFormat="0" applyFont="0" applyFill="0" applyBorder="0" applyAlignment="0" applyProtection="0"/>
    <xf numFmtId="15" fontId="9" fillId="0" borderId="0" applyFont="0" applyFill="0" applyBorder="0" applyAlignment="0" applyProtection="0"/>
    <xf numFmtId="4" fontId="9" fillId="0" borderId="0" applyFont="0" applyFill="0" applyBorder="0" applyAlignment="0" applyProtection="0"/>
    <xf numFmtId="0" fontId="8" fillId="0" borderId="9">
      <alignment horizontal="center"/>
      <protection/>
    </xf>
    <xf numFmtId="3" fontId="9" fillId="0" borderId="0" applyFont="0" applyFill="0" applyBorder="0" applyAlignment="0" applyProtection="0"/>
    <xf numFmtId="0" fontId="9" fillId="33" borderId="0" applyNumberFormat="0" applyFont="0" applyBorder="0" applyAlignment="0" applyProtection="0"/>
    <xf numFmtId="0" fontId="64" fillId="0" borderId="0" applyNumberFormat="0" applyFill="0" applyBorder="0" applyAlignment="0" applyProtection="0"/>
    <xf numFmtId="0" fontId="65" fillId="0" borderId="10" applyNumberFormat="0" applyFill="0" applyAlignment="0" applyProtection="0"/>
    <xf numFmtId="0" fontId="66" fillId="0" borderId="0" applyNumberFormat="0" applyFill="0" applyBorder="0" applyAlignment="0" applyProtection="0"/>
    <xf numFmtId="166" fontId="3" fillId="34" borderId="0" applyFont="0" applyFill="0" applyBorder="0" applyAlignment="0" applyProtection="0"/>
  </cellStyleXfs>
  <cellXfs count="181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68">
      <alignment/>
      <protection/>
    </xf>
    <xf numFmtId="0" fontId="67" fillId="0" borderId="0" xfId="68" applyFont="1">
      <alignment/>
      <protection/>
    </xf>
    <xf numFmtId="0" fontId="68" fillId="0" borderId="0" xfId="68" applyFont="1" applyAlignment="1">
      <alignment horizontal="center"/>
      <protection/>
    </xf>
    <xf numFmtId="44" fontId="69" fillId="0" borderId="0" xfId="56" applyFont="1" applyAlignment="1">
      <alignment horizontal="center"/>
    </xf>
    <xf numFmtId="0" fontId="70" fillId="0" borderId="0" xfId="68" applyFont="1" applyAlignment="1">
      <alignment horizontal="center"/>
      <protection/>
    </xf>
    <xf numFmtId="44" fontId="70" fillId="0" borderId="0" xfId="56" applyFont="1" applyAlignment="1">
      <alignment horizontal="center"/>
    </xf>
    <xf numFmtId="0" fontId="71" fillId="0" borderId="0" xfId="68" applyFont="1">
      <alignment/>
      <protection/>
    </xf>
    <xf numFmtId="0" fontId="72" fillId="0" borderId="0" xfId="68" applyFont="1">
      <alignment/>
      <protection/>
    </xf>
    <xf numFmtId="44" fontId="67" fillId="0" borderId="0" xfId="56" applyFont="1" applyBorder="1" applyAlignment="1">
      <alignment/>
    </xf>
    <xf numFmtId="0" fontId="67" fillId="0" borderId="0" xfId="68" applyFont="1" applyBorder="1">
      <alignment/>
      <protection/>
    </xf>
    <xf numFmtId="44" fontId="73" fillId="0" borderId="0" xfId="56" applyFont="1" applyBorder="1" applyAlignment="1">
      <alignment/>
    </xf>
    <xf numFmtId="174" fontId="67" fillId="0" borderId="0" xfId="56" applyNumberFormat="1" applyFont="1" applyBorder="1" applyAlignment="1">
      <alignment/>
    </xf>
    <xf numFmtId="174" fontId="74" fillId="0" borderId="0" xfId="56" applyNumberFormat="1" applyFont="1" applyBorder="1" applyAlignment="1">
      <alignment/>
    </xf>
    <xf numFmtId="44" fontId="67" fillId="0" borderId="0" xfId="68" applyNumberFormat="1" applyFont="1" applyBorder="1">
      <alignment/>
      <protection/>
    </xf>
    <xf numFmtId="174" fontId="69" fillId="0" borderId="0" xfId="56" applyNumberFormat="1" applyFont="1" applyBorder="1" applyAlignment="1">
      <alignment/>
    </xf>
    <xf numFmtId="174" fontId="75" fillId="0" borderId="0" xfId="56" applyNumberFormat="1" applyFont="1" applyBorder="1" applyAlignment="1">
      <alignment/>
    </xf>
    <xf numFmtId="43" fontId="67" fillId="0" borderId="0" xfId="68" applyNumberFormat="1" applyFont="1" applyBorder="1">
      <alignment/>
      <protection/>
    </xf>
    <xf numFmtId="174" fontId="67" fillId="0" borderId="0" xfId="68" applyNumberFormat="1" applyFont="1" applyBorder="1">
      <alignment/>
      <protection/>
    </xf>
    <xf numFmtId="174" fontId="74" fillId="0" borderId="0" xfId="68" applyNumberFormat="1" applyFont="1" applyBorder="1">
      <alignment/>
      <protection/>
    </xf>
    <xf numFmtId="43" fontId="69" fillId="0" borderId="0" xfId="68" applyNumberFormat="1" applyFont="1" applyBorder="1">
      <alignment/>
      <protection/>
    </xf>
    <xf numFmtId="43" fontId="70" fillId="0" borderId="0" xfId="68" applyNumberFormat="1" applyFont="1" applyBorder="1">
      <alignment/>
      <protection/>
    </xf>
    <xf numFmtId="43" fontId="75" fillId="0" borderId="0" xfId="68" applyNumberFormat="1" applyFont="1" applyBorder="1">
      <alignment/>
      <protection/>
    </xf>
    <xf numFmtId="43" fontId="74" fillId="0" borderId="0" xfId="68" applyNumberFormat="1" applyFont="1" applyBorder="1">
      <alignment/>
      <protection/>
    </xf>
    <xf numFmtId="0" fontId="2" fillId="0" borderId="0" xfId="68" applyBorder="1">
      <alignment/>
      <protection/>
    </xf>
    <xf numFmtId="183" fontId="67" fillId="0" borderId="0" xfId="68" applyNumberFormat="1" applyFont="1" applyBorder="1">
      <alignment/>
      <protection/>
    </xf>
    <xf numFmtId="44" fontId="2" fillId="0" borderId="0" xfId="55" applyFont="1" applyAlignment="1">
      <alignment/>
    </xf>
    <xf numFmtId="44" fontId="0" fillId="0" borderId="0" xfId="0" applyNumberFormat="1" applyAlignment="1">
      <alignment/>
    </xf>
    <xf numFmtId="172" fontId="0" fillId="0" borderId="0" xfId="79" applyNumberFormat="1" applyFont="1" applyAlignment="1">
      <alignment/>
    </xf>
    <xf numFmtId="0" fontId="6" fillId="0" borderId="0" xfId="69" applyFont="1" applyBorder="1">
      <alignment/>
      <protection/>
    </xf>
    <xf numFmtId="0" fontId="65" fillId="0" borderId="0" xfId="0" applyFont="1" applyBorder="1" applyAlignment="1">
      <alignment horizontal="center"/>
    </xf>
    <xf numFmtId="172" fontId="67" fillId="0" borderId="0" xfId="79" applyNumberFormat="1" applyFont="1" applyBorder="1" applyAlignment="1">
      <alignment/>
    </xf>
    <xf numFmtId="174" fontId="70" fillId="0" borderId="0" xfId="53" applyNumberFormat="1" applyFont="1" applyBorder="1" applyAlignment="1">
      <alignment/>
    </xf>
    <xf numFmtId="43" fontId="67" fillId="0" borderId="0" xfId="42" applyFont="1" applyBorder="1" applyAlignment="1">
      <alignment/>
    </xf>
    <xf numFmtId="43" fontId="74" fillId="0" borderId="0" xfId="42" applyFont="1" applyBorder="1" applyAlignment="1">
      <alignment/>
    </xf>
    <xf numFmtId="43" fontId="0" fillId="0" borderId="0" xfId="42" applyFont="1" applyBorder="1" applyAlignment="1">
      <alignment/>
    </xf>
    <xf numFmtId="10" fontId="73" fillId="0" borderId="0" xfId="80" applyNumberFormat="1" applyFont="1" applyAlignment="1">
      <alignment horizontal="center"/>
    </xf>
    <xf numFmtId="179" fontId="73" fillId="0" borderId="0" xfId="8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74" fontId="76" fillId="0" borderId="0" xfId="55" applyNumberFormat="1" applyFont="1" applyBorder="1" applyAlignment="1">
      <alignment/>
    </xf>
    <xf numFmtId="0" fontId="76" fillId="0" borderId="0" xfId="0" applyFont="1" applyAlignment="1">
      <alignment/>
    </xf>
    <xf numFmtId="166" fontId="76" fillId="0" borderId="0" xfId="42" applyNumberFormat="1" applyFont="1" applyBorder="1" applyAlignment="1">
      <alignment/>
    </xf>
    <xf numFmtId="166" fontId="76" fillId="0" borderId="0" xfId="42" applyNumberFormat="1" applyFont="1" applyAlignment="1">
      <alignment/>
    </xf>
    <xf numFmtId="166" fontId="77" fillId="0" borderId="0" xfId="42" applyNumberFormat="1" applyFont="1" applyBorder="1" applyAlignment="1">
      <alignment/>
    </xf>
    <xf numFmtId="166" fontId="77" fillId="0" borderId="0" xfId="42" applyNumberFormat="1" applyFont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43" fontId="0" fillId="0" borderId="0" xfId="42" applyFont="1" applyAlignment="1">
      <alignment/>
    </xf>
    <xf numFmtId="43" fontId="0" fillId="0" borderId="0" xfId="0" applyNumberFormat="1" applyFont="1" applyBorder="1" applyAlignment="1">
      <alignment horizontal="center"/>
    </xf>
    <xf numFmtId="43" fontId="0" fillId="0" borderId="0" xfId="0" applyNumberFormat="1" applyFont="1" applyAlignment="1">
      <alignment/>
    </xf>
    <xf numFmtId="0" fontId="65" fillId="0" borderId="0" xfId="0" applyFont="1" applyAlignment="1">
      <alignment/>
    </xf>
    <xf numFmtId="43" fontId="0" fillId="0" borderId="0" xfId="42" applyFont="1" applyAlignment="1">
      <alignment horizontal="center"/>
    </xf>
    <xf numFmtId="0" fontId="0" fillId="0" borderId="0" xfId="0" applyFont="1" applyAlignment="1">
      <alignment horizontal="left" indent="1"/>
    </xf>
    <xf numFmtId="166" fontId="0" fillId="0" borderId="0" xfId="42" applyNumberFormat="1" applyFont="1" applyAlignment="1">
      <alignment/>
    </xf>
    <xf numFmtId="0" fontId="0" fillId="35" borderId="0" xfId="0" applyFont="1" applyFill="1" applyAlignment="1">
      <alignment horizontal="center"/>
    </xf>
    <xf numFmtId="0" fontId="66" fillId="0" borderId="0" xfId="0" applyFont="1" applyFill="1" applyAlignment="1">
      <alignment/>
    </xf>
    <xf numFmtId="0" fontId="66" fillId="0" borderId="0" xfId="0" applyFont="1" applyFill="1" applyAlignment="1">
      <alignment horizontal="center"/>
    </xf>
    <xf numFmtId="0" fontId="65" fillId="36" borderId="11" xfId="0" applyFont="1" applyFill="1" applyBorder="1" applyAlignment="1">
      <alignment/>
    </xf>
    <xf numFmtId="0" fontId="0" fillId="36" borderId="11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0" fillId="36" borderId="11" xfId="0" applyFont="1" applyFill="1" applyBorder="1" applyAlignment="1">
      <alignment/>
    </xf>
    <xf numFmtId="44" fontId="0" fillId="0" borderId="0" xfId="0" applyNumberFormat="1" applyFont="1" applyAlignment="1">
      <alignment/>
    </xf>
    <xf numFmtId="190" fontId="0" fillId="0" borderId="0" xfId="0" applyNumberFormat="1" applyFont="1" applyAlignment="1">
      <alignment/>
    </xf>
    <xf numFmtId="166" fontId="0" fillId="0" borderId="11" xfId="42" applyNumberFormat="1" applyFont="1" applyBorder="1" applyAlignment="1">
      <alignment/>
    </xf>
    <xf numFmtId="0" fontId="65" fillId="36" borderId="11" xfId="0" applyFont="1" applyFill="1" applyBorder="1" applyAlignment="1">
      <alignment horizontal="center" wrapText="1"/>
    </xf>
    <xf numFmtId="0" fontId="65" fillId="36" borderId="11" xfId="0" applyFont="1" applyFill="1" applyBorder="1" applyAlignment="1">
      <alignment horizontal="center" vertical="center"/>
    </xf>
    <xf numFmtId="0" fontId="65" fillId="36" borderId="0" xfId="0" applyFont="1" applyFill="1" applyBorder="1" applyAlignment="1">
      <alignment horizontal="center" wrapText="1"/>
    </xf>
    <xf numFmtId="166" fontId="65" fillId="36" borderId="11" xfId="42" applyNumberFormat="1" applyFont="1" applyFill="1" applyBorder="1" applyAlignment="1">
      <alignment horizontal="center" wrapText="1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44" fontId="0" fillId="0" borderId="0" xfId="53" applyFont="1" applyFill="1" applyBorder="1" applyAlignment="1">
      <alignment/>
    </xf>
    <xf numFmtId="44" fontId="0" fillId="37" borderId="0" xfId="53" applyFont="1" applyFill="1" applyBorder="1" applyAlignment="1">
      <alignment/>
    </xf>
    <xf numFmtId="0" fontId="0" fillId="0" borderId="0" xfId="0" applyFont="1" applyFill="1" applyBorder="1" applyAlignment="1">
      <alignment/>
    </xf>
    <xf numFmtId="166" fontId="0" fillId="0" borderId="0" xfId="42" applyNumberFormat="1" applyFont="1" applyFill="1" applyBorder="1" applyAlignment="1">
      <alignment horizontal="center" wrapText="1"/>
    </xf>
    <xf numFmtId="43" fontId="38" fillId="0" borderId="0" xfId="42" applyNumberFormat="1" applyFont="1" applyFill="1" applyBorder="1" applyAlignment="1">
      <alignment/>
    </xf>
    <xf numFmtId="0" fontId="0" fillId="0" borderId="0" xfId="0" applyFont="1" applyFill="1" applyBorder="1" applyAlignment="1">
      <alignment vertical="center" textRotation="90"/>
    </xf>
    <xf numFmtId="166" fontId="38" fillId="0" borderId="0" xfId="42" applyNumberFormat="1" applyFont="1" applyFill="1" applyBorder="1" applyAlignment="1">
      <alignment/>
    </xf>
    <xf numFmtId="0" fontId="0" fillId="36" borderId="11" xfId="0" applyFont="1" applyFill="1" applyBorder="1" applyAlignment="1">
      <alignment vertical="center" textRotation="90"/>
    </xf>
    <xf numFmtId="0" fontId="0" fillId="36" borderId="11" xfId="0" applyFont="1" applyFill="1" applyBorder="1" applyAlignment="1">
      <alignment horizontal="center" vertical="center"/>
    </xf>
    <xf numFmtId="0" fontId="39" fillId="36" borderId="11" xfId="76" applyFont="1" applyFill="1" applyBorder="1" applyAlignment="1">
      <alignment horizontal="left"/>
      <protection/>
    </xf>
    <xf numFmtId="3" fontId="65" fillId="36" borderId="11" xfId="0" applyNumberFormat="1" applyFont="1" applyFill="1" applyBorder="1" applyAlignment="1">
      <alignment horizontal="right"/>
    </xf>
    <xf numFmtId="43" fontId="0" fillId="36" borderId="11" xfId="42" applyFont="1" applyFill="1" applyBorder="1" applyAlignment="1">
      <alignment/>
    </xf>
    <xf numFmtId="3" fontId="65" fillId="36" borderId="11" xfId="0" applyNumberFormat="1" applyFont="1" applyFill="1" applyBorder="1" applyAlignment="1">
      <alignment/>
    </xf>
    <xf numFmtId="166" fontId="65" fillId="36" borderId="11" xfId="42" applyNumberFormat="1" applyFont="1" applyFill="1" applyBorder="1" applyAlignment="1">
      <alignment/>
    </xf>
    <xf numFmtId="44" fontId="0" fillId="36" borderId="11" xfId="53" applyFont="1" applyFill="1" applyBorder="1" applyAlignment="1">
      <alignment/>
    </xf>
    <xf numFmtId="44" fontId="65" fillId="36" borderId="11" xfId="53" applyFont="1" applyFill="1" applyBorder="1" applyAlignment="1">
      <alignment/>
    </xf>
    <xf numFmtId="166" fontId="0" fillId="0" borderId="0" xfId="42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0" fontId="39" fillId="0" borderId="0" xfId="76" applyFont="1" applyFill="1" applyBorder="1" applyAlignment="1">
      <alignment horizontal="left"/>
      <protection/>
    </xf>
    <xf numFmtId="166" fontId="65" fillId="0" borderId="0" xfId="42" applyNumberFormat="1" applyFont="1" applyBorder="1" applyAlignment="1">
      <alignment horizontal="right"/>
    </xf>
    <xf numFmtId="44" fontId="65" fillId="0" borderId="0" xfId="53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44" fontId="0" fillId="0" borderId="0" xfId="42" applyNumberFormat="1" applyFont="1" applyFill="1" applyBorder="1" applyAlignment="1">
      <alignment/>
    </xf>
    <xf numFmtId="174" fontId="0" fillId="0" borderId="0" xfId="0" applyNumberFormat="1" applyFont="1" applyBorder="1" applyAlignment="1">
      <alignment/>
    </xf>
    <xf numFmtId="166" fontId="0" fillId="0" borderId="0" xfId="42" applyNumberFormat="1" applyFont="1" applyFill="1" applyBorder="1" applyAlignment="1">
      <alignment/>
    </xf>
    <xf numFmtId="0" fontId="66" fillId="0" borderId="0" xfId="72" applyFont="1" applyBorder="1" applyAlignment="1">
      <alignment horizontal="left"/>
      <protection/>
    </xf>
    <xf numFmtId="0" fontId="0" fillId="0" borderId="0" xfId="0" applyFont="1" applyFill="1" applyBorder="1" applyAlignment="1">
      <alignment/>
    </xf>
    <xf numFmtId="166" fontId="65" fillId="0" borderId="11" xfId="42" applyNumberFormat="1" applyFont="1" applyBorder="1" applyAlignment="1">
      <alignment horizontal="center"/>
    </xf>
    <xf numFmtId="0" fontId="0" fillId="35" borderId="0" xfId="0" applyFont="1" applyFill="1" applyBorder="1" applyAlignment="1">
      <alignment horizontal="left"/>
    </xf>
    <xf numFmtId="43" fontId="0" fillId="0" borderId="0" xfId="0" applyNumberFormat="1" applyFont="1" applyBorder="1" applyAlignment="1">
      <alignment/>
    </xf>
    <xf numFmtId="166" fontId="38" fillId="0" borderId="0" xfId="42" applyNumberFormat="1" applyFont="1" applyFill="1" applyBorder="1" applyAlignment="1">
      <alignment horizontal="left"/>
    </xf>
    <xf numFmtId="166" fontId="0" fillId="0" borderId="0" xfId="42" applyNumberFormat="1" applyFont="1" applyBorder="1" applyAlignment="1">
      <alignment horizontal="right"/>
    </xf>
    <xf numFmtId="0" fontId="78" fillId="0" borderId="0" xfId="42" applyNumberFormat="1" applyFont="1" applyBorder="1" applyAlignment="1">
      <alignment horizontal="left"/>
    </xf>
    <xf numFmtId="0" fontId="0" fillId="0" borderId="0" xfId="0" applyFont="1" applyBorder="1" applyAlignment="1">
      <alignment horizontal="left"/>
    </xf>
    <xf numFmtId="10" fontId="0" fillId="0" borderId="0" xfId="79" applyNumberFormat="1" applyFont="1" applyBorder="1" applyAlignment="1">
      <alignment horizontal="right"/>
    </xf>
    <xf numFmtId="10" fontId="0" fillId="0" borderId="0" xfId="79" applyNumberFormat="1" applyFont="1" applyBorder="1" applyAlignment="1">
      <alignment/>
    </xf>
    <xf numFmtId="0" fontId="0" fillId="0" borderId="0" xfId="0" applyFont="1" applyBorder="1" applyAlignment="1">
      <alignment horizontal="right" wrapText="1"/>
    </xf>
    <xf numFmtId="0" fontId="0" fillId="0" borderId="0" xfId="0" applyFont="1" applyBorder="1" applyAlignment="1">
      <alignment horizontal="center" wrapText="1"/>
    </xf>
    <xf numFmtId="0" fontId="38" fillId="0" borderId="0" xfId="76" applyFont="1" applyFill="1" applyBorder="1" applyAlignment="1">
      <alignment horizontal="left"/>
      <protection/>
    </xf>
    <xf numFmtId="43" fontId="0" fillId="0" borderId="0" xfId="42" applyFont="1" applyBorder="1" applyAlignment="1">
      <alignment/>
    </xf>
    <xf numFmtId="44" fontId="0" fillId="0" borderId="0" xfId="0" applyNumberFormat="1" applyFont="1" applyBorder="1" applyAlignment="1">
      <alignment/>
    </xf>
    <xf numFmtId="174" fontId="0" fillId="0" borderId="0" xfId="53" applyNumberFormat="1" applyFont="1" applyBorder="1" applyAlignment="1">
      <alignment/>
    </xf>
    <xf numFmtId="44" fontId="0" fillId="0" borderId="0" xfId="53" applyFont="1" applyBorder="1" applyAlignment="1">
      <alignment horizontal="right"/>
    </xf>
    <xf numFmtId="183" fontId="0" fillId="0" borderId="0" xfId="53" applyNumberFormat="1" applyFont="1" applyBorder="1" applyAlignment="1">
      <alignment/>
    </xf>
    <xf numFmtId="166" fontId="0" fillId="0" borderId="0" xfId="42" applyNumberFormat="1" applyFont="1" applyFill="1" applyBorder="1" applyAlignment="1">
      <alignment/>
    </xf>
    <xf numFmtId="44" fontId="2" fillId="0" borderId="0" xfId="55" applyFont="1" applyFill="1" applyAlignment="1">
      <alignment/>
    </xf>
    <xf numFmtId="43" fontId="0" fillId="0" borderId="0" xfId="53" applyNumberFormat="1" applyFont="1" applyFill="1" applyBorder="1" applyAlignment="1">
      <alignment/>
    </xf>
    <xf numFmtId="166" fontId="0" fillId="0" borderId="0" xfId="42" applyNumberFormat="1" applyFont="1" applyFill="1" applyBorder="1" applyAlignment="1">
      <alignment/>
    </xf>
    <xf numFmtId="44" fontId="0" fillId="0" borderId="0" xfId="53" applyFont="1" applyFill="1" applyBorder="1" applyAlignment="1">
      <alignment/>
    </xf>
    <xf numFmtId="44" fontId="0" fillId="0" borderId="11" xfId="53" applyFont="1" applyFill="1" applyBorder="1" applyAlignment="1">
      <alignment/>
    </xf>
    <xf numFmtId="44" fontId="0" fillId="0" borderId="0" xfId="53" applyFont="1" applyFill="1" applyAlignment="1">
      <alignment/>
    </xf>
    <xf numFmtId="183" fontId="0" fillId="0" borderId="0" xfId="53" applyNumberFormat="1" applyFont="1" applyFill="1" applyAlignment="1">
      <alignment/>
    </xf>
    <xf numFmtId="183" fontId="0" fillId="0" borderId="11" xfId="53" applyNumberFormat="1" applyFont="1" applyFill="1" applyBorder="1" applyAlignment="1">
      <alignment/>
    </xf>
    <xf numFmtId="189" fontId="0" fillId="0" borderId="0" xfId="53" applyNumberFormat="1" applyFont="1" applyFill="1" applyAlignment="1">
      <alignment/>
    </xf>
    <xf numFmtId="0" fontId="0" fillId="25" borderId="0" xfId="42" applyNumberFormat="1" applyFont="1" applyFill="1" applyBorder="1" applyAlignment="1">
      <alignment/>
    </xf>
    <xf numFmtId="166" fontId="0" fillId="25" borderId="0" xfId="42" applyNumberFormat="1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43" fontId="11" fillId="0" borderId="12" xfId="49" applyNumberFormat="1" applyFont="1" applyFill="1" applyBorder="1" applyAlignment="1">
      <alignment/>
    </xf>
    <xf numFmtId="166" fontId="2" fillId="0" borderId="0" xfId="46" applyNumberFormat="1" applyFont="1" applyAlignment="1">
      <alignment/>
    </xf>
    <xf numFmtId="166" fontId="2" fillId="0" borderId="0" xfId="46" applyNumberFormat="1" applyFont="1" applyFill="1" applyAlignment="1">
      <alignment/>
    </xf>
    <xf numFmtId="166" fontId="0" fillId="36" borderId="11" xfId="0" applyNumberFormat="1" applyFont="1" applyFill="1" applyBorder="1" applyAlignment="1">
      <alignment/>
    </xf>
    <xf numFmtId="166" fontId="65" fillId="36" borderId="11" xfId="0" applyNumberFormat="1" applyFont="1" applyFill="1" applyBorder="1" applyAlignment="1">
      <alignment horizontal="right"/>
    </xf>
    <xf numFmtId="166" fontId="0" fillId="0" borderId="0" xfId="0" applyNumberFormat="1" applyFont="1" applyBorder="1" applyAlignment="1">
      <alignment/>
    </xf>
    <xf numFmtId="44" fontId="79" fillId="0" borderId="0" xfId="53" applyFont="1" applyBorder="1" applyAlignment="1">
      <alignment horizontal="right"/>
    </xf>
    <xf numFmtId="44" fontId="0" fillId="0" borderId="0" xfId="53" applyNumberFormat="1" applyFont="1" applyFill="1" applyBorder="1" applyAlignment="1">
      <alignment/>
    </xf>
    <xf numFmtId="44" fontId="0" fillId="0" borderId="0" xfId="53" applyFont="1" applyAlignment="1">
      <alignment/>
    </xf>
    <xf numFmtId="174" fontId="0" fillId="0" borderId="0" xfId="53" applyNumberFormat="1" applyFont="1" applyAlignment="1">
      <alignment/>
    </xf>
    <xf numFmtId="174" fontId="80" fillId="0" borderId="0" xfId="53" applyNumberFormat="1" applyFont="1" applyAlignment="1">
      <alignment/>
    </xf>
    <xf numFmtId="174" fontId="79" fillId="0" borderId="0" xfId="0" applyNumberFormat="1" applyFont="1" applyAlignment="1">
      <alignment/>
    </xf>
    <xf numFmtId="184" fontId="0" fillId="0" borderId="0" xfId="79" applyNumberFormat="1" applyFont="1" applyAlignment="1">
      <alignment/>
    </xf>
    <xf numFmtId="179" fontId="0" fillId="0" borderId="0" xfId="79" applyNumberFormat="1" applyFont="1" applyAlignment="1">
      <alignment/>
    </xf>
    <xf numFmtId="179" fontId="0" fillId="0" borderId="0" xfId="79" applyNumberFormat="1" applyFont="1" applyBorder="1" applyAlignment="1">
      <alignment/>
    </xf>
    <xf numFmtId="179" fontId="81" fillId="0" borderId="0" xfId="79" applyNumberFormat="1" applyFont="1" applyAlignment="1">
      <alignment/>
    </xf>
    <xf numFmtId="179" fontId="82" fillId="0" borderId="0" xfId="79" applyNumberFormat="1" applyFont="1" applyAlignment="1">
      <alignment/>
    </xf>
    <xf numFmtId="10" fontId="4" fillId="0" borderId="0" xfId="80" applyNumberFormat="1" applyFont="1" applyAlignment="1">
      <alignment horizontal="center"/>
    </xf>
    <xf numFmtId="44" fontId="79" fillId="0" borderId="0" xfId="0" applyNumberFormat="1" applyFont="1" applyAlignment="1">
      <alignment/>
    </xf>
    <xf numFmtId="179" fontId="0" fillId="0" borderId="0" xfId="0" applyNumberFormat="1" applyAlignment="1">
      <alignment/>
    </xf>
    <xf numFmtId="179" fontId="81" fillId="0" borderId="0" xfId="0" applyNumberFormat="1" applyFont="1" applyAlignment="1">
      <alignment/>
    </xf>
    <xf numFmtId="179" fontId="10" fillId="0" borderId="0" xfId="80" applyNumberFormat="1" applyFont="1" applyAlignment="1">
      <alignment horizontal="right"/>
    </xf>
    <xf numFmtId="179" fontId="83" fillId="0" borderId="0" xfId="79" applyNumberFormat="1" applyFont="1" applyAlignment="1">
      <alignment/>
    </xf>
    <xf numFmtId="10" fontId="0" fillId="0" borderId="0" xfId="79" applyNumberFormat="1" applyFont="1" applyFill="1" applyBorder="1" applyAlignment="1">
      <alignment/>
    </xf>
    <xf numFmtId="166" fontId="0" fillId="0" borderId="0" xfId="42" applyNumberFormat="1" applyFont="1" applyFill="1" applyBorder="1" applyAlignment="1">
      <alignment/>
    </xf>
    <xf numFmtId="0" fontId="84" fillId="0" borderId="0" xfId="0" applyFont="1" applyAlignment="1">
      <alignment/>
    </xf>
    <xf numFmtId="0" fontId="85" fillId="0" borderId="0" xfId="0" applyFont="1" applyAlignment="1">
      <alignment/>
    </xf>
    <xf numFmtId="43" fontId="84" fillId="0" borderId="0" xfId="42" applyFont="1" applyAlignment="1">
      <alignment/>
    </xf>
    <xf numFmtId="166" fontId="84" fillId="0" borderId="0" xfId="42" applyNumberFormat="1" applyFont="1" applyAlignment="1">
      <alignment/>
    </xf>
    <xf numFmtId="166" fontId="85" fillId="0" borderId="0" xfId="42" applyNumberFormat="1" applyFont="1" applyAlignment="1">
      <alignment/>
    </xf>
    <xf numFmtId="10" fontId="65" fillId="0" borderId="0" xfId="79" applyNumberFormat="1" applyFont="1" applyFill="1" applyBorder="1" applyAlignment="1">
      <alignment/>
    </xf>
    <xf numFmtId="43" fontId="0" fillId="0" borderId="0" xfId="0" applyNumberFormat="1" applyFont="1" applyFill="1" applyBorder="1" applyAlignment="1">
      <alignment/>
    </xf>
    <xf numFmtId="10" fontId="0" fillId="0" borderId="0" xfId="0" applyNumberFormat="1" applyFont="1" applyBorder="1" applyAlignment="1">
      <alignment/>
    </xf>
    <xf numFmtId="44" fontId="0" fillId="0" borderId="0" xfId="53" applyFont="1" applyBorder="1" applyAlignment="1">
      <alignment/>
    </xf>
    <xf numFmtId="44" fontId="0" fillId="0" borderId="0" xfId="53" applyFont="1" applyFill="1" applyBorder="1" applyAlignment="1">
      <alignment/>
    </xf>
    <xf numFmtId="44" fontId="65" fillId="0" borderId="11" xfId="0" applyNumberFormat="1" applyFont="1" applyBorder="1" applyAlignment="1">
      <alignment/>
    </xf>
    <xf numFmtId="174" fontId="0" fillId="0" borderId="11" xfId="53" applyNumberFormat="1" applyFont="1" applyBorder="1" applyAlignment="1">
      <alignment/>
    </xf>
    <xf numFmtId="174" fontId="0" fillId="0" borderId="11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0" fillId="36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65" fillId="36" borderId="11" xfId="0" applyFont="1" applyFill="1" applyBorder="1" applyAlignment="1">
      <alignment horizontal="center"/>
    </xf>
    <xf numFmtId="0" fontId="0" fillId="0" borderId="0" xfId="0" applyAlignment="1">
      <alignment vertical="top" wrapText="1"/>
    </xf>
    <xf numFmtId="0" fontId="0" fillId="0" borderId="0" xfId="0" applyFont="1" applyFill="1" applyBorder="1" applyAlignment="1">
      <alignment horizontal="center" vertical="center" textRotation="90"/>
    </xf>
    <xf numFmtId="0" fontId="0" fillId="0" borderId="13" xfId="0" applyFont="1" applyFill="1" applyBorder="1" applyAlignment="1">
      <alignment horizontal="center" vertical="center" textRotation="90"/>
    </xf>
    <xf numFmtId="0" fontId="0" fillId="36" borderId="0" xfId="0" applyFont="1" applyFill="1" applyBorder="1" applyAlignment="1">
      <alignment horizontal="center"/>
    </xf>
    <xf numFmtId="0" fontId="0" fillId="36" borderId="0" xfId="0" applyFont="1" applyFill="1" applyBorder="1" applyAlignment="1">
      <alignment vertical="center" textRotation="90"/>
    </xf>
    <xf numFmtId="0" fontId="0" fillId="36" borderId="0" xfId="0" applyFont="1" applyFill="1" applyBorder="1" applyAlignment="1">
      <alignment horizontal="center" vertical="center"/>
    </xf>
    <xf numFmtId="0" fontId="39" fillId="36" borderId="0" xfId="76" applyFont="1" applyFill="1" applyBorder="1" applyAlignment="1">
      <alignment horizontal="left"/>
      <protection/>
    </xf>
    <xf numFmtId="44" fontId="0" fillId="36" borderId="0" xfId="53" applyFont="1" applyFill="1" applyBorder="1" applyAlignment="1">
      <alignment/>
    </xf>
    <xf numFmtId="44" fontId="0" fillId="0" borderId="0" xfId="0" applyNumberFormat="1" applyFont="1" applyFill="1" applyBorder="1" applyAlignment="1">
      <alignment/>
    </xf>
  </cellXfs>
  <cellStyles count="8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[0] 2" xfId="44"/>
    <cellStyle name="Comma [0] 3" xfId="45"/>
    <cellStyle name="Comma 10" xfId="46"/>
    <cellStyle name="Comma 2" xfId="47"/>
    <cellStyle name="Comma 2 6" xfId="48"/>
    <cellStyle name="Comma 20" xfId="49"/>
    <cellStyle name="Comma 3" xfId="50"/>
    <cellStyle name="Comma 4" xfId="51"/>
    <cellStyle name="Comma 5" xfId="52"/>
    <cellStyle name="Currency" xfId="53"/>
    <cellStyle name="Currency [0]" xfId="54"/>
    <cellStyle name="Currency 2" xfId="55"/>
    <cellStyle name="Currency 2 6" xfId="56"/>
    <cellStyle name="Explanatory Text" xfId="57"/>
    <cellStyle name="Followed Hyperlink" xfId="58"/>
    <cellStyle name="Good" xfId="59"/>
    <cellStyle name="Heading 1" xfId="60"/>
    <cellStyle name="Heading 2" xfId="61"/>
    <cellStyle name="Heading 3" xfId="62"/>
    <cellStyle name="Heading 4" xfId="63"/>
    <cellStyle name="Hyperlink" xfId="64"/>
    <cellStyle name="Input" xfId="65"/>
    <cellStyle name="Linked Cell" xfId="66"/>
    <cellStyle name="Neutral" xfId="67"/>
    <cellStyle name="Normal 10" xfId="68"/>
    <cellStyle name="Normal 2" xfId="69"/>
    <cellStyle name="Normal 2 2 2 2 3" xfId="70"/>
    <cellStyle name="Normal 2 8" xfId="71"/>
    <cellStyle name="Normal 90" xfId="72"/>
    <cellStyle name="Normal 93" xfId="73"/>
    <cellStyle name="Normal 94" xfId="74"/>
    <cellStyle name="Normal 98" xfId="75"/>
    <cellStyle name="Normal_Price out" xfId="76"/>
    <cellStyle name="Note" xfId="77"/>
    <cellStyle name="Output" xfId="78"/>
    <cellStyle name="Percent" xfId="79"/>
    <cellStyle name="Percent 2" xfId="80"/>
    <cellStyle name="Percent 2 6" xfId="81"/>
    <cellStyle name="Percent 3" xfId="82"/>
    <cellStyle name="PS_Comma" xfId="83"/>
    <cellStyle name="PSChar" xfId="84"/>
    <cellStyle name="PSDate" xfId="85"/>
    <cellStyle name="PSDec" xfId="86"/>
    <cellStyle name="PSHeading" xfId="87"/>
    <cellStyle name="PSInt" xfId="88"/>
    <cellStyle name="PSSpacer" xfId="89"/>
    <cellStyle name="Title" xfId="90"/>
    <cellStyle name="Total" xfId="91"/>
    <cellStyle name="Warning Text" xfId="92"/>
    <cellStyle name="WM_STANDARD" xfId="93"/>
  </cellStyles>
  <tableStyles count="1" defaultTableStyle="TableStyleMedium9" defaultPivotStyle="PivotStyleLight16">
    <tableStyle name="Invisible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4"/>
  <sheetViews>
    <sheetView zoomScalePageLayoutView="0" workbookViewId="0" topLeftCell="A25">
      <selection activeCell="B77" sqref="B77"/>
    </sheetView>
  </sheetViews>
  <sheetFormatPr defaultColWidth="9.140625" defaultRowHeight="15"/>
  <cols>
    <col min="1" max="1" width="52.140625" style="0" customWidth="1"/>
    <col min="2" max="2" width="16.7109375" style="0" customWidth="1"/>
    <col min="3" max="3" width="15.57421875" style="0" customWidth="1"/>
    <col min="6" max="6" width="12.421875" style="0" customWidth="1"/>
    <col min="7" max="7" width="10.7109375" style="0" customWidth="1"/>
    <col min="8" max="8" width="10.00390625" style="0" bestFit="1" customWidth="1"/>
  </cols>
  <sheetData>
    <row r="1" spans="1:8" ht="15">
      <c r="A1" s="169" t="s">
        <v>15</v>
      </c>
      <c r="B1" s="169"/>
      <c r="C1" s="169"/>
      <c r="D1" s="169"/>
      <c r="E1" s="169"/>
      <c r="F1" s="169"/>
      <c r="G1" s="169"/>
      <c r="H1" s="169"/>
    </row>
    <row r="2" spans="1:8" ht="15">
      <c r="A2" s="47" t="s">
        <v>16</v>
      </c>
      <c r="B2" s="48" t="s">
        <v>17</v>
      </c>
      <c r="C2" s="48" t="s">
        <v>18</v>
      </c>
      <c r="D2" s="48" t="s">
        <v>19</v>
      </c>
      <c r="E2" s="49" t="s">
        <v>20</v>
      </c>
      <c r="F2" s="49" t="s">
        <v>21</v>
      </c>
      <c r="G2" s="49" t="s">
        <v>22</v>
      </c>
      <c r="H2" s="48" t="s">
        <v>23</v>
      </c>
    </row>
    <row r="3" spans="1:8" ht="15">
      <c r="A3" s="47" t="s">
        <v>24</v>
      </c>
      <c r="B3" s="50">
        <f>52*5/12</f>
        <v>21.666666666666668</v>
      </c>
      <c r="C3" s="51">
        <f>$B$3*2</f>
        <v>43.333333333333336</v>
      </c>
      <c r="D3" s="51">
        <f>$B$3*3</f>
        <v>65</v>
      </c>
      <c r="E3" s="51">
        <f>$B$3*4</f>
        <v>86.66666666666667</v>
      </c>
      <c r="F3" s="51">
        <f>$B$3*5</f>
        <v>108.33333333333334</v>
      </c>
      <c r="G3" s="51">
        <f>$B$3*6</f>
        <v>130</v>
      </c>
      <c r="H3" s="51">
        <f>$B$3*7</f>
        <v>151.66666666666669</v>
      </c>
    </row>
    <row r="4" spans="1:8" ht="15">
      <c r="A4" s="47" t="s">
        <v>25</v>
      </c>
      <c r="B4" s="50">
        <f>52*4/12</f>
        <v>17.333333333333332</v>
      </c>
      <c r="C4" s="51">
        <f>$B$4*2</f>
        <v>34.666666666666664</v>
      </c>
      <c r="D4" s="51">
        <f>$B$4*3</f>
        <v>52</v>
      </c>
      <c r="E4" s="51">
        <f>$B$4*4</f>
        <v>69.33333333333333</v>
      </c>
      <c r="F4" s="51">
        <f>$B$4*5</f>
        <v>86.66666666666666</v>
      </c>
      <c r="G4" s="51">
        <f>$B$4*6</f>
        <v>104</v>
      </c>
      <c r="H4" s="51">
        <f>$B$4*7</f>
        <v>121.33333333333333</v>
      </c>
    </row>
    <row r="5" spans="1:8" ht="15">
      <c r="A5" s="47" t="s">
        <v>26</v>
      </c>
      <c r="B5" s="50">
        <f>52*3/12</f>
        <v>13</v>
      </c>
      <c r="C5" s="51">
        <f>$B$5*2</f>
        <v>26</v>
      </c>
      <c r="D5" s="51">
        <f>$B$5*3</f>
        <v>39</v>
      </c>
      <c r="E5" s="51">
        <f>$B$5*4</f>
        <v>52</v>
      </c>
      <c r="F5" s="51">
        <f>$B$5*5</f>
        <v>65</v>
      </c>
      <c r="G5" s="51">
        <f>$B$5*6</f>
        <v>78</v>
      </c>
      <c r="H5" s="51">
        <f>$B$5*7</f>
        <v>91</v>
      </c>
    </row>
    <row r="6" spans="1:8" ht="15">
      <c r="A6" s="47" t="s">
        <v>27</v>
      </c>
      <c r="B6" s="50">
        <f>52*2/12</f>
        <v>8.666666666666666</v>
      </c>
      <c r="C6" s="52">
        <f>$B$6*2</f>
        <v>17.333333333333332</v>
      </c>
      <c r="D6" s="52">
        <f>$B$6*3</f>
        <v>26</v>
      </c>
      <c r="E6" s="52">
        <f>$B$6*4</f>
        <v>34.666666666666664</v>
      </c>
      <c r="F6" s="52">
        <f>$B$6*5</f>
        <v>43.33333333333333</v>
      </c>
      <c r="G6" s="52">
        <f>$B$6*6</f>
        <v>52</v>
      </c>
      <c r="H6" s="52">
        <f>$B$6*7</f>
        <v>60.666666666666664</v>
      </c>
    </row>
    <row r="7" spans="1:8" ht="15">
      <c r="A7" s="47" t="s">
        <v>28</v>
      </c>
      <c r="B7" s="50">
        <f>52/12</f>
        <v>4.333333333333333</v>
      </c>
      <c r="C7" s="52">
        <f>$B$7*2</f>
        <v>8.666666666666666</v>
      </c>
      <c r="D7" s="52">
        <f>$B$7*3</f>
        <v>13</v>
      </c>
      <c r="E7" s="52">
        <f>$B$7*4</f>
        <v>17.333333333333332</v>
      </c>
      <c r="F7" s="52">
        <f>$B$7*5</f>
        <v>21.666666666666664</v>
      </c>
      <c r="G7" s="52">
        <f>$B$7*6</f>
        <v>26</v>
      </c>
      <c r="H7" s="52">
        <f>$B$7*7</f>
        <v>30.333333333333332</v>
      </c>
    </row>
    <row r="8" spans="1:8" ht="15">
      <c r="A8" s="47" t="s">
        <v>29</v>
      </c>
      <c r="B8" s="50">
        <f>26/12</f>
        <v>2.1666666666666665</v>
      </c>
      <c r="C8" s="52">
        <f>$B$8*2</f>
        <v>4.333333333333333</v>
      </c>
      <c r="D8" s="52">
        <f>$B$8*3</f>
        <v>6.5</v>
      </c>
      <c r="E8" s="52">
        <f>$B$8*4</f>
        <v>8.666666666666666</v>
      </c>
      <c r="F8" s="52">
        <f>$B$8*5</f>
        <v>10.833333333333332</v>
      </c>
      <c r="G8" s="52">
        <f>$B$8*6</f>
        <v>13</v>
      </c>
      <c r="H8" s="52">
        <f>$B$8*7</f>
        <v>15.166666666666666</v>
      </c>
    </row>
    <row r="9" spans="1:8" ht="15">
      <c r="A9" s="47" t="s">
        <v>30</v>
      </c>
      <c r="B9" s="50">
        <f>12/12</f>
        <v>1</v>
      </c>
      <c r="C9" s="52">
        <f>$B$9*2</f>
        <v>2</v>
      </c>
      <c r="D9" s="52">
        <f>$B$9*3</f>
        <v>3</v>
      </c>
      <c r="E9" s="52">
        <f>$B$9*4</f>
        <v>4</v>
      </c>
      <c r="F9" s="52">
        <f>$B$9*5</f>
        <v>5</v>
      </c>
      <c r="G9" s="52">
        <f>$B$9*6</f>
        <v>6</v>
      </c>
      <c r="H9" s="52">
        <f>$B$9*7</f>
        <v>7</v>
      </c>
    </row>
    <row r="10" spans="1:8" ht="15">
      <c r="A10" s="47"/>
      <c r="B10" s="50"/>
      <c r="C10" s="52"/>
      <c r="D10" s="52"/>
      <c r="E10" s="52"/>
      <c r="F10" s="52"/>
      <c r="G10" s="52"/>
      <c r="H10" s="52"/>
    </row>
    <row r="11" spans="1:8" ht="15">
      <c r="A11" s="169" t="s">
        <v>31</v>
      </c>
      <c r="B11" s="169"/>
      <c r="C11" s="52"/>
      <c r="D11" s="52"/>
      <c r="E11" s="52"/>
      <c r="F11" s="52"/>
      <c r="G11" s="52"/>
      <c r="H11" s="52"/>
    </row>
    <row r="12" spans="1:8" ht="15">
      <c r="A12" s="53" t="s">
        <v>32</v>
      </c>
      <c r="B12" s="54" t="s">
        <v>33</v>
      </c>
      <c r="C12" s="52"/>
      <c r="D12" s="52"/>
      <c r="E12" s="52"/>
      <c r="F12" s="52"/>
      <c r="G12" s="52"/>
      <c r="H12" s="52"/>
    </row>
    <row r="13" spans="1:8" ht="15">
      <c r="A13" s="55" t="s">
        <v>34</v>
      </c>
      <c r="B13" s="56">
        <v>20</v>
      </c>
      <c r="C13" s="52"/>
      <c r="D13" s="52"/>
      <c r="E13" s="52"/>
      <c r="F13" s="52"/>
      <c r="G13" s="52"/>
      <c r="H13" s="52"/>
    </row>
    <row r="14" spans="1:8" ht="15">
      <c r="A14" s="55" t="s">
        <v>35</v>
      </c>
      <c r="B14" s="56">
        <v>34</v>
      </c>
      <c r="C14" s="52"/>
      <c r="D14" s="52"/>
      <c r="E14" s="52"/>
      <c r="F14" s="52"/>
      <c r="G14" s="52"/>
      <c r="H14" s="52"/>
    </row>
    <row r="15" spans="1:8" ht="15">
      <c r="A15" s="55" t="s">
        <v>36</v>
      </c>
      <c r="B15" s="56">
        <v>51</v>
      </c>
      <c r="C15" s="52"/>
      <c r="D15" s="52"/>
      <c r="E15" s="52"/>
      <c r="F15" s="52"/>
      <c r="G15" s="52"/>
      <c r="H15" s="52"/>
    </row>
    <row r="16" spans="1:8" ht="15">
      <c r="A16" s="55" t="s">
        <v>37</v>
      </c>
      <c r="B16" s="56">
        <v>77</v>
      </c>
      <c r="C16" s="52"/>
      <c r="D16" s="52"/>
      <c r="E16" s="52"/>
      <c r="F16" s="47" t="s">
        <v>38</v>
      </c>
      <c r="G16" s="56">
        <v>2000</v>
      </c>
      <c r="H16" s="52"/>
    </row>
    <row r="17" spans="1:8" ht="15">
      <c r="A17" s="55" t="s">
        <v>39</v>
      </c>
      <c r="B17" s="56">
        <v>97</v>
      </c>
      <c r="C17" s="52"/>
      <c r="D17" s="52"/>
      <c r="E17" s="52"/>
      <c r="F17" s="47" t="s">
        <v>40</v>
      </c>
      <c r="G17" s="57" t="s">
        <v>41</v>
      </c>
      <c r="H17" s="52"/>
    </row>
    <row r="18" spans="1:8" ht="15">
      <c r="A18" s="55" t="s">
        <v>42</v>
      </c>
      <c r="B18" s="56">
        <v>117</v>
      </c>
      <c r="C18" s="52"/>
      <c r="D18" s="52"/>
      <c r="E18" s="52"/>
      <c r="F18" s="47"/>
      <c r="G18" s="47"/>
      <c r="H18" s="52"/>
    </row>
    <row r="19" spans="1:8" ht="15">
      <c r="A19" s="55" t="s">
        <v>43</v>
      </c>
      <c r="B19" s="56">
        <v>157</v>
      </c>
      <c r="C19" s="52"/>
      <c r="D19" s="52"/>
      <c r="E19" s="52"/>
      <c r="F19" s="58"/>
      <c r="G19" s="59"/>
      <c r="H19" s="52"/>
    </row>
    <row r="20" spans="1:8" ht="15">
      <c r="A20" s="55" t="s">
        <v>44</v>
      </c>
      <c r="B20" s="56">
        <v>37</v>
      </c>
      <c r="C20" s="52" t="s">
        <v>45</v>
      </c>
      <c r="D20" s="52"/>
      <c r="E20" s="52"/>
      <c r="F20" s="58"/>
      <c r="G20" s="59"/>
      <c r="H20" s="52"/>
    </row>
    <row r="21" spans="1:8" ht="15">
      <c r="A21" s="55" t="s">
        <v>46</v>
      </c>
      <c r="B21" s="56">
        <v>47</v>
      </c>
      <c r="C21" s="52"/>
      <c r="D21" s="52"/>
      <c r="E21" s="52"/>
      <c r="F21" s="52"/>
      <c r="G21" s="52"/>
      <c r="H21" s="52"/>
    </row>
    <row r="22" spans="1:8" ht="15">
      <c r="A22" s="55" t="s">
        <v>47</v>
      </c>
      <c r="B22" s="56">
        <v>68</v>
      </c>
      <c r="C22" s="52"/>
      <c r="D22" s="52"/>
      <c r="E22" s="52"/>
      <c r="F22" s="52"/>
      <c r="G22" s="52"/>
      <c r="H22" s="52"/>
    </row>
    <row r="23" spans="1:8" ht="15">
      <c r="A23" s="55" t="s">
        <v>48</v>
      </c>
      <c r="B23" s="56">
        <v>34</v>
      </c>
      <c r="C23" s="52"/>
      <c r="D23" s="52"/>
      <c r="E23" s="52"/>
      <c r="F23" s="52"/>
      <c r="G23" s="52"/>
      <c r="H23" s="52"/>
    </row>
    <row r="24" spans="1:8" ht="15">
      <c r="A24" s="55" t="s">
        <v>49</v>
      </c>
      <c r="B24" s="56">
        <v>34</v>
      </c>
      <c r="C24" s="52"/>
      <c r="D24" s="52"/>
      <c r="E24" s="52"/>
      <c r="F24" s="52"/>
      <c r="G24" s="52"/>
      <c r="H24" s="52"/>
    </row>
    <row r="25" spans="1:8" ht="15">
      <c r="A25" s="53" t="s">
        <v>50</v>
      </c>
      <c r="B25" s="56"/>
      <c r="C25" s="52"/>
      <c r="D25" s="52"/>
      <c r="E25" s="52"/>
      <c r="F25" s="52"/>
      <c r="G25" s="52"/>
      <c r="H25" s="52"/>
    </row>
    <row r="26" spans="1:8" ht="15">
      <c r="A26" s="55" t="s">
        <v>51</v>
      </c>
      <c r="B26" s="56">
        <v>29</v>
      </c>
      <c r="C26" s="52"/>
      <c r="D26" s="52"/>
      <c r="E26" s="52"/>
      <c r="F26" s="52"/>
      <c r="G26" s="52"/>
      <c r="H26" s="52"/>
    </row>
    <row r="27" spans="1:8" ht="15">
      <c r="A27" s="55" t="s">
        <v>52</v>
      </c>
      <c r="B27" s="56">
        <v>175</v>
      </c>
      <c r="C27" s="52"/>
      <c r="D27" s="52"/>
      <c r="E27" s="52"/>
      <c r="F27" s="52"/>
      <c r="G27" s="52"/>
      <c r="H27" s="52"/>
    </row>
    <row r="28" spans="1:8" ht="15">
      <c r="A28" s="55" t="s">
        <v>53</v>
      </c>
      <c r="B28" s="56">
        <v>250</v>
      </c>
      <c r="C28" s="52"/>
      <c r="D28" s="52"/>
      <c r="E28" s="52"/>
      <c r="F28" s="52"/>
      <c r="G28" s="52"/>
      <c r="H28" s="52"/>
    </row>
    <row r="29" spans="1:8" ht="15">
      <c r="A29" s="55" t="s">
        <v>54</v>
      </c>
      <c r="B29" s="56">
        <v>324</v>
      </c>
      <c r="C29" s="52"/>
      <c r="D29" s="52"/>
      <c r="E29" s="52"/>
      <c r="F29" s="52"/>
      <c r="G29" s="52"/>
      <c r="H29" s="52"/>
    </row>
    <row r="30" spans="1:8" ht="15">
      <c r="A30" s="55" t="s">
        <v>55</v>
      </c>
      <c r="B30" s="56">
        <v>473</v>
      </c>
      <c r="C30" s="52"/>
      <c r="D30" s="52"/>
      <c r="E30" s="52"/>
      <c r="F30" s="52"/>
      <c r="G30" s="52"/>
      <c r="H30" s="52"/>
    </row>
    <row r="31" spans="1:8" ht="15">
      <c r="A31" s="55" t="s">
        <v>56</v>
      </c>
      <c r="B31" s="56">
        <v>613</v>
      </c>
      <c r="C31" s="52"/>
      <c r="D31" s="52"/>
      <c r="E31" s="52"/>
      <c r="F31" s="52"/>
      <c r="G31" s="52"/>
      <c r="H31" s="52"/>
    </row>
    <row r="32" spans="1:8" ht="15">
      <c r="A32" s="55" t="s">
        <v>57</v>
      </c>
      <c r="B32" s="56">
        <v>840</v>
      </c>
      <c r="C32" s="52"/>
      <c r="D32" s="52"/>
      <c r="E32" s="52"/>
      <c r="F32" s="52"/>
      <c r="G32" s="52"/>
      <c r="H32" s="52"/>
    </row>
    <row r="33" spans="1:8" ht="15">
      <c r="A33" s="55" t="s">
        <v>58</v>
      </c>
      <c r="B33" s="56">
        <v>980</v>
      </c>
      <c r="C33" s="52"/>
      <c r="D33" s="52"/>
      <c r="E33" s="52"/>
      <c r="F33" s="52"/>
      <c r="G33" s="52"/>
      <c r="H33" s="52"/>
    </row>
    <row r="34" spans="1:8" ht="15">
      <c r="A34" s="55" t="s">
        <v>59</v>
      </c>
      <c r="B34" s="56">
        <v>482</v>
      </c>
      <c r="C34" s="52" t="s">
        <v>45</v>
      </c>
      <c r="D34" s="52"/>
      <c r="E34" s="52"/>
      <c r="F34" s="52"/>
      <c r="G34" s="52"/>
      <c r="H34" s="52"/>
    </row>
    <row r="35" spans="1:8" ht="15">
      <c r="A35" s="55" t="s">
        <v>60</v>
      </c>
      <c r="B35" s="56">
        <v>689</v>
      </c>
      <c r="C35" s="52" t="s">
        <v>45</v>
      </c>
      <c r="D35" s="52"/>
      <c r="E35" s="52"/>
      <c r="F35" s="52"/>
      <c r="G35" s="52"/>
      <c r="H35" s="52"/>
    </row>
    <row r="36" spans="1:8" ht="15">
      <c r="A36" s="55" t="s">
        <v>61</v>
      </c>
      <c r="B36" s="56">
        <v>892</v>
      </c>
      <c r="C36" s="52" t="s">
        <v>45</v>
      </c>
      <c r="D36" s="52"/>
      <c r="E36" s="52"/>
      <c r="F36" s="52"/>
      <c r="G36" s="52"/>
      <c r="H36" s="52"/>
    </row>
    <row r="37" spans="1:8" ht="15">
      <c r="A37" s="55" t="s">
        <v>62</v>
      </c>
      <c r="B37" s="56">
        <v>1301</v>
      </c>
      <c r="C37" s="52"/>
      <c r="D37" s="52"/>
      <c r="E37" s="52"/>
      <c r="F37" s="52"/>
      <c r="G37" s="52"/>
      <c r="H37" s="52"/>
    </row>
    <row r="38" spans="1:8" ht="15">
      <c r="A38" s="55" t="s">
        <v>63</v>
      </c>
      <c r="B38" s="56">
        <v>1686</v>
      </c>
      <c r="C38" s="52"/>
      <c r="D38" s="52"/>
      <c r="E38" s="52"/>
      <c r="F38" s="52"/>
      <c r="G38" s="52"/>
      <c r="H38" s="52"/>
    </row>
    <row r="39" spans="1:8" ht="15">
      <c r="A39" s="55" t="s">
        <v>64</v>
      </c>
      <c r="B39" s="56">
        <v>2046</v>
      </c>
      <c r="C39" s="52"/>
      <c r="D39" s="52"/>
      <c r="E39" s="52"/>
      <c r="F39" s="52"/>
      <c r="G39" s="52"/>
      <c r="H39" s="52"/>
    </row>
    <row r="40" spans="1:8" ht="15">
      <c r="A40" s="55" t="s">
        <v>65</v>
      </c>
      <c r="B40" s="56">
        <v>2310</v>
      </c>
      <c r="C40" s="52"/>
      <c r="D40" s="52"/>
      <c r="E40" s="52"/>
      <c r="F40" s="52"/>
      <c r="G40" s="52"/>
      <c r="H40" s="52"/>
    </row>
    <row r="41" spans="1:8" ht="15">
      <c r="A41" s="55" t="s">
        <v>66</v>
      </c>
      <c r="B41" s="56">
        <v>2800</v>
      </c>
      <c r="C41" s="52" t="s">
        <v>45</v>
      </c>
      <c r="D41" s="52"/>
      <c r="E41" s="52"/>
      <c r="F41" s="52"/>
      <c r="G41" s="52"/>
      <c r="H41" s="52"/>
    </row>
    <row r="42" spans="1:8" ht="15">
      <c r="A42" s="55" t="s">
        <v>67</v>
      </c>
      <c r="B42" s="56">
        <v>125</v>
      </c>
      <c r="C42" s="52"/>
      <c r="D42" s="52"/>
      <c r="E42" s="52"/>
      <c r="F42" s="52"/>
      <c r="G42" s="52"/>
      <c r="H42" s="52"/>
    </row>
    <row r="43" spans="1:8" ht="15">
      <c r="A43" s="47"/>
      <c r="B43" s="170" t="s">
        <v>68</v>
      </c>
      <c r="C43" s="170"/>
      <c r="D43" s="47"/>
      <c r="E43" s="47"/>
      <c r="F43" s="47"/>
      <c r="G43" s="47"/>
      <c r="H43" s="47"/>
    </row>
    <row r="44" spans="1:8" ht="15">
      <c r="A44" s="47"/>
      <c r="B44" s="47"/>
      <c r="C44" s="47"/>
      <c r="D44" s="47"/>
      <c r="E44" s="47"/>
      <c r="F44" s="47"/>
      <c r="G44" s="47"/>
      <c r="H44" s="47"/>
    </row>
    <row r="45" spans="1:8" ht="15">
      <c r="A45" s="47"/>
      <c r="B45" s="47"/>
      <c r="C45" s="47"/>
      <c r="D45" s="47"/>
      <c r="E45" s="47"/>
      <c r="F45" s="47"/>
      <c r="G45" s="47"/>
      <c r="H45" s="47"/>
    </row>
    <row r="46" spans="1:8" ht="15">
      <c r="A46" s="60" t="s">
        <v>69</v>
      </c>
      <c r="B46" s="61" t="s">
        <v>70</v>
      </c>
      <c r="C46" s="61" t="s">
        <v>71</v>
      </c>
      <c r="D46" s="47"/>
      <c r="E46" s="47"/>
      <c r="F46" s="171" t="s">
        <v>72</v>
      </c>
      <c r="G46" s="171"/>
      <c r="H46" s="47"/>
    </row>
    <row r="47" spans="1:8" ht="15">
      <c r="A47" s="62" t="s">
        <v>73</v>
      </c>
      <c r="B47" s="123">
        <v>103</v>
      </c>
      <c r="C47" s="124">
        <f>B47/2000</f>
        <v>0.0515</v>
      </c>
      <c r="D47" s="47"/>
      <c r="E47" s="47"/>
      <c r="F47" s="47" t="s">
        <v>74</v>
      </c>
      <c r="G47" s="143">
        <v>0.0175</v>
      </c>
      <c r="H47" s="47"/>
    </row>
    <row r="48" spans="1:8" ht="15">
      <c r="A48" s="62" t="s">
        <v>75</v>
      </c>
      <c r="B48" s="122">
        <v>105</v>
      </c>
      <c r="C48" s="125">
        <f>B48/2000</f>
        <v>0.0525</v>
      </c>
      <c r="D48" s="47"/>
      <c r="E48" s="47"/>
      <c r="F48" s="47" t="s">
        <v>76</v>
      </c>
      <c r="G48" s="144">
        <v>0.0051</v>
      </c>
      <c r="H48" s="47"/>
    </row>
    <row r="49" spans="1:8" ht="15">
      <c r="A49" s="55" t="s">
        <v>77</v>
      </c>
      <c r="B49" s="123">
        <f>B48-B47</f>
        <v>2</v>
      </c>
      <c r="C49" s="126">
        <f>C48-C47</f>
        <v>0.0010000000000000009</v>
      </c>
      <c r="D49" s="47"/>
      <c r="E49" s="47"/>
      <c r="F49" s="47" t="s">
        <v>78</v>
      </c>
      <c r="G49" s="151">
        <v>0.00427</v>
      </c>
      <c r="H49" s="47"/>
    </row>
    <row r="50" spans="1:8" ht="15">
      <c r="A50" s="47"/>
      <c r="B50" s="47"/>
      <c r="C50" s="47"/>
      <c r="D50" s="47"/>
      <c r="E50" s="47"/>
      <c r="G50" s="149">
        <f>SUM(G47:G49)</f>
        <v>0.02687</v>
      </c>
      <c r="H50" s="47"/>
    </row>
    <row r="51" spans="1:8" ht="15">
      <c r="A51" s="47"/>
      <c r="C51" s="63" t="s">
        <v>79</v>
      </c>
      <c r="D51" s="47"/>
      <c r="E51" s="47"/>
      <c r="H51" s="47"/>
    </row>
    <row r="52" spans="1:8" ht="15">
      <c r="A52" s="47" t="s">
        <v>80</v>
      </c>
      <c r="C52" s="64">
        <f>B49</f>
        <v>2</v>
      </c>
      <c r="D52" s="47"/>
      <c r="E52" s="47"/>
      <c r="F52" s="47"/>
      <c r="G52" s="145"/>
      <c r="H52" s="47"/>
    </row>
    <row r="53" spans="1:8" ht="15">
      <c r="A53" s="47" t="s">
        <v>82</v>
      </c>
      <c r="C53" s="64">
        <f>C52/$G$57</f>
        <v>2.0552238652595234</v>
      </c>
      <c r="D53" s="47"/>
      <c r="E53" s="47"/>
      <c r="F53" s="47" t="s">
        <v>3</v>
      </c>
      <c r="G53" s="146">
        <f>+G52+G50</f>
        <v>0.02687</v>
      </c>
      <c r="H53" s="47"/>
    </row>
    <row r="54" spans="1:8" ht="15">
      <c r="A54" s="47" t="s">
        <v>83</v>
      </c>
      <c r="C54" s="66">
        <f>'Calc. and priceout'!C108</f>
        <v>17582.550900000002</v>
      </c>
      <c r="D54" s="47"/>
      <c r="E54" s="47"/>
      <c r="F54" s="47"/>
      <c r="G54" s="47"/>
      <c r="H54" s="47"/>
    </row>
    <row r="55" spans="1:8" ht="17.25">
      <c r="A55" s="53" t="s">
        <v>84</v>
      </c>
      <c r="C55" s="148">
        <f>C53*C54</f>
        <v>36136.07822182032</v>
      </c>
      <c r="D55" s="47"/>
      <c r="E55" s="47"/>
      <c r="F55" s="47"/>
      <c r="G55" s="65"/>
      <c r="H55" s="47"/>
    </row>
    <row r="56" spans="1:8" ht="15">
      <c r="A56" s="47"/>
      <c r="B56" s="47"/>
      <c r="C56" s="47"/>
      <c r="D56" s="47"/>
      <c r="E56" s="47"/>
      <c r="F56" s="47"/>
      <c r="G56" s="47"/>
      <c r="H56" s="47"/>
    </row>
    <row r="57" spans="1:7" ht="15">
      <c r="A57" s="47" t="s">
        <v>109</v>
      </c>
      <c r="C57" s="139">
        <f>+'Co. Pro Tonnage'!J11</f>
        <v>9874.919999999984</v>
      </c>
      <c r="F57" s="47" t="s">
        <v>81</v>
      </c>
      <c r="G57" s="65">
        <f>1-G53</f>
        <v>0.97313</v>
      </c>
    </row>
    <row r="58" spans="1:3" ht="17.25">
      <c r="A58" s="47"/>
      <c r="B58" s="150"/>
      <c r="C58" s="140"/>
    </row>
    <row r="59" spans="1:3" ht="17.25">
      <c r="A59" s="53"/>
      <c r="B59" s="139"/>
      <c r="C59" s="141">
        <f>+C57+C55</f>
        <v>46010.9982218203</v>
      </c>
    </row>
    <row r="60" spans="1:3" ht="17.25">
      <c r="A60" s="53"/>
      <c r="B60" s="138"/>
      <c r="C60" s="141"/>
    </row>
    <row r="61" spans="1:3" ht="17.25">
      <c r="A61" s="53"/>
      <c r="B61" s="140"/>
      <c r="C61" s="141"/>
    </row>
    <row r="62" spans="1:3" ht="17.25">
      <c r="A62" s="53"/>
      <c r="B62" s="152"/>
      <c r="C62" s="141"/>
    </row>
    <row r="64" spans="1:2" ht="48.75" customHeight="1">
      <c r="A64" s="172"/>
      <c r="B64" s="172"/>
    </row>
  </sheetData>
  <sheetProtection/>
  <mergeCells count="5">
    <mergeCell ref="A1:H1"/>
    <mergeCell ref="A11:B11"/>
    <mergeCell ref="B43:C43"/>
    <mergeCell ref="F46:G46"/>
    <mergeCell ref="A64:B64"/>
  </mergeCells>
  <printOptions/>
  <pageMargins left="0.7" right="0.7" top="0.75" bottom="0.75" header="0.3" footer="0.3"/>
  <pageSetup fitToHeight="1" fitToWidth="1" horizontalDpi="600" verticalDpi="600" orientation="portrait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19"/>
  <sheetViews>
    <sheetView tabSelected="1" zoomScalePageLayoutView="0" workbookViewId="0" topLeftCell="A1">
      <pane xSplit="3" ySplit="1" topLeftCell="D36" activePane="bottomRight" state="frozen"/>
      <selection pane="topLeft" activeCell="A1" sqref="A1"/>
      <selection pane="topRight" activeCell="D1" sqref="D1"/>
      <selection pane="bottomLeft" activeCell="A2" sqref="A2"/>
      <selection pane="bottomRight" activeCell="S84" sqref="S84"/>
    </sheetView>
  </sheetViews>
  <sheetFormatPr defaultColWidth="8.8515625" defaultRowHeight="15"/>
  <cols>
    <col min="1" max="1" width="4.57421875" style="71" customWidth="1"/>
    <col min="2" max="2" width="21.140625" style="90" customWidth="1"/>
    <col min="3" max="3" width="31.7109375" style="71" bestFit="1" customWidth="1"/>
    <col min="4" max="4" width="11.57421875" style="94" customWidth="1"/>
    <col min="5" max="5" width="18.421875" style="71" customWidth="1"/>
    <col min="6" max="6" width="13.28125" style="71" customWidth="1"/>
    <col min="7" max="7" width="14.57421875" style="71" customWidth="1"/>
    <col min="8" max="8" width="21.421875" style="71" customWidth="1"/>
    <col min="9" max="9" width="16.28125" style="89" customWidth="1"/>
    <col min="10" max="10" width="14.140625" style="71" customWidth="1"/>
    <col min="11" max="11" width="14.28125" style="71" customWidth="1"/>
    <col min="12" max="12" width="10.7109375" style="71" customWidth="1"/>
    <col min="13" max="13" width="14.28125" style="71" customWidth="1"/>
    <col min="14" max="14" width="16.28125" style="71" customWidth="1"/>
    <col min="15" max="15" width="16.57421875" style="71" customWidth="1"/>
    <col min="16" max="16" width="13.57421875" style="71" bestFit="1" customWidth="1"/>
    <col min="17" max="17" width="16.57421875" style="71" bestFit="1" customWidth="1"/>
    <col min="18" max="18" width="16.28125" style="71" customWidth="1"/>
    <col min="19" max="20" width="8.8515625" style="71" customWidth="1"/>
    <col min="21" max="21" width="11.57421875" style="71" customWidth="1"/>
    <col min="22" max="23" width="8.8515625" style="71" customWidth="1"/>
    <col min="24" max="24" width="13.00390625" style="71" bestFit="1" customWidth="1"/>
    <col min="25" max="25" width="12.28125" style="71" bestFit="1" customWidth="1"/>
    <col min="26" max="16384" width="8.8515625" style="71" customWidth="1"/>
  </cols>
  <sheetData>
    <row r="1" spans="1:25" ht="42" customHeight="1">
      <c r="A1" s="60"/>
      <c r="B1" s="67" t="s">
        <v>85</v>
      </c>
      <c r="C1" s="68" t="s">
        <v>86</v>
      </c>
      <c r="D1" s="67" t="s">
        <v>198</v>
      </c>
      <c r="E1" s="67" t="s">
        <v>87</v>
      </c>
      <c r="F1" s="60" t="s">
        <v>88</v>
      </c>
      <c r="G1" s="67" t="s">
        <v>31</v>
      </c>
      <c r="H1" s="69" t="s">
        <v>89</v>
      </c>
      <c r="I1" s="70" t="s">
        <v>90</v>
      </c>
      <c r="J1" s="67" t="s">
        <v>77</v>
      </c>
      <c r="K1" s="67" t="s">
        <v>91</v>
      </c>
      <c r="L1" s="69" t="s">
        <v>92</v>
      </c>
      <c r="M1" s="67" t="s">
        <v>93</v>
      </c>
      <c r="N1" s="69" t="s">
        <v>108</v>
      </c>
      <c r="O1" s="69" t="s">
        <v>94</v>
      </c>
      <c r="P1" s="67" t="s">
        <v>95</v>
      </c>
      <c r="Q1" s="69" t="s">
        <v>96</v>
      </c>
      <c r="R1" s="67" t="s">
        <v>97</v>
      </c>
      <c r="Y1" s="71" t="s">
        <v>67</v>
      </c>
    </row>
    <row r="2" spans="1:22" s="75" customFormat="1" ht="15">
      <c r="A2" s="173" t="s">
        <v>98</v>
      </c>
      <c r="B2" s="72">
        <v>23</v>
      </c>
      <c r="C2" s="155" t="s">
        <v>184</v>
      </c>
      <c r="D2" s="158">
        <v>133</v>
      </c>
      <c r="E2" s="77">
        <v>1</v>
      </c>
      <c r="F2" s="117">
        <f>+E2*D2*12</f>
        <v>1596</v>
      </c>
      <c r="G2" s="131">
        <f>+References!B14</f>
        <v>34</v>
      </c>
      <c r="H2" s="97">
        <f>G2*F2</f>
        <v>54264</v>
      </c>
      <c r="I2" s="76">
        <f>$C$111*H2</f>
        <v>40690.12175906883</v>
      </c>
      <c r="J2" s="73">
        <f>(References!$C$49*I2)</f>
        <v>40.690121759068866</v>
      </c>
      <c r="K2" s="73">
        <f>J2/References!$G$57</f>
        <v>41.81365465977707</v>
      </c>
      <c r="L2" s="137">
        <f>ROUND(((K2/F2)*E2),2)</f>
        <v>0.03</v>
      </c>
      <c r="M2" s="118">
        <v>6.390000000000001</v>
      </c>
      <c r="N2" s="73">
        <f>L2+M2</f>
        <v>6.420000000000001</v>
      </c>
      <c r="O2" s="73">
        <f>D2*M2*12</f>
        <v>10198.440000000002</v>
      </c>
      <c r="P2" s="74">
        <f>N2</f>
        <v>6.420000000000001</v>
      </c>
      <c r="Q2" s="74">
        <f>D2*P2*12</f>
        <v>10246.320000000002</v>
      </c>
      <c r="R2" s="74">
        <f>Q2-O2</f>
        <v>47.8799999999992</v>
      </c>
      <c r="U2" s="153">
        <f>+N2/M2-1</f>
        <v>0.0046948356807512415</v>
      </c>
      <c r="V2" s="27"/>
    </row>
    <row r="3" spans="1:22" s="75" customFormat="1" ht="15">
      <c r="A3" s="173"/>
      <c r="B3" s="72">
        <v>25</v>
      </c>
      <c r="C3" s="155" t="s">
        <v>185</v>
      </c>
      <c r="D3" s="158">
        <v>2</v>
      </c>
      <c r="E3" s="77">
        <v>1</v>
      </c>
      <c r="F3" s="120">
        <f>+E3*D3*12</f>
        <v>24</v>
      </c>
      <c r="G3" s="131">
        <f>+G2</f>
        <v>34</v>
      </c>
      <c r="H3" s="120">
        <f>G3*F3</f>
        <v>816</v>
      </c>
      <c r="I3" s="76">
        <f>$C$111*H3</f>
        <v>611.8815302115613</v>
      </c>
      <c r="J3" s="121">
        <f>(References!$C$49*I3)</f>
        <v>0.6118815302115619</v>
      </c>
      <c r="K3" s="121">
        <f>J3/References!$G$57</f>
        <v>0.628776761801159</v>
      </c>
      <c r="L3" s="137">
        <f>ROUND(((K3/F3)*E3),2)</f>
        <v>0.03</v>
      </c>
      <c r="M3" s="118">
        <v>7.590000000000001</v>
      </c>
      <c r="N3" s="121">
        <f>L3+M3</f>
        <v>7.620000000000001</v>
      </c>
      <c r="O3" s="121">
        <f>D3*M3*12</f>
        <v>182.16000000000003</v>
      </c>
      <c r="P3" s="74">
        <f>N3</f>
        <v>7.620000000000001</v>
      </c>
      <c r="Q3" s="74">
        <f>D3*P3*12</f>
        <v>182.88000000000002</v>
      </c>
      <c r="R3" s="74">
        <f>Q3-O3</f>
        <v>0.7199999999999989</v>
      </c>
      <c r="U3" s="153">
        <f>+N3/M3-1</f>
        <v>0.0039525691699604515</v>
      </c>
      <c r="V3" s="27"/>
    </row>
    <row r="4" spans="1:22" s="75" customFormat="1" ht="15">
      <c r="A4" s="173"/>
      <c r="B4" s="72">
        <v>23</v>
      </c>
      <c r="C4" s="155" t="s">
        <v>113</v>
      </c>
      <c r="D4" s="158">
        <v>363</v>
      </c>
      <c r="E4" s="77">
        <v>2.1666666666666665</v>
      </c>
      <c r="F4" s="154">
        <f aca="true" t="shared" si="0" ref="F4:F26">+E4*D4*12</f>
        <v>9438</v>
      </c>
      <c r="G4" s="131">
        <f>+G3</f>
        <v>34</v>
      </c>
      <c r="H4" s="154">
        <f aca="true" t="shared" si="1" ref="H4:H26">G4*F4</f>
        <v>320892</v>
      </c>
      <c r="I4" s="76">
        <f>$C$111*H4</f>
        <v>240622.4117556965</v>
      </c>
      <c r="J4" s="121">
        <f>(References!$C$49*I4)</f>
        <v>240.6224117556967</v>
      </c>
      <c r="K4" s="121">
        <f>J4/References!$G$57</f>
        <v>247.26646157830578</v>
      </c>
      <c r="L4" s="137">
        <f aca="true" t="shared" si="2" ref="L4:L26">ROUND(((K4/F4)*E4),2)</f>
        <v>0.06</v>
      </c>
      <c r="M4" s="118">
        <v>13.010000000000002</v>
      </c>
      <c r="N4" s="121">
        <f aca="true" t="shared" si="3" ref="N4:N26">L4+M4</f>
        <v>13.070000000000002</v>
      </c>
      <c r="O4" s="121">
        <f aca="true" t="shared" si="4" ref="O4:O26">D4*M4*12</f>
        <v>56671.56000000001</v>
      </c>
      <c r="P4" s="74">
        <f aca="true" t="shared" si="5" ref="P4:P26">N4</f>
        <v>13.070000000000002</v>
      </c>
      <c r="Q4" s="74">
        <f aca="true" t="shared" si="6" ref="Q4:Q26">D4*P4*12</f>
        <v>56932.92000000001</v>
      </c>
      <c r="R4" s="74">
        <f aca="true" t="shared" si="7" ref="R4:R26">Q4-O4</f>
        <v>261.3600000000006</v>
      </c>
      <c r="U4" s="153">
        <f aca="true" t="shared" si="8" ref="U4:U26">+N4/M4-1</f>
        <v>0.004611837048424272</v>
      </c>
      <c r="V4" s="27"/>
    </row>
    <row r="5" spans="1:22" s="75" customFormat="1" ht="15">
      <c r="A5" s="173"/>
      <c r="B5" s="72">
        <v>23</v>
      </c>
      <c r="C5" s="155" t="s">
        <v>186</v>
      </c>
      <c r="D5" s="158">
        <v>86</v>
      </c>
      <c r="E5" s="77">
        <v>4.333</v>
      </c>
      <c r="F5" s="154">
        <f t="shared" si="0"/>
        <v>4471.656000000001</v>
      </c>
      <c r="G5" s="131">
        <f>+References!B13</f>
        <v>20</v>
      </c>
      <c r="H5" s="154">
        <f t="shared" si="1"/>
        <v>89433.12000000002</v>
      </c>
      <c r="I5" s="76">
        <f>$C$111*H5</f>
        <v>67061.85578087525</v>
      </c>
      <c r="J5" s="121">
        <f>(References!$C$49*I5)</f>
        <v>67.0618557808753</v>
      </c>
      <c r="K5" s="121">
        <f>J5/References!$G$57</f>
        <v>68.91356322472363</v>
      </c>
      <c r="L5" s="137">
        <f t="shared" si="2"/>
        <v>0.07</v>
      </c>
      <c r="M5" s="118">
        <v>15.280000000000001</v>
      </c>
      <c r="N5" s="121">
        <f t="shared" si="3"/>
        <v>15.350000000000001</v>
      </c>
      <c r="O5" s="121">
        <f t="shared" si="4"/>
        <v>15768.960000000003</v>
      </c>
      <c r="P5" s="74">
        <f t="shared" si="5"/>
        <v>15.350000000000001</v>
      </c>
      <c r="Q5" s="74">
        <f t="shared" si="6"/>
        <v>15841.2</v>
      </c>
      <c r="R5" s="74">
        <f t="shared" si="7"/>
        <v>72.23999999999796</v>
      </c>
      <c r="U5" s="153">
        <f t="shared" si="8"/>
        <v>0.0045811518324607725</v>
      </c>
      <c r="V5" s="27"/>
    </row>
    <row r="6" spans="1:22" s="75" customFormat="1" ht="15">
      <c r="A6" s="173"/>
      <c r="B6" s="72">
        <v>23</v>
      </c>
      <c r="C6" s="155" t="s">
        <v>187</v>
      </c>
      <c r="D6" s="158">
        <v>2</v>
      </c>
      <c r="E6" s="77">
        <v>4.333</v>
      </c>
      <c r="F6" s="154">
        <f t="shared" si="0"/>
        <v>103.992</v>
      </c>
      <c r="G6" s="131">
        <f>+G5</f>
        <v>20</v>
      </c>
      <c r="H6" s="154">
        <f t="shared" si="1"/>
        <v>2079.84</v>
      </c>
      <c r="I6" s="76">
        <f>$C$111*H6</f>
        <v>1559.5780414157032</v>
      </c>
      <c r="J6" s="121">
        <f>(References!$C$49*I6)</f>
        <v>1.5595780414157046</v>
      </c>
      <c r="K6" s="121">
        <f>J6/References!$G$57</f>
        <v>1.6026410052261306</v>
      </c>
      <c r="L6" s="137">
        <f t="shared" si="2"/>
        <v>0.07</v>
      </c>
      <c r="M6" s="118">
        <v>30.42</v>
      </c>
      <c r="N6" s="121">
        <f t="shared" si="3"/>
        <v>30.490000000000002</v>
      </c>
      <c r="O6" s="121">
        <f t="shared" si="4"/>
        <v>730.08</v>
      </c>
      <c r="P6" s="74">
        <f t="shared" si="5"/>
        <v>30.490000000000002</v>
      </c>
      <c r="Q6" s="74">
        <f t="shared" si="6"/>
        <v>731.76</v>
      </c>
      <c r="R6" s="74">
        <f t="shared" si="7"/>
        <v>1.67999999999995</v>
      </c>
      <c r="U6" s="153">
        <f t="shared" si="8"/>
        <v>0.002301117685733045</v>
      </c>
      <c r="V6" s="27"/>
    </row>
    <row r="7" spans="1:22" s="75" customFormat="1" ht="15">
      <c r="A7" s="173"/>
      <c r="B7" s="72">
        <v>23</v>
      </c>
      <c r="C7" s="155" t="s">
        <v>114</v>
      </c>
      <c r="D7" s="158">
        <v>2507</v>
      </c>
      <c r="E7" s="77">
        <v>4.333</v>
      </c>
      <c r="F7" s="154">
        <f t="shared" si="0"/>
        <v>130353.97200000001</v>
      </c>
      <c r="G7" s="131">
        <f>+G4</f>
        <v>34</v>
      </c>
      <c r="H7" s="154">
        <f t="shared" si="1"/>
        <v>4432035.048</v>
      </c>
      <c r="I7" s="76">
        <f>$C$111*H7</f>
        <v>3323382.827354793</v>
      </c>
      <c r="J7" s="121">
        <f>(References!$C$49*I7)</f>
        <v>3323.382827354796</v>
      </c>
      <c r="K7" s="121">
        <f>J7/References!$G$57</f>
        <v>3415.1478500866233</v>
      </c>
      <c r="L7" s="137">
        <f t="shared" si="2"/>
        <v>0.11</v>
      </c>
      <c r="M7" s="118">
        <v>17.88</v>
      </c>
      <c r="N7" s="121">
        <f t="shared" si="3"/>
        <v>17.99</v>
      </c>
      <c r="O7" s="121">
        <f t="shared" si="4"/>
        <v>537901.9199999999</v>
      </c>
      <c r="P7" s="74">
        <f t="shared" si="5"/>
        <v>17.99</v>
      </c>
      <c r="Q7" s="74">
        <f t="shared" si="6"/>
        <v>541211.1599999999</v>
      </c>
      <c r="R7" s="74">
        <f t="shared" si="7"/>
        <v>3309.2399999999907</v>
      </c>
      <c r="U7" s="153">
        <f t="shared" si="8"/>
        <v>0.006152125279641929</v>
      </c>
      <c r="V7" s="27"/>
    </row>
    <row r="8" spans="1:22" s="75" customFormat="1" ht="15">
      <c r="A8" s="173"/>
      <c r="B8" s="72">
        <v>23</v>
      </c>
      <c r="C8" s="155" t="s">
        <v>115</v>
      </c>
      <c r="D8" s="158">
        <f>543+543</f>
        <v>1086</v>
      </c>
      <c r="E8" s="77">
        <v>4.333</v>
      </c>
      <c r="F8" s="154">
        <f t="shared" si="0"/>
        <v>56467.656</v>
      </c>
      <c r="G8" s="131">
        <f>+G7</f>
        <v>34</v>
      </c>
      <c r="H8" s="154">
        <f t="shared" si="1"/>
        <v>1919900.304</v>
      </c>
      <c r="I8" s="76">
        <f>$C$111*H8</f>
        <v>1439646.4900308356</v>
      </c>
      <c r="J8" s="121">
        <f>(References!$C$49*I8)</f>
        <v>1439.646490030837</v>
      </c>
      <c r="K8" s="121">
        <f>J8/References!$G$57</f>
        <v>1479.3979119242413</v>
      </c>
      <c r="L8" s="137">
        <f t="shared" si="2"/>
        <v>0.11</v>
      </c>
      <c r="M8" s="118">
        <v>26.679999999999996</v>
      </c>
      <c r="N8" s="121">
        <f t="shared" si="3"/>
        <v>26.789999999999996</v>
      </c>
      <c r="O8" s="121">
        <f t="shared" si="4"/>
        <v>347693.75999999995</v>
      </c>
      <c r="P8" s="74">
        <f t="shared" si="5"/>
        <v>26.789999999999996</v>
      </c>
      <c r="Q8" s="74">
        <f t="shared" si="6"/>
        <v>349127.2799999999</v>
      </c>
      <c r="R8" s="74">
        <f t="shared" si="7"/>
        <v>1433.5199999999604</v>
      </c>
      <c r="U8" s="153">
        <f t="shared" si="8"/>
        <v>0.004122938530734643</v>
      </c>
      <c r="V8" s="27"/>
    </row>
    <row r="9" spans="1:22" s="75" customFormat="1" ht="15">
      <c r="A9" s="173"/>
      <c r="B9" s="72">
        <v>23</v>
      </c>
      <c r="C9" s="155" t="s">
        <v>116</v>
      </c>
      <c r="D9" s="158">
        <v>120</v>
      </c>
      <c r="E9" s="77">
        <v>4.333</v>
      </c>
      <c r="F9" s="154">
        <f t="shared" si="0"/>
        <v>6239.52</v>
      </c>
      <c r="G9" s="131">
        <f>+G8</f>
        <v>34</v>
      </c>
      <c r="H9" s="154">
        <f t="shared" si="1"/>
        <v>212143.68000000002</v>
      </c>
      <c r="I9" s="76">
        <f>$C$111*H9</f>
        <v>159076.96022440173</v>
      </c>
      <c r="J9" s="121">
        <f>(References!$C$49*I9)</f>
        <v>159.07696022440186</v>
      </c>
      <c r="K9" s="121">
        <f>J9/References!$G$57</f>
        <v>163.46938253306533</v>
      </c>
      <c r="L9" s="137">
        <f t="shared" si="2"/>
        <v>0.11</v>
      </c>
      <c r="M9" s="118">
        <v>35.480000000000004</v>
      </c>
      <c r="N9" s="121">
        <f t="shared" si="3"/>
        <v>35.59</v>
      </c>
      <c r="O9" s="121">
        <f t="shared" si="4"/>
        <v>51091.200000000004</v>
      </c>
      <c r="P9" s="74">
        <f t="shared" si="5"/>
        <v>35.59</v>
      </c>
      <c r="Q9" s="74">
        <f t="shared" si="6"/>
        <v>51249.600000000006</v>
      </c>
      <c r="R9" s="74">
        <f t="shared" si="7"/>
        <v>158.40000000000146</v>
      </c>
      <c r="U9" s="153">
        <f t="shared" si="8"/>
        <v>0.0031003382187146933</v>
      </c>
      <c r="V9" s="27"/>
    </row>
    <row r="10" spans="1:22" s="75" customFormat="1" ht="15">
      <c r="A10" s="173"/>
      <c r="B10" s="72">
        <v>23</v>
      </c>
      <c r="C10" s="155" t="s">
        <v>188</v>
      </c>
      <c r="D10" s="158">
        <v>36</v>
      </c>
      <c r="E10" s="77">
        <v>4.333</v>
      </c>
      <c r="F10" s="154">
        <f t="shared" si="0"/>
        <v>1871.856</v>
      </c>
      <c r="G10" s="131">
        <f>+G9</f>
        <v>34</v>
      </c>
      <c r="H10" s="154">
        <f t="shared" si="1"/>
        <v>63643.104</v>
      </c>
      <c r="I10" s="76">
        <f>$C$111*H10</f>
        <v>47723.08806732052</v>
      </c>
      <c r="J10" s="121">
        <f>(References!$C$49*I10)</f>
        <v>47.72308806732056</v>
      </c>
      <c r="K10" s="121">
        <f>J10/References!$G$57</f>
        <v>49.0408147599196</v>
      </c>
      <c r="L10" s="137">
        <f t="shared" si="2"/>
        <v>0.11</v>
      </c>
      <c r="M10" s="118">
        <v>44.28</v>
      </c>
      <c r="N10" s="121">
        <f t="shared" si="3"/>
        <v>44.39</v>
      </c>
      <c r="O10" s="121">
        <f t="shared" si="4"/>
        <v>19128.96</v>
      </c>
      <c r="P10" s="74">
        <f t="shared" si="5"/>
        <v>44.39</v>
      </c>
      <c r="Q10" s="74">
        <f t="shared" si="6"/>
        <v>19176.48</v>
      </c>
      <c r="R10" s="74">
        <f t="shared" si="7"/>
        <v>47.52000000000044</v>
      </c>
      <c r="U10" s="153">
        <f t="shared" si="8"/>
        <v>0.0024841915085818123</v>
      </c>
      <c r="V10" s="27"/>
    </row>
    <row r="11" spans="1:22" s="75" customFormat="1" ht="15">
      <c r="A11" s="173"/>
      <c r="B11" s="72">
        <v>23</v>
      </c>
      <c r="C11" s="155" t="s">
        <v>189</v>
      </c>
      <c r="D11" s="158">
        <v>5</v>
      </c>
      <c r="E11" s="77">
        <v>4.333</v>
      </c>
      <c r="F11" s="154">
        <f t="shared" si="0"/>
        <v>259.98</v>
      </c>
      <c r="G11" s="131">
        <f>+G10</f>
        <v>34</v>
      </c>
      <c r="H11" s="154">
        <f t="shared" si="1"/>
        <v>8839.32</v>
      </c>
      <c r="I11" s="76">
        <f>$C$111*H11</f>
        <v>6628.206676016738</v>
      </c>
      <c r="J11" s="121">
        <f>(References!$C$49*I11)</f>
        <v>6.628206676016744</v>
      </c>
      <c r="K11" s="121">
        <f>J11/References!$G$57</f>
        <v>6.811224272211055</v>
      </c>
      <c r="L11" s="137">
        <f t="shared" si="2"/>
        <v>0.11</v>
      </c>
      <c r="M11" s="118">
        <v>53.08</v>
      </c>
      <c r="N11" s="121">
        <f t="shared" si="3"/>
        <v>53.19</v>
      </c>
      <c r="O11" s="121">
        <f t="shared" si="4"/>
        <v>3184.7999999999997</v>
      </c>
      <c r="P11" s="74">
        <f t="shared" si="5"/>
        <v>53.19</v>
      </c>
      <c r="Q11" s="74">
        <f t="shared" si="6"/>
        <v>3191.3999999999996</v>
      </c>
      <c r="R11" s="74">
        <f t="shared" si="7"/>
        <v>6.599999999999909</v>
      </c>
      <c r="U11" s="153">
        <f t="shared" si="8"/>
        <v>0.0020723436322531708</v>
      </c>
      <c r="V11" s="27"/>
    </row>
    <row r="12" spans="1:22" s="75" customFormat="1" ht="15">
      <c r="A12" s="173"/>
      <c r="B12" s="72">
        <v>23</v>
      </c>
      <c r="C12" s="155" t="s">
        <v>190</v>
      </c>
      <c r="D12" s="158">
        <v>6</v>
      </c>
      <c r="E12" s="77">
        <v>4.333</v>
      </c>
      <c r="F12" s="154">
        <f t="shared" si="0"/>
        <v>311.976</v>
      </c>
      <c r="G12" s="131">
        <f>+G11</f>
        <v>34</v>
      </c>
      <c r="H12" s="154">
        <f t="shared" si="1"/>
        <v>10607.184</v>
      </c>
      <c r="I12" s="76">
        <f>$C$111*H12</f>
        <v>7953.848011220085</v>
      </c>
      <c r="J12" s="121">
        <f>(References!$C$49*I12)</f>
        <v>7.953848011220092</v>
      </c>
      <c r="K12" s="121">
        <f>J12/References!$G$57</f>
        <v>8.173469126653265</v>
      </c>
      <c r="L12" s="137">
        <f t="shared" si="2"/>
        <v>0.11</v>
      </c>
      <c r="M12" s="118">
        <v>61.88</v>
      </c>
      <c r="N12" s="121">
        <f t="shared" si="3"/>
        <v>61.99</v>
      </c>
      <c r="O12" s="121">
        <f t="shared" si="4"/>
        <v>4455.360000000001</v>
      </c>
      <c r="P12" s="74">
        <f t="shared" si="5"/>
        <v>61.99</v>
      </c>
      <c r="Q12" s="74">
        <f t="shared" si="6"/>
        <v>4463.28</v>
      </c>
      <c r="R12" s="74">
        <f t="shared" si="7"/>
        <v>7.919999999999163</v>
      </c>
      <c r="U12" s="153">
        <f t="shared" si="8"/>
        <v>0.0017776341305753007</v>
      </c>
      <c r="V12" s="27"/>
    </row>
    <row r="13" spans="1:22" s="75" customFormat="1" ht="15">
      <c r="A13" s="173"/>
      <c r="B13" s="72">
        <v>23</v>
      </c>
      <c r="C13" s="155" t="s">
        <v>191</v>
      </c>
      <c r="D13" s="158">
        <v>446</v>
      </c>
      <c r="E13" s="77">
        <v>4.333</v>
      </c>
      <c r="F13" s="154">
        <f t="shared" si="0"/>
        <v>23190.216</v>
      </c>
      <c r="G13" s="131">
        <f>+G5</f>
        <v>20</v>
      </c>
      <c r="H13" s="154">
        <f t="shared" si="1"/>
        <v>463804.32</v>
      </c>
      <c r="I13" s="76">
        <f>$C$111*H13</f>
        <v>347785.9032357018</v>
      </c>
      <c r="J13" s="121">
        <f>(References!$C$49*I13)</f>
        <v>347.7859032357021</v>
      </c>
      <c r="K13" s="121">
        <f>J13/References!$G$57</f>
        <v>357.3889441654271</v>
      </c>
      <c r="L13" s="137">
        <f t="shared" si="2"/>
        <v>0.07</v>
      </c>
      <c r="M13" s="118">
        <v>16.98</v>
      </c>
      <c r="N13" s="121">
        <f t="shared" si="3"/>
        <v>17.05</v>
      </c>
      <c r="O13" s="121">
        <f t="shared" si="4"/>
        <v>90876.95999999999</v>
      </c>
      <c r="P13" s="74">
        <f t="shared" si="5"/>
        <v>17.05</v>
      </c>
      <c r="Q13" s="74">
        <f t="shared" si="6"/>
        <v>91251.6</v>
      </c>
      <c r="R13" s="74">
        <f t="shared" si="7"/>
        <v>374.64000000001397</v>
      </c>
      <c r="U13" s="153">
        <f t="shared" si="8"/>
        <v>0.0041224970553592755</v>
      </c>
      <c r="V13" s="27"/>
    </row>
    <row r="14" spans="1:22" s="75" customFormat="1" ht="15">
      <c r="A14" s="173"/>
      <c r="B14" s="72">
        <v>23</v>
      </c>
      <c r="C14" s="155" t="s">
        <v>192</v>
      </c>
      <c r="D14" s="158">
        <v>18</v>
      </c>
      <c r="E14" s="77">
        <v>1</v>
      </c>
      <c r="F14" s="154">
        <f t="shared" si="0"/>
        <v>216</v>
      </c>
      <c r="G14" s="131">
        <f>+References!B20</f>
        <v>37</v>
      </c>
      <c r="H14" s="154">
        <f t="shared" si="1"/>
        <v>7992</v>
      </c>
      <c r="I14" s="76">
        <f>$C$111*H14</f>
        <v>5992.83969295441</v>
      </c>
      <c r="J14" s="121">
        <f>(References!$C$49*I14)</f>
        <v>5.992839692954415</v>
      </c>
      <c r="K14" s="121">
        <f>J14/References!$G$57</f>
        <v>6.158313578817234</v>
      </c>
      <c r="L14" s="137">
        <f t="shared" si="2"/>
        <v>0.03</v>
      </c>
      <c r="M14" s="118">
        <v>8.699999999999998</v>
      </c>
      <c r="N14" s="121">
        <f t="shared" si="3"/>
        <v>8.729999999999997</v>
      </c>
      <c r="O14" s="121">
        <f t="shared" si="4"/>
        <v>1879.1999999999996</v>
      </c>
      <c r="P14" s="74">
        <f t="shared" si="5"/>
        <v>8.729999999999997</v>
      </c>
      <c r="Q14" s="74">
        <f t="shared" si="6"/>
        <v>1885.6799999999992</v>
      </c>
      <c r="R14" s="74">
        <f t="shared" si="7"/>
        <v>6.479999999999563</v>
      </c>
      <c r="U14" s="153">
        <f t="shared" si="8"/>
        <v>0.0034482758620688614</v>
      </c>
      <c r="V14" s="27"/>
    </row>
    <row r="15" spans="1:22" s="75" customFormat="1" ht="15">
      <c r="A15" s="173"/>
      <c r="B15" s="72">
        <v>23</v>
      </c>
      <c r="C15" s="155" t="s">
        <v>193</v>
      </c>
      <c r="D15" s="158">
        <v>81</v>
      </c>
      <c r="E15" s="77">
        <v>1</v>
      </c>
      <c r="F15" s="154">
        <f t="shared" si="0"/>
        <v>972</v>
      </c>
      <c r="G15" s="131">
        <f aca="true" t="shared" si="9" ref="G15:G20">+G14</f>
        <v>37</v>
      </c>
      <c r="H15" s="154">
        <f t="shared" si="1"/>
        <v>35964</v>
      </c>
      <c r="I15" s="76">
        <f>$C$111*H15</f>
        <v>26967.778618294844</v>
      </c>
      <c r="J15" s="121">
        <f>(References!$C$49*I15)</f>
        <v>26.96777861829487</v>
      </c>
      <c r="K15" s="121">
        <f>J15/References!$G$57</f>
        <v>27.712411104677553</v>
      </c>
      <c r="L15" s="137">
        <f t="shared" si="2"/>
        <v>0.03</v>
      </c>
      <c r="M15" s="118">
        <v>8.699999999999998</v>
      </c>
      <c r="N15" s="121">
        <f t="shared" si="3"/>
        <v>8.729999999999997</v>
      </c>
      <c r="O15" s="121">
        <f t="shared" si="4"/>
        <v>8456.399999999998</v>
      </c>
      <c r="P15" s="74">
        <f t="shared" si="5"/>
        <v>8.729999999999997</v>
      </c>
      <c r="Q15" s="74">
        <f t="shared" si="6"/>
        <v>8485.559999999998</v>
      </c>
      <c r="R15" s="74">
        <f t="shared" si="7"/>
        <v>29.159999999999854</v>
      </c>
      <c r="U15" s="153">
        <f t="shared" si="8"/>
        <v>0.0034482758620688614</v>
      </c>
      <c r="V15" s="27"/>
    </row>
    <row r="16" spans="1:22" s="75" customFormat="1" ht="15">
      <c r="A16" s="173"/>
      <c r="B16" s="72">
        <v>23</v>
      </c>
      <c r="C16" s="155" t="s">
        <v>194</v>
      </c>
      <c r="D16" s="158">
        <v>67</v>
      </c>
      <c r="E16" s="77">
        <v>2.1667</v>
      </c>
      <c r="F16" s="154">
        <f t="shared" si="0"/>
        <v>1742.0268</v>
      </c>
      <c r="G16" s="131">
        <f t="shared" si="9"/>
        <v>37</v>
      </c>
      <c r="H16" s="154">
        <f t="shared" si="1"/>
        <v>64454.9916</v>
      </c>
      <c r="I16" s="76">
        <f>$C$111*H16</f>
        <v>48331.885894584964</v>
      </c>
      <c r="J16" s="121">
        <f>(References!$C$49*I16)</f>
        <v>48.33188589458501</v>
      </c>
      <c r="K16" s="121">
        <f>J16/References!$G$57</f>
        <v>49.666422671775614</v>
      </c>
      <c r="L16" s="137">
        <f t="shared" si="2"/>
        <v>0.06</v>
      </c>
      <c r="M16" s="118">
        <v>14.13</v>
      </c>
      <c r="N16" s="121">
        <f t="shared" si="3"/>
        <v>14.190000000000001</v>
      </c>
      <c r="O16" s="121">
        <f t="shared" si="4"/>
        <v>11360.52</v>
      </c>
      <c r="P16" s="74">
        <f t="shared" si="5"/>
        <v>14.190000000000001</v>
      </c>
      <c r="Q16" s="74">
        <f t="shared" si="6"/>
        <v>11408.760000000002</v>
      </c>
      <c r="R16" s="74">
        <f t="shared" si="7"/>
        <v>48.2400000000016</v>
      </c>
      <c r="U16" s="153">
        <f t="shared" si="8"/>
        <v>0.00424628450106157</v>
      </c>
      <c r="V16" s="27"/>
    </row>
    <row r="17" spans="1:22" s="75" customFormat="1" ht="15">
      <c r="A17" s="173"/>
      <c r="B17" s="72">
        <v>23</v>
      </c>
      <c r="C17" s="155" t="s">
        <v>195</v>
      </c>
      <c r="D17" s="158">
        <v>3414</v>
      </c>
      <c r="E17" s="77">
        <v>4.333</v>
      </c>
      <c r="F17" s="154">
        <f t="shared" si="0"/>
        <v>177514.344</v>
      </c>
      <c r="G17" s="131">
        <f t="shared" si="9"/>
        <v>37</v>
      </c>
      <c r="H17" s="154">
        <f t="shared" si="1"/>
        <v>6568030.728</v>
      </c>
      <c r="I17" s="76">
        <f>$C$111*H17</f>
        <v>4925069.47588872</v>
      </c>
      <c r="J17" s="121">
        <f>(References!$C$49*I17)</f>
        <v>4925.069475888724</v>
      </c>
      <c r="K17" s="121">
        <f>J17/References!$G$57</f>
        <v>5061.0601624538585</v>
      </c>
      <c r="L17" s="137">
        <f t="shared" si="2"/>
        <v>0.12</v>
      </c>
      <c r="M17" s="118">
        <v>19.35</v>
      </c>
      <c r="N17" s="121">
        <f t="shared" si="3"/>
        <v>19.470000000000002</v>
      </c>
      <c r="O17" s="121">
        <f t="shared" si="4"/>
        <v>792730.8</v>
      </c>
      <c r="P17" s="74">
        <f t="shared" si="5"/>
        <v>19.470000000000002</v>
      </c>
      <c r="Q17" s="74">
        <f t="shared" si="6"/>
        <v>797646.96</v>
      </c>
      <c r="R17" s="74">
        <f t="shared" si="7"/>
        <v>4916.159999999916</v>
      </c>
      <c r="U17" s="153">
        <f t="shared" si="8"/>
        <v>0.006201550387596955</v>
      </c>
      <c r="V17" s="27"/>
    </row>
    <row r="18" spans="1:22" s="75" customFormat="1" ht="15">
      <c r="A18" s="173"/>
      <c r="B18" s="72">
        <v>23</v>
      </c>
      <c r="C18" s="155" t="s">
        <v>118</v>
      </c>
      <c r="D18" s="158">
        <v>56</v>
      </c>
      <c r="E18" s="77">
        <v>4.333</v>
      </c>
      <c r="F18" s="154">
        <f t="shared" si="0"/>
        <v>2911.7760000000003</v>
      </c>
      <c r="G18" s="131">
        <f t="shared" si="9"/>
        <v>37</v>
      </c>
      <c r="H18" s="154">
        <f t="shared" si="1"/>
        <v>107735.71200000001</v>
      </c>
      <c r="I18" s="76">
        <f>$C$111*H18</f>
        <v>80786.14254533344</v>
      </c>
      <c r="J18" s="121">
        <f>(References!$C$49*I18)</f>
        <v>80.7861425453335</v>
      </c>
      <c r="K18" s="121">
        <f>J18/References!$G$57</f>
        <v>83.01680407071358</v>
      </c>
      <c r="L18" s="137">
        <f t="shared" si="2"/>
        <v>0.12</v>
      </c>
      <c r="M18" s="118">
        <v>38.7</v>
      </c>
      <c r="N18" s="27">
        <f>+N17*2</f>
        <v>38.940000000000005</v>
      </c>
      <c r="O18" s="121">
        <f t="shared" si="4"/>
        <v>26006.4</v>
      </c>
      <c r="P18" s="74">
        <f t="shared" si="5"/>
        <v>38.940000000000005</v>
      </c>
      <c r="Q18" s="74">
        <f t="shared" si="6"/>
        <v>26167.680000000004</v>
      </c>
      <c r="R18" s="74">
        <f t="shared" si="7"/>
        <v>161.28000000000247</v>
      </c>
      <c r="U18" s="153">
        <f t="shared" si="8"/>
        <v>0.006201550387596955</v>
      </c>
      <c r="V18" s="118"/>
    </row>
    <row r="19" spans="1:22" s="75" customFormat="1" ht="15">
      <c r="A19" s="173"/>
      <c r="B19" s="72">
        <v>23</v>
      </c>
      <c r="C19" s="155" t="s">
        <v>196</v>
      </c>
      <c r="D19" s="158">
        <v>3</v>
      </c>
      <c r="E19" s="77">
        <v>4.333</v>
      </c>
      <c r="F19" s="154">
        <f t="shared" si="0"/>
        <v>155.988</v>
      </c>
      <c r="G19" s="131">
        <f t="shared" si="9"/>
        <v>37</v>
      </c>
      <c r="H19" s="154">
        <f t="shared" si="1"/>
        <v>5771.556</v>
      </c>
      <c r="I19" s="76">
        <f>$C$111*H19</f>
        <v>4327.8290649285755</v>
      </c>
      <c r="J19" s="121">
        <f>(References!$C$49*I19)</f>
        <v>4.327829064928579</v>
      </c>
      <c r="K19" s="121">
        <f>J19/References!$G$57</f>
        <v>4.447328789502512</v>
      </c>
      <c r="L19" s="137">
        <f t="shared" si="2"/>
        <v>0.12</v>
      </c>
      <c r="M19" s="118">
        <v>58.050000000000004</v>
      </c>
      <c r="N19" s="27">
        <f>+N17*3</f>
        <v>58.41000000000001</v>
      </c>
      <c r="O19" s="121">
        <f t="shared" si="4"/>
        <v>2089.8</v>
      </c>
      <c r="P19" s="74">
        <f t="shared" si="5"/>
        <v>58.41000000000001</v>
      </c>
      <c r="Q19" s="74">
        <f t="shared" si="6"/>
        <v>2102.76</v>
      </c>
      <c r="R19" s="74">
        <f t="shared" si="7"/>
        <v>12.960000000000036</v>
      </c>
      <c r="U19" s="153">
        <f t="shared" si="8"/>
        <v>0.006201550387596955</v>
      </c>
      <c r="V19" s="118"/>
    </row>
    <row r="20" spans="1:22" s="75" customFormat="1" ht="15">
      <c r="A20" s="173"/>
      <c r="B20" s="72">
        <v>23</v>
      </c>
      <c r="C20" s="155" t="s">
        <v>197</v>
      </c>
      <c r="D20" s="158">
        <v>4</v>
      </c>
      <c r="E20" s="77">
        <v>4.333</v>
      </c>
      <c r="F20" s="154">
        <f t="shared" si="0"/>
        <v>207.984</v>
      </c>
      <c r="G20" s="131">
        <f t="shared" si="9"/>
        <v>37</v>
      </c>
      <c r="H20" s="154">
        <f t="shared" si="1"/>
        <v>7695.408</v>
      </c>
      <c r="I20" s="76">
        <f>$C$111*H20</f>
        <v>5770.4387532381015</v>
      </c>
      <c r="J20" s="121">
        <f>(References!$C$49*I20)</f>
        <v>5.770438753238107</v>
      </c>
      <c r="K20" s="121">
        <f>J20/References!$G$57</f>
        <v>5.929771719336683</v>
      </c>
      <c r="L20" s="137">
        <f t="shared" si="2"/>
        <v>0.12</v>
      </c>
      <c r="M20" s="118">
        <v>77.4</v>
      </c>
      <c r="N20" s="27">
        <f>+N17*4</f>
        <v>77.88000000000001</v>
      </c>
      <c r="O20" s="121">
        <f t="shared" si="4"/>
        <v>3715.2000000000003</v>
      </c>
      <c r="P20" s="74">
        <f t="shared" si="5"/>
        <v>77.88000000000001</v>
      </c>
      <c r="Q20" s="74">
        <f t="shared" si="6"/>
        <v>3738.2400000000007</v>
      </c>
      <c r="R20" s="74">
        <f t="shared" si="7"/>
        <v>23.04000000000042</v>
      </c>
      <c r="U20" s="153">
        <f t="shared" si="8"/>
        <v>0.006201550387596955</v>
      </c>
      <c r="V20" s="118"/>
    </row>
    <row r="21" spans="1:22" s="75" customFormat="1" ht="15">
      <c r="A21" s="173"/>
      <c r="B21" s="72">
        <v>23</v>
      </c>
      <c r="C21" s="155" t="s">
        <v>119</v>
      </c>
      <c r="D21" s="158">
        <v>1923</v>
      </c>
      <c r="E21" s="77">
        <v>4.333</v>
      </c>
      <c r="F21" s="154">
        <f t="shared" si="0"/>
        <v>99988.308</v>
      </c>
      <c r="G21" s="131">
        <f>+References!B21</f>
        <v>47</v>
      </c>
      <c r="H21" s="154">
        <f t="shared" si="1"/>
        <v>4699450.476</v>
      </c>
      <c r="I21" s="76">
        <f>$C$111*H21</f>
        <v>3523905.5740298163</v>
      </c>
      <c r="J21" s="121">
        <f>(References!$C$49*I21)</f>
        <v>3523.9055740298195</v>
      </c>
      <c r="K21" s="121">
        <f>J21/References!$G$57</f>
        <v>3621.2074173335723</v>
      </c>
      <c r="L21" s="137">
        <f t="shared" si="2"/>
        <v>0.16</v>
      </c>
      <c r="M21" s="118">
        <v>28.509999999999998</v>
      </c>
      <c r="N21" s="121">
        <f t="shared" si="3"/>
        <v>28.669999999999998</v>
      </c>
      <c r="O21" s="121">
        <f t="shared" si="4"/>
        <v>657896.76</v>
      </c>
      <c r="P21" s="74">
        <f t="shared" si="5"/>
        <v>28.669999999999998</v>
      </c>
      <c r="Q21" s="74">
        <f t="shared" si="6"/>
        <v>661588.9199999999</v>
      </c>
      <c r="R21" s="74">
        <f t="shared" si="7"/>
        <v>3692.159999999916</v>
      </c>
      <c r="U21" s="153">
        <f t="shared" si="8"/>
        <v>0.00561206594177488</v>
      </c>
      <c r="V21" s="118"/>
    </row>
    <row r="22" spans="1:22" s="75" customFormat="1" ht="15">
      <c r="A22" s="173"/>
      <c r="B22" s="72">
        <v>23</v>
      </c>
      <c r="C22" s="155" t="s">
        <v>120</v>
      </c>
      <c r="D22" s="158">
        <v>42</v>
      </c>
      <c r="E22" s="77">
        <v>4.333</v>
      </c>
      <c r="F22" s="154">
        <f t="shared" si="0"/>
        <v>2183.8320000000003</v>
      </c>
      <c r="G22" s="131">
        <f>+G21</f>
        <v>47</v>
      </c>
      <c r="H22" s="154">
        <f t="shared" si="1"/>
        <v>102640.10400000002</v>
      </c>
      <c r="I22" s="76">
        <f>$C$111*H22</f>
        <v>76965.17634386497</v>
      </c>
      <c r="J22" s="121">
        <f>(References!$C$49*I22)</f>
        <v>76.96517634386504</v>
      </c>
      <c r="K22" s="121">
        <f>J22/References!$G$57</f>
        <v>79.09033360790957</v>
      </c>
      <c r="L22" s="137">
        <f t="shared" si="2"/>
        <v>0.16</v>
      </c>
      <c r="M22" s="118">
        <v>57.019999999999996</v>
      </c>
      <c r="N22" s="27">
        <f>+N21*2</f>
        <v>57.339999999999996</v>
      </c>
      <c r="O22" s="121">
        <f t="shared" si="4"/>
        <v>28738.079999999994</v>
      </c>
      <c r="P22" s="74">
        <f t="shared" si="5"/>
        <v>57.339999999999996</v>
      </c>
      <c r="Q22" s="74">
        <f t="shared" si="6"/>
        <v>28899.359999999997</v>
      </c>
      <c r="R22" s="74">
        <f t="shared" si="7"/>
        <v>161.28000000000247</v>
      </c>
      <c r="U22" s="153">
        <f t="shared" si="8"/>
        <v>0.00561206594177488</v>
      </c>
      <c r="V22" s="118"/>
    </row>
    <row r="23" spans="1:22" s="75" customFormat="1" ht="15">
      <c r="A23" s="173"/>
      <c r="B23" s="72">
        <v>23</v>
      </c>
      <c r="C23" s="155" t="s">
        <v>199</v>
      </c>
      <c r="D23" s="158">
        <v>3</v>
      </c>
      <c r="E23" s="77">
        <v>4.333</v>
      </c>
      <c r="F23" s="154">
        <f t="shared" si="0"/>
        <v>155.988</v>
      </c>
      <c r="G23" s="131">
        <f>+G22</f>
        <v>47</v>
      </c>
      <c r="H23" s="154">
        <f t="shared" si="1"/>
        <v>7331.436</v>
      </c>
      <c r="I23" s="76">
        <f>$C$111*H23</f>
        <v>5497.5125959903535</v>
      </c>
      <c r="J23" s="121">
        <f>(References!$C$49*I23)</f>
        <v>5.497512595990359</v>
      </c>
      <c r="K23" s="121">
        <f>J23/References!$G$57</f>
        <v>5.649309543422111</v>
      </c>
      <c r="L23" s="137">
        <f t="shared" si="2"/>
        <v>0.16</v>
      </c>
      <c r="M23" s="118">
        <v>85.53</v>
      </c>
      <c r="N23" s="27">
        <f>+N21*3</f>
        <v>86.00999999999999</v>
      </c>
      <c r="O23" s="121">
        <f t="shared" si="4"/>
        <v>3079.0800000000004</v>
      </c>
      <c r="P23" s="74">
        <f t="shared" si="5"/>
        <v>86.00999999999999</v>
      </c>
      <c r="Q23" s="74">
        <f t="shared" si="6"/>
        <v>3096.3599999999997</v>
      </c>
      <c r="R23" s="74">
        <f t="shared" si="7"/>
        <v>17.27999999999929</v>
      </c>
      <c r="U23" s="153">
        <f t="shared" si="8"/>
        <v>0.005612065941774658</v>
      </c>
      <c r="V23" s="118"/>
    </row>
    <row r="24" spans="1:22" s="75" customFormat="1" ht="15">
      <c r="A24" s="173"/>
      <c r="B24" s="72">
        <v>23</v>
      </c>
      <c r="C24" s="155" t="s">
        <v>124</v>
      </c>
      <c r="D24" s="158">
        <v>652</v>
      </c>
      <c r="E24" s="77">
        <v>4.333</v>
      </c>
      <c r="F24" s="154">
        <f t="shared" si="0"/>
        <v>33901.392</v>
      </c>
      <c r="G24" s="131">
        <f>+References!B22</f>
        <v>68</v>
      </c>
      <c r="H24" s="154">
        <f t="shared" si="1"/>
        <v>2305294.656</v>
      </c>
      <c r="I24" s="76">
        <f>$C$111*H24</f>
        <v>1728636.3011051654</v>
      </c>
      <c r="J24" s="121">
        <f>(References!$C$49*I24)</f>
        <v>1728.636301105167</v>
      </c>
      <c r="K24" s="121">
        <f>J24/References!$G$57</f>
        <v>1776.3672901926432</v>
      </c>
      <c r="L24" s="137">
        <f t="shared" si="2"/>
        <v>0.23</v>
      </c>
      <c r="M24" s="118">
        <v>37.69999999999999</v>
      </c>
      <c r="N24" s="121">
        <f t="shared" si="3"/>
        <v>37.929999999999986</v>
      </c>
      <c r="O24" s="121">
        <f t="shared" si="4"/>
        <v>294964.79999999993</v>
      </c>
      <c r="P24" s="74">
        <f t="shared" si="5"/>
        <v>37.929999999999986</v>
      </c>
      <c r="Q24" s="74">
        <f t="shared" si="6"/>
        <v>296764.3199999999</v>
      </c>
      <c r="R24" s="74">
        <f t="shared" si="7"/>
        <v>1799.5199999999604</v>
      </c>
      <c r="U24" s="153">
        <f t="shared" si="8"/>
        <v>0.006100795755968003</v>
      </c>
      <c r="V24" s="118"/>
    </row>
    <row r="25" spans="1:22" s="75" customFormat="1" ht="15">
      <c r="A25" s="173"/>
      <c r="B25" s="72">
        <v>23</v>
      </c>
      <c r="C25" s="155" t="s">
        <v>125</v>
      </c>
      <c r="D25" s="158">
        <v>28</v>
      </c>
      <c r="E25" s="77">
        <v>4.333</v>
      </c>
      <c r="F25" s="154">
        <f t="shared" si="0"/>
        <v>1455.8880000000001</v>
      </c>
      <c r="G25" s="131">
        <f>+G24</f>
        <v>68</v>
      </c>
      <c r="H25" s="154">
        <f t="shared" si="1"/>
        <v>99000.384</v>
      </c>
      <c r="I25" s="76">
        <f>$C$111*H25</f>
        <v>74235.91477138747</v>
      </c>
      <c r="J25" s="121">
        <f>(References!$C$49*I25)</f>
        <v>74.23591477138754</v>
      </c>
      <c r="K25" s="121">
        <f>J25/References!$G$57</f>
        <v>76.28571184876382</v>
      </c>
      <c r="L25" s="137">
        <f t="shared" si="2"/>
        <v>0.23</v>
      </c>
      <c r="M25" s="118">
        <v>75.39999999999998</v>
      </c>
      <c r="N25" s="27">
        <f>+N24*2</f>
        <v>75.85999999999997</v>
      </c>
      <c r="O25" s="121">
        <f t="shared" si="4"/>
        <v>25334.399999999994</v>
      </c>
      <c r="P25" s="74">
        <f t="shared" si="5"/>
        <v>75.85999999999997</v>
      </c>
      <c r="Q25" s="74">
        <f t="shared" si="6"/>
        <v>25488.95999999999</v>
      </c>
      <c r="R25" s="74">
        <f t="shared" si="7"/>
        <v>154.55999999999403</v>
      </c>
      <c r="U25" s="153">
        <f t="shared" si="8"/>
        <v>0.006100795755968003</v>
      </c>
      <c r="V25" s="118"/>
    </row>
    <row r="26" spans="1:22" s="75" customFormat="1" ht="15">
      <c r="A26" s="173"/>
      <c r="B26" s="72">
        <v>25</v>
      </c>
      <c r="C26" s="155" t="s">
        <v>49</v>
      </c>
      <c r="D26" s="159">
        <v>1500</v>
      </c>
      <c r="E26" s="77">
        <v>1</v>
      </c>
      <c r="F26" s="154">
        <f t="shared" si="0"/>
        <v>18000</v>
      </c>
      <c r="G26" s="131">
        <f>+References!B24</f>
        <v>34</v>
      </c>
      <c r="H26" s="154">
        <f t="shared" si="1"/>
        <v>612000</v>
      </c>
      <c r="I26" s="76">
        <f>$C$111*H26</f>
        <v>458911.147658671</v>
      </c>
      <c r="J26" s="121">
        <f>(References!$C$49*I26)</f>
        <v>458.91114765867144</v>
      </c>
      <c r="K26" s="121">
        <f>J26/References!$G$57</f>
        <v>471.5825713508693</v>
      </c>
      <c r="L26" s="137">
        <f t="shared" si="2"/>
        <v>0.03</v>
      </c>
      <c r="M26" s="118">
        <v>4.99</v>
      </c>
      <c r="N26" s="121">
        <f t="shared" si="3"/>
        <v>5.0200000000000005</v>
      </c>
      <c r="O26" s="121">
        <f t="shared" si="4"/>
        <v>89820</v>
      </c>
      <c r="P26" s="74">
        <f t="shared" si="5"/>
        <v>5.0200000000000005</v>
      </c>
      <c r="Q26" s="74">
        <f t="shared" si="6"/>
        <v>90360.00000000001</v>
      </c>
      <c r="R26" s="74">
        <f t="shared" si="7"/>
        <v>540.0000000000146</v>
      </c>
      <c r="U26" s="153">
        <f t="shared" si="8"/>
        <v>0.006012024048096309</v>
      </c>
      <c r="V26" s="118"/>
    </row>
    <row r="27" spans="1:23" s="75" customFormat="1" ht="15">
      <c r="A27" s="80"/>
      <c r="B27" s="81"/>
      <c r="C27" s="82" t="s">
        <v>3</v>
      </c>
      <c r="D27" s="83">
        <f>SUM(D2:D26)</f>
        <v>12583</v>
      </c>
      <c r="E27" s="84"/>
      <c r="F27" s="83">
        <f>SUM(F2:F26)</f>
        <v>573734.3508000001</v>
      </c>
      <c r="G27" s="133"/>
      <c r="H27" s="85">
        <f>SUM(H2:H26)</f>
        <v>22201819.3716</v>
      </c>
      <c r="I27" s="86">
        <f>SUM(I2:I26)</f>
        <v>16648141.189430507</v>
      </c>
      <c r="J27" s="87"/>
      <c r="K27" s="87"/>
      <c r="L27" s="87"/>
      <c r="M27" s="87"/>
      <c r="N27" s="87"/>
      <c r="O27" s="88">
        <f>SUM(O2:O26)</f>
        <v>3083955.5999999996</v>
      </c>
      <c r="P27" s="88"/>
      <c r="Q27" s="88">
        <f>SUM(Q2:Q26)</f>
        <v>3101239.439999999</v>
      </c>
      <c r="R27" s="88">
        <f>SUM(R2:R26)</f>
        <v>17283.83999999977</v>
      </c>
      <c r="U27" s="160">
        <f>+R27/O27</f>
        <v>0.005604438663124649</v>
      </c>
      <c r="V27" s="118"/>
      <c r="W27" s="75">
        <f>+I27/F27</f>
        <v>29.01715953771423</v>
      </c>
    </row>
    <row r="28" spans="1:22" s="75" customFormat="1" ht="15">
      <c r="A28" s="176"/>
      <c r="B28" s="177"/>
      <c r="C28" s="178"/>
      <c r="D28" s="155">
        <v>1</v>
      </c>
      <c r="E28" s="155">
        <v>1</v>
      </c>
      <c r="F28" s="154">
        <f>+E28*D28*52</f>
        <v>52</v>
      </c>
      <c r="G28" s="132">
        <f>G42</f>
        <v>175</v>
      </c>
      <c r="H28" s="79">
        <f>F28*G28</f>
        <v>9100</v>
      </c>
      <c r="I28" s="76">
        <f>$C$111*H28</f>
        <v>6823.678829565206</v>
      </c>
      <c r="J28" s="164">
        <f>References!$C$49*I28</f>
        <v>6.823678829565212</v>
      </c>
      <c r="K28" s="164">
        <f>J28/References!$G$57</f>
        <v>7.012093789694298</v>
      </c>
      <c r="L28" s="164">
        <f>ROUND((K28/F28),2)</f>
        <v>0.13</v>
      </c>
      <c r="M28" s="179">
        <v>18.65</v>
      </c>
      <c r="N28" s="164">
        <f aca="true" t="shared" si="10" ref="N28:N35">L28+M28</f>
        <v>18.779999999999998</v>
      </c>
      <c r="O28" s="164">
        <f>F28*M28</f>
        <v>969.8</v>
      </c>
      <c r="P28" s="74">
        <f>N28</f>
        <v>18.779999999999998</v>
      </c>
      <c r="Q28" s="74">
        <f>F28*P28</f>
        <v>976.5599999999998</v>
      </c>
      <c r="R28" s="74">
        <f>Q28-O28</f>
        <v>6.759999999999877</v>
      </c>
      <c r="U28" s="160"/>
      <c r="V28" s="118"/>
    </row>
    <row r="29" spans="1:25" s="75" customFormat="1" ht="15" customHeight="1">
      <c r="A29" s="174" t="s">
        <v>99</v>
      </c>
      <c r="B29" s="72">
        <v>36</v>
      </c>
      <c r="C29" s="155" t="s">
        <v>113</v>
      </c>
      <c r="D29" s="155">
        <v>1</v>
      </c>
      <c r="E29" s="155">
        <v>0.5</v>
      </c>
      <c r="F29" s="154">
        <f>+E29*D29*52</f>
        <v>26</v>
      </c>
      <c r="G29" s="132">
        <f>References!$B$26</f>
        <v>29</v>
      </c>
      <c r="H29" s="79">
        <f aca="true" t="shared" si="11" ref="H29:H89">F29*G29</f>
        <v>754</v>
      </c>
      <c r="I29" s="76">
        <f aca="true" t="shared" si="12" ref="I29:I35">$C$111*H29</f>
        <v>565.3905315925457</v>
      </c>
      <c r="J29" s="73">
        <f>References!$C$49*I29</f>
        <v>0.5653905315925462</v>
      </c>
      <c r="K29" s="73">
        <f>J29/References!$G$57</f>
        <v>0.5810020568603846</v>
      </c>
      <c r="L29" s="121">
        <f>ROUND((K29/F29),2)</f>
        <v>0.02</v>
      </c>
      <c r="M29" s="27">
        <v>4.049999999999999</v>
      </c>
      <c r="N29" s="73">
        <f t="shared" si="10"/>
        <v>4.0699999999999985</v>
      </c>
      <c r="O29" s="73">
        <f aca="true" t="shared" si="13" ref="O29:O70">F29*M29</f>
        <v>105.29999999999997</v>
      </c>
      <c r="P29" s="74">
        <f aca="true" t="shared" si="14" ref="P29:P70">N29</f>
        <v>4.0699999999999985</v>
      </c>
      <c r="Q29" s="74">
        <f aca="true" t="shared" si="15" ref="Q29:Q70">F29*P29</f>
        <v>105.81999999999996</v>
      </c>
      <c r="R29" s="74">
        <f aca="true" t="shared" si="16" ref="R29:R70">Q29-O29</f>
        <v>0.519999999999996</v>
      </c>
      <c r="S29" s="75">
        <f>16.01*(1+U29)</f>
        <v>16.089061728395063</v>
      </c>
      <c r="U29" s="153">
        <f aca="true" t="shared" si="17" ref="U29:U81">+N29/M29-1</f>
        <v>0.004938271604938205</v>
      </c>
      <c r="V29" s="118"/>
      <c r="X29" s="75">
        <f>32/202</f>
        <v>0.15841584158415842</v>
      </c>
      <c r="Y29" s="161">
        <f>+X29*F29</f>
        <v>4.118811881188119</v>
      </c>
    </row>
    <row r="30" spans="1:25" s="75" customFormat="1" ht="15">
      <c r="A30" s="173"/>
      <c r="B30" s="72">
        <v>36</v>
      </c>
      <c r="C30" s="155" t="s">
        <v>114</v>
      </c>
      <c r="D30" s="155">
        <v>30</v>
      </c>
      <c r="E30" s="155">
        <v>1</v>
      </c>
      <c r="F30" s="154">
        <f aca="true" t="shared" si="18" ref="F30:F93">+E30*D30*52</f>
        <v>1560</v>
      </c>
      <c r="G30" s="132">
        <f>References!$B$26</f>
        <v>29</v>
      </c>
      <c r="H30" s="79">
        <f t="shared" si="11"/>
        <v>45240</v>
      </c>
      <c r="I30" s="76">
        <f t="shared" si="12"/>
        <v>33923.43189555274</v>
      </c>
      <c r="J30" s="73">
        <f>References!$C$49*I30</f>
        <v>33.923431895552774</v>
      </c>
      <c r="K30" s="121">
        <f>J30/References!$G$57</f>
        <v>34.860123411623086</v>
      </c>
      <c r="L30" s="121">
        <f aca="true" t="shared" si="19" ref="L30:L99">ROUND((K30/F30),2)</f>
        <v>0.02</v>
      </c>
      <c r="M30" s="27">
        <v>4.049999999999999</v>
      </c>
      <c r="N30" s="73">
        <f t="shared" si="10"/>
        <v>4.0699999999999985</v>
      </c>
      <c r="O30" s="73">
        <f t="shared" si="13"/>
        <v>6317.999999999998</v>
      </c>
      <c r="P30" s="74">
        <f t="shared" si="14"/>
        <v>4.0699999999999985</v>
      </c>
      <c r="Q30" s="74">
        <f t="shared" si="15"/>
        <v>6349.199999999998</v>
      </c>
      <c r="R30" s="74">
        <f t="shared" si="16"/>
        <v>31.199999999999818</v>
      </c>
      <c r="U30" s="153">
        <f t="shared" si="17"/>
        <v>0.004938271604938205</v>
      </c>
      <c r="V30" s="118"/>
      <c r="X30" s="75">
        <f>32/202</f>
        <v>0.15841584158415842</v>
      </c>
      <c r="Y30" s="161">
        <f aca="true" t="shared" si="20" ref="Y30:Y93">+X30*F30</f>
        <v>247.12871287128712</v>
      </c>
    </row>
    <row r="31" spans="1:25" s="75" customFormat="1" ht="15">
      <c r="A31" s="173"/>
      <c r="B31" s="72">
        <v>36</v>
      </c>
      <c r="C31" s="155" t="s">
        <v>115</v>
      </c>
      <c r="D31" s="155">
        <v>32</v>
      </c>
      <c r="E31" s="155">
        <v>1</v>
      </c>
      <c r="F31" s="154">
        <f t="shared" si="18"/>
        <v>1664</v>
      </c>
      <c r="G31" s="132">
        <f>References!$B$26</f>
        <v>29</v>
      </c>
      <c r="H31" s="79">
        <f t="shared" si="11"/>
        <v>48256</v>
      </c>
      <c r="I31" s="76">
        <f t="shared" si="12"/>
        <v>36184.994021922925</v>
      </c>
      <c r="J31" s="73">
        <f>References!$C$49*I31</f>
        <v>36.184994021922954</v>
      </c>
      <c r="K31" s="121">
        <f>J31/References!$G$57</f>
        <v>37.18413163906462</v>
      </c>
      <c r="L31" s="121">
        <f t="shared" si="19"/>
        <v>0.02</v>
      </c>
      <c r="M31" s="27">
        <v>4.049999999999999</v>
      </c>
      <c r="N31" s="73">
        <f t="shared" si="10"/>
        <v>4.0699999999999985</v>
      </c>
      <c r="O31" s="73">
        <f t="shared" si="13"/>
        <v>6739.199999999998</v>
      </c>
      <c r="P31" s="74">
        <f t="shared" si="14"/>
        <v>4.0699999999999985</v>
      </c>
      <c r="Q31" s="74">
        <f t="shared" si="15"/>
        <v>6772.479999999998</v>
      </c>
      <c r="R31" s="74">
        <f t="shared" si="16"/>
        <v>33.279999999999745</v>
      </c>
      <c r="U31" s="153">
        <f t="shared" si="17"/>
        <v>0.004938271604938205</v>
      </c>
      <c r="V31" s="118"/>
      <c r="X31" s="75">
        <f>32/202</f>
        <v>0.15841584158415842</v>
      </c>
      <c r="Y31" s="161">
        <f t="shared" si="20"/>
        <v>263.6039603960396</v>
      </c>
    </row>
    <row r="32" spans="1:25" s="75" customFormat="1" ht="15">
      <c r="A32" s="173"/>
      <c r="B32" s="72">
        <v>36</v>
      </c>
      <c r="C32" s="155" t="s">
        <v>116</v>
      </c>
      <c r="D32" s="155">
        <v>12</v>
      </c>
      <c r="E32" s="155">
        <v>1</v>
      </c>
      <c r="F32" s="154">
        <f t="shared" si="18"/>
        <v>624</v>
      </c>
      <c r="G32" s="132">
        <f>References!$B$26</f>
        <v>29</v>
      </c>
      <c r="H32" s="79">
        <f t="shared" si="11"/>
        <v>18096</v>
      </c>
      <c r="I32" s="76">
        <f t="shared" si="12"/>
        <v>13569.372758221096</v>
      </c>
      <c r="J32" s="73">
        <f>References!$C$49*I32</f>
        <v>13.569372758221109</v>
      </c>
      <c r="K32" s="121">
        <f>J32/References!$G$57</f>
        <v>13.944049364649233</v>
      </c>
      <c r="L32" s="121">
        <f t="shared" si="19"/>
        <v>0.02</v>
      </c>
      <c r="M32" s="27">
        <v>4.049999999999999</v>
      </c>
      <c r="N32" s="73">
        <f t="shared" si="10"/>
        <v>4.0699999999999985</v>
      </c>
      <c r="O32" s="73">
        <f t="shared" si="13"/>
        <v>2527.1999999999994</v>
      </c>
      <c r="P32" s="74">
        <f t="shared" si="14"/>
        <v>4.0699999999999985</v>
      </c>
      <c r="Q32" s="74">
        <f t="shared" si="15"/>
        <v>2539.679999999999</v>
      </c>
      <c r="R32" s="74">
        <f t="shared" si="16"/>
        <v>12.479999999999563</v>
      </c>
      <c r="U32" s="153">
        <f t="shared" si="17"/>
        <v>0.004938271604938205</v>
      </c>
      <c r="V32" s="118"/>
      <c r="X32" s="75">
        <f>32/202</f>
        <v>0.15841584158415842</v>
      </c>
      <c r="Y32" s="161">
        <f t="shared" si="20"/>
        <v>98.85148514851485</v>
      </c>
    </row>
    <row r="33" spans="1:25" s="75" customFormat="1" ht="15">
      <c r="A33" s="173"/>
      <c r="B33" s="72">
        <v>36</v>
      </c>
      <c r="C33" s="155" t="s">
        <v>117</v>
      </c>
      <c r="D33" s="155">
        <v>1</v>
      </c>
      <c r="E33" s="155">
        <v>1</v>
      </c>
      <c r="F33" s="154">
        <f t="shared" si="18"/>
        <v>52</v>
      </c>
      <c r="G33" s="132">
        <f>References!$B$26</f>
        <v>29</v>
      </c>
      <c r="H33" s="79">
        <f t="shared" si="11"/>
        <v>1508</v>
      </c>
      <c r="I33" s="76">
        <f t="shared" si="12"/>
        <v>1130.7810631850914</v>
      </c>
      <c r="J33" s="73">
        <f>References!$C$49*I33</f>
        <v>1.1307810631850923</v>
      </c>
      <c r="K33" s="121">
        <f>J33/References!$G$57</f>
        <v>1.1620041137207693</v>
      </c>
      <c r="L33" s="121">
        <f t="shared" si="19"/>
        <v>0.02</v>
      </c>
      <c r="M33" s="27">
        <v>5.299999999999999</v>
      </c>
      <c r="N33" s="73">
        <f t="shared" si="10"/>
        <v>5.3199999999999985</v>
      </c>
      <c r="O33" s="73">
        <f t="shared" si="13"/>
        <v>275.59999999999997</v>
      </c>
      <c r="P33" s="74">
        <f t="shared" si="14"/>
        <v>5.3199999999999985</v>
      </c>
      <c r="Q33" s="74">
        <f t="shared" si="15"/>
        <v>276.63999999999993</v>
      </c>
      <c r="R33" s="74">
        <f t="shared" si="16"/>
        <v>1.0399999999999636</v>
      </c>
      <c r="U33" s="153">
        <f t="shared" si="17"/>
        <v>0.0037735849056603765</v>
      </c>
      <c r="V33" s="118"/>
      <c r="X33" s="75">
        <f>35/202</f>
        <v>0.17326732673267325</v>
      </c>
      <c r="Y33" s="161">
        <f t="shared" si="20"/>
        <v>9.009900990099009</v>
      </c>
    </row>
    <row r="34" spans="1:25" s="75" customFormat="1" ht="15">
      <c r="A34" s="173"/>
      <c r="B34" s="72">
        <v>36</v>
      </c>
      <c r="C34" s="155" t="s">
        <v>118</v>
      </c>
      <c r="D34" s="155">
        <v>2</v>
      </c>
      <c r="E34" s="155">
        <v>1</v>
      </c>
      <c r="F34" s="154">
        <f t="shared" si="18"/>
        <v>104</v>
      </c>
      <c r="G34" s="132">
        <f>References!$B$26</f>
        <v>29</v>
      </c>
      <c r="H34" s="79">
        <f t="shared" si="11"/>
        <v>3016</v>
      </c>
      <c r="I34" s="76">
        <f t="shared" si="12"/>
        <v>2261.562126370183</v>
      </c>
      <c r="J34" s="73">
        <f>References!$C$49*I34</f>
        <v>2.2615621263701846</v>
      </c>
      <c r="K34" s="121">
        <f>J34/References!$G$57</f>
        <v>2.3240082274415386</v>
      </c>
      <c r="L34" s="121">
        <f t="shared" si="19"/>
        <v>0.02</v>
      </c>
      <c r="M34" s="27">
        <v>5.299999999999999</v>
      </c>
      <c r="N34" s="73">
        <f t="shared" si="10"/>
        <v>5.3199999999999985</v>
      </c>
      <c r="O34" s="73">
        <f t="shared" si="13"/>
        <v>551.1999999999999</v>
      </c>
      <c r="P34" s="74">
        <f t="shared" si="14"/>
        <v>5.3199999999999985</v>
      </c>
      <c r="Q34" s="74">
        <f t="shared" si="15"/>
        <v>553.2799999999999</v>
      </c>
      <c r="R34" s="74">
        <f t="shared" si="16"/>
        <v>2.0799999999999272</v>
      </c>
      <c r="S34" s="75">
        <v>16.01</v>
      </c>
      <c r="U34" s="153">
        <f t="shared" si="17"/>
        <v>0.0037735849056603765</v>
      </c>
      <c r="V34" s="118"/>
      <c r="X34" s="75">
        <f>35/202</f>
        <v>0.17326732673267325</v>
      </c>
      <c r="Y34" s="161">
        <f t="shared" si="20"/>
        <v>18.019801980198018</v>
      </c>
    </row>
    <row r="35" spans="1:25" s="75" customFormat="1" ht="15">
      <c r="A35" s="173"/>
      <c r="B35" s="72">
        <v>36</v>
      </c>
      <c r="C35" s="155" t="s">
        <v>119</v>
      </c>
      <c r="D35" s="155">
        <v>8</v>
      </c>
      <c r="E35" s="155">
        <v>1</v>
      </c>
      <c r="F35" s="154">
        <f t="shared" si="18"/>
        <v>416</v>
      </c>
      <c r="G35" s="132">
        <v>47</v>
      </c>
      <c r="H35" s="79">
        <f t="shared" si="11"/>
        <v>19552</v>
      </c>
      <c r="I35" s="76">
        <f t="shared" si="12"/>
        <v>14661.161370951528</v>
      </c>
      <c r="J35" s="73">
        <f>References!$C$49*I35</f>
        <v>14.661161370951541</v>
      </c>
      <c r="K35" s="121">
        <f>J35/References!$G$57</f>
        <v>15.065984371000319</v>
      </c>
      <c r="L35" s="121">
        <f t="shared" si="19"/>
        <v>0.04</v>
      </c>
      <c r="M35" s="27">
        <v>7.859999999999999</v>
      </c>
      <c r="N35" s="73">
        <f t="shared" si="10"/>
        <v>7.8999999999999995</v>
      </c>
      <c r="O35" s="73">
        <f t="shared" si="13"/>
        <v>3269.7599999999998</v>
      </c>
      <c r="P35" s="74">
        <f t="shared" si="14"/>
        <v>7.8999999999999995</v>
      </c>
      <c r="Q35" s="74">
        <f t="shared" si="15"/>
        <v>3286.3999999999996</v>
      </c>
      <c r="R35" s="74">
        <f t="shared" si="16"/>
        <v>16.639999999999873</v>
      </c>
      <c r="S35" s="75">
        <v>16.09</v>
      </c>
      <c r="U35" s="153">
        <f t="shared" si="17"/>
        <v>0.0050890585241729624</v>
      </c>
      <c r="V35" s="119"/>
      <c r="X35" s="75">
        <f>64/202</f>
        <v>0.31683168316831684</v>
      </c>
      <c r="Y35" s="161">
        <f t="shared" si="20"/>
        <v>131.8019801980198</v>
      </c>
    </row>
    <row r="36" spans="1:25" s="75" customFormat="1" ht="15">
      <c r="A36" s="173"/>
      <c r="B36" s="72">
        <v>36</v>
      </c>
      <c r="C36" s="155" t="s">
        <v>120</v>
      </c>
      <c r="D36" s="155">
        <v>2</v>
      </c>
      <c r="E36" s="155">
        <v>1</v>
      </c>
      <c r="F36" s="154">
        <f t="shared" si="18"/>
        <v>104</v>
      </c>
      <c r="G36" s="132">
        <v>47</v>
      </c>
      <c r="H36" s="79">
        <f aca="true" t="shared" si="21" ref="H36:H45">F36*G36</f>
        <v>4888</v>
      </c>
      <c r="I36" s="76">
        <f aca="true" t="shared" si="22" ref="I36:I45">$C$111*H36</f>
        <v>3665.290342737882</v>
      </c>
      <c r="J36" s="121">
        <f>References!$C$49*I36</f>
        <v>3.6652903427378853</v>
      </c>
      <c r="K36" s="121">
        <f>J36/References!$G$57</f>
        <v>3.7664960927500797</v>
      </c>
      <c r="L36" s="121">
        <f aca="true" t="shared" si="23" ref="L36:L45">ROUND((K36/F36),2)</f>
        <v>0.04</v>
      </c>
      <c r="M36" s="27">
        <v>7.859999999999999</v>
      </c>
      <c r="N36" s="121">
        <f aca="true" t="shared" si="24" ref="N36:N45">L36+M36</f>
        <v>7.8999999999999995</v>
      </c>
      <c r="O36" s="121">
        <f aca="true" t="shared" si="25" ref="O36:O45">F36*M36</f>
        <v>817.4399999999999</v>
      </c>
      <c r="P36" s="74">
        <f aca="true" t="shared" si="26" ref="P36:P45">N36</f>
        <v>7.8999999999999995</v>
      </c>
      <c r="Q36" s="74">
        <f aca="true" t="shared" si="27" ref="Q36:Q45">F36*P36</f>
        <v>821.5999999999999</v>
      </c>
      <c r="R36" s="74">
        <f aca="true" t="shared" si="28" ref="R36:R45">Q36-O36</f>
        <v>4.159999999999968</v>
      </c>
      <c r="S36" s="75">
        <f>+S35-S34</f>
        <v>0.0799999999999983</v>
      </c>
      <c r="U36" s="153">
        <f t="shared" si="17"/>
        <v>0.0050890585241729624</v>
      </c>
      <c r="V36" s="119"/>
      <c r="X36" s="75">
        <f>64/202</f>
        <v>0.31683168316831684</v>
      </c>
      <c r="Y36" s="161">
        <f t="shared" si="20"/>
        <v>32.95049504950495</v>
      </c>
    </row>
    <row r="37" spans="1:25" s="75" customFormat="1" ht="15">
      <c r="A37" s="173"/>
      <c r="B37" s="72">
        <v>36</v>
      </c>
      <c r="C37" s="155" t="s">
        <v>121</v>
      </c>
      <c r="D37" s="155">
        <v>12</v>
      </c>
      <c r="E37" s="155">
        <v>1</v>
      </c>
      <c r="F37" s="154">
        <f t="shared" si="18"/>
        <v>624</v>
      </c>
      <c r="G37" s="132">
        <v>47</v>
      </c>
      <c r="H37" s="79">
        <f t="shared" si="21"/>
        <v>29328</v>
      </c>
      <c r="I37" s="76">
        <f t="shared" si="22"/>
        <v>21991.742056427294</v>
      </c>
      <c r="J37" s="121">
        <f>References!$C$49*I37</f>
        <v>21.991742056427313</v>
      </c>
      <c r="K37" s="121">
        <f>J37/References!$G$57</f>
        <v>22.598976556500478</v>
      </c>
      <c r="L37" s="121">
        <f t="shared" si="23"/>
        <v>0.04</v>
      </c>
      <c r="M37" s="27">
        <v>7.859999999999999</v>
      </c>
      <c r="N37" s="121">
        <f t="shared" si="24"/>
        <v>7.8999999999999995</v>
      </c>
      <c r="O37" s="121">
        <f t="shared" si="25"/>
        <v>4904.639999999999</v>
      </c>
      <c r="P37" s="74">
        <f t="shared" si="26"/>
        <v>7.8999999999999995</v>
      </c>
      <c r="Q37" s="74">
        <f t="shared" si="27"/>
        <v>4929.599999999999</v>
      </c>
      <c r="R37" s="74">
        <f t="shared" si="28"/>
        <v>24.960000000000036</v>
      </c>
      <c r="S37" s="75">
        <f>+S36/S34</f>
        <v>0.004996876951904952</v>
      </c>
      <c r="U37" s="153">
        <f t="shared" si="17"/>
        <v>0.0050890585241729624</v>
      </c>
      <c r="V37" s="119"/>
      <c r="X37" s="75">
        <f>64/202</f>
        <v>0.31683168316831684</v>
      </c>
      <c r="Y37" s="161">
        <f t="shared" si="20"/>
        <v>197.7029702970297</v>
      </c>
    </row>
    <row r="38" spans="1:25" s="75" customFormat="1" ht="15">
      <c r="A38" s="173"/>
      <c r="B38" s="72">
        <v>36</v>
      </c>
      <c r="C38" s="155" t="s">
        <v>122</v>
      </c>
      <c r="D38" s="155">
        <v>10</v>
      </c>
      <c r="E38" s="155">
        <v>1</v>
      </c>
      <c r="F38" s="154">
        <f t="shared" si="18"/>
        <v>520</v>
      </c>
      <c r="G38" s="132">
        <v>47</v>
      </c>
      <c r="H38" s="79">
        <f t="shared" si="21"/>
        <v>24440</v>
      </c>
      <c r="I38" s="76">
        <f t="shared" si="22"/>
        <v>18326.45171368941</v>
      </c>
      <c r="J38" s="121">
        <f>References!$C$49*I38</f>
        <v>18.326451713689426</v>
      </c>
      <c r="K38" s="121">
        <f>J38/References!$G$57</f>
        <v>18.8324804637504</v>
      </c>
      <c r="L38" s="121">
        <f t="shared" si="23"/>
        <v>0.04</v>
      </c>
      <c r="M38" s="27">
        <v>7.859999999999999</v>
      </c>
      <c r="N38" s="121">
        <f t="shared" si="24"/>
        <v>7.8999999999999995</v>
      </c>
      <c r="O38" s="121">
        <f t="shared" si="25"/>
        <v>4087.2</v>
      </c>
      <c r="P38" s="74">
        <f t="shared" si="26"/>
        <v>7.8999999999999995</v>
      </c>
      <c r="Q38" s="74">
        <f t="shared" si="27"/>
        <v>4108</v>
      </c>
      <c r="R38" s="74">
        <f t="shared" si="28"/>
        <v>20.800000000000182</v>
      </c>
      <c r="U38" s="153">
        <f t="shared" si="17"/>
        <v>0.0050890585241729624</v>
      </c>
      <c r="V38" s="119"/>
      <c r="X38" s="75">
        <f>64/202</f>
        <v>0.31683168316831684</v>
      </c>
      <c r="Y38" s="161">
        <f t="shared" si="20"/>
        <v>164.75247524752476</v>
      </c>
    </row>
    <row r="39" spans="1:25" s="75" customFormat="1" ht="15">
      <c r="A39" s="173"/>
      <c r="B39" s="72">
        <v>36</v>
      </c>
      <c r="C39" s="155" t="s">
        <v>123</v>
      </c>
      <c r="D39" s="155">
        <v>150</v>
      </c>
      <c r="E39" s="155">
        <v>1</v>
      </c>
      <c r="F39" s="154">
        <f t="shared" si="18"/>
        <v>7800</v>
      </c>
      <c r="G39" s="132">
        <v>47</v>
      </c>
      <c r="H39" s="79">
        <f t="shared" si="21"/>
        <v>366600</v>
      </c>
      <c r="I39" s="76">
        <f t="shared" si="22"/>
        <v>274896.77570534113</v>
      </c>
      <c r="J39" s="121">
        <f>References!$C$49*I39</f>
        <v>274.8967757053414</v>
      </c>
      <c r="K39" s="121">
        <f>J39/References!$G$57</f>
        <v>282.487206956256</v>
      </c>
      <c r="L39" s="121">
        <f t="shared" si="23"/>
        <v>0.04</v>
      </c>
      <c r="M39" s="27">
        <v>7.859999999999999</v>
      </c>
      <c r="N39" s="121">
        <f t="shared" si="24"/>
        <v>7.8999999999999995</v>
      </c>
      <c r="O39" s="121">
        <f t="shared" si="25"/>
        <v>61307.99999999999</v>
      </c>
      <c r="P39" s="74">
        <f t="shared" si="26"/>
        <v>7.8999999999999995</v>
      </c>
      <c r="Q39" s="74">
        <f t="shared" si="27"/>
        <v>61619.99999999999</v>
      </c>
      <c r="R39" s="74">
        <f t="shared" si="28"/>
        <v>312</v>
      </c>
      <c r="U39" s="153">
        <f t="shared" si="17"/>
        <v>0.0050890585241729624</v>
      </c>
      <c r="V39" s="119"/>
      <c r="X39" s="75">
        <f>64/202</f>
        <v>0.31683168316831684</v>
      </c>
      <c r="Y39" s="161">
        <f t="shared" si="20"/>
        <v>2471.2871287128714</v>
      </c>
    </row>
    <row r="40" spans="1:25" s="75" customFormat="1" ht="15">
      <c r="A40" s="173"/>
      <c r="B40" s="72">
        <v>36</v>
      </c>
      <c r="C40" s="155" t="s">
        <v>124</v>
      </c>
      <c r="D40" s="155">
        <v>12</v>
      </c>
      <c r="E40" s="155">
        <v>1</v>
      </c>
      <c r="F40" s="154">
        <f t="shared" si="18"/>
        <v>624</v>
      </c>
      <c r="G40" s="132">
        <v>68</v>
      </c>
      <c r="H40" s="79">
        <f t="shared" si="21"/>
        <v>42432</v>
      </c>
      <c r="I40" s="76">
        <f t="shared" si="22"/>
        <v>31817.83957100119</v>
      </c>
      <c r="J40" s="121">
        <f>References!$C$49*I40</f>
        <v>31.81783957100122</v>
      </c>
      <c r="K40" s="121">
        <f>J40/References!$G$57</f>
        <v>32.69639161366027</v>
      </c>
      <c r="L40" s="121">
        <f t="shared" si="23"/>
        <v>0.05</v>
      </c>
      <c r="M40" s="27">
        <v>10.860000000000003</v>
      </c>
      <c r="N40" s="121">
        <f t="shared" si="24"/>
        <v>10.910000000000004</v>
      </c>
      <c r="O40" s="121">
        <f t="shared" si="25"/>
        <v>6776.640000000002</v>
      </c>
      <c r="P40" s="74">
        <f t="shared" si="26"/>
        <v>10.910000000000004</v>
      </c>
      <c r="Q40" s="74">
        <f t="shared" si="27"/>
        <v>6807.840000000002</v>
      </c>
      <c r="R40" s="74">
        <f t="shared" si="28"/>
        <v>31.199999999999818</v>
      </c>
      <c r="U40" s="153">
        <f t="shared" si="17"/>
        <v>0.004604051565377576</v>
      </c>
      <c r="V40" s="119"/>
      <c r="X40" s="75">
        <f>96/202</f>
        <v>0.4752475247524752</v>
      </c>
      <c r="Y40" s="161">
        <f t="shared" si="20"/>
        <v>296.55445544554453</v>
      </c>
    </row>
    <row r="41" spans="1:25" s="75" customFormat="1" ht="15">
      <c r="A41" s="173"/>
      <c r="B41" s="72">
        <v>36</v>
      </c>
      <c r="C41" s="155" t="s">
        <v>125</v>
      </c>
      <c r="D41" s="155">
        <v>2</v>
      </c>
      <c r="E41" s="155">
        <v>1</v>
      </c>
      <c r="F41" s="154">
        <f t="shared" si="18"/>
        <v>104</v>
      </c>
      <c r="G41" s="132">
        <v>68</v>
      </c>
      <c r="H41" s="79">
        <f t="shared" si="21"/>
        <v>7072</v>
      </c>
      <c r="I41" s="76">
        <f t="shared" si="22"/>
        <v>5302.973261833532</v>
      </c>
      <c r="J41" s="121">
        <f>References!$C$49*I41</f>
        <v>5.302973261833537</v>
      </c>
      <c r="K41" s="121">
        <f>J41/References!$G$57</f>
        <v>5.449398602276712</v>
      </c>
      <c r="L41" s="121">
        <f t="shared" si="23"/>
        <v>0.05</v>
      </c>
      <c r="M41" s="27">
        <v>10.860000000000003</v>
      </c>
      <c r="N41" s="121">
        <f t="shared" si="24"/>
        <v>10.910000000000004</v>
      </c>
      <c r="O41" s="121">
        <f t="shared" si="25"/>
        <v>1129.4400000000003</v>
      </c>
      <c r="P41" s="74">
        <f t="shared" si="26"/>
        <v>10.910000000000004</v>
      </c>
      <c r="Q41" s="74">
        <f t="shared" si="27"/>
        <v>1134.6400000000003</v>
      </c>
      <c r="R41" s="74">
        <f t="shared" si="28"/>
        <v>5.2000000000000455</v>
      </c>
      <c r="U41" s="153">
        <f t="shared" si="17"/>
        <v>0.004604051565377576</v>
      </c>
      <c r="V41" s="119"/>
      <c r="X41" s="75">
        <f>96/202</f>
        <v>0.4752475247524752</v>
      </c>
      <c r="Y41" s="161">
        <f t="shared" si="20"/>
        <v>49.42574257425743</v>
      </c>
    </row>
    <row r="42" spans="1:25" s="75" customFormat="1" ht="15">
      <c r="A42" s="173"/>
      <c r="B42" s="72">
        <v>33</v>
      </c>
      <c r="C42" s="155" t="s">
        <v>126</v>
      </c>
      <c r="D42" s="155">
        <v>59</v>
      </c>
      <c r="E42" s="155">
        <v>0.5</v>
      </c>
      <c r="F42" s="154">
        <f t="shared" si="18"/>
        <v>1534</v>
      </c>
      <c r="G42" s="132">
        <f>+References!B27</f>
        <v>175</v>
      </c>
      <c r="H42" s="79">
        <f t="shared" si="21"/>
        <v>268450</v>
      </c>
      <c r="I42" s="76">
        <f t="shared" si="22"/>
        <v>201298.52547217358</v>
      </c>
      <c r="J42" s="121">
        <f>References!$C$49*I42</f>
        <v>201.29852547217376</v>
      </c>
      <c r="K42" s="121">
        <f>J42/References!$G$57</f>
        <v>206.8567667959818</v>
      </c>
      <c r="L42" s="121">
        <f t="shared" si="23"/>
        <v>0.13</v>
      </c>
      <c r="M42" s="27">
        <v>18.529999999999998</v>
      </c>
      <c r="N42" s="121">
        <f t="shared" si="24"/>
        <v>18.659999999999997</v>
      </c>
      <c r="O42" s="121">
        <f t="shared" si="25"/>
        <v>28425.019999999997</v>
      </c>
      <c r="P42" s="74">
        <f t="shared" si="26"/>
        <v>18.659999999999997</v>
      </c>
      <c r="Q42" s="74">
        <f t="shared" si="27"/>
        <v>28624.439999999995</v>
      </c>
      <c r="R42" s="74">
        <f t="shared" si="28"/>
        <v>199.41999999999825</v>
      </c>
      <c r="U42" s="153">
        <f t="shared" si="17"/>
        <v>0.007015650296815945</v>
      </c>
      <c r="V42" s="119"/>
      <c r="X42" s="75">
        <f>96/202</f>
        <v>0.4752475247524752</v>
      </c>
      <c r="Y42" s="161">
        <f t="shared" si="20"/>
        <v>729.029702970297</v>
      </c>
    </row>
    <row r="43" spans="1:25" s="75" customFormat="1" ht="15">
      <c r="A43" s="173"/>
      <c r="B43" s="72">
        <v>33</v>
      </c>
      <c r="C43" s="155" t="s">
        <v>127</v>
      </c>
      <c r="D43" s="155">
        <v>148</v>
      </c>
      <c r="E43" s="155">
        <v>1</v>
      </c>
      <c r="F43" s="154">
        <f t="shared" si="18"/>
        <v>7696</v>
      </c>
      <c r="G43" s="132">
        <f>+G42</f>
        <v>175</v>
      </c>
      <c r="H43" s="79">
        <f t="shared" si="21"/>
        <v>1346800</v>
      </c>
      <c r="I43" s="76">
        <f t="shared" si="22"/>
        <v>1009904.4667756505</v>
      </c>
      <c r="J43" s="121">
        <f>References!$C$49*I43</f>
        <v>1009.9044667756514</v>
      </c>
      <c r="K43" s="121">
        <f>J43/References!$G$57</f>
        <v>1037.789880874756</v>
      </c>
      <c r="L43" s="121">
        <f t="shared" si="23"/>
        <v>0.13</v>
      </c>
      <c r="M43" s="27">
        <v>18.529999999999998</v>
      </c>
      <c r="N43" s="121">
        <f t="shared" si="24"/>
        <v>18.659999999999997</v>
      </c>
      <c r="O43" s="121">
        <f t="shared" si="25"/>
        <v>142606.87999999998</v>
      </c>
      <c r="P43" s="74">
        <f t="shared" si="26"/>
        <v>18.659999999999997</v>
      </c>
      <c r="Q43" s="74">
        <f t="shared" si="27"/>
        <v>143607.36</v>
      </c>
      <c r="R43" s="74">
        <f t="shared" si="28"/>
        <v>1000.4800000000105</v>
      </c>
      <c r="U43" s="153">
        <f t="shared" si="17"/>
        <v>0.007015650296815945</v>
      </c>
      <c r="V43" s="119"/>
      <c r="X43" s="75">
        <v>1</v>
      </c>
      <c r="Y43" s="161">
        <f t="shared" si="20"/>
        <v>7696</v>
      </c>
    </row>
    <row r="44" spans="1:25" s="75" customFormat="1" ht="15">
      <c r="A44" s="173"/>
      <c r="B44" s="72">
        <v>33</v>
      </c>
      <c r="C44" s="155" t="s">
        <v>128</v>
      </c>
      <c r="D44" s="155">
        <v>2</v>
      </c>
      <c r="E44" s="155">
        <v>1</v>
      </c>
      <c r="F44" s="154">
        <f t="shared" si="18"/>
        <v>104</v>
      </c>
      <c r="G44" s="132">
        <f>+G43</f>
        <v>175</v>
      </c>
      <c r="H44" s="79">
        <f t="shared" si="21"/>
        <v>18200</v>
      </c>
      <c r="I44" s="76">
        <f t="shared" si="22"/>
        <v>13647.357659130412</v>
      </c>
      <c r="J44" s="121">
        <f>References!$C$49*I44</f>
        <v>13.647357659130424</v>
      </c>
      <c r="K44" s="121">
        <f>J44/References!$G$57</f>
        <v>14.024187579388595</v>
      </c>
      <c r="L44" s="121">
        <f t="shared" si="23"/>
        <v>0.13</v>
      </c>
      <c r="M44" s="27">
        <v>18.529999999999998</v>
      </c>
      <c r="N44" s="121">
        <f t="shared" si="24"/>
        <v>18.659999999999997</v>
      </c>
      <c r="O44" s="121">
        <f t="shared" si="25"/>
        <v>1927.1199999999997</v>
      </c>
      <c r="P44" s="74">
        <f t="shared" si="26"/>
        <v>18.659999999999997</v>
      </c>
      <c r="Q44" s="74">
        <f t="shared" si="27"/>
        <v>1940.6399999999996</v>
      </c>
      <c r="R44" s="74">
        <f t="shared" si="28"/>
        <v>13.519999999999982</v>
      </c>
      <c r="U44" s="153">
        <f t="shared" si="17"/>
        <v>0.007015650296815945</v>
      </c>
      <c r="V44" s="119"/>
      <c r="X44" s="75">
        <v>1</v>
      </c>
      <c r="Y44" s="161">
        <f t="shared" si="20"/>
        <v>104</v>
      </c>
    </row>
    <row r="45" spans="1:25" s="75" customFormat="1" ht="15">
      <c r="A45" s="173"/>
      <c r="B45" s="72">
        <v>33</v>
      </c>
      <c r="C45" s="155" t="s">
        <v>129</v>
      </c>
      <c r="D45" s="155">
        <v>2</v>
      </c>
      <c r="E45" s="155">
        <v>2</v>
      </c>
      <c r="F45" s="154">
        <f t="shared" si="18"/>
        <v>208</v>
      </c>
      <c r="G45" s="132">
        <f>+G44</f>
        <v>175</v>
      </c>
      <c r="H45" s="79">
        <f t="shared" si="21"/>
        <v>36400</v>
      </c>
      <c r="I45" s="76">
        <f t="shared" si="22"/>
        <v>27294.715318260824</v>
      </c>
      <c r="J45" s="121">
        <f>References!$C$49*I45</f>
        <v>27.29471531826085</v>
      </c>
      <c r="K45" s="121">
        <f>J45/References!$G$57</f>
        <v>28.04837515877719</v>
      </c>
      <c r="L45" s="121">
        <f t="shared" si="23"/>
        <v>0.13</v>
      </c>
      <c r="M45" s="27">
        <v>18.529999999999998</v>
      </c>
      <c r="N45" s="121">
        <f t="shared" si="24"/>
        <v>18.659999999999997</v>
      </c>
      <c r="O45" s="121">
        <f t="shared" si="25"/>
        <v>3854.2399999999993</v>
      </c>
      <c r="P45" s="74">
        <f t="shared" si="26"/>
        <v>18.659999999999997</v>
      </c>
      <c r="Q45" s="74">
        <f t="shared" si="27"/>
        <v>3881.2799999999993</v>
      </c>
      <c r="R45" s="74">
        <f t="shared" si="28"/>
        <v>27.039999999999964</v>
      </c>
      <c r="U45" s="153">
        <f t="shared" si="17"/>
        <v>0.007015650296815945</v>
      </c>
      <c r="V45" s="119"/>
      <c r="X45" s="75">
        <v>1</v>
      </c>
      <c r="Y45" s="161">
        <f t="shared" si="20"/>
        <v>208</v>
      </c>
    </row>
    <row r="46" spans="1:25" s="75" customFormat="1" ht="15">
      <c r="A46" s="173"/>
      <c r="B46" s="72">
        <v>33</v>
      </c>
      <c r="C46" s="155" t="s">
        <v>130</v>
      </c>
      <c r="D46" s="155">
        <v>3</v>
      </c>
      <c r="E46" s="155">
        <v>2</v>
      </c>
      <c r="F46" s="154">
        <f t="shared" si="18"/>
        <v>312</v>
      </c>
      <c r="G46" s="132">
        <f>+G45</f>
        <v>175</v>
      </c>
      <c r="H46" s="79">
        <f t="shared" si="11"/>
        <v>54600</v>
      </c>
      <c r="I46" s="76">
        <f aca="true" t="shared" si="29" ref="I46:I77">$C$111*H46</f>
        <v>40942.07297739124</v>
      </c>
      <c r="J46" s="73">
        <f>References!$C$49*I46</f>
        <v>40.94207297739128</v>
      </c>
      <c r="K46" s="121">
        <f>J46/References!$G$57</f>
        <v>42.07256273816579</v>
      </c>
      <c r="L46" s="121">
        <f t="shared" si="19"/>
        <v>0.13</v>
      </c>
      <c r="M46" s="27">
        <v>18.529999999999998</v>
      </c>
      <c r="N46" s="73">
        <f aca="true" t="shared" si="30" ref="N46:N89">L46+M46</f>
        <v>18.659999999999997</v>
      </c>
      <c r="O46" s="73">
        <f t="shared" si="13"/>
        <v>5781.36</v>
      </c>
      <c r="P46" s="74">
        <f t="shared" si="14"/>
        <v>18.659999999999997</v>
      </c>
      <c r="Q46" s="74">
        <f t="shared" si="15"/>
        <v>5821.919999999999</v>
      </c>
      <c r="R46" s="74">
        <f t="shared" si="16"/>
        <v>40.55999999999949</v>
      </c>
      <c r="U46" s="153">
        <f t="shared" si="17"/>
        <v>0.007015650296815945</v>
      </c>
      <c r="V46" s="119"/>
      <c r="X46" s="75">
        <v>1</v>
      </c>
      <c r="Y46" s="161">
        <f t="shared" si="20"/>
        <v>312</v>
      </c>
    </row>
    <row r="47" spans="1:25" s="75" customFormat="1" ht="15">
      <c r="A47" s="173"/>
      <c r="B47" s="72">
        <v>33</v>
      </c>
      <c r="C47" s="155" t="s">
        <v>131</v>
      </c>
      <c r="D47" s="155">
        <v>1</v>
      </c>
      <c r="E47" s="155">
        <v>3</v>
      </c>
      <c r="F47" s="154">
        <f t="shared" si="18"/>
        <v>156</v>
      </c>
      <c r="G47" s="132">
        <f>+G46</f>
        <v>175</v>
      </c>
      <c r="H47" s="79">
        <f t="shared" si="11"/>
        <v>27300</v>
      </c>
      <c r="I47" s="76">
        <f t="shared" si="29"/>
        <v>20471.03648869562</v>
      </c>
      <c r="J47" s="73">
        <f>References!$C$49*I47</f>
        <v>20.47103648869564</v>
      </c>
      <c r="K47" s="121">
        <f>J47/References!$G$57</f>
        <v>21.036281369082896</v>
      </c>
      <c r="L47" s="121">
        <f t="shared" si="19"/>
        <v>0.13</v>
      </c>
      <c r="M47" s="27">
        <v>18.529999999999998</v>
      </c>
      <c r="N47" s="73">
        <f t="shared" si="30"/>
        <v>18.659999999999997</v>
      </c>
      <c r="O47" s="73">
        <f t="shared" si="13"/>
        <v>2890.68</v>
      </c>
      <c r="P47" s="74">
        <f t="shared" si="14"/>
        <v>18.659999999999997</v>
      </c>
      <c r="Q47" s="74">
        <f t="shared" si="15"/>
        <v>2910.9599999999996</v>
      </c>
      <c r="R47" s="74">
        <f t="shared" si="16"/>
        <v>20.279999999999745</v>
      </c>
      <c r="U47" s="153">
        <f t="shared" si="17"/>
        <v>0.007015650296815945</v>
      </c>
      <c r="V47" s="119"/>
      <c r="X47" s="75">
        <v>1</v>
      </c>
      <c r="Y47" s="161">
        <f t="shared" si="20"/>
        <v>156</v>
      </c>
    </row>
    <row r="48" spans="1:25" s="75" customFormat="1" ht="15">
      <c r="A48" s="173"/>
      <c r="B48" s="72">
        <v>33</v>
      </c>
      <c r="C48" s="155" t="s">
        <v>132</v>
      </c>
      <c r="D48" s="155">
        <v>20</v>
      </c>
      <c r="E48" s="155">
        <v>0.5</v>
      </c>
      <c r="F48" s="154">
        <f t="shared" si="18"/>
        <v>520</v>
      </c>
      <c r="G48" s="132">
        <f>+References!B28</f>
        <v>250</v>
      </c>
      <c r="H48" s="79">
        <f t="shared" si="11"/>
        <v>130000</v>
      </c>
      <c r="I48" s="76">
        <f t="shared" si="29"/>
        <v>97481.1261366458</v>
      </c>
      <c r="J48" s="73">
        <f>References!$C$49*I48</f>
        <v>97.4811261366459</v>
      </c>
      <c r="K48" s="121">
        <f>J48/References!$G$57</f>
        <v>100.17276842420426</v>
      </c>
      <c r="L48" s="121">
        <f t="shared" si="19"/>
        <v>0.19</v>
      </c>
      <c r="M48" s="27">
        <v>23.640000000000004</v>
      </c>
      <c r="N48" s="73">
        <f t="shared" si="30"/>
        <v>23.830000000000005</v>
      </c>
      <c r="O48" s="73">
        <f t="shared" si="13"/>
        <v>12292.800000000003</v>
      </c>
      <c r="P48" s="74">
        <f t="shared" si="14"/>
        <v>23.830000000000005</v>
      </c>
      <c r="Q48" s="74">
        <f t="shared" si="15"/>
        <v>12391.600000000002</v>
      </c>
      <c r="R48" s="74">
        <f t="shared" si="16"/>
        <v>98.79999999999927</v>
      </c>
      <c r="U48" s="153">
        <f t="shared" si="17"/>
        <v>0.00803722504230131</v>
      </c>
      <c r="V48" s="119"/>
      <c r="X48" s="75">
        <v>1.5</v>
      </c>
      <c r="Y48" s="161">
        <f t="shared" si="20"/>
        <v>780</v>
      </c>
    </row>
    <row r="49" spans="1:25" s="75" customFormat="1" ht="15">
      <c r="A49" s="173"/>
      <c r="B49" s="72">
        <v>33</v>
      </c>
      <c r="C49" s="155" t="s">
        <v>133</v>
      </c>
      <c r="D49" s="155">
        <v>30</v>
      </c>
      <c r="E49" s="155">
        <v>1</v>
      </c>
      <c r="F49" s="154">
        <f t="shared" si="18"/>
        <v>1560</v>
      </c>
      <c r="G49" s="132">
        <f>+G48</f>
        <v>250</v>
      </c>
      <c r="H49" s="79">
        <f t="shared" si="11"/>
        <v>390000</v>
      </c>
      <c r="I49" s="76">
        <f t="shared" si="29"/>
        <v>292443.3784099374</v>
      </c>
      <c r="J49" s="73">
        <f>References!$C$49*I49</f>
        <v>292.4433784099376</v>
      </c>
      <c r="K49" s="121">
        <f>J49/References!$G$57</f>
        <v>300.51830527261274</v>
      </c>
      <c r="L49" s="121">
        <f t="shared" si="19"/>
        <v>0.19</v>
      </c>
      <c r="M49" s="27">
        <v>23.640000000000004</v>
      </c>
      <c r="N49" s="73">
        <f t="shared" si="30"/>
        <v>23.830000000000005</v>
      </c>
      <c r="O49" s="73">
        <f t="shared" si="13"/>
        <v>36878.40000000001</v>
      </c>
      <c r="P49" s="74">
        <f t="shared" si="14"/>
        <v>23.830000000000005</v>
      </c>
      <c r="Q49" s="74">
        <f t="shared" si="15"/>
        <v>37174.80000000001</v>
      </c>
      <c r="R49" s="74">
        <f t="shared" si="16"/>
        <v>296.40000000000146</v>
      </c>
      <c r="U49" s="153">
        <f t="shared" si="17"/>
        <v>0.00803722504230131</v>
      </c>
      <c r="V49" s="119"/>
      <c r="X49" s="75">
        <v>1.5</v>
      </c>
      <c r="Y49" s="161">
        <f t="shared" si="20"/>
        <v>2340</v>
      </c>
    </row>
    <row r="50" spans="1:25" s="75" customFormat="1" ht="15">
      <c r="A50" s="173"/>
      <c r="B50" s="72">
        <v>33</v>
      </c>
      <c r="C50" s="155" t="s">
        <v>134</v>
      </c>
      <c r="D50" s="155">
        <v>1</v>
      </c>
      <c r="E50" s="155">
        <v>2</v>
      </c>
      <c r="F50" s="154">
        <f t="shared" si="18"/>
        <v>104</v>
      </c>
      <c r="G50" s="132">
        <f>+G49</f>
        <v>250</v>
      </c>
      <c r="H50" s="79">
        <f t="shared" si="11"/>
        <v>26000</v>
      </c>
      <c r="I50" s="76">
        <f t="shared" si="29"/>
        <v>19496.22522732916</v>
      </c>
      <c r="J50" s="73">
        <f>References!$C$49*I50</f>
        <v>19.496225227329177</v>
      </c>
      <c r="K50" s="121">
        <f>J50/References!$G$57</f>
        <v>20.034553684840848</v>
      </c>
      <c r="L50" s="121">
        <f t="shared" si="19"/>
        <v>0.19</v>
      </c>
      <c r="M50" s="27">
        <v>23.640000000000004</v>
      </c>
      <c r="N50" s="73">
        <f t="shared" si="30"/>
        <v>23.830000000000005</v>
      </c>
      <c r="O50" s="73">
        <f t="shared" si="13"/>
        <v>2458.5600000000004</v>
      </c>
      <c r="P50" s="74">
        <f t="shared" si="14"/>
        <v>23.830000000000005</v>
      </c>
      <c r="Q50" s="74">
        <f t="shared" si="15"/>
        <v>2478.3200000000006</v>
      </c>
      <c r="R50" s="74">
        <f t="shared" si="16"/>
        <v>19.76000000000022</v>
      </c>
      <c r="U50" s="153">
        <f t="shared" si="17"/>
        <v>0.00803722504230131</v>
      </c>
      <c r="V50" s="119"/>
      <c r="X50" s="75">
        <v>1.5</v>
      </c>
      <c r="Y50" s="161">
        <f t="shared" si="20"/>
        <v>156</v>
      </c>
    </row>
    <row r="51" spans="1:25" s="75" customFormat="1" ht="15">
      <c r="A51" s="173"/>
      <c r="B51" s="72">
        <v>33</v>
      </c>
      <c r="C51" s="155" t="s">
        <v>135</v>
      </c>
      <c r="D51" s="155">
        <v>6</v>
      </c>
      <c r="E51" s="157">
        <f>1/4.333</f>
        <v>0.23078698361412414</v>
      </c>
      <c r="F51" s="154">
        <f t="shared" si="18"/>
        <v>72.00553888760673</v>
      </c>
      <c r="G51" s="132">
        <f>+References!B29</f>
        <v>324</v>
      </c>
      <c r="H51" s="79">
        <f t="shared" si="11"/>
        <v>23329.79459958458</v>
      </c>
      <c r="I51" s="76">
        <f t="shared" si="29"/>
        <v>17493.95884695494</v>
      </c>
      <c r="J51" s="73">
        <f>References!$C$49*I51</f>
        <v>17.493958846954957</v>
      </c>
      <c r="K51" s="121">
        <f>J51/References!$G$57</f>
        <v>17.9770008600649</v>
      </c>
      <c r="L51" s="121">
        <f t="shared" si="19"/>
        <v>0.25</v>
      </c>
      <c r="M51" s="27">
        <v>31.95</v>
      </c>
      <c r="N51" s="73">
        <f t="shared" si="30"/>
        <v>32.2</v>
      </c>
      <c r="O51" s="73">
        <f t="shared" si="13"/>
        <v>2300.576967459035</v>
      </c>
      <c r="P51" s="74">
        <f t="shared" si="14"/>
        <v>32.2</v>
      </c>
      <c r="Q51" s="74">
        <f t="shared" si="15"/>
        <v>2318.578352180937</v>
      </c>
      <c r="R51" s="74">
        <f t="shared" si="16"/>
        <v>18.001384721902014</v>
      </c>
      <c r="U51" s="153">
        <f t="shared" si="17"/>
        <v>0.007824726134585402</v>
      </c>
      <c r="V51" s="119"/>
      <c r="X51" s="75">
        <v>2</v>
      </c>
      <c r="Y51" s="161">
        <f t="shared" si="20"/>
        <v>144.01107777521347</v>
      </c>
    </row>
    <row r="52" spans="1:25" s="75" customFormat="1" ht="15">
      <c r="A52" s="173"/>
      <c r="B52" s="72">
        <v>33</v>
      </c>
      <c r="C52" s="155" t="s">
        <v>136</v>
      </c>
      <c r="D52" s="155">
        <v>66</v>
      </c>
      <c r="E52" s="155">
        <v>0.5</v>
      </c>
      <c r="F52" s="154">
        <f t="shared" si="18"/>
        <v>1716</v>
      </c>
      <c r="G52" s="132">
        <f>+G51</f>
        <v>324</v>
      </c>
      <c r="H52" s="79">
        <f t="shared" si="11"/>
        <v>555984</v>
      </c>
      <c r="I52" s="76">
        <f t="shared" si="29"/>
        <v>416907.28026120673</v>
      </c>
      <c r="J52" s="73">
        <f>References!$C$49*I52</f>
        <v>416.9072802612071</v>
      </c>
      <c r="K52" s="121">
        <f>J52/References!$G$57</f>
        <v>428.4188959966367</v>
      </c>
      <c r="L52" s="121">
        <f t="shared" si="19"/>
        <v>0.25</v>
      </c>
      <c r="M52" s="27">
        <v>28.95</v>
      </c>
      <c r="N52" s="73">
        <f t="shared" si="30"/>
        <v>29.2</v>
      </c>
      <c r="O52" s="73">
        <f t="shared" si="13"/>
        <v>49678.2</v>
      </c>
      <c r="P52" s="74">
        <f t="shared" si="14"/>
        <v>29.2</v>
      </c>
      <c r="Q52" s="74">
        <f t="shared" si="15"/>
        <v>50107.2</v>
      </c>
      <c r="R52" s="74">
        <f t="shared" si="16"/>
        <v>429</v>
      </c>
      <c r="S52" s="180"/>
      <c r="U52" s="153">
        <f t="shared" si="17"/>
        <v>0.008635578583765069</v>
      </c>
      <c r="V52" s="119"/>
      <c r="X52" s="75">
        <v>2</v>
      </c>
      <c r="Y52" s="161">
        <f t="shared" si="20"/>
        <v>3432</v>
      </c>
    </row>
    <row r="53" spans="1:25" s="75" customFormat="1" ht="15">
      <c r="A53" s="173"/>
      <c r="B53" s="72">
        <v>33</v>
      </c>
      <c r="C53" s="155" t="s">
        <v>137</v>
      </c>
      <c r="D53" s="155">
        <v>140</v>
      </c>
      <c r="E53" s="155">
        <v>1</v>
      </c>
      <c r="F53" s="154">
        <f t="shared" si="18"/>
        <v>7280</v>
      </c>
      <c r="G53" s="132">
        <f aca="true" t="shared" si="31" ref="G53:G63">+G52</f>
        <v>324</v>
      </c>
      <c r="H53" s="79">
        <f t="shared" si="11"/>
        <v>2358720</v>
      </c>
      <c r="I53" s="76">
        <f t="shared" si="29"/>
        <v>1768697.5526233015</v>
      </c>
      <c r="J53" s="73">
        <f>References!$C$49*I53</f>
        <v>1768.6975526233032</v>
      </c>
      <c r="K53" s="121">
        <f>J53/References!$G$57</f>
        <v>1817.5347102887622</v>
      </c>
      <c r="L53" s="121">
        <f t="shared" si="19"/>
        <v>0.25</v>
      </c>
      <c r="M53" s="27">
        <v>28.95</v>
      </c>
      <c r="N53" s="73">
        <f t="shared" si="30"/>
        <v>29.2</v>
      </c>
      <c r="O53" s="73">
        <f t="shared" si="13"/>
        <v>210756</v>
      </c>
      <c r="P53" s="74">
        <f t="shared" si="14"/>
        <v>29.2</v>
      </c>
      <c r="Q53" s="74">
        <f t="shared" si="15"/>
        <v>212576</v>
      </c>
      <c r="R53" s="74">
        <f t="shared" si="16"/>
        <v>1820</v>
      </c>
      <c r="S53" s="180">
        <f>L53*3</f>
        <v>0.75</v>
      </c>
      <c r="U53" s="153">
        <f t="shared" si="17"/>
        <v>0.008635578583765069</v>
      </c>
      <c r="V53" s="119"/>
      <c r="X53" s="75">
        <v>2</v>
      </c>
      <c r="Y53" s="161">
        <f t="shared" si="20"/>
        <v>14560</v>
      </c>
    </row>
    <row r="54" spans="1:25" s="75" customFormat="1" ht="15">
      <c r="A54" s="173"/>
      <c r="B54" s="72">
        <v>33</v>
      </c>
      <c r="C54" s="155" t="s">
        <v>138</v>
      </c>
      <c r="D54" s="155">
        <v>10</v>
      </c>
      <c r="E54" s="155">
        <v>1</v>
      </c>
      <c r="F54" s="154">
        <f t="shared" si="18"/>
        <v>520</v>
      </c>
      <c r="G54" s="132">
        <f t="shared" si="31"/>
        <v>324</v>
      </c>
      <c r="H54" s="79">
        <f t="shared" si="11"/>
        <v>168480</v>
      </c>
      <c r="I54" s="76">
        <f t="shared" si="29"/>
        <v>126335.53947309295</v>
      </c>
      <c r="J54" s="73">
        <f>References!$C$49*I54</f>
        <v>126.33553947309306</v>
      </c>
      <c r="K54" s="121">
        <f>J54/References!$G$57</f>
        <v>129.8239078777687</v>
      </c>
      <c r="L54" s="121">
        <f t="shared" si="19"/>
        <v>0.25</v>
      </c>
      <c r="M54" s="27">
        <v>28.95</v>
      </c>
      <c r="N54" s="73">
        <f t="shared" si="30"/>
        <v>29.2</v>
      </c>
      <c r="O54" s="73">
        <f t="shared" si="13"/>
        <v>15054</v>
      </c>
      <c r="P54" s="74">
        <f t="shared" si="14"/>
        <v>29.2</v>
      </c>
      <c r="Q54" s="74">
        <f t="shared" si="15"/>
        <v>15184</v>
      </c>
      <c r="R54" s="74">
        <f t="shared" si="16"/>
        <v>130</v>
      </c>
      <c r="U54" s="153">
        <f t="shared" si="17"/>
        <v>0.008635578583765069</v>
      </c>
      <c r="V54" s="119"/>
      <c r="X54" s="75">
        <v>2</v>
      </c>
      <c r="Y54" s="161">
        <f t="shared" si="20"/>
        <v>1040</v>
      </c>
    </row>
    <row r="55" spans="1:25" s="75" customFormat="1" ht="15">
      <c r="A55" s="173"/>
      <c r="B55" s="72">
        <v>33</v>
      </c>
      <c r="C55" s="155" t="s">
        <v>139</v>
      </c>
      <c r="D55" s="155">
        <v>3</v>
      </c>
      <c r="E55" s="155">
        <v>1</v>
      </c>
      <c r="F55" s="154">
        <f t="shared" si="18"/>
        <v>156</v>
      </c>
      <c r="G55" s="132">
        <f t="shared" si="31"/>
        <v>324</v>
      </c>
      <c r="H55" s="79">
        <f t="shared" si="11"/>
        <v>50544</v>
      </c>
      <c r="I55" s="76">
        <f t="shared" si="29"/>
        <v>37900.66184192789</v>
      </c>
      <c r="J55" s="73">
        <f>References!$C$49*I55</f>
        <v>37.90066184192792</v>
      </c>
      <c r="K55" s="121">
        <f>J55/References!$G$57</f>
        <v>38.947172363330615</v>
      </c>
      <c r="L55" s="121">
        <f t="shared" si="19"/>
        <v>0.25</v>
      </c>
      <c r="M55" s="27">
        <v>28.95</v>
      </c>
      <c r="N55" s="73">
        <f t="shared" si="30"/>
        <v>29.2</v>
      </c>
      <c r="O55" s="73">
        <f t="shared" si="13"/>
        <v>4516.2</v>
      </c>
      <c r="P55" s="74">
        <f t="shared" si="14"/>
        <v>29.2</v>
      </c>
      <c r="Q55" s="74">
        <f t="shared" si="15"/>
        <v>4555.2</v>
      </c>
      <c r="R55" s="74">
        <f t="shared" si="16"/>
        <v>39</v>
      </c>
      <c r="U55" s="153">
        <f t="shared" si="17"/>
        <v>0.008635578583765069</v>
      </c>
      <c r="V55" s="119"/>
      <c r="X55" s="75">
        <v>2</v>
      </c>
      <c r="Y55" s="161">
        <f t="shared" si="20"/>
        <v>312</v>
      </c>
    </row>
    <row r="56" spans="1:25" s="75" customFormat="1" ht="15">
      <c r="A56" s="173"/>
      <c r="B56" s="72">
        <v>33</v>
      </c>
      <c r="C56" s="155" t="s">
        <v>140</v>
      </c>
      <c r="D56" s="155">
        <v>5</v>
      </c>
      <c r="E56" s="155">
        <v>1</v>
      </c>
      <c r="F56" s="154">
        <f t="shared" si="18"/>
        <v>260</v>
      </c>
      <c r="G56" s="132">
        <f t="shared" si="31"/>
        <v>324</v>
      </c>
      <c r="H56" s="79">
        <f t="shared" si="11"/>
        <v>84240</v>
      </c>
      <c r="I56" s="76">
        <f t="shared" si="29"/>
        <v>63167.76973654648</v>
      </c>
      <c r="J56" s="73">
        <f>References!$C$49*I56</f>
        <v>63.16776973654653</v>
      </c>
      <c r="K56" s="121">
        <f>J56/References!$G$57</f>
        <v>64.91195393888435</v>
      </c>
      <c r="L56" s="121">
        <f t="shared" si="19"/>
        <v>0.25</v>
      </c>
      <c r="M56" s="27">
        <v>28.95</v>
      </c>
      <c r="N56" s="73">
        <f t="shared" si="30"/>
        <v>29.2</v>
      </c>
      <c r="O56" s="73">
        <f t="shared" si="13"/>
        <v>7527</v>
      </c>
      <c r="P56" s="74">
        <f t="shared" si="14"/>
        <v>29.2</v>
      </c>
      <c r="Q56" s="74">
        <f t="shared" si="15"/>
        <v>7592</v>
      </c>
      <c r="R56" s="74">
        <f t="shared" si="16"/>
        <v>65</v>
      </c>
      <c r="U56" s="153">
        <f t="shared" si="17"/>
        <v>0.008635578583765069</v>
      </c>
      <c r="V56" s="119"/>
      <c r="X56" s="75">
        <v>2</v>
      </c>
      <c r="Y56" s="161">
        <f t="shared" si="20"/>
        <v>520</v>
      </c>
    </row>
    <row r="57" spans="1:25" s="75" customFormat="1" ht="15">
      <c r="A57" s="173"/>
      <c r="B57" s="72">
        <v>33</v>
      </c>
      <c r="C57" s="155" t="s">
        <v>141</v>
      </c>
      <c r="D57" s="155">
        <v>5</v>
      </c>
      <c r="E57" s="155">
        <v>1</v>
      </c>
      <c r="F57" s="154">
        <f t="shared" si="18"/>
        <v>260</v>
      </c>
      <c r="G57" s="132">
        <f t="shared" si="31"/>
        <v>324</v>
      </c>
      <c r="H57" s="79">
        <f t="shared" si="11"/>
        <v>84240</v>
      </c>
      <c r="I57" s="76">
        <f t="shared" si="29"/>
        <v>63167.76973654648</v>
      </c>
      <c r="J57" s="73">
        <f>References!$C$49*I57</f>
        <v>63.16776973654653</v>
      </c>
      <c r="K57" s="121">
        <f>J57/References!$G$57</f>
        <v>64.91195393888435</v>
      </c>
      <c r="L57" s="121">
        <f t="shared" si="19"/>
        <v>0.25</v>
      </c>
      <c r="M57" s="27">
        <v>28.95</v>
      </c>
      <c r="N57" s="73">
        <f t="shared" si="30"/>
        <v>29.2</v>
      </c>
      <c r="O57" s="73">
        <f t="shared" si="13"/>
        <v>7527</v>
      </c>
      <c r="P57" s="74">
        <f t="shared" si="14"/>
        <v>29.2</v>
      </c>
      <c r="Q57" s="74">
        <f t="shared" si="15"/>
        <v>7592</v>
      </c>
      <c r="R57" s="74">
        <f t="shared" si="16"/>
        <v>65</v>
      </c>
      <c r="U57" s="153">
        <f t="shared" si="17"/>
        <v>0.008635578583765069</v>
      </c>
      <c r="V57" s="119"/>
      <c r="X57" s="75">
        <v>2</v>
      </c>
      <c r="Y57" s="161">
        <f t="shared" si="20"/>
        <v>520</v>
      </c>
    </row>
    <row r="58" spans="1:25" s="75" customFormat="1" ht="15">
      <c r="A58" s="173"/>
      <c r="B58" s="72">
        <v>33</v>
      </c>
      <c r="C58" s="155" t="s">
        <v>142</v>
      </c>
      <c r="D58" s="155">
        <v>21</v>
      </c>
      <c r="E58" s="155">
        <v>1</v>
      </c>
      <c r="F58" s="154">
        <f t="shared" si="18"/>
        <v>1092</v>
      </c>
      <c r="G58" s="132">
        <f t="shared" si="31"/>
        <v>324</v>
      </c>
      <c r="H58" s="79">
        <f t="shared" si="11"/>
        <v>353808</v>
      </c>
      <c r="I58" s="76">
        <f t="shared" si="29"/>
        <v>265304.6328934952</v>
      </c>
      <c r="J58" s="73">
        <f>References!$C$49*I58</f>
        <v>265.30463289349547</v>
      </c>
      <c r="K58" s="121">
        <f>J58/References!$G$57</f>
        <v>272.63020654331433</v>
      </c>
      <c r="L58" s="121">
        <f t="shared" si="19"/>
        <v>0.25</v>
      </c>
      <c r="M58" s="27">
        <v>28.95</v>
      </c>
      <c r="N58" s="73">
        <f t="shared" si="30"/>
        <v>29.2</v>
      </c>
      <c r="O58" s="73">
        <f t="shared" si="13"/>
        <v>31613.399999999998</v>
      </c>
      <c r="P58" s="74">
        <f t="shared" si="14"/>
        <v>29.2</v>
      </c>
      <c r="Q58" s="74">
        <f t="shared" si="15"/>
        <v>31886.399999999998</v>
      </c>
      <c r="R58" s="74">
        <f t="shared" si="16"/>
        <v>273</v>
      </c>
      <c r="U58" s="153">
        <f t="shared" si="17"/>
        <v>0.008635578583765069</v>
      </c>
      <c r="V58" s="119"/>
      <c r="X58" s="75">
        <v>2</v>
      </c>
      <c r="Y58" s="161">
        <f t="shared" si="20"/>
        <v>2184</v>
      </c>
    </row>
    <row r="59" spans="1:25" s="75" customFormat="1" ht="15">
      <c r="A59" s="173"/>
      <c r="B59" s="72">
        <v>33</v>
      </c>
      <c r="C59" s="155" t="s">
        <v>143</v>
      </c>
      <c r="D59" s="155">
        <v>7</v>
      </c>
      <c r="E59" s="155">
        <v>1</v>
      </c>
      <c r="F59" s="154">
        <f t="shared" si="18"/>
        <v>364</v>
      </c>
      <c r="G59" s="132">
        <f t="shared" si="31"/>
        <v>324</v>
      </c>
      <c r="H59" s="79">
        <f t="shared" si="11"/>
        <v>117936</v>
      </c>
      <c r="I59" s="76">
        <f t="shared" si="29"/>
        <v>88434.87763116507</v>
      </c>
      <c r="J59" s="73">
        <f>References!$C$49*I59</f>
        <v>88.43487763116515</v>
      </c>
      <c r="K59" s="121">
        <f>J59/References!$G$57</f>
        <v>90.8767355144381</v>
      </c>
      <c r="L59" s="121">
        <f t="shared" si="19"/>
        <v>0.25</v>
      </c>
      <c r="M59" s="27">
        <v>28.95</v>
      </c>
      <c r="N59" s="73">
        <f t="shared" si="30"/>
        <v>29.2</v>
      </c>
      <c r="O59" s="73">
        <f t="shared" si="13"/>
        <v>10537.8</v>
      </c>
      <c r="P59" s="74">
        <f t="shared" si="14"/>
        <v>29.2</v>
      </c>
      <c r="Q59" s="74">
        <f t="shared" si="15"/>
        <v>10628.8</v>
      </c>
      <c r="R59" s="74">
        <f t="shared" si="16"/>
        <v>91</v>
      </c>
      <c r="U59" s="153">
        <f t="shared" si="17"/>
        <v>0.008635578583765069</v>
      </c>
      <c r="V59" s="119"/>
      <c r="X59" s="75">
        <v>2</v>
      </c>
      <c r="Y59" s="161">
        <f t="shared" si="20"/>
        <v>728</v>
      </c>
    </row>
    <row r="60" spans="1:25" s="75" customFormat="1" ht="15">
      <c r="A60" s="173"/>
      <c r="B60" s="72">
        <v>33</v>
      </c>
      <c r="C60" s="155" t="s">
        <v>144</v>
      </c>
      <c r="D60" s="155">
        <v>9</v>
      </c>
      <c r="E60" s="155">
        <v>2</v>
      </c>
      <c r="F60" s="154">
        <f t="shared" si="18"/>
        <v>936</v>
      </c>
      <c r="G60" s="132">
        <f t="shared" si="31"/>
        <v>324</v>
      </c>
      <c r="H60" s="79">
        <f t="shared" si="11"/>
        <v>303264</v>
      </c>
      <c r="I60" s="76">
        <f t="shared" si="29"/>
        <v>227403.97105156732</v>
      </c>
      <c r="J60" s="73">
        <f>References!$C$49*I60</f>
        <v>227.4039710515675</v>
      </c>
      <c r="K60" s="121">
        <f>J60/References!$G$57</f>
        <v>233.68303417998365</v>
      </c>
      <c r="L60" s="121">
        <f t="shared" si="19"/>
        <v>0.25</v>
      </c>
      <c r="M60" s="27">
        <v>28.95</v>
      </c>
      <c r="N60" s="73">
        <f t="shared" si="30"/>
        <v>29.2</v>
      </c>
      <c r="O60" s="73">
        <f t="shared" si="13"/>
        <v>27097.2</v>
      </c>
      <c r="P60" s="74">
        <f t="shared" si="14"/>
        <v>29.2</v>
      </c>
      <c r="Q60" s="74">
        <f t="shared" si="15"/>
        <v>27331.2</v>
      </c>
      <c r="R60" s="74">
        <f t="shared" si="16"/>
        <v>234</v>
      </c>
      <c r="U60" s="153">
        <f t="shared" si="17"/>
        <v>0.008635578583765069</v>
      </c>
      <c r="V60" s="119"/>
      <c r="X60" s="75">
        <v>2</v>
      </c>
      <c r="Y60" s="161">
        <f t="shared" si="20"/>
        <v>1872</v>
      </c>
    </row>
    <row r="61" spans="1:25" s="75" customFormat="1" ht="15">
      <c r="A61" s="173"/>
      <c r="B61" s="72">
        <v>33</v>
      </c>
      <c r="C61" s="155" t="s">
        <v>145</v>
      </c>
      <c r="D61" s="155">
        <v>9</v>
      </c>
      <c r="E61" s="155">
        <v>2</v>
      </c>
      <c r="F61" s="154">
        <f t="shared" si="18"/>
        <v>936</v>
      </c>
      <c r="G61" s="132">
        <f t="shared" si="31"/>
        <v>324</v>
      </c>
      <c r="H61" s="79">
        <f t="shared" si="11"/>
        <v>303264</v>
      </c>
      <c r="I61" s="76">
        <f t="shared" si="29"/>
        <v>227403.97105156732</v>
      </c>
      <c r="J61" s="73">
        <f>References!$C$49*I61</f>
        <v>227.4039710515675</v>
      </c>
      <c r="K61" s="121">
        <f>J61/References!$G$57</f>
        <v>233.68303417998365</v>
      </c>
      <c r="L61" s="121">
        <f t="shared" si="19"/>
        <v>0.25</v>
      </c>
      <c r="M61" s="27">
        <v>28.95</v>
      </c>
      <c r="N61" s="73">
        <f t="shared" si="30"/>
        <v>29.2</v>
      </c>
      <c r="O61" s="73">
        <f t="shared" si="13"/>
        <v>27097.2</v>
      </c>
      <c r="P61" s="74">
        <f t="shared" si="14"/>
        <v>29.2</v>
      </c>
      <c r="Q61" s="74">
        <f t="shared" si="15"/>
        <v>27331.2</v>
      </c>
      <c r="R61" s="74">
        <f t="shared" si="16"/>
        <v>234</v>
      </c>
      <c r="U61" s="153">
        <f t="shared" si="17"/>
        <v>0.008635578583765069</v>
      </c>
      <c r="V61" s="119"/>
      <c r="X61" s="75">
        <v>2</v>
      </c>
      <c r="Y61" s="161">
        <f t="shared" si="20"/>
        <v>1872</v>
      </c>
    </row>
    <row r="62" spans="1:25" s="75" customFormat="1" ht="15">
      <c r="A62" s="173"/>
      <c r="B62" s="72">
        <v>33</v>
      </c>
      <c r="C62" s="155" t="s">
        <v>146</v>
      </c>
      <c r="D62" s="155">
        <v>7</v>
      </c>
      <c r="E62" s="155">
        <v>2</v>
      </c>
      <c r="F62" s="154">
        <f t="shared" si="18"/>
        <v>728</v>
      </c>
      <c r="G62" s="132">
        <f t="shared" si="31"/>
        <v>324</v>
      </c>
      <c r="H62" s="79">
        <f t="shared" si="11"/>
        <v>235872</v>
      </c>
      <c r="I62" s="76">
        <f t="shared" si="29"/>
        <v>176869.75526233015</v>
      </c>
      <c r="J62" s="73">
        <f>References!$C$49*I62</f>
        <v>176.8697552623303</v>
      </c>
      <c r="K62" s="121">
        <f>J62/References!$G$57</f>
        <v>181.7534710288762</v>
      </c>
      <c r="L62" s="121">
        <f t="shared" si="19"/>
        <v>0.25</v>
      </c>
      <c r="M62" s="27">
        <v>28.95</v>
      </c>
      <c r="N62" s="73">
        <f t="shared" si="30"/>
        <v>29.2</v>
      </c>
      <c r="O62" s="73">
        <f t="shared" si="13"/>
        <v>21075.6</v>
      </c>
      <c r="P62" s="74">
        <f t="shared" si="14"/>
        <v>29.2</v>
      </c>
      <c r="Q62" s="74">
        <f t="shared" si="15"/>
        <v>21257.6</v>
      </c>
      <c r="R62" s="74">
        <f t="shared" si="16"/>
        <v>182</v>
      </c>
      <c r="U62" s="153">
        <f t="shared" si="17"/>
        <v>0.008635578583765069</v>
      </c>
      <c r="V62" s="119"/>
      <c r="X62" s="75">
        <v>2</v>
      </c>
      <c r="Y62" s="161">
        <f t="shared" si="20"/>
        <v>1456</v>
      </c>
    </row>
    <row r="63" spans="1:25" s="75" customFormat="1" ht="15">
      <c r="A63" s="173"/>
      <c r="B63" s="72">
        <v>33</v>
      </c>
      <c r="C63" s="155" t="s">
        <v>147</v>
      </c>
      <c r="D63" s="155">
        <v>6</v>
      </c>
      <c r="E63" s="155">
        <v>3</v>
      </c>
      <c r="F63" s="154">
        <f t="shared" si="18"/>
        <v>936</v>
      </c>
      <c r="G63" s="132">
        <f t="shared" si="31"/>
        <v>324</v>
      </c>
      <c r="H63" s="79">
        <f t="shared" si="11"/>
        <v>303264</v>
      </c>
      <c r="I63" s="76">
        <f t="shared" si="29"/>
        <v>227403.97105156732</v>
      </c>
      <c r="J63" s="73">
        <f>References!$C$49*I63</f>
        <v>227.4039710515675</v>
      </c>
      <c r="K63" s="121">
        <f>J63/References!$G$57</f>
        <v>233.68303417998365</v>
      </c>
      <c r="L63" s="121">
        <f t="shared" si="19"/>
        <v>0.25</v>
      </c>
      <c r="M63" s="27">
        <v>28.95</v>
      </c>
      <c r="N63" s="73">
        <f t="shared" si="30"/>
        <v>29.2</v>
      </c>
      <c r="O63" s="73">
        <f t="shared" si="13"/>
        <v>27097.2</v>
      </c>
      <c r="P63" s="74">
        <f t="shared" si="14"/>
        <v>29.2</v>
      </c>
      <c r="Q63" s="74">
        <f t="shared" si="15"/>
        <v>27331.2</v>
      </c>
      <c r="R63" s="74">
        <f t="shared" si="16"/>
        <v>234</v>
      </c>
      <c r="U63" s="153">
        <f t="shared" si="17"/>
        <v>0.008635578583765069</v>
      </c>
      <c r="V63" s="119"/>
      <c r="X63" s="75">
        <v>2</v>
      </c>
      <c r="Y63" s="161">
        <f t="shared" si="20"/>
        <v>1872</v>
      </c>
    </row>
    <row r="64" spans="1:25" s="75" customFormat="1" ht="15">
      <c r="A64" s="173"/>
      <c r="B64" s="72">
        <v>33</v>
      </c>
      <c r="C64" s="155" t="s">
        <v>148</v>
      </c>
      <c r="D64" s="155">
        <v>19</v>
      </c>
      <c r="E64" s="155">
        <v>0.5</v>
      </c>
      <c r="F64" s="154">
        <f t="shared" si="18"/>
        <v>494</v>
      </c>
      <c r="G64" s="132">
        <f>+References!B30</f>
        <v>473</v>
      </c>
      <c r="H64" s="79">
        <f t="shared" si="11"/>
        <v>233662</v>
      </c>
      <c r="I64" s="76">
        <f t="shared" si="29"/>
        <v>175212.57611800716</v>
      </c>
      <c r="J64" s="73">
        <f>References!$C$49*I64</f>
        <v>175.21257611800732</v>
      </c>
      <c r="K64" s="121">
        <f>J64/References!$G$57</f>
        <v>180.05053396566473</v>
      </c>
      <c r="L64" s="121">
        <f t="shared" si="19"/>
        <v>0.36</v>
      </c>
      <c r="M64" s="27">
        <v>39.43</v>
      </c>
      <c r="N64" s="73">
        <f t="shared" si="30"/>
        <v>39.79</v>
      </c>
      <c r="O64" s="73">
        <f t="shared" si="13"/>
        <v>19478.42</v>
      </c>
      <c r="P64" s="74">
        <f t="shared" si="14"/>
        <v>39.79</v>
      </c>
      <c r="Q64" s="74">
        <f t="shared" si="15"/>
        <v>19656.26</v>
      </c>
      <c r="R64" s="74">
        <f t="shared" si="16"/>
        <v>177.84000000000015</v>
      </c>
      <c r="U64" s="153">
        <f t="shared" si="17"/>
        <v>0.009130103981739746</v>
      </c>
      <c r="V64" s="119"/>
      <c r="X64" s="75">
        <v>3</v>
      </c>
      <c r="Y64" s="161">
        <f t="shared" si="20"/>
        <v>1482</v>
      </c>
    </row>
    <row r="65" spans="1:25" s="75" customFormat="1" ht="15">
      <c r="A65" s="173"/>
      <c r="B65" s="72">
        <v>33</v>
      </c>
      <c r="C65" s="155" t="s">
        <v>149</v>
      </c>
      <c r="D65" s="155">
        <v>56</v>
      </c>
      <c r="E65" s="155">
        <v>1</v>
      </c>
      <c r="F65" s="154">
        <f t="shared" si="18"/>
        <v>2912</v>
      </c>
      <c r="G65" s="132">
        <f>+G64</f>
        <v>473</v>
      </c>
      <c r="H65" s="79">
        <f t="shared" si="11"/>
        <v>1377376</v>
      </c>
      <c r="I65" s="76">
        <f t="shared" si="29"/>
        <v>1032832.0276429895</v>
      </c>
      <c r="J65" s="73">
        <f>References!$C$49*I65</f>
        <v>1032.8320276429904</v>
      </c>
      <c r="K65" s="121">
        <f>J65/References!$G$57</f>
        <v>1061.3505160081288</v>
      </c>
      <c r="L65" s="121">
        <f t="shared" si="19"/>
        <v>0.36</v>
      </c>
      <c r="M65" s="27">
        <v>39.43</v>
      </c>
      <c r="N65" s="73">
        <f t="shared" si="30"/>
        <v>39.79</v>
      </c>
      <c r="O65" s="73">
        <f t="shared" si="13"/>
        <v>114820.16</v>
      </c>
      <c r="P65" s="74">
        <f t="shared" si="14"/>
        <v>39.79</v>
      </c>
      <c r="Q65" s="74">
        <f t="shared" si="15"/>
        <v>115868.48</v>
      </c>
      <c r="R65" s="74">
        <f t="shared" si="16"/>
        <v>1048.3199999999924</v>
      </c>
      <c r="S65" s="180">
        <f>L65*3</f>
        <v>1.08</v>
      </c>
      <c r="U65" s="153">
        <f t="shared" si="17"/>
        <v>0.009130103981739746</v>
      </c>
      <c r="V65" s="119"/>
      <c r="X65" s="75">
        <v>3</v>
      </c>
      <c r="Y65" s="161">
        <f t="shared" si="20"/>
        <v>8736</v>
      </c>
    </row>
    <row r="66" spans="1:25" s="75" customFormat="1" ht="15">
      <c r="A66" s="173"/>
      <c r="B66" s="72">
        <v>33</v>
      </c>
      <c r="C66" s="155" t="s">
        <v>150</v>
      </c>
      <c r="D66" s="155">
        <v>6</v>
      </c>
      <c r="E66" s="155">
        <v>1</v>
      </c>
      <c r="F66" s="154">
        <f t="shared" si="18"/>
        <v>312</v>
      </c>
      <c r="G66" s="132">
        <f aca="true" t="shared" si="32" ref="G66:G71">+G65</f>
        <v>473</v>
      </c>
      <c r="H66" s="79">
        <f t="shared" si="11"/>
        <v>147576</v>
      </c>
      <c r="I66" s="76">
        <f t="shared" si="29"/>
        <v>110660.57439032031</v>
      </c>
      <c r="J66" s="73">
        <f>References!$C$49*I66</f>
        <v>110.6605743903204</v>
      </c>
      <c r="K66" s="121">
        <f>J66/References!$G$57</f>
        <v>113.71612671515666</v>
      </c>
      <c r="L66" s="121">
        <f t="shared" si="19"/>
        <v>0.36</v>
      </c>
      <c r="M66" s="27">
        <v>39.43</v>
      </c>
      <c r="N66" s="73">
        <f t="shared" si="30"/>
        <v>39.79</v>
      </c>
      <c r="O66" s="73">
        <f t="shared" si="13"/>
        <v>12302.16</v>
      </c>
      <c r="P66" s="74">
        <f t="shared" si="14"/>
        <v>39.79</v>
      </c>
      <c r="Q66" s="74">
        <f t="shared" si="15"/>
        <v>12414.48</v>
      </c>
      <c r="R66" s="74">
        <f t="shared" si="16"/>
        <v>112.31999999999971</v>
      </c>
      <c r="U66" s="153">
        <f t="shared" si="17"/>
        <v>0.009130103981739746</v>
      </c>
      <c r="V66" s="119"/>
      <c r="X66" s="75">
        <v>3</v>
      </c>
      <c r="Y66" s="161">
        <f t="shared" si="20"/>
        <v>936</v>
      </c>
    </row>
    <row r="67" spans="1:25" s="75" customFormat="1" ht="15">
      <c r="A67" s="173"/>
      <c r="B67" s="72">
        <v>33</v>
      </c>
      <c r="C67" s="155" t="s">
        <v>151</v>
      </c>
      <c r="D67" s="155">
        <v>9</v>
      </c>
      <c r="E67" s="155">
        <v>1</v>
      </c>
      <c r="F67" s="154">
        <f t="shared" si="18"/>
        <v>468</v>
      </c>
      <c r="G67" s="132">
        <f t="shared" si="32"/>
        <v>473</v>
      </c>
      <c r="H67" s="79">
        <f t="shared" si="11"/>
        <v>221364</v>
      </c>
      <c r="I67" s="76">
        <f t="shared" si="29"/>
        <v>165990.86158548048</v>
      </c>
      <c r="J67" s="73">
        <f>References!$C$49*I67</f>
        <v>165.99086158548062</v>
      </c>
      <c r="K67" s="121">
        <f>J67/References!$G$57</f>
        <v>170.574190072735</v>
      </c>
      <c r="L67" s="121">
        <f t="shared" si="19"/>
        <v>0.36</v>
      </c>
      <c r="M67" s="27">
        <v>39.43</v>
      </c>
      <c r="N67" s="73">
        <f t="shared" si="30"/>
        <v>39.79</v>
      </c>
      <c r="O67" s="73">
        <f t="shared" si="13"/>
        <v>18453.24</v>
      </c>
      <c r="P67" s="74">
        <f t="shared" si="14"/>
        <v>39.79</v>
      </c>
      <c r="Q67" s="74">
        <f t="shared" si="15"/>
        <v>18621.72</v>
      </c>
      <c r="R67" s="74">
        <f t="shared" si="16"/>
        <v>168.47999999999956</v>
      </c>
      <c r="U67" s="153">
        <f t="shared" si="17"/>
        <v>0.009130103981739746</v>
      </c>
      <c r="V67" s="119"/>
      <c r="X67" s="75">
        <v>3</v>
      </c>
      <c r="Y67" s="161">
        <f t="shared" si="20"/>
        <v>1404</v>
      </c>
    </row>
    <row r="68" spans="1:25" s="75" customFormat="1" ht="15">
      <c r="A68" s="173"/>
      <c r="B68" s="72">
        <v>33</v>
      </c>
      <c r="C68" s="155" t="s">
        <v>152</v>
      </c>
      <c r="D68" s="155">
        <v>16</v>
      </c>
      <c r="E68" s="155">
        <v>1</v>
      </c>
      <c r="F68" s="154">
        <f t="shared" si="18"/>
        <v>832</v>
      </c>
      <c r="G68" s="132">
        <f t="shared" si="32"/>
        <v>473</v>
      </c>
      <c r="H68" s="79">
        <f t="shared" si="11"/>
        <v>393536</v>
      </c>
      <c r="I68" s="76">
        <f t="shared" si="29"/>
        <v>295094.86504085414</v>
      </c>
      <c r="J68" s="73">
        <f>References!$C$49*I68</f>
        <v>295.0948650408544</v>
      </c>
      <c r="K68" s="121">
        <f>J68/References!$G$57</f>
        <v>303.2430045737511</v>
      </c>
      <c r="L68" s="121">
        <f t="shared" si="19"/>
        <v>0.36</v>
      </c>
      <c r="M68" s="27">
        <v>39.43</v>
      </c>
      <c r="N68" s="73">
        <f t="shared" si="30"/>
        <v>39.79</v>
      </c>
      <c r="O68" s="73">
        <f t="shared" si="13"/>
        <v>32805.76</v>
      </c>
      <c r="P68" s="74">
        <f t="shared" si="14"/>
        <v>39.79</v>
      </c>
      <c r="Q68" s="74">
        <f t="shared" si="15"/>
        <v>33105.28</v>
      </c>
      <c r="R68" s="74">
        <f t="shared" si="16"/>
        <v>299.5199999999968</v>
      </c>
      <c r="U68" s="153">
        <f t="shared" si="17"/>
        <v>0.009130103981739746</v>
      </c>
      <c r="V68" s="119"/>
      <c r="X68" s="75">
        <v>3</v>
      </c>
      <c r="Y68" s="161">
        <f t="shared" si="20"/>
        <v>2496</v>
      </c>
    </row>
    <row r="69" spans="1:25" s="75" customFormat="1" ht="15">
      <c r="A69" s="173"/>
      <c r="B69" s="72">
        <v>33</v>
      </c>
      <c r="C69" s="155" t="s">
        <v>153</v>
      </c>
      <c r="D69" s="155">
        <v>7</v>
      </c>
      <c r="E69" s="155">
        <v>1</v>
      </c>
      <c r="F69" s="154">
        <f t="shared" si="18"/>
        <v>364</v>
      </c>
      <c r="G69" s="132">
        <f t="shared" si="32"/>
        <v>473</v>
      </c>
      <c r="H69" s="79">
        <f t="shared" si="11"/>
        <v>172172</v>
      </c>
      <c r="I69" s="76">
        <f t="shared" si="29"/>
        <v>129104.00345537369</v>
      </c>
      <c r="J69" s="73">
        <f>References!$C$49*I69</f>
        <v>129.1040034553738</v>
      </c>
      <c r="K69" s="121">
        <f>J69/References!$G$57</f>
        <v>132.6688145010161</v>
      </c>
      <c r="L69" s="121">
        <f t="shared" si="19"/>
        <v>0.36</v>
      </c>
      <c r="M69" s="27">
        <v>39.43</v>
      </c>
      <c r="N69" s="73">
        <f t="shared" si="30"/>
        <v>39.79</v>
      </c>
      <c r="O69" s="73">
        <f t="shared" si="13"/>
        <v>14352.52</v>
      </c>
      <c r="P69" s="74">
        <f t="shared" si="14"/>
        <v>39.79</v>
      </c>
      <c r="Q69" s="74">
        <f t="shared" si="15"/>
        <v>14483.56</v>
      </c>
      <c r="R69" s="74">
        <f t="shared" si="16"/>
        <v>131.03999999999905</v>
      </c>
      <c r="U69" s="153">
        <f t="shared" si="17"/>
        <v>0.009130103981739746</v>
      </c>
      <c r="V69" s="119"/>
      <c r="X69" s="75">
        <v>3</v>
      </c>
      <c r="Y69" s="161">
        <f t="shared" si="20"/>
        <v>1092</v>
      </c>
    </row>
    <row r="70" spans="1:25" s="75" customFormat="1" ht="15">
      <c r="A70" s="173"/>
      <c r="B70" s="72">
        <v>33</v>
      </c>
      <c r="C70" s="155" t="s">
        <v>154</v>
      </c>
      <c r="D70" s="155">
        <v>3</v>
      </c>
      <c r="E70" s="155">
        <v>2</v>
      </c>
      <c r="F70" s="154">
        <f t="shared" si="18"/>
        <v>312</v>
      </c>
      <c r="G70" s="132">
        <f t="shared" si="32"/>
        <v>473</v>
      </c>
      <c r="H70" s="79">
        <f t="shared" si="11"/>
        <v>147576</v>
      </c>
      <c r="I70" s="76">
        <f t="shared" si="29"/>
        <v>110660.57439032031</v>
      </c>
      <c r="J70" s="73">
        <f>References!$C$49*I70</f>
        <v>110.6605743903204</v>
      </c>
      <c r="K70" s="121">
        <f>J70/References!$G$57</f>
        <v>113.71612671515666</v>
      </c>
      <c r="L70" s="121">
        <f t="shared" si="19"/>
        <v>0.36</v>
      </c>
      <c r="M70" s="27">
        <v>39.43</v>
      </c>
      <c r="N70" s="73">
        <f t="shared" si="30"/>
        <v>39.79</v>
      </c>
      <c r="O70" s="73">
        <f t="shared" si="13"/>
        <v>12302.16</v>
      </c>
      <c r="P70" s="74">
        <f t="shared" si="14"/>
        <v>39.79</v>
      </c>
      <c r="Q70" s="74">
        <f t="shared" si="15"/>
        <v>12414.48</v>
      </c>
      <c r="R70" s="74">
        <f t="shared" si="16"/>
        <v>112.31999999999971</v>
      </c>
      <c r="U70" s="153">
        <f t="shared" si="17"/>
        <v>0.009130103981739746</v>
      </c>
      <c r="V70" s="119"/>
      <c r="X70" s="75">
        <v>3</v>
      </c>
      <c r="Y70" s="161">
        <f t="shared" si="20"/>
        <v>936</v>
      </c>
    </row>
    <row r="71" spans="1:25" s="75" customFormat="1" ht="15">
      <c r="A71" s="173"/>
      <c r="B71" s="72">
        <v>33</v>
      </c>
      <c r="C71" s="155" t="s">
        <v>156</v>
      </c>
      <c r="D71" s="155">
        <v>2</v>
      </c>
      <c r="E71" s="155">
        <v>3</v>
      </c>
      <c r="F71" s="154">
        <f t="shared" si="18"/>
        <v>312</v>
      </c>
      <c r="G71" s="132">
        <f t="shared" si="32"/>
        <v>473</v>
      </c>
      <c r="H71" s="79">
        <f t="shared" si="11"/>
        <v>147576</v>
      </c>
      <c r="I71" s="76">
        <f t="shared" si="29"/>
        <v>110660.57439032031</v>
      </c>
      <c r="J71" s="73">
        <f>References!$C$49*I71</f>
        <v>110.6605743903204</v>
      </c>
      <c r="K71" s="121">
        <f>J71/References!$G$57</f>
        <v>113.71612671515666</v>
      </c>
      <c r="L71" s="121">
        <f t="shared" si="19"/>
        <v>0.36</v>
      </c>
      <c r="M71" s="27">
        <v>39.43</v>
      </c>
      <c r="N71" s="73">
        <f t="shared" si="30"/>
        <v>39.79</v>
      </c>
      <c r="O71" s="73">
        <f aca="true" t="shared" si="33" ref="O71:O99">F71*M71</f>
        <v>12302.16</v>
      </c>
      <c r="P71" s="74">
        <f aca="true" t="shared" si="34" ref="P71:P99">N71</f>
        <v>39.79</v>
      </c>
      <c r="Q71" s="74">
        <f aca="true" t="shared" si="35" ref="Q71:Q99">F71*P71</f>
        <v>12414.48</v>
      </c>
      <c r="R71" s="74">
        <f aca="true" t="shared" si="36" ref="R71:R99">Q71-O71</f>
        <v>112.31999999999971</v>
      </c>
      <c r="U71" s="153">
        <f t="shared" si="17"/>
        <v>0.009130103981739746</v>
      </c>
      <c r="V71" s="119"/>
      <c r="X71" s="75">
        <v>3</v>
      </c>
      <c r="Y71" s="161">
        <f t="shared" si="20"/>
        <v>936</v>
      </c>
    </row>
    <row r="72" spans="1:25" s="75" customFormat="1" ht="15">
      <c r="A72" s="173"/>
      <c r="B72" s="72">
        <v>33</v>
      </c>
      <c r="C72" s="155" t="s">
        <v>157</v>
      </c>
      <c r="D72" s="155">
        <v>3</v>
      </c>
      <c r="E72" s="157">
        <f>1/4.333</f>
        <v>0.23078698361412414</v>
      </c>
      <c r="F72" s="154">
        <f t="shared" si="18"/>
        <v>36.002769443803366</v>
      </c>
      <c r="G72" s="132">
        <f>+References!B31</f>
        <v>613</v>
      </c>
      <c r="H72" s="79">
        <f t="shared" si="11"/>
        <v>22069.697669051464</v>
      </c>
      <c r="I72" s="76">
        <f t="shared" si="29"/>
        <v>16549.069094418795</v>
      </c>
      <c r="J72" s="73">
        <f>References!$C$49*I72</f>
        <v>16.54906909441881</v>
      </c>
      <c r="K72" s="121">
        <f>J72/References!$G$57</f>
        <v>17.006020875339175</v>
      </c>
      <c r="L72" s="121">
        <f t="shared" si="19"/>
        <v>0.47</v>
      </c>
      <c r="M72" s="27">
        <v>53.089999999999996</v>
      </c>
      <c r="N72" s="73">
        <f t="shared" si="30"/>
        <v>53.559999999999995</v>
      </c>
      <c r="O72" s="73">
        <f t="shared" si="33"/>
        <v>1911.3870297715205</v>
      </c>
      <c r="P72" s="74">
        <f t="shared" si="34"/>
        <v>53.559999999999995</v>
      </c>
      <c r="Q72" s="74">
        <f t="shared" si="35"/>
        <v>1928.3083314101082</v>
      </c>
      <c r="R72" s="74">
        <f t="shared" si="36"/>
        <v>16.921301638587693</v>
      </c>
      <c r="U72" s="153">
        <f t="shared" si="17"/>
        <v>0.008852891316632139</v>
      </c>
      <c r="V72" s="119"/>
      <c r="X72" s="75">
        <v>4</v>
      </c>
      <c r="Y72" s="161">
        <f t="shared" si="20"/>
        <v>144.01107777521347</v>
      </c>
    </row>
    <row r="73" spans="1:25" s="75" customFormat="1" ht="15">
      <c r="A73" s="173"/>
      <c r="B73" s="72">
        <v>33</v>
      </c>
      <c r="C73" s="155" t="s">
        <v>159</v>
      </c>
      <c r="D73" s="155">
        <v>15</v>
      </c>
      <c r="E73" s="155">
        <v>0.5</v>
      </c>
      <c r="F73" s="154">
        <f t="shared" si="18"/>
        <v>390</v>
      </c>
      <c r="G73" s="132">
        <f>+G72</f>
        <v>613</v>
      </c>
      <c r="H73" s="79">
        <f t="shared" si="11"/>
        <v>239070</v>
      </c>
      <c r="I73" s="76">
        <f t="shared" si="29"/>
        <v>179267.7909652916</v>
      </c>
      <c r="J73" s="73">
        <f>References!$C$49*I73</f>
        <v>179.26779096529177</v>
      </c>
      <c r="K73" s="121">
        <f>J73/References!$G$57</f>
        <v>184.2177211321116</v>
      </c>
      <c r="L73" s="121">
        <f t="shared" si="19"/>
        <v>0.47</v>
      </c>
      <c r="M73" s="27">
        <v>50.089999999999996</v>
      </c>
      <c r="N73" s="73">
        <f t="shared" si="30"/>
        <v>50.559999999999995</v>
      </c>
      <c r="O73" s="73">
        <f t="shared" si="33"/>
        <v>19535.1</v>
      </c>
      <c r="P73" s="74">
        <f t="shared" si="34"/>
        <v>50.559999999999995</v>
      </c>
      <c r="Q73" s="74">
        <f t="shared" si="35"/>
        <v>19718.399999999998</v>
      </c>
      <c r="R73" s="74">
        <f t="shared" si="36"/>
        <v>183.29999999999927</v>
      </c>
      <c r="U73" s="153">
        <f t="shared" si="17"/>
        <v>0.009383110401277595</v>
      </c>
      <c r="V73" s="119"/>
      <c r="X73" s="75">
        <v>4</v>
      </c>
      <c r="Y73" s="161">
        <f t="shared" si="20"/>
        <v>1560</v>
      </c>
    </row>
    <row r="74" spans="1:25" s="75" customFormat="1" ht="15">
      <c r="A74" s="173"/>
      <c r="B74" s="72">
        <v>33</v>
      </c>
      <c r="C74" s="155" t="s">
        <v>158</v>
      </c>
      <c r="D74" s="155">
        <v>59</v>
      </c>
      <c r="E74" s="155">
        <v>1</v>
      </c>
      <c r="F74" s="154">
        <f t="shared" si="18"/>
        <v>3068</v>
      </c>
      <c r="G74" s="132">
        <f aca="true" t="shared" si="37" ref="G74:G81">+G73</f>
        <v>613</v>
      </c>
      <c r="H74" s="79">
        <f t="shared" si="11"/>
        <v>1880684</v>
      </c>
      <c r="I74" s="76">
        <f t="shared" si="29"/>
        <v>1410239.9555936274</v>
      </c>
      <c r="J74" s="73">
        <f>References!$C$49*I74</f>
        <v>1410.2399555936286</v>
      </c>
      <c r="K74" s="121">
        <f>J74/References!$G$57</f>
        <v>1449.1794062392778</v>
      </c>
      <c r="L74" s="121">
        <f t="shared" si="19"/>
        <v>0.47</v>
      </c>
      <c r="M74" s="27">
        <v>50.089999999999996</v>
      </c>
      <c r="N74" s="73">
        <f t="shared" si="30"/>
        <v>50.559999999999995</v>
      </c>
      <c r="O74" s="73">
        <f t="shared" si="33"/>
        <v>153676.12</v>
      </c>
      <c r="P74" s="74">
        <f t="shared" si="34"/>
        <v>50.559999999999995</v>
      </c>
      <c r="Q74" s="74">
        <f t="shared" si="35"/>
        <v>155118.08</v>
      </c>
      <c r="R74" s="74">
        <f t="shared" si="36"/>
        <v>1441.9599999999919</v>
      </c>
      <c r="S74" s="180">
        <f>L74*3</f>
        <v>1.41</v>
      </c>
      <c r="U74" s="153">
        <f t="shared" si="17"/>
        <v>0.009383110401277595</v>
      </c>
      <c r="V74" s="119"/>
      <c r="X74" s="75">
        <v>4</v>
      </c>
      <c r="Y74" s="161">
        <f t="shared" si="20"/>
        <v>12272</v>
      </c>
    </row>
    <row r="75" spans="1:25" s="75" customFormat="1" ht="15">
      <c r="A75" s="173"/>
      <c r="B75" s="72">
        <v>33</v>
      </c>
      <c r="C75" s="155" t="s">
        <v>160</v>
      </c>
      <c r="D75" s="155">
        <v>16</v>
      </c>
      <c r="E75" s="155">
        <v>1</v>
      </c>
      <c r="F75" s="154">
        <f t="shared" si="18"/>
        <v>832</v>
      </c>
      <c r="G75" s="132">
        <f t="shared" si="37"/>
        <v>613</v>
      </c>
      <c r="H75" s="79">
        <f t="shared" si="11"/>
        <v>510016</v>
      </c>
      <c r="I75" s="76">
        <f t="shared" si="29"/>
        <v>382437.9540592888</v>
      </c>
      <c r="J75" s="73">
        <f>References!$C$49*I75</f>
        <v>382.4379540592891</v>
      </c>
      <c r="K75" s="121">
        <f>J75/References!$G$57</f>
        <v>392.99780508183807</v>
      </c>
      <c r="L75" s="121">
        <f t="shared" si="19"/>
        <v>0.47</v>
      </c>
      <c r="M75" s="27">
        <v>50.089999999999996</v>
      </c>
      <c r="N75" s="73">
        <f t="shared" si="30"/>
        <v>50.559999999999995</v>
      </c>
      <c r="O75" s="73">
        <f t="shared" si="33"/>
        <v>41674.88</v>
      </c>
      <c r="P75" s="74">
        <f t="shared" si="34"/>
        <v>50.559999999999995</v>
      </c>
      <c r="Q75" s="74">
        <f t="shared" si="35"/>
        <v>42065.92</v>
      </c>
      <c r="R75" s="74">
        <f t="shared" si="36"/>
        <v>391.0400000000009</v>
      </c>
      <c r="U75" s="153">
        <f t="shared" si="17"/>
        <v>0.009383110401277595</v>
      </c>
      <c r="V75" s="119"/>
      <c r="X75" s="75">
        <v>4</v>
      </c>
      <c r="Y75" s="161">
        <f t="shared" si="20"/>
        <v>3328</v>
      </c>
    </row>
    <row r="76" spans="1:25" s="75" customFormat="1" ht="15">
      <c r="A76" s="173"/>
      <c r="B76" s="72">
        <v>33</v>
      </c>
      <c r="C76" s="155" t="s">
        <v>161</v>
      </c>
      <c r="D76" s="155">
        <v>6</v>
      </c>
      <c r="E76" s="155">
        <v>1</v>
      </c>
      <c r="F76" s="154">
        <f t="shared" si="18"/>
        <v>312</v>
      </c>
      <c r="G76" s="132">
        <f t="shared" si="37"/>
        <v>613</v>
      </c>
      <c r="H76" s="79">
        <f t="shared" si="11"/>
        <v>191256</v>
      </c>
      <c r="I76" s="76">
        <f t="shared" si="29"/>
        <v>143414.2327722333</v>
      </c>
      <c r="J76" s="73">
        <f>References!$C$49*I76</f>
        <v>143.41423277223345</v>
      </c>
      <c r="K76" s="121">
        <f>J76/References!$G$57</f>
        <v>147.37417690568932</v>
      </c>
      <c r="L76" s="121">
        <f t="shared" si="19"/>
        <v>0.47</v>
      </c>
      <c r="M76" s="27">
        <v>50.089999999999996</v>
      </c>
      <c r="N76" s="73">
        <f t="shared" si="30"/>
        <v>50.559999999999995</v>
      </c>
      <c r="O76" s="73">
        <f t="shared" si="33"/>
        <v>15628.079999999998</v>
      </c>
      <c r="P76" s="74">
        <f t="shared" si="34"/>
        <v>50.559999999999995</v>
      </c>
      <c r="Q76" s="74">
        <f t="shared" si="35"/>
        <v>15774.72</v>
      </c>
      <c r="R76" s="74">
        <f t="shared" si="36"/>
        <v>146.64000000000124</v>
      </c>
      <c r="U76" s="153">
        <f t="shared" si="17"/>
        <v>0.009383110401277595</v>
      </c>
      <c r="V76" s="119"/>
      <c r="X76" s="75">
        <v>4</v>
      </c>
      <c r="Y76" s="161">
        <f t="shared" si="20"/>
        <v>1248</v>
      </c>
    </row>
    <row r="77" spans="1:25" s="75" customFormat="1" ht="15">
      <c r="A77" s="173"/>
      <c r="B77" s="72">
        <v>33</v>
      </c>
      <c r="C77" s="155" t="s">
        <v>162</v>
      </c>
      <c r="D77" s="155">
        <v>24</v>
      </c>
      <c r="E77" s="155">
        <v>1</v>
      </c>
      <c r="F77" s="154">
        <f t="shared" si="18"/>
        <v>1248</v>
      </c>
      <c r="G77" s="132">
        <f t="shared" si="37"/>
        <v>613</v>
      </c>
      <c r="H77" s="79">
        <f t="shared" si="11"/>
        <v>765024</v>
      </c>
      <c r="I77" s="76">
        <f t="shared" si="29"/>
        <v>573656.9310889333</v>
      </c>
      <c r="J77" s="73">
        <f>References!$C$49*I77</f>
        <v>573.6569310889338</v>
      </c>
      <c r="K77" s="121">
        <f>J77/References!$G$57</f>
        <v>589.4967076227573</v>
      </c>
      <c r="L77" s="121">
        <f t="shared" si="19"/>
        <v>0.47</v>
      </c>
      <c r="M77" s="27">
        <v>50.089999999999996</v>
      </c>
      <c r="N77" s="73">
        <f t="shared" si="30"/>
        <v>50.559999999999995</v>
      </c>
      <c r="O77" s="73">
        <f t="shared" si="33"/>
        <v>62512.31999999999</v>
      </c>
      <c r="P77" s="74">
        <f t="shared" si="34"/>
        <v>50.559999999999995</v>
      </c>
      <c r="Q77" s="74">
        <f t="shared" si="35"/>
        <v>63098.88</v>
      </c>
      <c r="R77" s="74">
        <f t="shared" si="36"/>
        <v>586.560000000005</v>
      </c>
      <c r="U77" s="153">
        <f t="shared" si="17"/>
        <v>0.009383110401277595</v>
      </c>
      <c r="V77" s="119"/>
      <c r="X77" s="75">
        <v>4</v>
      </c>
      <c r="Y77" s="161">
        <f t="shared" si="20"/>
        <v>4992</v>
      </c>
    </row>
    <row r="78" spans="1:25" s="75" customFormat="1" ht="15">
      <c r="A78" s="173"/>
      <c r="B78" s="72">
        <v>33</v>
      </c>
      <c r="C78" s="155" t="s">
        <v>163</v>
      </c>
      <c r="D78" s="155">
        <v>8</v>
      </c>
      <c r="E78" s="155">
        <v>2</v>
      </c>
      <c r="F78" s="154">
        <f t="shared" si="18"/>
        <v>832</v>
      </c>
      <c r="G78" s="132">
        <f t="shared" si="37"/>
        <v>613</v>
      </c>
      <c r="H78" s="79">
        <f t="shared" si="11"/>
        <v>510016</v>
      </c>
      <c r="I78" s="76">
        <f aca="true" t="shared" si="38" ref="I78:I99">$C$111*H78</f>
        <v>382437.9540592888</v>
      </c>
      <c r="J78" s="73">
        <f>References!$C$49*I78</f>
        <v>382.4379540592891</v>
      </c>
      <c r="K78" s="121">
        <f>J78/References!$G$57</f>
        <v>392.99780508183807</v>
      </c>
      <c r="L78" s="121">
        <f t="shared" si="19"/>
        <v>0.47</v>
      </c>
      <c r="M78" s="27">
        <v>50.089999999999996</v>
      </c>
      <c r="N78" s="73">
        <f t="shared" si="30"/>
        <v>50.559999999999995</v>
      </c>
      <c r="O78" s="73">
        <f t="shared" si="33"/>
        <v>41674.88</v>
      </c>
      <c r="P78" s="74">
        <f t="shared" si="34"/>
        <v>50.559999999999995</v>
      </c>
      <c r="Q78" s="74">
        <f t="shared" si="35"/>
        <v>42065.92</v>
      </c>
      <c r="R78" s="74">
        <f t="shared" si="36"/>
        <v>391.0400000000009</v>
      </c>
      <c r="U78" s="153">
        <f t="shared" si="17"/>
        <v>0.009383110401277595</v>
      </c>
      <c r="V78" s="119"/>
      <c r="X78" s="75">
        <v>4</v>
      </c>
      <c r="Y78" s="161">
        <f t="shared" si="20"/>
        <v>3328</v>
      </c>
    </row>
    <row r="79" spans="1:25" s="75" customFormat="1" ht="15">
      <c r="A79" s="173"/>
      <c r="B79" s="72">
        <v>33</v>
      </c>
      <c r="C79" s="155" t="s">
        <v>164</v>
      </c>
      <c r="D79" s="155">
        <v>2</v>
      </c>
      <c r="E79" s="155">
        <v>2</v>
      </c>
      <c r="F79" s="154">
        <f t="shared" si="18"/>
        <v>208</v>
      </c>
      <c r="G79" s="132">
        <f t="shared" si="37"/>
        <v>613</v>
      </c>
      <c r="H79" s="79">
        <f t="shared" si="11"/>
        <v>127504</v>
      </c>
      <c r="I79" s="76">
        <f t="shared" si="38"/>
        <v>95609.4885148222</v>
      </c>
      <c r="J79" s="73">
        <f>References!$C$49*I79</f>
        <v>95.60948851482227</v>
      </c>
      <c r="K79" s="121">
        <f>J79/References!$G$57</f>
        <v>98.24945127045952</v>
      </c>
      <c r="L79" s="121">
        <f t="shared" si="19"/>
        <v>0.47</v>
      </c>
      <c r="M79" s="27">
        <v>50.089999999999996</v>
      </c>
      <c r="N79" s="73">
        <f t="shared" si="30"/>
        <v>50.559999999999995</v>
      </c>
      <c r="O79" s="73">
        <f t="shared" si="33"/>
        <v>10418.72</v>
      </c>
      <c r="P79" s="74">
        <f t="shared" si="34"/>
        <v>50.559999999999995</v>
      </c>
      <c r="Q79" s="74">
        <f t="shared" si="35"/>
        <v>10516.48</v>
      </c>
      <c r="R79" s="74">
        <f t="shared" si="36"/>
        <v>97.76000000000022</v>
      </c>
      <c r="U79" s="153">
        <f t="shared" si="17"/>
        <v>0.009383110401277595</v>
      </c>
      <c r="V79" s="119"/>
      <c r="X79" s="75">
        <v>4</v>
      </c>
      <c r="Y79" s="161">
        <f t="shared" si="20"/>
        <v>832</v>
      </c>
    </row>
    <row r="80" spans="1:25" s="75" customFormat="1" ht="15">
      <c r="A80" s="173"/>
      <c r="B80" s="72">
        <v>33</v>
      </c>
      <c r="C80" s="155" t="s">
        <v>165</v>
      </c>
      <c r="D80" s="155">
        <v>4</v>
      </c>
      <c r="E80" s="155">
        <v>2</v>
      </c>
      <c r="F80" s="154">
        <f t="shared" si="18"/>
        <v>416</v>
      </c>
      <c r="G80" s="132">
        <f t="shared" si="37"/>
        <v>613</v>
      </c>
      <c r="H80" s="79">
        <f t="shared" si="11"/>
        <v>255008</v>
      </c>
      <c r="I80" s="76">
        <f t="shared" si="38"/>
        <v>191218.9770296444</v>
      </c>
      <c r="J80" s="73">
        <f>References!$C$49*I80</f>
        <v>191.21897702964455</v>
      </c>
      <c r="K80" s="121">
        <f>J80/References!$G$57</f>
        <v>196.49890254091903</v>
      </c>
      <c r="L80" s="121">
        <f t="shared" si="19"/>
        <v>0.47</v>
      </c>
      <c r="M80" s="27">
        <v>50.089999999999996</v>
      </c>
      <c r="N80" s="73">
        <f t="shared" si="30"/>
        <v>50.559999999999995</v>
      </c>
      <c r="O80" s="73">
        <f t="shared" si="33"/>
        <v>20837.44</v>
      </c>
      <c r="P80" s="74">
        <f t="shared" si="34"/>
        <v>50.559999999999995</v>
      </c>
      <c r="Q80" s="74">
        <f t="shared" si="35"/>
        <v>21032.96</v>
      </c>
      <c r="R80" s="74">
        <f t="shared" si="36"/>
        <v>195.52000000000044</v>
      </c>
      <c r="U80" s="153">
        <f t="shared" si="17"/>
        <v>0.009383110401277595</v>
      </c>
      <c r="V80" s="119"/>
      <c r="X80" s="75">
        <v>4</v>
      </c>
      <c r="Y80" s="161">
        <f t="shared" si="20"/>
        <v>1664</v>
      </c>
    </row>
    <row r="81" spans="1:25" s="75" customFormat="1" ht="15">
      <c r="A81" s="173"/>
      <c r="B81" s="72">
        <v>33</v>
      </c>
      <c r="C81" s="155" t="s">
        <v>166</v>
      </c>
      <c r="D81" s="155">
        <v>2</v>
      </c>
      <c r="E81" s="155">
        <v>3</v>
      </c>
      <c r="F81" s="154">
        <f t="shared" si="18"/>
        <v>312</v>
      </c>
      <c r="G81" s="132">
        <f t="shared" si="37"/>
        <v>613</v>
      </c>
      <c r="H81" s="79">
        <f t="shared" si="11"/>
        <v>191256</v>
      </c>
      <c r="I81" s="76">
        <f t="shared" si="38"/>
        <v>143414.2327722333</v>
      </c>
      <c r="J81" s="73">
        <f>References!$C$49*I81</f>
        <v>143.41423277223345</v>
      </c>
      <c r="K81" s="121">
        <f>J81/References!$G$57</f>
        <v>147.37417690568932</v>
      </c>
      <c r="L81" s="121">
        <f t="shared" si="19"/>
        <v>0.47</v>
      </c>
      <c r="M81" s="27">
        <v>50.089999999999996</v>
      </c>
      <c r="N81" s="73">
        <f t="shared" si="30"/>
        <v>50.559999999999995</v>
      </c>
      <c r="O81" s="73">
        <f t="shared" si="33"/>
        <v>15628.079999999998</v>
      </c>
      <c r="P81" s="74">
        <f t="shared" si="34"/>
        <v>50.559999999999995</v>
      </c>
      <c r="Q81" s="74">
        <f t="shared" si="35"/>
        <v>15774.72</v>
      </c>
      <c r="R81" s="74">
        <f t="shared" si="36"/>
        <v>146.64000000000124</v>
      </c>
      <c r="U81" s="153">
        <f t="shared" si="17"/>
        <v>0.009383110401277595</v>
      </c>
      <c r="V81" s="119"/>
      <c r="X81" s="75">
        <v>4</v>
      </c>
      <c r="Y81" s="161">
        <f t="shared" si="20"/>
        <v>1248</v>
      </c>
    </row>
    <row r="82" spans="1:25" s="75" customFormat="1" ht="15">
      <c r="A82" s="173"/>
      <c r="B82" s="72">
        <v>33</v>
      </c>
      <c r="C82" s="155" t="s">
        <v>167</v>
      </c>
      <c r="D82" s="155">
        <v>2</v>
      </c>
      <c r="E82" s="157">
        <f>1/4.333</f>
        <v>0.23078698361412414</v>
      </c>
      <c r="F82" s="154">
        <f t="shared" si="18"/>
        <v>24.001846295868912</v>
      </c>
      <c r="G82" s="132">
        <f>+References!B32</f>
        <v>840</v>
      </c>
      <c r="H82" s="79">
        <f t="shared" si="11"/>
        <v>20161.550888529888</v>
      </c>
      <c r="I82" s="76">
        <f t="shared" si="38"/>
        <v>15118.236040578347</v>
      </c>
      <c r="J82" s="73">
        <f>References!$C$49*I82</f>
        <v>15.118236040578362</v>
      </c>
      <c r="K82" s="121">
        <f>J82/References!$G$57</f>
        <v>15.535679755611646</v>
      </c>
      <c r="L82" s="121">
        <f t="shared" si="19"/>
        <v>0.65</v>
      </c>
      <c r="M82" s="27">
        <v>72.23000000000002</v>
      </c>
      <c r="N82" s="73">
        <f t="shared" si="30"/>
        <v>72.88000000000002</v>
      </c>
      <c r="O82" s="73">
        <f t="shared" si="33"/>
        <v>1733.653357950612</v>
      </c>
      <c r="P82" s="74">
        <f t="shared" si="34"/>
        <v>72.88000000000002</v>
      </c>
      <c r="Q82" s="74">
        <f t="shared" si="35"/>
        <v>1749.2545580429269</v>
      </c>
      <c r="R82" s="74">
        <f t="shared" si="36"/>
        <v>15.601200092314912</v>
      </c>
      <c r="U82" s="153">
        <f aca="true" t="shared" si="39" ref="U82:U99">+N82/M82-1</f>
        <v>0.008999030873598324</v>
      </c>
      <c r="V82" s="119"/>
      <c r="X82" s="75">
        <v>6</v>
      </c>
      <c r="Y82" s="161">
        <f t="shared" si="20"/>
        <v>144.01107777521347</v>
      </c>
    </row>
    <row r="83" spans="1:25" s="75" customFormat="1" ht="15">
      <c r="A83" s="173"/>
      <c r="B83" s="72">
        <v>33</v>
      </c>
      <c r="C83" s="155" t="s">
        <v>168</v>
      </c>
      <c r="D83" s="155">
        <v>8</v>
      </c>
      <c r="E83" s="155">
        <v>0.5</v>
      </c>
      <c r="F83" s="154">
        <f t="shared" si="18"/>
        <v>208</v>
      </c>
      <c r="G83" s="132">
        <f>+G82</f>
        <v>840</v>
      </c>
      <c r="H83" s="79">
        <f t="shared" si="11"/>
        <v>174720</v>
      </c>
      <c r="I83" s="76">
        <f t="shared" si="38"/>
        <v>131014.63352765195</v>
      </c>
      <c r="J83" s="73">
        <f>References!$C$49*I83</f>
        <v>131.01463352765208</v>
      </c>
      <c r="K83" s="121">
        <f>J83/References!$G$57</f>
        <v>134.6322007621305</v>
      </c>
      <c r="L83" s="121">
        <f t="shared" si="19"/>
        <v>0.65</v>
      </c>
      <c r="M83" s="27">
        <v>69.23000000000002</v>
      </c>
      <c r="N83" s="73">
        <f t="shared" si="30"/>
        <v>69.88000000000002</v>
      </c>
      <c r="O83" s="73">
        <f t="shared" si="33"/>
        <v>14399.840000000004</v>
      </c>
      <c r="P83" s="74">
        <f t="shared" si="34"/>
        <v>69.88000000000002</v>
      </c>
      <c r="Q83" s="74">
        <f t="shared" si="35"/>
        <v>14535.040000000005</v>
      </c>
      <c r="R83" s="74">
        <f t="shared" si="36"/>
        <v>135.20000000000073</v>
      </c>
      <c r="U83" s="153">
        <f t="shared" si="39"/>
        <v>0.009388993211035812</v>
      </c>
      <c r="V83" s="119"/>
      <c r="X83" s="75">
        <v>6</v>
      </c>
      <c r="Y83" s="161">
        <f t="shared" si="20"/>
        <v>1248</v>
      </c>
    </row>
    <row r="84" spans="1:25" s="75" customFormat="1" ht="15">
      <c r="A84" s="173"/>
      <c r="B84" s="72">
        <v>33</v>
      </c>
      <c r="C84" s="155" t="s">
        <v>169</v>
      </c>
      <c r="D84" s="155">
        <v>51</v>
      </c>
      <c r="E84" s="155">
        <v>1</v>
      </c>
      <c r="F84" s="154">
        <f t="shared" si="18"/>
        <v>2652</v>
      </c>
      <c r="G84" s="132">
        <f aca="true" t="shared" si="40" ref="G84:G95">+G83</f>
        <v>840</v>
      </c>
      <c r="H84" s="79">
        <f t="shared" si="11"/>
        <v>2227680</v>
      </c>
      <c r="I84" s="76">
        <f t="shared" si="38"/>
        <v>1670436.5774775625</v>
      </c>
      <c r="J84" s="73">
        <f>References!$C$49*I84</f>
        <v>1670.436577477564</v>
      </c>
      <c r="K84" s="121">
        <f>J84/References!$G$57</f>
        <v>1716.560559717164</v>
      </c>
      <c r="L84" s="121">
        <f t="shared" si="19"/>
        <v>0.65</v>
      </c>
      <c r="M84" s="27">
        <v>69.23000000000002</v>
      </c>
      <c r="N84" s="73">
        <f t="shared" si="30"/>
        <v>69.88000000000002</v>
      </c>
      <c r="O84" s="73">
        <f t="shared" si="33"/>
        <v>183597.96000000005</v>
      </c>
      <c r="P84" s="74">
        <f t="shared" si="34"/>
        <v>69.88000000000002</v>
      </c>
      <c r="Q84" s="74">
        <f t="shared" si="35"/>
        <v>185321.76000000007</v>
      </c>
      <c r="R84" s="74">
        <f t="shared" si="36"/>
        <v>1723.8000000000175</v>
      </c>
      <c r="S84" s="180">
        <f>L84*3</f>
        <v>1.9500000000000002</v>
      </c>
      <c r="U84" s="153">
        <f t="shared" si="39"/>
        <v>0.009388993211035812</v>
      </c>
      <c r="V84" s="119"/>
      <c r="X84" s="75">
        <v>6</v>
      </c>
      <c r="Y84" s="161">
        <f t="shared" si="20"/>
        <v>15912</v>
      </c>
    </row>
    <row r="85" spans="1:25" s="75" customFormat="1" ht="15">
      <c r="A85" s="173"/>
      <c r="B85" s="72">
        <v>33</v>
      </c>
      <c r="C85" s="155" t="s">
        <v>170</v>
      </c>
      <c r="D85" s="155">
        <v>14</v>
      </c>
      <c r="E85" s="155">
        <v>1</v>
      </c>
      <c r="F85" s="154">
        <f t="shared" si="18"/>
        <v>728</v>
      </c>
      <c r="G85" s="132">
        <f t="shared" si="40"/>
        <v>840</v>
      </c>
      <c r="H85" s="79">
        <f t="shared" si="11"/>
        <v>611520</v>
      </c>
      <c r="I85" s="76">
        <f t="shared" si="38"/>
        <v>458551.21734678186</v>
      </c>
      <c r="J85" s="73">
        <f>References!$C$49*I85</f>
        <v>458.55121734678227</v>
      </c>
      <c r="K85" s="121">
        <f>J85/References!$G$57</f>
        <v>471.2127026674568</v>
      </c>
      <c r="L85" s="121">
        <f t="shared" si="19"/>
        <v>0.65</v>
      </c>
      <c r="M85" s="27">
        <v>69.23000000000002</v>
      </c>
      <c r="N85" s="73">
        <f t="shared" si="30"/>
        <v>69.88000000000002</v>
      </c>
      <c r="O85" s="73">
        <f t="shared" si="33"/>
        <v>50399.44000000002</v>
      </c>
      <c r="P85" s="74">
        <f t="shared" si="34"/>
        <v>69.88000000000002</v>
      </c>
      <c r="Q85" s="74">
        <f t="shared" si="35"/>
        <v>50872.640000000014</v>
      </c>
      <c r="R85" s="74">
        <f t="shared" si="36"/>
        <v>473.1999999999971</v>
      </c>
      <c r="U85" s="153">
        <f t="shared" si="39"/>
        <v>0.009388993211035812</v>
      </c>
      <c r="V85" s="119"/>
      <c r="X85" s="75">
        <v>6</v>
      </c>
      <c r="Y85" s="161">
        <f t="shared" si="20"/>
        <v>4368</v>
      </c>
    </row>
    <row r="86" spans="1:25" s="75" customFormat="1" ht="15">
      <c r="A86" s="173"/>
      <c r="B86" s="72">
        <v>33</v>
      </c>
      <c r="C86" s="155" t="s">
        <v>171</v>
      </c>
      <c r="D86" s="155">
        <v>9</v>
      </c>
      <c r="E86" s="155">
        <v>1</v>
      </c>
      <c r="F86" s="154">
        <f t="shared" si="18"/>
        <v>468</v>
      </c>
      <c r="G86" s="132">
        <f t="shared" si="40"/>
        <v>840</v>
      </c>
      <c r="H86" s="79">
        <f t="shared" si="11"/>
        <v>393120</v>
      </c>
      <c r="I86" s="76">
        <f t="shared" si="38"/>
        <v>294782.9254372169</v>
      </c>
      <c r="J86" s="73">
        <f>References!$C$49*I86</f>
        <v>294.78292543721716</v>
      </c>
      <c r="K86" s="121">
        <f>J86/References!$G$57</f>
        <v>302.9224517147936</v>
      </c>
      <c r="L86" s="121">
        <f t="shared" si="19"/>
        <v>0.65</v>
      </c>
      <c r="M86" s="27">
        <v>69.23000000000002</v>
      </c>
      <c r="N86" s="73">
        <f t="shared" si="30"/>
        <v>69.88000000000002</v>
      </c>
      <c r="O86" s="73">
        <f t="shared" si="33"/>
        <v>32399.640000000007</v>
      </c>
      <c r="P86" s="74">
        <f t="shared" si="34"/>
        <v>69.88000000000002</v>
      </c>
      <c r="Q86" s="74">
        <f t="shared" si="35"/>
        <v>32703.84000000001</v>
      </c>
      <c r="R86" s="74">
        <f t="shared" si="36"/>
        <v>304.20000000000437</v>
      </c>
      <c r="U86" s="153">
        <f t="shared" si="39"/>
        <v>0.009388993211035812</v>
      </c>
      <c r="V86" s="119"/>
      <c r="X86" s="75">
        <v>6</v>
      </c>
      <c r="Y86" s="161">
        <f t="shared" si="20"/>
        <v>2808</v>
      </c>
    </row>
    <row r="87" spans="1:25" s="75" customFormat="1" ht="15">
      <c r="A87" s="173"/>
      <c r="B87" s="72">
        <v>33</v>
      </c>
      <c r="C87" s="155" t="s">
        <v>172</v>
      </c>
      <c r="D87" s="155">
        <v>8</v>
      </c>
      <c r="E87" s="155">
        <v>1</v>
      </c>
      <c r="F87" s="154">
        <f t="shared" si="18"/>
        <v>416</v>
      </c>
      <c r="G87" s="132">
        <f t="shared" si="40"/>
        <v>840</v>
      </c>
      <c r="H87" s="79">
        <f t="shared" si="11"/>
        <v>349440</v>
      </c>
      <c r="I87" s="76">
        <f t="shared" si="38"/>
        <v>262029.2670553039</v>
      </c>
      <c r="J87" s="73">
        <f>References!$C$49*I87</f>
        <v>262.02926705530416</v>
      </c>
      <c r="K87" s="121">
        <f>J87/References!$G$57</f>
        <v>269.264401524261</v>
      </c>
      <c r="L87" s="121">
        <f t="shared" si="19"/>
        <v>0.65</v>
      </c>
      <c r="M87" s="27">
        <v>69.23000000000002</v>
      </c>
      <c r="N87" s="73">
        <f t="shared" si="30"/>
        <v>69.88000000000002</v>
      </c>
      <c r="O87" s="73">
        <f t="shared" si="33"/>
        <v>28799.680000000008</v>
      </c>
      <c r="P87" s="74">
        <f t="shared" si="34"/>
        <v>69.88000000000002</v>
      </c>
      <c r="Q87" s="74">
        <f t="shared" si="35"/>
        <v>29070.08000000001</v>
      </c>
      <c r="R87" s="74">
        <f t="shared" si="36"/>
        <v>270.40000000000146</v>
      </c>
      <c r="U87" s="153">
        <f t="shared" si="39"/>
        <v>0.009388993211035812</v>
      </c>
      <c r="V87" s="119"/>
      <c r="X87" s="75">
        <v>6</v>
      </c>
      <c r="Y87" s="161">
        <f t="shared" si="20"/>
        <v>2496</v>
      </c>
    </row>
    <row r="88" spans="1:25" s="75" customFormat="1" ht="15">
      <c r="A88" s="173"/>
      <c r="B88" s="72">
        <v>33</v>
      </c>
      <c r="C88" s="155" t="s">
        <v>173</v>
      </c>
      <c r="D88" s="155">
        <v>15</v>
      </c>
      <c r="E88" s="155">
        <v>1</v>
      </c>
      <c r="F88" s="154">
        <f t="shared" si="18"/>
        <v>780</v>
      </c>
      <c r="G88" s="132">
        <f t="shared" si="40"/>
        <v>840</v>
      </c>
      <c r="H88" s="79">
        <f t="shared" si="11"/>
        <v>655200</v>
      </c>
      <c r="I88" s="76">
        <f t="shared" si="38"/>
        <v>491304.87572869484</v>
      </c>
      <c r="J88" s="73">
        <f>References!$C$49*I88</f>
        <v>491.30487572869527</v>
      </c>
      <c r="K88" s="121">
        <f>J88/References!$G$57</f>
        <v>504.87075285798943</v>
      </c>
      <c r="L88" s="121">
        <f t="shared" si="19"/>
        <v>0.65</v>
      </c>
      <c r="M88" s="27">
        <v>69.23000000000002</v>
      </c>
      <c r="N88" s="73">
        <f t="shared" si="30"/>
        <v>69.88000000000002</v>
      </c>
      <c r="O88" s="73">
        <f t="shared" si="33"/>
        <v>53999.400000000016</v>
      </c>
      <c r="P88" s="74">
        <f t="shared" si="34"/>
        <v>69.88000000000002</v>
      </c>
      <c r="Q88" s="74">
        <f t="shared" si="35"/>
        <v>54506.400000000016</v>
      </c>
      <c r="R88" s="74">
        <f t="shared" si="36"/>
        <v>507</v>
      </c>
      <c r="U88" s="153">
        <f t="shared" si="39"/>
        <v>0.009388993211035812</v>
      </c>
      <c r="V88" s="119"/>
      <c r="X88" s="75">
        <v>6</v>
      </c>
      <c r="Y88" s="161">
        <f t="shared" si="20"/>
        <v>4680</v>
      </c>
    </row>
    <row r="89" spans="1:25" s="75" customFormat="1" ht="15">
      <c r="A89" s="173"/>
      <c r="B89" s="72">
        <v>33</v>
      </c>
      <c r="C89" s="155" t="s">
        <v>174</v>
      </c>
      <c r="D89" s="155">
        <v>6</v>
      </c>
      <c r="E89" s="155">
        <v>1</v>
      </c>
      <c r="F89" s="154">
        <f t="shared" si="18"/>
        <v>312</v>
      </c>
      <c r="G89" s="132">
        <f t="shared" si="40"/>
        <v>840</v>
      </c>
      <c r="H89" s="79">
        <f t="shared" si="11"/>
        <v>262080</v>
      </c>
      <c r="I89" s="76">
        <f t="shared" si="38"/>
        <v>196521.95029147793</v>
      </c>
      <c r="J89" s="73">
        <f>References!$C$49*I89</f>
        <v>196.5219502914781</v>
      </c>
      <c r="K89" s="121">
        <f>J89/References!$G$57</f>
        <v>201.94830114319578</v>
      </c>
      <c r="L89" s="121">
        <f t="shared" si="19"/>
        <v>0.65</v>
      </c>
      <c r="M89" s="27">
        <v>69.23000000000002</v>
      </c>
      <c r="N89" s="73">
        <f t="shared" si="30"/>
        <v>69.88000000000002</v>
      </c>
      <c r="O89" s="73">
        <f t="shared" si="33"/>
        <v>21599.760000000006</v>
      </c>
      <c r="P89" s="74">
        <f t="shared" si="34"/>
        <v>69.88000000000002</v>
      </c>
      <c r="Q89" s="74">
        <f t="shared" si="35"/>
        <v>21802.56000000001</v>
      </c>
      <c r="R89" s="74">
        <f t="shared" si="36"/>
        <v>202.8000000000029</v>
      </c>
      <c r="U89" s="153">
        <f t="shared" si="39"/>
        <v>0.009388993211035812</v>
      </c>
      <c r="V89" s="119"/>
      <c r="X89" s="75">
        <v>6</v>
      </c>
      <c r="Y89" s="161">
        <f t="shared" si="20"/>
        <v>1872</v>
      </c>
    </row>
    <row r="90" spans="1:25" s="75" customFormat="1" ht="15">
      <c r="A90" s="173"/>
      <c r="B90" s="72">
        <v>33</v>
      </c>
      <c r="C90" s="155" t="s">
        <v>175</v>
      </c>
      <c r="D90" s="155">
        <v>10</v>
      </c>
      <c r="E90" s="155">
        <v>2</v>
      </c>
      <c r="F90" s="154">
        <f t="shared" si="18"/>
        <v>1040</v>
      </c>
      <c r="G90" s="132">
        <f t="shared" si="40"/>
        <v>840</v>
      </c>
      <c r="H90" s="79">
        <f aca="true" t="shared" si="41" ref="H90:H99">F90*G90</f>
        <v>873600</v>
      </c>
      <c r="I90" s="76">
        <f t="shared" si="38"/>
        <v>655073.1676382598</v>
      </c>
      <c r="J90" s="73">
        <f>References!$C$49*I90</f>
        <v>655.0731676382604</v>
      </c>
      <c r="K90" s="121">
        <f>J90/References!$G$57</f>
        <v>673.1610038106527</v>
      </c>
      <c r="L90" s="121">
        <f t="shared" si="19"/>
        <v>0.65</v>
      </c>
      <c r="M90" s="27">
        <v>69.23000000000002</v>
      </c>
      <c r="N90" s="73">
        <f aca="true" t="shared" si="42" ref="N90:N99">L90+M90</f>
        <v>69.88000000000002</v>
      </c>
      <c r="O90" s="73">
        <f t="shared" si="33"/>
        <v>71999.20000000001</v>
      </c>
      <c r="P90" s="74">
        <f t="shared" si="34"/>
        <v>69.88000000000002</v>
      </c>
      <c r="Q90" s="74">
        <f t="shared" si="35"/>
        <v>72675.20000000003</v>
      </c>
      <c r="R90" s="74">
        <f t="shared" si="36"/>
        <v>676.0000000000146</v>
      </c>
      <c r="U90" s="153">
        <f t="shared" si="39"/>
        <v>0.009388993211035812</v>
      </c>
      <c r="V90" s="119"/>
      <c r="X90" s="75">
        <v>6</v>
      </c>
      <c r="Y90" s="161">
        <f t="shared" si="20"/>
        <v>6240</v>
      </c>
    </row>
    <row r="91" spans="1:25" s="75" customFormat="1" ht="15">
      <c r="A91" s="173"/>
      <c r="B91" s="72">
        <v>33</v>
      </c>
      <c r="C91" s="155" t="s">
        <v>176</v>
      </c>
      <c r="D91" s="155">
        <v>2</v>
      </c>
      <c r="E91" s="155">
        <v>2</v>
      </c>
      <c r="F91" s="154">
        <f t="shared" si="18"/>
        <v>208</v>
      </c>
      <c r="G91" s="132">
        <f t="shared" si="40"/>
        <v>840</v>
      </c>
      <c r="H91" s="79">
        <f t="shared" si="41"/>
        <v>174720</v>
      </c>
      <c r="I91" s="76">
        <f t="shared" si="38"/>
        <v>131014.63352765195</v>
      </c>
      <c r="J91" s="73">
        <f>References!$C$49*I91</f>
        <v>131.01463352765208</v>
      </c>
      <c r="K91" s="121">
        <f>J91/References!$G$57</f>
        <v>134.6322007621305</v>
      </c>
      <c r="L91" s="121">
        <f t="shared" si="19"/>
        <v>0.65</v>
      </c>
      <c r="M91" s="27">
        <v>69.23000000000002</v>
      </c>
      <c r="N91" s="73">
        <f t="shared" si="42"/>
        <v>69.88000000000002</v>
      </c>
      <c r="O91" s="73">
        <f t="shared" si="33"/>
        <v>14399.840000000004</v>
      </c>
      <c r="P91" s="74">
        <f t="shared" si="34"/>
        <v>69.88000000000002</v>
      </c>
      <c r="Q91" s="74">
        <f t="shared" si="35"/>
        <v>14535.040000000005</v>
      </c>
      <c r="R91" s="74">
        <f t="shared" si="36"/>
        <v>135.20000000000073</v>
      </c>
      <c r="U91" s="153">
        <f t="shared" si="39"/>
        <v>0.009388993211035812</v>
      </c>
      <c r="V91" s="119"/>
      <c r="X91" s="75">
        <v>6</v>
      </c>
      <c r="Y91" s="161">
        <f t="shared" si="20"/>
        <v>1248</v>
      </c>
    </row>
    <row r="92" spans="1:25" s="75" customFormat="1" ht="15">
      <c r="A92" s="173"/>
      <c r="B92" s="72">
        <v>33</v>
      </c>
      <c r="C92" s="155" t="s">
        <v>177</v>
      </c>
      <c r="D92" s="155">
        <v>8</v>
      </c>
      <c r="E92" s="155">
        <v>2</v>
      </c>
      <c r="F92" s="154">
        <f t="shared" si="18"/>
        <v>832</v>
      </c>
      <c r="G92" s="132">
        <f t="shared" si="40"/>
        <v>840</v>
      </c>
      <c r="H92" s="79">
        <f t="shared" si="41"/>
        <v>698880</v>
      </c>
      <c r="I92" s="76">
        <f t="shared" si="38"/>
        <v>524058.5341106078</v>
      </c>
      <c r="J92" s="73">
        <f>References!$C$49*I92</f>
        <v>524.0585341106083</v>
      </c>
      <c r="K92" s="121">
        <f>J92/References!$G$57</f>
        <v>538.528803048522</v>
      </c>
      <c r="L92" s="121">
        <f t="shared" si="19"/>
        <v>0.65</v>
      </c>
      <c r="M92" s="27">
        <v>69.23000000000002</v>
      </c>
      <c r="N92" s="73">
        <f t="shared" si="42"/>
        <v>69.88000000000002</v>
      </c>
      <c r="O92" s="73">
        <f t="shared" si="33"/>
        <v>57599.360000000015</v>
      </c>
      <c r="P92" s="74">
        <f t="shared" si="34"/>
        <v>69.88000000000002</v>
      </c>
      <c r="Q92" s="74">
        <f t="shared" si="35"/>
        <v>58140.16000000002</v>
      </c>
      <c r="R92" s="74">
        <f t="shared" si="36"/>
        <v>540.8000000000029</v>
      </c>
      <c r="U92" s="153">
        <f t="shared" si="39"/>
        <v>0.009388993211035812</v>
      </c>
      <c r="V92" s="119"/>
      <c r="X92" s="75">
        <v>6</v>
      </c>
      <c r="Y92" s="161">
        <f t="shared" si="20"/>
        <v>4992</v>
      </c>
    </row>
    <row r="93" spans="1:25" s="75" customFormat="1" ht="15">
      <c r="A93" s="173"/>
      <c r="B93" s="72">
        <v>33</v>
      </c>
      <c r="C93" s="155" t="s">
        <v>178</v>
      </c>
      <c r="D93" s="155">
        <v>7</v>
      </c>
      <c r="E93" s="155">
        <v>2</v>
      </c>
      <c r="F93" s="154">
        <f t="shared" si="18"/>
        <v>728</v>
      </c>
      <c r="G93" s="132">
        <f t="shared" si="40"/>
        <v>840</v>
      </c>
      <c r="H93" s="79">
        <f t="shared" si="41"/>
        <v>611520</v>
      </c>
      <c r="I93" s="76">
        <f t="shared" si="38"/>
        <v>458551.21734678186</v>
      </c>
      <c r="J93" s="73">
        <f>References!$C$49*I93</f>
        <v>458.55121734678227</v>
      </c>
      <c r="K93" s="121">
        <f>J93/References!$G$57</f>
        <v>471.2127026674568</v>
      </c>
      <c r="L93" s="121">
        <f t="shared" si="19"/>
        <v>0.65</v>
      </c>
      <c r="M93" s="27">
        <v>69.23000000000002</v>
      </c>
      <c r="N93" s="73">
        <f t="shared" si="42"/>
        <v>69.88000000000002</v>
      </c>
      <c r="O93" s="73">
        <f t="shared" si="33"/>
        <v>50399.44000000002</v>
      </c>
      <c r="P93" s="74">
        <f t="shared" si="34"/>
        <v>69.88000000000002</v>
      </c>
      <c r="Q93" s="74">
        <f t="shared" si="35"/>
        <v>50872.640000000014</v>
      </c>
      <c r="R93" s="74">
        <f t="shared" si="36"/>
        <v>473.1999999999971</v>
      </c>
      <c r="U93" s="153">
        <f t="shared" si="39"/>
        <v>0.009388993211035812</v>
      </c>
      <c r="V93" s="119"/>
      <c r="X93" s="75">
        <v>6</v>
      </c>
      <c r="Y93" s="161">
        <f t="shared" si="20"/>
        <v>4368</v>
      </c>
    </row>
    <row r="94" spans="1:25" s="75" customFormat="1" ht="15">
      <c r="A94" s="173"/>
      <c r="B94" s="72">
        <v>33</v>
      </c>
      <c r="C94" s="155" t="s">
        <v>179</v>
      </c>
      <c r="D94" s="155">
        <v>2</v>
      </c>
      <c r="E94" s="155">
        <v>3</v>
      </c>
      <c r="F94" s="154">
        <f aca="true" t="shared" si="43" ref="F94:F99">+E94*D94*52</f>
        <v>312</v>
      </c>
      <c r="G94" s="132">
        <f t="shared" si="40"/>
        <v>840</v>
      </c>
      <c r="H94" s="79">
        <f t="shared" si="41"/>
        <v>262080</v>
      </c>
      <c r="I94" s="76">
        <f t="shared" si="38"/>
        <v>196521.95029147793</v>
      </c>
      <c r="J94" s="73">
        <f>References!$C$49*I94</f>
        <v>196.5219502914781</v>
      </c>
      <c r="K94" s="121">
        <f>J94/References!$G$57</f>
        <v>201.94830114319578</v>
      </c>
      <c r="L94" s="121">
        <f t="shared" si="19"/>
        <v>0.65</v>
      </c>
      <c r="M94" s="27">
        <v>69.23000000000002</v>
      </c>
      <c r="N94" s="73">
        <f t="shared" si="42"/>
        <v>69.88000000000002</v>
      </c>
      <c r="O94" s="73">
        <f t="shared" si="33"/>
        <v>21599.760000000006</v>
      </c>
      <c r="P94" s="74">
        <f t="shared" si="34"/>
        <v>69.88000000000002</v>
      </c>
      <c r="Q94" s="74">
        <f t="shared" si="35"/>
        <v>21802.56000000001</v>
      </c>
      <c r="R94" s="74">
        <f t="shared" si="36"/>
        <v>202.8000000000029</v>
      </c>
      <c r="U94" s="153">
        <f t="shared" si="39"/>
        <v>0.009388993211035812</v>
      </c>
      <c r="V94" s="119"/>
      <c r="X94" s="75">
        <v>6</v>
      </c>
      <c r="Y94" s="161">
        <f aca="true" t="shared" si="44" ref="Y94:Y99">+X94*F94</f>
        <v>1872</v>
      </c>
    </row>
    <row r="95" spans="1:25" s="75" customFormat="1" ht="15">
      <c r="A95" s="173"/>
      <c r="B95" s="72">
        <v>33</v>
      </c>
      <c r="C95" s="155" t="s">
        <v>180</v>
      </c>
      <c r="D95" s="155">
        <v>2</v>
      </c>
      <c r="E95" s="155">
        <v>3</v>
      </c>
      <c r="F95" s="154">
        <f t="shared" si="43"/>
        <v>312</v>
      </c>
      <c r="G95" s="132">
        <f t="shared" si="40"/>
        <v>840</v>
      </c>
      <c r="H95" s="79">
        <f t="shared" si="41"/>
        <v>262080</v>
      </c>
      <c r="I95" s="76">
        <f t="shared" si="38"/>
        <v>196521.95029147793</v>
      </c>
      <c r="J95" s="73">
        <f>References!$C$49*I95</f>
        <v>196.5219502914781</v>
      </c>
      <c r="K95" s="121">
        <f>J95/References!$G$57</f>
        <v>201.94830114319578</v>
      </c>
      <c r="L95" s="121">
        <f t="shared" si="19"/>
        <v>0.65</v>
      </c>
      <c r="M95" s="27">
        <v>69.23000000000002</v>
      </c>
      <c r="N95" s="73">
        <f t="shared" si="42"/>
        <v>69.88000000000002</v>
      </c>
      <c r="O95" s="73">
        <f t="shared" si="33"/>
        <v>21599.760000000006</v>
      </c>
      <c r="P95" s="74">
        <f t="shared" si="34"/>
        <v>69.88000000000002</v>
      </c>
      <c r="Q95" s="74">
        <f t="shared" si="35"/>
        <v>21802.56000000001</v>
      </c>
      <c r="R95" s="74">
        <f t="shared" si="36"/>
        <v>202.8000000000029</v>
      </c>
      <c r="U95" s="153">
        <f t="shared" si="39"/>
        <v>0.009388993211035812</v>
      </c>
      <c r="V95" s="119"/>
      <c r="X95" s="75">
        <v>6</v>
      </c>
      <c r="Y95" s="161">
        <f t="shared" si="44"/>
        <v>1872</v>
      </c>
    </row>
    <row r="96" spans="1:25" s="75" customFormat="1" ht="15">
      <c r="A96" s="173"/>
      <c r="B96" s="72">
        <v>33</v>
      </c>
      <c r="C96" s="155" t="s">
        <v>181</v>
      </c>
      <c r="D96" s="155">
        <v>6</v>
      </c>
      <c r="E96" s="155">
        <v>0.5</v>
      </c>
      <c r="F96" s="154">
        <f t="shared" si="43"/>
        <v>156</v>
      </c>
      <c r="G96" s="132">
        <f>+References!B33</f>
        <v>980</v>
      </c>
      <c r="H96" s="79">
        <f t="shared" si="41"/>
        <v>152880</v>
      </c>
      <c r="I96" s="76">
        <f t="shared" si="38"/>
        <v>114637.80433669547</v>
      </c>
      <c r="J96" s="73">
        <f>References!$C$49*I96</f>
        <v>114.63780433669557</v>
      </c>
      <c r="K96" s="121">
        <f>J96/References!$G$57</f>
        <v>117.8031756668642</v>
      </c>
      <c r="L96" s="121">
        <f t="shared" si="19"/>
        <v>0.76</v>
      </c>
      <c r="M96" s="27">
        <v>87.89000000000001</v>
      </c>
      <c r="N96" s="73">
        <f t="shared" si="42"/>
        <v>88.65000000000002</v>
      </c>
      <c r="O96" s="73">
        <f t="shared" si="33"/>
        <v>13710.840000000002</v>
      </c>
      <c r="P96" s="74">
        <f t="shared" si="34"/>
        <v>88.65000000000002</v>
      </c>
      <c r="Q96" s="74">
        <f t="shared" si="35"/>
        <v>13829.400000000003</v>
      </c>
      <c r="R96" s="74">
        <f t="shared" si="36"/>
        <v>118.56000000000131</v>
      </c>
      <c r="U96" s="153">
        <f t="shared" si="39"/>
        <v>0.008647172602116449</v>
      </c>
      <c r="V96" s="119"/>
      <c r="X96" s="75">
        <v>8</v>
      </c>
      <c r="Y96" s="161">
        <f t="shared" si="44"/>
        <v>1248</v>
      </c>
    </row>
    <row r="97" spans="1:25" s="75" customFormat="1" ht="15">
      <c r="A97" s="173"/>
      <c r="B97" s="72">
        <v>33</v>
      </c>
      <c r="C97" s="155" t="s">
        <v>182</v>
      </c>
      <c r="D97" s="155">
        <v>20</v>
      </c>
      <c r="E97" s="155">
        <v>1</v>
      </c>
      <c r="F97" s="154">
        <f t="shared" si="43"/>
        <v>1040</v>
      </c>
      <c r="G97" s="132">
        <f>+G96</f>
        <v>980</v>
      </c>
      <c r="H97" s="79">
        <f t="shared" si="41"/>
        <v>1019200</v>
      </c>
      <c r="I97" s="76">
        <f t="shared" si="38"/>
        <v>764252.028911303</v>
      </c>
      <c r="J97" s="73">
        <f>References!$C$49*I97</f>
        <v>764.2520289113037</v>
      </c>
      <c r="K97" s="121">
        <f>J97/References!$G$57</f>
        <v>785.3545044457612</v>
      </c>
      <c r="L97" s="121">
        <f t="shared" si="19"/>
        <v>0.76</v>
      </c>
      <c r="M97" s="27">
        <v>87.89000000000001</v>
      </c>
      <c r="N97" s="73">
        <f t="shared" si="42"/>
        <v>88.65000000000002</v>
      </c>
      <c r="O97" s="73">
        <f t="shared" si="33"/>
        <v>91405.60000000002</v>
      </c>
      <c r="P97" s="74">
        <f t="shared" si="34"/>
        <v>88.65000000000002</v>
      </c>
      <c r="Q97" s="74">
        <f t="shared" si="35"/>
        <v>92196.00000000001</v>
      </c>
      <c r="R97" s="74">
        <f t="shared" si="36"/>
        <v>790.3999999999942</v>
      </c>
      <c r="U97" s="153">
        <f t="shared" si="39"/>
        <v>0.008647172602116449</v>
      </c>
      <c r="V97" s="119"/>
      <c r="X97" s="75">
        <v>8</v>
      </c>
      <c r="Y97" s="161">
        <f t="shared" si="44"/>
        <v>8320</v>
      </c>
    </row>
    <row r="98" spans="1:25" s="75" customFormat="1" ht="15">
      <c r="A98" s="173"/>
      <c r="B98" s="72">
        <v>33</v>
      </c>
      <c r="C98" s="155" t="s">
        <v>183</v>
      </c>
      <c r="D98" s="155">
        <v>4</v>
      </c>
      <c r="E98" s="155">
        <v>2</v>
      </c>
      <c r="F98" s="154">
        <f t="shared" si="43"/>
        <v>416</v>
      </c>
      <c r="G98" s="132">
        <f>+G97</f>
        <v>980</v>
      </c>
      <c r="H98" s="79">
        <f t="shared" si="41"/>
        <v>407680</v>
      </c>
      <c r="I98" s="76">
        <f t="shared" si="38"/>
        <v>305700.8115645212</v>
      </c>
      <c r="J98" s="73">
        <f>References!$C$49*I98</f>
        <v>305.7008115645215</v>
      </c>
      <c r="K98" s="121">
        <f>J98/References!$G$57</f>
        <v>314.1418017783045</v>
      </c>
      <c r="L98" s="121">
        <f t="shared" si="19"/>
        <v>0.76</v>
      </c>
      <c r="M98" s="27">
        <v>87.89000000000001</v>
      </c>
      <c r="N98" s="73">
        <f t="shared" si="42"/>
        <v>88.65000000000002</v>
      </c>
      <c r="O98" s="73">
        <f t="shared" si="33"/>
        <v>36562.240000000005</v>
      </c>
      <c r="P98" s="74">
        <f t="shared" si="34"/>
        <v>88.65000000000002</v>
      </c>
      <c r="Q98" s="74">
        <f t="shared" si="35"/>
        <v>36878.40000000001</v>
      </c>
      <c r="R98" s="74">
        <f t="shared" si="36"/>
        <v>316.1600000000035</v>
      </c>
      <c r="U98" s="153">
        <f t="shared" si="39"/>
        <v>0.008647172602116449</v>
      </c>
      <c r="V98" s="119"/>
      <c r="X98" s="75">
        <v>8</v>
      </c>
      <c r="Y98" s="161">
        <f t="shared" si="44"/>
        <v>3328</v>
      </c>
    </row>
    <row r="99" spans="1:25" s="75" customFormat="1" ht="15">
      <c r="A99" s="173"/>
      <c r="B99" s="72">
        <v>33</v>
      </c>
      <c r="C99" s="155" t="s">
        <v>155</v>
      </c>
      <c r="D99" s="156">
        <v>1</v>
      </c>
      <c r="E99" s="155">
        <v>3</v>
      </c>
      <c r="F99" s="154">
        <f t="shared" si="43"/>
        <v>156</v>
      </c>
      <c r="G99" s="132">
        <f>+G98</f>
        <v>980</v>
      </c>
      <c r="H99" s="79">
        <f t="shared" si="41"/>
        <v>152880</v>
      </c>
      <c r="I99" s="76">
        <f t="shared" si="38"/>
        <v>114637.80433669547</v>
      </c>
      <c r="J99" s="73">
        <f>References!$C$49*I99</f>
        <v>114.63780433669557</v>
      </c>
      <c r="K99" s="121">
        <f>J99/References!$G$57</f>
        <v>117.8031756668642</v>
      </c>
      <c r="L99" s="121">
        <f t="shared" si="19"/>
        <v>0.76</v>
      </c>
      <c r="M99" s="27">
        <v>87.89000000000001</v>
      </c>
      <c r="N99" s="73">
        <f t="shared" si="42"/>
        <v>88.65000000000002</v>
      </c>
      <c r="O99" s="73">
        <f t="shared" si="33"/>
        <v>13710.840000000002</v>
      </c>
      <c r="P99" s="74">
        <f t="shared" si="34"/>
        <v>88.65000000000002</v>
      </c>
      <c r="Q99" s="74">
        <f t="shared" si="35"/>
        <v>13829.400000000003</v>
      </c>
      <c r="R99" s="74">
        <f t="shared" si="36"/>
        <v>118.56000000000131</v>
      </c>
      <c r="U99" s="153">
        <f t="shared" si="39"/>
        <v>0.008647172602116449</v>
      </c>
      <c r="V99" s="119"/>
      <c r="X99" s="75">
        <v>8</v>
      </c>
      <c r="Y99" s="161">
        <f t="shared" si="44"/>
        <v>1248</v>
      </c>
    </row>
    <row r="100" spans="1:26" s="75" customFormat="1" ht="15">
      <c r="A100" s="80"/>
      <c r="B100" s="61"/>
      <c r="C100" s="82" t="s">
        <v>3</v>
      </c>
      <c r="D100" s="83">
        <f>SUM(D29:D99)</f>
        <v>1266</v>
      </c>
      <c r="E100" s="83"/>
      <c r="F100" s="83">
        <f>SUM(F29:F99)</f>
        <v>66120.01015462728</v>
      </c>
      <c r="G100" s="134"/>
      <c r="H100" s="83">
        <f>SUM(H29:H99)</f>
        <v>24694061.043157168</v>
      </c>
      <c r="I100" s="86">
        <f>SUM(I29:I99)</f>
        <v>18516960.610569496</v>
      </c>
      <c r="J100" s="88"/>
      <c r="K100" s="88"/>
      <c r="L100" s="88"/>
      <c r="M100" s="88"/>
      <c r="N100" s="88"/>
      <c r="O100" s="88">
        <f>SUM(O29:O99)</f>
        <v>2178031.897355181</v>
      </c>
      <c r="P100" s="88"/>
      <c r="Q100" s="88">
        <f>SUM(Q29:Q99)</f>
        <v>2197023.941241633</v>
      </c>
      <c r="R100" s="88">
        <f>SUM(R29:R99)</f>
        <v>18992.043886452848</v>
      </c>
      <c r="U100" s="160">
        <f>+R100/O100</f>
        <v>0.008719818984063175</v>
      </c>
      <c r="W100" s="75">
        <f>+I100/F100</f>
        <v>280.05078292132754</v>
      </c>
      <c r="Y100" s="161">
        <f>SUM(Y29:Y99)</f>
        <v>163876.270857088</v>
      </c>
      <c r="Z100" s="161">
        <f>+I100/Y100</f>
        <v>112.99354393240756</v>
      </c>
    </row>
    <row r="101" spans="3:21" ht="25.5" customHeight="1">
      <c r="C101" s="91" t="s">
        <v>100</v>
      </c>
      <c r="D101" s="92">
        <f>D27+D100</f>
        <v>13849</v>
      </c>
      <c r="E101" s="92"/>
      <c r="F101" s="92">
        <f>F27+F100</f>
        <v>639854.3609546274</v>
      </c>
      <c r="G101" s="92"/>
      <c r="H101" s="92">
        <f>H27+H100</f>
        <v>46895880.41475716</v>
      </c>
      <c r="I101" s="92">
        <f>I27+I100</f>
        <v>35165101.800000004</v>
      </c>
      <c r="J101" s="73"/>
      <c r="K101" s="93"/>
      <c r="L101" s="93"/>
      <c r="M101" s="93"/>
      <c r="N101" s="93"/>
      <c r="O101" s="136">
        <f>O27+O100</f>
        <v>5261987.497355181</v>
      </c>
      <c r="P101" s="136"/>
      <c r="Q101" s="136">
        <f>Q27+Q100</f>
        <v>5298263.381241633</v>
      </c>
      <c r="R101" s="136">
        <f>R27+R100</f>
        <v>36275.88388645262</v>
      </c>
      <c r="U101" s="153">
        <f>+R101/O101</f>
        <v>0.006893950984240436</v>
      </c>
    </row>
    <row r="102" spans="7:21" ht="15">
      <c r="G102" s="135"/>
      <c r="J102" s="95"/>
      <c r="U102" s="163"/>
    </row>
    <row r="103" spans="7:10" ht="15">
      <c r="G103" s="135"/>
      <c r="J103" s="95"/>
    </row>
    <row r="104" spans="1:3" ht="15">
      <c r="A104" s="78"/>
      <c r="C104" s="98"/>
    </row>
    <row r="105" spans="1:16" ht="15">
      <c r="A105" s="78"/>
      <c r="C105" s="98"/>
      <c r="M105" s="165" t="s">
        <v>200</v>
      </c>
      <c r="N105" s="166"/>
      <c r="O105" s="167"/>
      <c r="P105" s="168"/>
    </row>
    <row r="106" spans="1:16" ht="15">
      <c r="A106" s="78"/>
      <c r="B106" s="175" t="s">
        <v>101</v>
      </c>
      <c r="C106" s="175"/>
      <c r="D106" s="71"/>
      <c r="E106" s="99"/>
      <c r="F106" s="99"/>
      <c r="H106" s="129"/>
      <c r="M106" s="163">
        <v>75.26630858647268</v>
      </c>
      <c r="N106" s="162">
        <f>+U100</f>
        <v>0.008719818984063175</v>
      </c>
      <c r="O106" s="163">
        <f>+N106*M106</f>
        <v>0.6563085864726816</v>
      </c>
      <c r="P106" s="113">
        <f>+O106+M106</f>
        <v>75.92261717294535</v>
      </c>
    </row>
    <row r="107" spans="1:16" ht="15">
      <c r="A107" s="78"/>
      <c r="B107" s="71"/>
      <c r="C107" s="100" t="s">
        <v>3</v>
      </c>
      <c r="D107" s="71"/>
      <c r="E107" s="31"/>
      <c r="F107" s="31"/>
      <c r="H107" s="101" t="s">
        <v>102</v>
      </c>
      <c r="J107" s="102"/>
      <c r="M107" s="163">
        <v>108.62720960449509</v>
      </c>
      <c r="N107" s="162">
        <f>+N106</f>
        <v>0.008719818984063175</v>
      </c>
      <c r="O107" s="163">
        <f>+N107*M107</f>
        <v>0.947209604495086</v>
      </c>
      <c r="P107" s="113">
        <f>+O107+M107</f>
        <v>109.57441920899018</v>
      </c>
    </row>
    <row r="108" spans="1:16" ht="15">
      <c r="A108" s="78"/>
      <c r="B108" s="71" t="s">
        <v>103</v>
      </c>
      <c r="C108" s="130">
        <f>'Co. Pro Tonnage'!E9</f>
        <v>17582.550900000002</v>
      </c>
      <c r="D108" s="71"/>
      <c r="E108" s="89"/>
      <c r="F108" s="89"/>
      <c r="G108" s="103"/>
      <c r="H108" s="127" t="s">
        <v>106</v>
      </c>
      <c r="I108" s="128"/>
      <c r="J108" s="102"/>
      <c r="M108" s="163">
        <v>139.34506373206636</v>
      </c>
      <c r="N108" s="162">
        <f>+N107</f>
        <v>0.008719818984063175</v>
      </c>
      <c r="O108" s="163">
        <f>+N108*M108</f>
        <v>1.2150637320663653</v>
      </c>
      <c r="P108" s="113">
        <f>+O108+M108</f>
        <v>140.56012746413273</v>
      </c>
    </row>
    <row r="109" spans="1:16" ht="15">
      <c r="A109" s="78"/>
      <c r="B109" s="71" t="s">
        <v>104</v>
      </c>
      <c r="C109" s="104">
        <f>C108*2000</f>
        <v>35165101.800000004</v>
      </c>
      <c r="D109" s="71"/>
      <c r="E109" s="104"/>
      <c r="F109" s="104"/>
      <c r="G109" s="104"/>
      <c r="H109" s="105"/>
      <c r="J109" s="102"/>
      <c r="M109" s="164">
        <v>200.65971640444016</v>
      </c>
      <c r="N109" s="162">
        <f>+N108</f>
        <v>0.008719818984063175</v>
      </c>
      <c r="O109" s="163">
        <f>+N109*M109</f>
        <v>1.7497164044401703</v>
      </c>
      <c r="P109" s="113">
        <f>+O109+M109</f>
        <v>202.40943280888033</v>
      </c>
    </row>
    <row r="110" spans="1:15" ht="15">
      <c r="A110" s="78"/>
      <c r="B110" s="71" t="s">
        <v>105</v>
      </c>
      <c r="C110" s="104">
        <f>F27+F100</f>
        <v>639854.3609546274</v>
      </c>
      <c r="D110" s="71"/>
      <c r="E110" s="89"/>
      <c r="F110" s="89"/>
      <c r="G110" s="89"/>
      <c r="I110" s="120"/>
      <c r="J110" s="102"/>
      <c r="O110" s="163">
        <f>+N110*M110</f>
        <v>0</v>
      </c>
    </row>
    <row r="111" spans="2:15" ht="15">
      <c r="B111" s="106" t="s">
        <v>107</v>
      </c>
      <c r="C111" s="107">
        <f>C109/$H$101</f>
        <v>0.7498548164357369</v>
      </c>
      <c r="D111" s="71"/>
      <c r="E111" s="107"/>
      <c r="F111" s="107"/>
      <c r="G111" s="107"/>
      <c r="H111" s="108"/>
      <c r="J111" s="102"/>
      <c r="M111" s="109"/>
      <c r="N111" s="109"/>
      <c r="O111" s="110"/>
    </row>
    <row r="112" spans="5:16" ht="15">
      <c r="E112" s="102"/>
      <c r="G112" s="111"/>
      <c r="H112" s="112"/>
      <c r="J112" s="102"/>
      <c r="M112" s="165" t="s">
        <v>201</v>
      </c>
      <c r="N112" s="166"/>
      <c r="O112" s="167"/>
      <c r="P112" s="168"/>
    </row>
    <row r="113" spans="4:16" ht="15">
      <c r="D113" s="115"/>
      <c r="E113" s="116"/>
      <c r="G113" s="111"/>
      <c r="H113" s="112"/>
      <c r="J113" s="102"/>
      <c r="M113" s="164">
        <v>18.49</v>
      </c>
      <c r="N113" s="162">
        <f>+U100</f>
        <v>0.008719818984063175</v>
      </c>
      <c r="O113" s="163">
        <f>+N113*M113</f>
        <v>0.1612294530153281</v>
      </c>
      <c r="P113" s="113">
        <f>+O113+M113</f>
        <v>18.651229453015326</v>
      </c>
    </row>
    <row r="114" spans="4:15" ht="15">
      <c r="D114" s="115"/>
      <c r="E114" s="116"/>
      <c r="G114" s="111"/>
      <c r="H114" s="112"/>
      <c r="J114" s="102"/>
      <c r="M114" s="113"/>
      <c r="N114" s="114"/>
      <c r="O114" s="96"/>
    </row>
    <row r="115" spans="4:9" ht="15">
      <c r="D115" s="71"/>
      <c r="I115" s="71"/>
    </row>
    <row r="116" spans="4:9" ht="15">
      <c r="D116" s="71"/>
      <c r="E116" s="102"/>
      <c r="I116" s="71"/>
    </row>
    <row r="117" spans="4:9" ht="15">
      <c r="D117" s="71"/>
      <c r="I117" s="71"/>
    </row>
    <row r="118" spans="4:9" ht="15">
      <c r="D118" s="71"/>
      <c r="I118" s="71"/>
    </row>
    <row r="119" ht="15">
      <c r="D119" s="71"/>
    </row>
  </sheetData>
  <sheetProtection/>
  <mergeCells count="3">
    <mergeCell ref="A2:A26"/>
    <mergeCell ref="A29:A99"/>
    <mergeCell ref="B106:C106"/>
  </mergeCells>
  <printOptions/>
  <pageMargins left="0.45" right="0.2" top="0.25" bottom="0.25" header="0.3" footer="0.3"/>
  <pageSetup fitToHeight="0" fitToWidth="1" horizontalDpi="600" verticalDpi="600" orientation="landscape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1"/>
  <sheetViews>
    <sheetView zoomScalePageLayoutView="0" workbookViewId="0" topLeftCell="A1">
      <selection activeCell="H7" sqref="H7"/>
    </sheetView>
  </sheetViews>
  <sheetFormatPr defaultColWidth="9.140625" defaultRowHeight="15"/>
  <cols>
    <col min="1" max="1" width="28.8515625" style="0" bestFit="1" customWidth="1"/>
    <col min="3" max="3" width="12.8515625" style="0" bestFit="1" customWidth="1"/>
    <col min="4" max="4" width="12.421875" style="0" bestFit="1" customWidth="1"/>
    <col min="5" max="5" width="14.28125" style="0" bestFit="1" customWidth="1"/>
    <col min="6" max="6" width="11.00390625" style="0" bestFit="1" customWidth="1"/>
    <col min="7" max="7" width="17.57421875" style="0" bestFit="1" customWidth="1"/>
    <col min="8" max="8" width="13.57421875" style="0" bestFit="1" customWidth="1"/>
    <col min="9" max="9" width="14.28125" style="0" bestFit="1" customWidth="1"/>
    <col min="10" max="10" width="12.7109375" style="0" bestFit="1" customWidth="1"/>
    <col min="11" max="11" width="2.421875" style="0" customWidth="1"/>
    <col min="12" max="13" width="10.421875" style="0" bestFit="1" customWidth="1"/>
    <col min="14" max="14" width="14.421875" style="0" bestFit="1" customWidth="1"/>
    <col min="15" max="15" width="14.421875" style="0" customWidth="1"/>
    <col min="16" max="16" width="12.8515625" style="0" bestFit="1" customWidth="1"/>
    <col min="17" max="17" width="10.00390625" style="0" bestFit="1" customWidth="1"/>
    <col min="18" max="18" width="12.57421875" style="0" bestFit="1" customWidth="1"/>
  </cols>
  <sheetData>
    <row r="1" spans="1:10" ht="26.25">
      <c r="A1" s="9" t="s">
        <v>111</v>
      </c>
      <c r="B1" s="2"/>
      <c r="C1" s="2"/>
      <c r="D1" s="2"/>
      <c r="E1" s="2"/>
      <c r="F1" s="2"/>
      <c r="G1" s="2"/>
      <c r="H1" s="2"/>
      <c r="I1" s="2"/>
      <c r="J1" s="2"/>
    </row>
    <row r="2" spans="1:10" ht="20.25">
      <c r="A2" s="8" t="s">
        <v>4</v>
      </c>
      <c r="B2" s="2"/>
      <c r="C2" s="2"/>
      <c r="D2" s="2"/>
      <c r="E2" s="2"/>
      <c r="F2" s="2"/>
      <c r="G2" s="2"/>
      <c r="H2" s="2"/>
      <c r="I2" s="2"/>
      <c r="J2" s="2"/>
    </row>
    <row r="3" spans="1:16" ht="15.75">
      <c r="A3" s="30" t="s">
        <v>112</v>
      </c>
      <c r="G3" s="6" t="s">
        <v>110</v>
      </c>
      <c r="I3" s="6" t="s">
        <v>14</v>
      </c>
      <c r="L3" s="38"/>
      <c r="M3" s="37"/>
      <c r="N3" s="37"/>
      <c r="O3" s="147"/>
      <c r="P3" s="39"/>
    </row>
    <row r="4" spans="1:16" ht="15.75">
      <c r="A4" s="2"/>
      <c r="B4" s="2"/>
      <c r="C4" s="6" t="s">
        <v>3</v>
      </c>
      <c r="D4" s="6" t="s">
        <v>2</v>
      </c>
      <c r="E4" s="6" t="s">
        <v>14</v>
      </c>
      <c r="F4" s="7" t="s">
        <v>5</v>
      </c>
      <c r="G4" s="6" t="s">
        <v>14</v>
      </c>
      <c r="H4" s="7" t="s">
        <v>7</v>
      </c>
      <c r="I4" s="6" t="s">
        <v>0</v>
      </c>
      <c r="J4" s="6" t="s">
        <v>0</v>
      </c>
      <c r="L4" s="39"/>
      <c r="M4" s="39"/>
      <c r="N4" s="39"/>
      <c r="O4" s="39"/>
      <c r="P4" s="39"/>
    </row>
    <row r="5" spans="1:17" ht="20.25">
      <c r="A5" s="2"/>
      <c r="B5" s="2"/>
      <c r="C5" s="4" t="s">
        <v>8</v>
      </c>
      <c r="D5" s="4" t="s">
        <v>14</v>
      </c>
      <c r="E5" s="4" t="s">
        <v>8</v>
      </c>
      <c r="F5" s="5" t="s">
        <v>9</v>
      </c>
      <c r="G5" s="4" t="s">
        <v>6</v>
      </c>
      <c r="H5" s="5" t="s">
        <v>9</v>
      </c>
      <c r="I5" s="4" t="s">
        <v>10</v>
      </c>
      <c r="J5" s="4" t="s">
        <v>1</v>
      </c>
      <c r="L5" s="40"/>
      <c r="M5" s="40"/>
      <c r="N5" s="40"/>
      <c r="O5" s="40"/>
      <c r="P5" s="40"/>
      <c r="Q5" s="40"/>
    </row>
    <row r="6" spans="1:18" ht="15.75">
      <c r="A6" s="3" t="s">
        <v>11</v>
      </c>
      <c r="B6" s="2"/>
      <c r="C6" s="18">
        <v>9702.35</v>
      </c>
      <c r="D6" s="32">
        <v>0.801</v>
      </c>
      <c r="E6" s="34">
        <f>+D6*C6</f>
        <v>7771.582350000001</v>
      </c>
      <c r="F6" s="10">
        <v>101</v>
      </c>
      <c r="G6" s="13">
        <f>+F6*E6</f>
        <v>784929.81735</v>
      </c>
      <c r="H6" s="12">
        <v>103</v>
      </c>
      <c r="I6" s="13">
        <f>+H6*E6</f>
        <v>800472.9820500001</v>
      </c>
      <c r="J6" s="19">
        <f>+I6-G6</f>
        <v>15543.164700000081</v>
      </c>
      <c r="K6" s="29"/>
      <c r="L6" s="43"/>
      <c r="M6" s="43"/>
      <c r="N6" s="43"/>
      <c r="O6" s="43"/>
      <c r="P6" s="44"/>
      <c r="Q6" s="142"/>
      <c r="R6" s="28"/>
    </row>
    <row r="7" spans="1:16" ht="15.75">
      <c r="A7" s="2"/>
      <c r="B7" s="2"/>
      <c r="C7" s="11"/>
      <c r="D7" s="13"/>
      <c r="E7" s="13"/>
      <c r="F7" s="10"/>
      <c r="G7" s="13"/>
      <c r="H7" s="12"/>
      <c r="I7" s="13"/>
      <c r="J7" s="19"/>
      <c r="L7" s="44"/>
      <c r="M7" s="44"/>
      <c r="N7" s="44"/>
      <c r="O7" s="44"/>
      <c r="P7" s="44"/>
    </row>
    <row r="8" spans="1:18" ht="18">
      <c r="A8" s="3" t="s">
        <v>12</v>
      </c>
      <c r="B8" s="2"/>
      <c r="C8" s="24">
        <v>10722.37</v>
      </c>
      <c r="D8" s="32">
        <v>0.915</v>
      </c>
      <c r="E8" s="35">
        <f>+D8*C8</f>
        <v>9810.968550000001</v>
      </c>
      <c r="F8" s="10">
        <f>+F6</f>
        <v>101</v>
      </c>
      <c r="G8" s="14">
        <f>+F8*E8</f>
        <v>990907.8235500001</v>
      </c>
      <c r="H8" s="12">
        <f>+H6</f>
        <v>103</v>
      </c>
      <c r="I8" s="14">
        <f>+H8*E8</f>
        <v>1010529.7606500002</v>
      </c>
      <c r="J8" s="20">
        <f>+I8-G8</f>
        <v>19621.937100000097</v>
      </c>
      <c r="K8" s="29"/>
      <c r="L8" s="45"/>
      <c r="M8" s="45"/>
      <c r="N8" s="45"/>
      <c r="O8" s="45"/>
      <c r="P8" s="46"/>
      <c r="Q8" s="142"/>
      <c r="R8" s="28"/>
    </row>
    <row r="9" spans="1:18" ht="15.75">
      <c r="A9" s="3"/>
      <c r="B9" s="2"/>
      <c r="C9" s="22">
        <f>+C8+C6</f>
        <v>20424.72</v>
      </c>
      <c r="D9" s="13"/>
      <c r="E9" s="22">
        <f>+E8+E6</f>
        <v>17582.550900000002</v>
      </c>
      <c r="F9" s="10"/>
      <c r="G9" s="33">
        <f>+G8+G6</f>
        <v>1775837.6409</v>
      </c>
      <c r="H9" s="12"/>
      <c r="J9" s="33">
        <f>+J8+J6</f>
        <v>35165.10180000018</v>
      </c>
      <c r="K9" s="33"/>
      <c r="L9" s="33"/>
      <c r="M9" s="33"/>
      <c r="N9" s="33"/>
      <c r="O9" s="33"/>
      <c r="P9" s="33"/>
      <c r="R9" s="28"/>
    </row>
    <row r="10" spans="1:16" ht="15.75">
      <c r="A10" s="2"/>
      <c r="B10" s="2"/>
      <c r="C10" s="11"/>
      <c r="D10" s="13"/>
      <c r="E10" s="13"/>
      <c r="F10" s="10"/>
      <c r="G10" s="13"/>
      <c r="H10" s="12"/>
      <c r="I10" s="13"/>
      <c r="J10" s="19"/>
      <c r="L10" s="42"/>
      <c r="M10" s="42"/>
      <c r="N10" s="42"/>
      <c r="O10" s="42"/>
      <c r="P10" s="42"/>
    </row>
    <row r="11" spans="1:16" ht="17.25">
      <c r="A11" s="3" t="s">
        <v>13</v>
      </c>
      <c r="B11" s="2"/>
      <c r="C11" s="18"/>
      <c r="D11" s="32"/>
      <c r="E11" s="24">
        <v>4937.46</v>
      </c>
      <c r="F11" s="10">
        <f>+F8</f>
        <v>101</v>
      </c>
      <c r="G11" s="14">
        <f>+F11*E11</f>
        <v>498683.46</v>
      </c>
      <c r="H11" s="12">
        <f>+H8</f>
        <v>103</v>
      </c>
      <c r="I11" s="13">
        <f>+H11*E11</f>
        <v>508558.38</v>
      </c>
      <c r="J11" s="19">
        <f>+I11-G11</f>
        <v>9874.919999999984</v>
      </c>
      <c r="L11" s="41"/>
      <c r="M11" s="41"/>
      <c r="N11" s="43"/>
      <c r="O11" s="43"/>
      <c r="P11" s="44"/>
    </row>
    <row r="12" spans="1:16" ht="20.25">
      <c r="A12" s="2"/>
      <c r="B12" s="2"/>
      <c r="C12" s="21"/>
      <c r="D12" s="21"/>
      <c r="E12" s="21">
        <f>SUM(E11:E11)</f>
        <v>4937.46</v>
      </c>
      <c r="F12" s="10"/>
      <c r="G12" s="16">
        <f>SUM(G11:G11)</f>
        <v>498683.46</v>
      </c>
      <c r="H12" s="11"/>
      <c r="I12" s="16">
        <f>SUM(I11:I11)</f>
        <v>508558.38</v>
      </c>
      <c r="J12" s="16">
        <f>SUM(J11:J11)</f>
        <v>9874.919999999984</v>
      </c>
      <c r="L12" s="16"/>
      <c r="M12" s="16"/>
      <c r="N12" s="16"/>
      <c r="O12" s="16"/>
      <c r="P12" s="16"/>
    </row>
    <row r="13" spans="1:16" ht="15.75">
      <c r="A13" s="2"/>
      <c r="B13" s="2"/>
      <c r="C13" s="22"/>
      <c r="D13" s="22"/>
      <c r="E13" s="22"/>
      <c r="F13" s="10"/>
      <c r="G13" s="11"/>
      <c r="H13" s="11"/>
      <c r="I13" s="11"/>
      <c r="J13" s="11"/>
      <c r="L13" s="42"/>
      <c r="M13" s="42"/>
      <c r="N13" s="42"/>
      <c r="O13" s="42"/>
      <c r="P13" s="42"/>
    </row>
    <row r="14" spans="1:16" ht="18">
      <c r="A14" s="2"/>
      <c r="B14" s="2"/>
      <c r="C14" s="23">
        <f>+C12+C9</f>
        <v>20424.72</v>
      </c>
      <c r="D14" s="23"/>
      <c r="E14" s="23">
        <f>+E12+E9</f>
        <v>22520.0109</v>
      </c>
      <c r="F14" s="10"/>
      <c r="G14" s="17">
        <f>+G12+G9</f>
        <v>2274521.1009</v>
      </c>
      <c r="H14" s="17"/>
      <c r="I14" s="17">
        <f>+I12+N9</f>
        <v>508558.38</v>
      </c>
      <c r="J14" s="17">
        <f>+J12+J9</f>
        <v>45040.02180000016</v>
      </c>
      <c r="K14" s="17"/>
      <c r="L14" s="17"/>
      <c r="M14" s="17"/>
      <c r="N14" s="17"/>
      <c r="O14" s="17"/>
      <c r="P14" s="17"/>
    </row>
    <row r="15" spans="1:15" ht="17.25">
      <c r="A15" s="2"/>
      <c r="B15" s="2"/>
      <c r="C15" s="24"/>
      <c r="D15" s="24"/>
      <c r="E15" s="24"/>
      <c r="F15" s="10"/>
      <c r="G15" s="14"/>
      <c r="H15" s="11"/>
      <c r="I15" s="11"/>
      <c r="J15" s="11"/>
      <c r="K15" s="2"/>
      <c r="L15" s="2"/>
      <c r="N15" s="2"/>
      <c r="O15" s="2"/>
    </row>
    <row r="16" spans="1:15" ht="15.75">
      <c r="A16" s="2"/>
      <c r="B16" s="2"/>
      <c r="C16" s="18"/>
      <c r="D16" s="11"/>
      <c r="E16" s="11"/>
      <c r="F16" s="10"/>
      <c r="G16" s="15"/>
      <c r="H16" s="11"/>
      <c r="I16" s="11"/>
      <c r="J16" s="11"/>
      <c r="K16" s="2"/>
      <c r="L16" s="2"/>
      <c r="N16" s="2"/>
      <c r="O16" s="2"/>
    </row>
    <row r="17" spans="1:15" ht="15.75">
      <c r="A17" s="2"/>
      <c r="B17" s="2"/>
      <c r="C17" s="18"/>
      <c r="D17" s="18"/>
      <c r="E17" s="18"/>
      <c r="F17" s="25"/>
      <c r="G17" s="11"/>
      <c r="H17" s="25"/>
      <c r="I17" s="25"/>
      <c r="J17" s="25"/>
      <c r="K17" s="2"/>
      <c r="L17" s="2"/>
      <c r="N17" s="2"/>
      <c r="O17" s="2"/>
    </row>
    <row r="18" spans="3:10" ht="15">
      <c r="C18" s="1"/>
      <c r="D18" s="1"/>
      <c r="E18" s="1"/>
      <c r="F18" s="1"/>
      <c r="G18" s="36"/>
      <c r="H18" s="1"/>
      <c r="I18" s="1"/>
      <c r="J18" s="1"/>
    </row>
    <row r="19" spans="1:15" ht="15.75">
      <c r="A19" s="2"/>
      <c r="B19" s="2"/>
      <c r="C19" s="25"/>
      <c r="D19" s="25"/>
      <c r="E19" s="25"/>
      <c r="F19" s="25"/>
      <c r="G19" s="26"/>
      <c r="H19" s="25"/>
      <c r="I19" s="25"/>
      <c r="J19" s="25"/>
      <c r="K19" s="2"/>
      <c r="L19" s="2"/>
      <c r="N19" s="2"/>
      <c r="O19" s="2"/>
    </row>
    <row r="20" spans="3:10" ht="15">
      <c r="C20" s="1"/>
      <c r="D20" s="1"/>
      <c r="E20" s="1"/>
      <c r="F20" s="1"/>
      <c r="G20" s="1"/>
      <c r="H20" s="1"/>
      <c r="I20" s="1"/>
      <c r="J20" s="1"/>
    </row>
    <row r="21" spans="3:10" ht="15">
      <c r="C21" s="1"/>
      <c r="D21" s="1"/>
      <c r="E21" s="1"/>
      <c r="F21" s="1"/>
      <c r="G21" s="1"/>
      <c r="H21" s="1"/>
      <c r="I21" s="1"/>
      <c r="J21" s="1"/>
    </row>
  </sheetData>
  <sheetProtection/>
  <printOptions/>
  <pageMargins left="0.45" right="0.2" top="0.75" bottom="0.75" header="0.3" footer="0.3"/>
  <pageSetup fitToHeight="1" fitToWidth="1" horizontalDpi="600" verticalDpi="600" orientation="landscape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Waste Management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 LaRue</dc:creator>
  <cp:keywords/>
  <dc:description/>
  <cp:lastModifiedBy>Administrator</cp:lastModifiedBy>
  <cp:lastPrinted>2019-06-05T19:11:46Z</cp:lastPrinted>
  <dcterms:created xsi:type="dcterms:W3CDTF">2013-04-10T21:01:30Z</dcterms:created>
  <dcterms:modified xsi:type="dcterms:W3CDTF">2023-04-17T20:43:52Z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DocumentSetType">
    <vt:lpwstr>Workpapers</vt:lpwstr>
  </property>
  <property fmtid="{D5CDD505-2E9C-101B-9397-08002B2CF9AE}" pid="5" name="IsDocumentOrder">
    <vt:lpwstr>0</vt:lpwstr>
  </property>
  <property fmtid="{D5CDD505-2E9C-101B-9397-08002B2CF9AE}" pid="6" name="IsHighlyConfidential">
    <vt:lpwstr>0</vt:lpwstr>
  </property>
  <property fmtid="{D5CDD505-2E9C-101B-9397-08002B2CF9AE}" pid="7" name="CaseCompanyNames">
    <vt:lpwstr>Waste Management of Washington, Inc.  </vt:lpwstr>
  </property>
  <property fmtid="{D5CDD505-2E9C-101B-9397-08002B2CF9AE}" pid="8" name="IsConfidential">
    <vt:lpwstr>0</vt:lpwstr>
  </property>
  <property fmtid="{D5CDD505-2E9C-101B-9397-08002B2CF9AE}" pid="9" name="DocketNumber">
    <vt:lpwstr>230254</vt:lpwstr>
  </property>
  <property fmtid="{D5CDD505-2E9C-101B-9397-08002B2CF9AE}" pid="10" name="Date1">
    <vt:lpwstr>2023-04-17T00:00:00Z</vt:lpwstr>
  </property>
  <property fmtid="{D5CDD505-2E9C-101B-9397-08002B2CF9AE}" pid="11" name="Nickname">
    <vt:lpwstr/>
  </property>
  <property fmtid="{D5CDD505-2E9C-101B-9397-08002B2CF9AE}" pid="12" name="CaseType">
    <vt:lpwstr>Tariff Revision</vt:lpwstr>
  </property>
  <property fmtid="{D5CDD505-2E9C-101B-9397-08002B2CF9AE}" pid="13" name="OpenedDate">
    <vt:lpwstr>2023-04-17T00:00:00Z</vt:lpwstr>
  </property>
  <property fmtid="{D5CDD505-2E9C-101B-9397-08002B2CF9AE}" pid="14" name="Prefix">
    <vt:lpwstr>TG</vt:lpwstr>
  </property>
  <property fmtid="{D5CDD505-2E9C-101B-9397-08002B2CF9AE}" pid="15" name="IndustryCode">
    <vt:lpwstr>227</vt:lpwstr>
  </property>
  <property fmtid="{D5CDD505-2E9C-101B-9397-08002B2CF9AE}" pid="16" name="CaseStatus">
    <vt:lpwstr>Closed</vt:lpwstr>
  </property>
  <property fmtid="{D5CDD505-2E9C-101B-9397-08002B2CF9AE}" pid="17" name="_docset_NoMedatataSyncRequired">
    <vt:lpwstr>False</vt:lpwstr>
  </property>
</Properties>
</file>