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Client Data\Sound Disposal\Yard Waste 2-2023\Filing 2-22-23\"/>
    </mc:Choice>
  </mc:AlternateContent>
  <xr:revisionPtr revIDLastSave="0" documentId="8_{65852A00-346A-436E-A6C1-60E19B0BA478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2020" sheetId="1" r:id="rId1"/>
    <sheet name="2021" sheetId="2" r:id="rId2"/>
    <sheet name="2022" sheetId="3" r:id="rId3"/>
    <sheet name="Data  - 2022" sheetId="4" r:id="rId4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F37" i="3"/>
  <c r="D32" i="3"/>
  <c r="D28" i="3" l="1"/>
  <c r="F25" i="3"/>
  <c r="O23" i="3"/>
  <c r="O22" i="3"/>
  <c r="C10" i="3"/>
  <c r="B14" i="3"/>
  <c r="B15" i="3"/>
  <c r="B16" i="3"/>
  <c r="B17" i="3"/>
  <c r="B18" i="3"/>
  <c r="B19" i="3"/>
  <c r="B20" i="3"/>
  <c r="B21" i="3"/>
  <c r="B22" i="3"/>
  <c r="B23" i="3"/>
  <c r="B24" i="3"/>
  <c r="C14" i="3"/>
  <c r="C15" i="3"/>
  <c r="C16" i="3"/>
  <c r="C17" i="3"/>
  <c r="C18" i="3"/>
  <c r="C19" i="3"/>
  <c r="C20" i="3"/>
  <c r="C21" i="3"/>
  <c r="C22" i="3"/>
  <c r="C23" i="3"/>
  <c r="C24" i="3"/>
  <c r="C13" i="3"/>
  <c r="B13" i="3"/>
  <c r="B4" i="4"/>
  <c r="D4" i="4"/>
  <c r="B5" i="4"/>
  <c r="D5" i="4"/>
  <c r="B6" i="4"/>
  <c r="D6" i="4"/>
  <c r="B7" i="4"/>
  <c r="D7" i="4"/>
  <c r="B8" i="4"/>
  <c r="D8" i="4"/>
  <c r="B9" i="4"/>
  <c r="D9" i="4"/>
  <c r="B10" i="4"/>
  <c r="D10" i="4"/>
  <c r="B11" i="4"/>
  <c r="D11" i="4"/>
  <c r="B12" i="4"/>
  <c r="D12" i="4"/>
  <c r="B13" i="4"/>
  <c r="D13" i="4"/>
  <c r="B14" i="4"/>
  <c r="D14" i="4"/>
  <c r="B15" i="4"/>
  <c r="D15" i="4"/>
  <c r="B16" i="4"/>
  <c r="C16" i="4"/>
  <c r="C25" i="3" l="1"/>
  <c r="B25" i="3"/>
  <c r="G58" i="3" l="1"/>
  <c r="G55" i="3"/>
  <c r="C48" i="3" l="1"/>
  <c r="C43" i="3" l="1"/>
  <c r="C50" i="3" s="1"/>
  <c r="D17" i="3" l="1"/>
  <c r="D14" i="3"/>
  <c r="D15" i="3"/>
  <c r="F15" i="3"/>
  <c r="D16" i="3"/>
  <c r="D18" i="3"/>
  <c r="D13" i="3"/>
  <c r="F24" i="3"/>
  <c r="D23" i="3"/>
  <c r="F23" i="3" s="1"/>
  <c r="D24" i="3"/>
  <c r="D22" i="3"/>
  <c r="F16" i="3" s="1"/>
  <c r="F13" i="3" l="1"/>
  <c r="F14" i="3"/>
  <c r="F18" i="3"/>
  <c r="D21" i="3"/>
  <c r="F21" i="3" s="1"/>
  <c r="F17" i="3"/>
  <c r="D20" i="3"/>
  <c r="F20" i="3"/>
  <c r="F22" i="3"/>
  <c r="F19" i="3"/>
  <c r="E33" i="3"/>
  <c r="F33" i="3" s="1"/>
  <c r="D19" i="3"/>
  <c r="D30" i="3" s="1"/>
  <c r="B6" i="2" l="1"/>
  <c r="D6" i="2" s="1"/>
  <c r="D50" i="3" l="1"/>
  <c r="B13" i="1"/>
  <c r="D13" i="1" s="1"/>
  <c r="B14" i="1"/>
  <c r="D14" i="1" s="1"/>
  <c r="B15" i="1"/>
  <c r="D15" i="1" s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B5" i="1"/>
  <c r="D5" i="1" s="1"/>
  <c r="B6" i="1"/>
  <c r="D6" i="1" s="1"/>
  <c r="B4" i="1"/>
  <c r="D4" i="1" s="1"/>
  <c r="E58" i="3" l="1"/>
  <c r="H58" i="3" s="1"/>
  <c r="I58" i="3" s="1"/>
  <c r="E55" i="3"/>
  <c r="H55" i="3" s="1"/>
  <c r="I55" i="3" s="1"/>
  <c r="B5" i="2"/>
  <c r="D5" i="2" s="1"/>
  <c r="B7" i="2"/>
  <c r="D7" i="2" s="1"/>
  <c r="B8" i="2"/>
  <c r="D8" i="2" s="1"/>
  <c r="B9" i="2"/>
  <c r="D9" i="2" s="1"/>
  <c r="B10" i="2"/>
  <c r="D10" i="2" s="1"/>
  <c r="B11" i="2"/>
  <c r="D11" i="2" s="1"/>
  <c r="B12" i="2"/>
  <c r="D12" i="2" s="1"/>
  <c r="B13" i="2"/>
  <c r="D13" i="2" s="1"/>
  <c r="B14" i="2"/>
  <c r="D14" i="2" s="1"/>
  <c r="B15" i="2"/>
  <c r="D15" i="2" s="1"/>
  <c r="B4" i="2"/>
  <c r="D4" i="2" s="1"/>
  <c r="I61" i="3" l="1"/>
  <c r="J61" i="3" s="1"/>
  <c r="C16" i="2"/>
  <c r="B16" i="2"/>
  <c r="B16" i="1" l="1"/>
  <c r="C16" i="1" l="1"/>
</calcChain>
</file>

<file path=xl/sharedStrings.xml><?xml version="1.0" encoding="utf-8"?>
<sst xmlns="http://schemas.openxmlformats.org/spreadsheetml/2006/main" count="100" uniqueCount="50">
  <si>
    <t>Month</t>
  </si>
  <si>
    <t>Tons</t>
  </si>
  <si>
    <t>Disposal Cost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</si>
  <si>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</si>
  <si>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</si>
  <si>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</si>
  <si>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</si>
  <si>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</si>
  <si>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</si>
  <si>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</si>
  <si>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</si>
  <si>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</si>
  <si>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</si>
  <si>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</si>
  <si>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</si>
  <si>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</si>
  <si>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Cedar Grove - Tonnage Report - 2020</t>
  </si>
  <si>
    <t>Cedar Grove - Tonnage Report - 2021</t>
  </si>
  <si>
    <t>Cedar Grove - Tonnage Report - 2022</t>
  </si>
  <si>
    <t>Proposed Cost Increase per letter</t>
  </si>
  <si>
    <t>Current Cost Per Ton</t>
  </si>
  <si>
    <t>Revised Cost per ton</t>
  </si>
  <si>
    <t xml:space="preserve">Annual increase in cost </t>
  </si>
  <si>
    <t>Sound Disposal, Inc.</t>
  </si>
  <si>
    <t xml:space="preserve">Cost Calculation </t>
  </si>
  <si>
    <t xml:space="preserve">Customers - EOW </t>
  </si>
  <si>
    <t>Customer Statistics from Rate Case</t>
  </si>
  <si>
    <t>Customers - EOW - Yard Waste Only</t>
  </si>
  <si>
    <t>Annual Pickups</t>
  </si>
  <si>
    <t>Total</t>
  </si>
  <si>
    <t>Total Pickups</t>
  </si>
  <si>
    <t>Total Pickups &amp; Cost Per Pickup</t>
  </si>
  <si>
    <t>Monthly Cost</t>
  </si>
  <si>
    <t>Current Tariff Rate-EOW</t>
  </si>
  <si>
    <t>New Rate - EOW</t>
  </si>
  <si>
    <t>Current Rate - EOW - Yard Waste Only</t>
  </si>
  <si>
    <t>New Rate -- EOW - Yard Waste Only</t>
  </si>
  <si>
    <t>Annual Cost Increase</t>
  </si>
  <si>
    <t>Current Revenue</t>
  </si>
  <si>
    <t>Proposed Revenue</t>
  </si>
  <si>
    <t>Increase</t>
  </si>
  <si>
    <t>Current Rate</t>
  </si>
  <si>
    <t>Proposed Rate</t>
  </si>
  <si>
    <t>Restated using current rate</t>
  </si>
  <si>
    <t>Tonnage</t>
  </si>
  <si>
    <t>Total Increase</t>
  </si>
  <si>
    <t xml:space="preserve">Previous YW Expense </t>
  </si>
  <si>
    <t xml:space="preserve">Yard Waste Tonnage and </t>
  </si>
  <si>
    <t>Restated Exp.</t>
  </si>
  <si>
    <t xml:space="preserve">Check Figure - Immaterial Difference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</si>
</sst>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4" fillId="2" borderId="1" xfId="1" applyNumberFormat="1" applyFont="1" applyFill="1" applyBorder="1"/>
    <xf numFmtId="44" fontId="0" fillId="0" borderId="0" xfId="0" applyNumberFormat="1"/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10" fontId="0" fillId="0" borderId="0" xfId="2" applyNumberFormat="1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4" fontId="5" fillId="0" borderId="0" xfId="1" applyFont="1" applyAlignment="1">
      <alignment horizontal="center" wrapText="1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4" fontId="0" fillId="0" borderId="0" xfId="0" applyNumberFormat="1"/>
    <xf numFmtId="2" fontId="0" fillId="0" borderId="0" xfId="0" applyNumberFormat="1"/>
    <xf numFmtId="0" fontId="6" fillId="0" borderId="0" xfId="0" applyFont="1"/>
    <xf numFmtId="165" fontId="0" fillId="0" borderId="0" xfId="3" applyNumberFormat="1" applyFont="1"/>
    <xf numFmtId="165" fontId="0" fillId="0" borderId="0" xfId="3" applyNumberFormat="1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4" fontId="6" fillId="3" borderId="0" xfId="0" applyNumberFormat="1" applyFont="1" applyFill="1"/>
    <xf numFmtId="0" fontId="0" fillId="3" borderId="0" xfId="0" applyFill="1"/>
    <xf numFmtId="44" fontId="0" fillId="3" borderId="0" xfId="0" applyNumberFormat="1" applyFill="1"/>
    <xf numFmtId="44" fontId="0" fillId="3" borderId="6" xfId="0" applyNumberFormat="1" applyFill="1" applyBorder="1"/>
    <xf numFmtId="1" fontId="2" fillId="3" borderId="1" xfId="0" applyNumberFormat="1" applyFont="1" applyFill="1" applyBorder="1" applyAlignment="1">
      <alignment horizontal="center"/>
    </xf>
    <xf numFmtId="164" fontId="4" fillId="3" borderId="1" xfId="1" applyNumberFormat="1" applyFont="1" applyFill="1" applyBorder="1"/>
    <xf numFmtId="14" fontId="0" fillId="0" borderId="0" xfId="0" applyNumberFormat="1"/>
    <xf numFmtId="44" fontId="0" fillId="3" borderId="0" xfId="1" applyFont="1" applyFill="1"/>
    <xf numFmtId="0" fontId="6" fillId="4" borderId="0" xfId="0" applyFont="1" applyFill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2" fillId="0" borderId="6" xfId="0" applyFont="1" applyBorder="1" applyAlignment="1">
      <alignment horizontal="center" wrapText="1"/>
    </xf>
    <xf numFmtId="0" fontId="3" fillId="3" borderId="0" xfId="0" applyFont="1" applyFill="1"/>
    <xf numFmtId="0" fontId="6" fillId="0" borderId="7" xfId="0" applyFont="1" applyBorder="1"/>
    <xf numFmtId="0" fontId="0" fillId="0" borderId="7" xfId="0" applyBorder="1"/>
    <xf numFmtId="4" fontId="0" fillId="0" borderId="7" xfId="0" applyNumberFormat="1" applyBorder="1"/>
    <xf numFmtId="0" fontId="7" fillId="3" borderId="0" xfId="0" applyFont="1" applyFill="1"/>
    <xf numFmtId="164" fontId="6" fillId="3" borderId="0" xfId="1" applyNumberFormat="1" applyFont="1" applyFill="1"/>
    <xf numFmtId="44" fontId="0" fillId="0" borderId="0" xfId="1" applyFont="1"/>
    <xf numFmtId="165" fontId="6" fillId="0" borderId="0" xfId="3" applyNumberFormat="1" applyFont="1"/>
    <xf numFmtId="164" fontId="6" fillId="0" borderId="0" xfId="1" applyNumberFormat="1" applyFont="1"/>
    <xf numFmtId="44" fontId="6" fillId="0" borderId="0" xfId="0" applyNumberFormat="1" applyFont="1"/>
    <xf numFmtId="0" fontId="9" fillId="0" borderId="0" xfId="0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workbookViewId="0">
      <selection activeCell="G3" sqref="G3"/>
    </sheetView>
  </sheetViews>
  <sheetFormatPr defaultRowHeight="15" x14ac:dyDescent="0.25"/>
  <cols>
    <col min="3" max="3" width="13.85546875" bestFit="1" customWidth="1"/>
    <col min="7" max="7" width="11.5703125" bestFit="1" customWidth="1"/>
  </cols>
  <sheetData>
    <row r="1" spans="1:7" ht="21" x14ac:dyDescent="0.35">
      <c r="A1" s="1" t="s">
        <v>16</v>
      </c>
    </row>
    <row r="2" spans="1:7" ht="15.75" thickBot="1" x14ac:dyDescent="0.3"/>
    <row r="3" spans="1:7" ht="16.5" thickBot="1" x14ac:dyDescent="0.3">
      <c r="A3" s="5" t="s">
        <v>0</v>
      </c>
      <c r="B3" s="6" t="s">
        <v>1</v>
      </c>
      <c r="C3" s="7" t="s">
        <v>2</v>
      </c>
      <c r="G3" s="12"/>
    </row>
    <row r="4" spans="1:7" x14ac:dyDescent="0.25">
      <c r="A4" s="4" t="s">
        <v>3</v>
      </c>
      <c r="B4" s="13">
        <f>C4/62.93</f>
        <v>26.819958684252345</v>
      </c>
      <c r="C4" s="9">
        <v>1687.78</v>
      </c>
      <c r="D4" s="12">
        <f>C4/B4</f>
        <v>62.929999999999993</v>
      </c>
    </row>
    <row r="5" spans="1:7" x14ac:dyDescent="0.25">
      <c r="A5" s="3" t="s">
        <v>4</v>
      </c>
      <c r="B5" s="13">
        <f t="shared" ref="B5:B6" si="0">C5/62.93</f>
        <v>30.789766407119021</v>
      </c>
      <c r="C5" s="10">
        <v>1937.6</v>
      </c>
      <c r="D5" s="12">
        <f t="shared" ref="D5:D15" si="1">C5/B5</f>
        <v>62.93</v>
      </c>
    </row>
    <row r="6" spans="1:7" x14ac:dyDescent="0.25">
      <c r="A6" s="3" t="s">
        <v>5</v>
      </c>
      <c r="B6" s="13">
        <f t="shared" si="0"/>
        <v>55.900524392181794</v>
      </c>
      <c r="C6" s="10">
        <v>3517.82</v>
      </c>
      <c r="D6" s="12">
        <f t="shared" si="1"/>
        <v>62.93</v>
      </c>
    </row>
    <row r="7" spans="1:7" x14ac:dyDescent="0.25">
      <c r="A7" s="3" t="s">
        <v>6</v>
      </c>
      <c r="B7" s="13">
        <f>C7/64.21</f>
        <v>107.28983024451021</v>
      </c>
      <c r="C7" s="10">
        <v>6889.08</v>
      </c>
      <c r="D7" s="12">
        <f t="shared" si="1"/>
        <v>64.209999999999994</v>
      </c>
    </row>
    <row r="8" spans="1:7" x14ac:dyDescent="0.25">
      <c r="A8" s="3" t="s">
        <v>7</v>
      </c>
      <c r="B8" s="13">
        <f>C8/64.21</f>
        <v>111.92026164148886</v>
      </c>
      <c r="C8" s="10">
        <v>7186.4</v>
      </c>
      <c r="D8" s="12">
        <f t="shared" si="1"/>
        <v>64.209999999999994</v>
      </c>
    </row>
    <row r="9" spans="1:7" x14ac:dyDescent="0.25">
      <c r="A9" s="3" t="s">
        <v>8</v>
      </c>
      <c r="B9" s="13">
        <f>C9/64.21</f>
        <v>109.0893941753621</v>
      </c>
      <c r="C9" s="10">
        <v>7004.63</v>
      </c>
      <c r="D9" s="12">
        <f t="shared" si="1"/>
        <v>64.209999999999994</v>
      </c>
    </row>
    <row r="10" spans="1:7" x14ac:dyDescent="0.25">
      <c r="A10" s="3" t="s">
        <v>9</v>
      </c>
      <c r="B10" s="13">
        <f>C10/64.21</f>
        <v>105.48979909671392</v>
      </c>
      <c r="C10" s="10">
        <v>6773.5</v>
      </c>
      <c r="D10" s="12">
        <f t="shared" si="1"/>
        <v>64.209999999999994</v>
      </c>
    </row>
    <row r="11" spans="1:7" x14ac:dyDescent="0.25">
      <c r="A11" s="3" t="s">
        <v>10</v>
      </c>
      <c r="B11" s="13">
        <f>C11/64.21</f>
        <v>69.910138607693511</v>
      </c>
      <c r="C11" s="10">
        <v>4488.93</v>
      </c>
      <c r="D11" s="12">
        <f t="shared" si="1"/>
        <v>64.209999999999994</v>
      </c>
    </row>
    <row r="12" spans="1:7" x14ac:dyDescent="0.25">
      <c r="A12" s="3" t="s">
        <v>11</v>
      </c>
      <c r="B12" s="13">
        <f>C12/65</f>
        <v>73.84</v>
      </c>
      <c r="C12" s="10">
        <v>4799.6000000000004</v>
      </c>
      <c r="D12" s="12">
        <f t="shared" si="1"/>
        <v>65</v>
      </c>
    </row>
    <row r="13" spans="1:7" x14ac:dyDescent="0.25">
      <c r="A13" s="3" t="s">
        <v>12</v>
      </c>
      <c r="B13" s="13">
        <f t="shared" ref="B13:B15" si="2">C13/65</f>
        <v>77.27</v>
      </c>
      <c r="C13" s="10">
        <v>5022.55</v>
      </c>
      <c r="D13" s="12">
        <f t="shared" si="1"/>
        <v>65</v>
      </c>
    </row>
    <row r="14" spans="1:7" x14ac:dyDescent="0.25">
      <c r="A14" s="3" t="s">
        <v>13</v>
      </c>
      <c r="B14" s="13">
        <f t="shared" si="2"/>
        <v>78.39</v>
      </c>
      <c r="C14" s="10">
        <v>5095.3500000000004</v>
      </c>
      <c r="D14" s="12">
        <f t="shared" si="1"/>
        <v>65</v>
      </c>
    </row>
    <row r="15" spans="1:7" x14ac:dyDescent="0.25">
      <c r="A15" s="3" t="s">
        <v>14</v>
      </c>
      <c r="B15" s="13">
        <f t="shared" si="2"/>
        <v>49.75</v>
      </c>
      <c r="C15" s="10">
        <v>3233.75</v>
      </c>
      <c r="D15" s="12">
        <f t="shared" si="1"/>
        <v>65</v>
      </c>
    </row>
    <row r="16" spans="1:7" ht="18" x14ac:dyDescent="0.4">
      <c r="A16" s="2" t="s">
        <v>15</v>
      </c>
      <c r="B16" s="8">
        <f>SUM(B4:B15)</f>
        <v>896.45967324932178</v>
      </c>
      <c r="C16" s="11">
        <f>SUM(C4:C15)</f>
        <v>57636.99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E3" sqref="E3"/>
    </sheetView>
  </sheetViews>
  <sheetFormatPr defaultRowHeight="15" x14ac:dyDescent="0.25"/>
  <cols>
    <col min="3" max="3" width="13.85546875" bestFit="1" customWidth="1"/>
    <col min="4" max="4" width="10" bestFit="1" customWidth="1"/>
    <col min="6" max="7" width="12.5703125" bestFit="1" customWidth="1"/>
    <col min="8" max="8" width="11.28515625" bestFit="1" customWidth="1"/>
  </cols>
  <sheetData>
    <row r="1" spans="1:8" ht="21" x14ac:dyDescent="0.35">
      <c r="A1" s="1" t="s">
        <v>17</v>
      </c>
    </row>
    <row r="2" spans="1:8" ht="15.75" thickBot="1" x14ac:dyDescent="0.3"/>
    <row r="3" spans="1:8" ht="16.5" thickBot="1" x14ac:dyDescent="0.3">
      <c r="A3" s="5" t="s">
        <v>0</v>
      </c>
      <c r="B3" s="6" t="s">
        <v>1</v>
      </c>
      <c r="C3" s="7" t="s">
        <v>2</v>
      </c>
      <c r="F3" s="16"/>
      <c r="G3" s="16"/>
      <c r="H3" s="16"/>
    </row>
    <row r="4" spans="1:8" x14ac:dyDescent="0.25">
      <c r="A4" s="4" t="s">
        <v>3</v>
      </c>
      <c r="B4" s="13">
        <f>C4/66.1</f>
        <v>34.309984871406961</v>
      </c>
      <c r="C4" s="9">
        <v>2267.89</v>
      </c>
      <c r="D4" s="12">
        <f>C4/B4</f>
        <v>66.099999999999994</v>
      </c>
      <c r="F4" s="17"/>
      <c r="G4" s="18"/>
      <c r="H4" s="17"/>
    </row>
    <row r="5" spans="1:8" x14ac:dyDescent="0.25">
      <c r="A5" s="3" t="s">
        <v>4</v>
      </c>
      <c r="B5" s="13">
        <f t="shared" ref="B5:B15" si="0">C5/66.1</f>
        <v>12.829046898638428</v>
      </c>
      <c r="C5" s="10">
        <v>848</v>
      </c>
      <c r="D5" s="12">
        <f t="shared" ref="D5:D15" si="1">C5/B5</f>
        <v>66.099999999999994</v>
      </c>
      <c r="F5" s="17"/>
      <c r="G5" s="18"/>
      <c r="H5" s="17"/>
    </row>
    <row r="6" spans="1:8" x14ac:dyDescent="0.25">
      <c r="A6" s="3" t="s">
        <v>5</v>
      </c>
      <c r="B6" s="13">
        <f t="shared" si="0"/>
        <v>54.319818456883517</v>
      </c>
      <c r="C6" s="10">
        <v>3590.54</v>
      </c>
      <c r="D6" s="12">
        <f t="shared" si="1"/>
        <v>66.099999999999994</v>
      </c>
      <c r="F6" s="17"/>
      <c r="G6" s="18"/>
      <c r="H6" s="17"/>
    </row>
    <row r="7" spans="1:8" x14ac:dyDescent="0.25">
      <c r="A7" s="3" t="s">
        <v>6</v>
      </c>
      <c r="B7" s="13">
        <f t="shared" si="0"/>
        <v>91.060060514372168</v>
      </c>
      <c r="C7" s="10">
        <v>6019.07</v>
      </c>
      <c r="D7" s="12">
        <f t="shared" si="1"/>
        <v>66.099999999999994</v>
      </c>
      <c r="F7" s="17"/>
      <c r="G7" s="18"/>
      <c r="H7" s="17"/>
    </row>
    <row r="8" spans="1:8" x14ac:dyDescent="0.25">
      <c r="A8" s="3" t="s">
        <v>7</v>
      </c>
      <c r="B8" s="13">
        <f t="shared" si="0"/>
        <v>96.590015128593052</v>
      </c>
      <c r="C8" s="10">
        <v>6384.6</v>
      </c>
      <c r="D8" s="12">
        <f t="shared" si="1"/>
        <v>66.099999999999994</v>
      </c>
      <c r="F8" s="17"/>
      <c r="G8" s="18"/>
      <c r="H8" s="17"/>
    </row>
    <row r="9" spans="1:8" x14ac:dyDescent="0.25">
      <c r="A9" s="3" t="s">
        <v>8</v>
      </c>
      <c r="B9" s="13">
        <f t="shared" si="0"/>
        <v>75.820423600605139</v>
      </c>
      <c r="C9" s="10">
        <v>5011.7299999999996</v>
      </c>
      <c r="D9" s="12">
        <f t="shared" si="1"/>
        <v>66.099999999999994</v>
      </c>
      <c r="F9" s="17"/>
      <c r="G9" s="18"/>
      <c r="H9" s="17"/>
    </row>
    <row r="10" spans="1:8" x14ac:dyDescent="0.25">
      <c r="A10" s="3" t="s">
        <v>9</v>
      </c>
      <c r="B10" s="13">
        <f t="shared" si="0"/>
        <v>71.000151285930414</v>
      </c>
      <c r="C10" s="10">
        <v>4693.1099999999997</v>
      </c>
      <c r="D10" s="12">
        <f t="shared" si="1"/>
        <v>66.099999999999994</v>
      </c>
      <c r="F10" s="17"/>
      <c r="G10" s="18"/>
      <c r="H10" s="17"/>
    </row>
    <row r="11" spans="1:8" x14ac:dyDescent="0.25">
      <c r="A11" s="3" t="s">
        <v>10</v>
      </c>
      <c r="B11" s="13">
        <f t="shared" si="0"/>
        <v>65.539939485627841</v>
      </c>
      <c r="C11" s="10">
        <v>4332.1899999999996</v>
      </c>
      <c r="D11" s="12">
        <f t="shared" si="1"/>
        <v>66.099999999999994</v>
      </c>
      <c r="F11" s="17"/>
      <c r="G11" s="18"/>
      <c r="H11" s="17"/>
    </row>
    <row r="12" spans="1:8" x14ac:dyDescent="0.25">
      <c r="A12" s="3" t="s">
        <v>11</v>
      </c>
      <c r="B12" s="13">
        <f t="shared" si="0"/>
        <v>76.539939485627841</v>
      </c>
      <c r="C12" s="10">
        <v>5059.29</v>
      </c>
      <c r="D12" s="12">
        <f t="shared" si="1"/>
        <v>66.099999999999994</v>
      </c>
      <c r="F12" s="17"/>
      <c r="G12" s="18"/>
      <c r="H12" s="17"/>
    </row>
    <row r="13" spans="1:8" x14ac:dyDescent="0.25">
      <c r="A13" s="3" t="s">
        <v>12</v>
      </c>
      <c r="B13" s="13">
        <f t="shared" si="0"/>
        <v>69.95461422087746</v>
      </c>
      <c r="C13" s="10">
        <v>4624</v>
      </c>
      <c r="D13" s="12">
        <f t="shared" si="1"/>
        <v>66.099999999999994</v>
      </c>
      <c r="F13" s="17"/>
      <c r="G13" s="18"/>
      <c r="H13" s="17"/>
    </row>
    <row r="14" spans="1:8" x14ac:dyDescent="0.25">
      <c r="A14" s="3" t="s">
        <v>13</v>
      </c>
      <c r="B14" s="13">
        <f t="shared" si="0"/>
        <v>106.88003025718609</v>
      </c>
      <c r="C14" s="10">
        <v>7064.77</v>
      </c>
      <c r="D14" s="12">
        <f t="shared" si="1"/>
        <v>66.099999999999994</v>
      </c>
      <c r="F14" s="17"/>
      <c r="G14" s="18"/>
      <c r="H14" s="17"/>
    </row>
    <row r="15" spans="1:8" x14ac:dyDescent="0.25">
      <c r="A15" s="3" t="s">
        <v>14</v>
      </c>
      <c r="B15" s="13">
        <f t="shared" si="0"/>
        <v>19.863842662632376</v>
      </c>
      <c r="C15" s="10">
        <v>1313</v>
      </c>
      <c r="D15" s="12">
        <f t="shared" si="1"/>
        <v>66.099999999999994</v>
      </c>
      <c r="F15" s="17"/>
      <c r="G15" s="18"/>
      <c r="H15" s="17"/>
    </row>
    <row r="16" spans="1:8" ht="18" x14ac:dyDescent="0.4">
      <c r="A16" s="2" t="s">
        <v>15</v>
      </c>
      <c r="B16" s="8">
        <f>SUM(B4:B15)</f>
        <v>774.70786686838142</v>
      </c>
      <c r="C16" s="11">
        <f>SUM(C4:C15)</f>
        <v>51208.19</v>
      </c>
      <c r="F16" s="17"/>
      <c r="G16" s="19"/>
      <c r="H16" s="20"/>
    </row>
    <row r="20" spans="3:8" x14ac:dyDescent="0.25">
      <c r="E20" s="14"/>
      <c r="F20" s="12"/>
    </row>
    <row r="22" spans="3:8" x14ac:dyDescent="0.25">
      <c r="E22" s="15"/>
      <c r="G22" s="14"/>
      <c r="H22" s="12"/>
    </row>
    <row r="23" spans="3:8" x14ac:dyDescent="0.25">
      <c r="C23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tabSelected="1" topLeftCell="A31" workbookViewId="0">
      <selection activeCell="I61" sqref="I61"/>
    </sheetView>
  </sheetViews>
  <sheetFormatPr defaultRowHeight="15" x14ac:dyDescent="0.25"/>
  <cols>
    <col min="1" max="1" width="15" customWidth="1"/>
    <col min="2" max="2" width="17.140625" customWidth="1"/>
    <col min="3" max="3" width="18" customWidth="1"/>
    <col min="4" max="4" width="13.5703125" customWidth="1"/>
    <col min="5" max="5" width="11.28515625" customWidth="1"/>
    <col min="6" max="6" width="14.85546875" customWidth="1"/>
    <col min="7" max="7" width="11.5703125" bestFit="1" customWidth="1"/>
    <col min="8" max="8" width="14" customWidth="1"/>
    <col min="9" max="9" width="9.28515625" bestFit="1" customWidth="1"/>
  </cols>
  <sheetData>
    <row r="1" spans="1:13" x14ac:dyDescent="0.25">
      <c r="A1" s="37" t="s">
        <v>23</v>
      </c>
      <c r="B1" s="37"/>
      <c r="C1" s="37"/>
      <c r="D1" s="37"/>
    </row>
    <row r="2" spans="1:13" x14ac:dyDescent="0.25">
      <c r="A2" s="37" t="s">
        <v>47</v>
      </c>
      <c r="B2" s="37"/>
      <c r="C2" s="37"/>
      <c r="D2" s="37"/>
    </row>
    <row r="3" spans="1:13" x14ac:dyDescent="0.25">
      <c r="A3" s="37" t="s">
        <v>24</v>
      </c>
      <c r="B3" s="37"/>
      <c r="C3" s="37"/>
      <c r="D3" s="37"/>
    </row>
    <row r="4" spans="1:13" x14ac:dyDescent="0.25">
      <c r="A4" s="37"/>
      <c r="B4" s="37"/>
      <c r="C4" s="37"/>
      <c r="D4" s="37"/>
    </row>
    <row r="5" spans="1:13" x14ac:dyDescent="0.25">
      <c r="A5" s="30"/>
      <c r="B5" s="30"/>
      <c r="C5" s="30"/>
      <c r="D5" s="30"/>
    </row>
    <row r="6" spans="1:13" ht="21" x14ac:dyDescent="0.35">
      <c r="A6" s="41" t="s">
        <v>18</v>
      </c>
      <c r="B6" s="30"/>
      <c r="C6" s="30"/>
      <c r="D6" s="30"/>
    </row>
    <row r="10" spans="1:13" x14ac:dyDescent="0.25">
      <c r="A10" s="45" t="s">
        <v>46</v>
      </c>
      <c r="B10" s="30"/>
      <c r="C10" s="46">
        <f>'2021'!C16</f>
        <v>51208.19</v>
      </c>
    </row>
    <row r="11" spans="1:13" ht="15.75" thickBot="1" x14ac:dyDescent="0.3"/>
    <row r="12" spans="1:13" ht="48" thickBot="1" x14ac:dyDescent="0.3">
      <c r="A12" s="5" t="s">
        <v>0</v>
      </c>
      <c r="B12" s="6" t="s">
        <v>1</v>
      </c>
      <c r="C12" s="7" t="s">
        <v>2</v>
      </c>
      <c r="F12" s="40" t="s">
        <v>43</v>
      </c>
      <c r="M12" s="35"/>
    </row>
    <row r="13" spans="1:13" x14ac:dyDescent="0.25">
      <c r="A13" s="4" t="s">
        <v>3</v>
      </c>
      <c r="B13" s="13">
        <f>'Data  - 2022'!B4</f>
        <v>55.060060514372168</v>
      </c>
      <c r="C13" s="9">
        <f>'Data  - 2022'!C4</f>
        <v>3639.47</v>
      </c>
      <c r="D13" s="12">
        <f t="shared" ref="D13:D18" si="0">C13/B13</f>
        <v>66.099999999999994</v>
      </c>
      <c r="F13" s="12">
        <f t="shared" ref="F13:F20" si="1">+B13*$D$22</f>
        <v>4127.3021361573374</v>
      </c>
    </row>
    <row r="14" spans="1:13" x14ac:dyDescent="0.25">
      <c r="A14" s="3" t="s">
        <v>4</v>
      </c>
      <c r="B14" s="13">
        <f>'Data  - 2022'!B5</f>
        <v>43.139939485627842</v>
      </c>
      <c r="C14" s="9">
        <f>'Data  - 2022'!C5</f>
        <v>2851.55</v>
      </c>
      <c r="D14" s="12">
        <f t="shared" si="0"/>
        <v>66.099999999999994</v>
      </c>
      <c r="F14" s="12">
        <f t="shared" si="1"/>
        <v>3233.7698638426627</v>
      </c>
    </row>
    <row r="15" spans="1:13" x14ac:dyDescent="0.25">
      <c r="A15" s="3" t="s">
        <v>5</v>
      </c>
      <c r="B15" s="13">
        <f>'Data  - 2022'!B6</f>
        <v>64.7499243570348</v>
      </c>
      <c r="C15" s="9">
        <f>'Data  - 2022'!C6</f>
        <v>4279.97</v>
      </c>
      <c r="D15" s="12">
        <f t="shared" si="0"/>
        <v>66.099999999999994</v>
      </c>
      <c r="F15" s="12">
        <f t="shared" si="1"/>
        <v>4853.6543298033284</v>
      </c>
    </row>
    <row r="16" spans="1:13" x14ac:dyDescent="0.25">
      <c r="A16" s="3" t="s">
        <v>6</v>
      </c>
      <c r="B16" s="13">
        <f>'Data  - 2022'!B7</f>
        <v>80.759869355296786</v>
      </c>
      <c r="C16" s="9">
        <f>'Data  - 2022'!C7</f>
        <v>5687.11</v>
      </c>
      <c r="D16" s="12">
        <f t="shared" si="0"/>
        <v>70.42</v>
      </c>
      <c r="F16" s="12">
        <f t="shared" si="1"/>
        <v>6053.7598068730467</v>
      </c>
    </row>
    <row r="17" spans="1:15" x14ac:dyDescent="0.25">
      <c r="A17" s="3" t="s">
        <v>7</v>
      </c>
      <c r="B17" s="13">
        <f>'Data  - 2022'!B8</f>
        <v>117.00014200511218</v>
      </c>
      <c r="C17" s="9">
        <f>'Data  - 2022'!C8</f>
        <v>8239.15</v>
      </c>
      <c r="D17" s="12">
        <f t="shared" si="0"/>
        <v>70.42</v>
      </c>
      <c r="F17" s="12">
        <f t="shared" si="1"/>
        <v>8770.3306447032082</v>
      </c>
    </row>
    <row r="18" spans="1:15" x14ac:dyDescent="0.25">
      <c r="A18" s="3" t="s">
        <v>8</v>
      </c>
      <c r="B18" s="13">
        <f>'Data  - 2022'!B9</f>
        <v>113.67026412950865</v>
      </c>
      <c r="C18" s="9">
        <f>'Data  - 2022'!C9</f>
        <v>8004.66</v>
      </c>
      <c r="D18" s="12">
        <f t="shared" si="0"/>
        <v>70.42</v>
      </c>
      <c r="F18" s="12">
        <f t="shared" si="1"/>
        <v>8520.7229991479671</v>
      </c>
    </row>
    <row r="19" spans="1:15" x14ac:dyDescent="0.25">
      <c r="A19" s="3" t="s">
        <v>9</v>
      </c>
      <c r="B19" s="13">
        <f>'Data  - 2022'!B10</f>
        <v>87.739988639591019</v>
      </c>
      <c r="C19" s="9">
        <f>'Data  - 2022'!C10</f>
        <v>6178.65</v>
      </c>
      <c r="D19" s="12">
        <f>C19/B19</f>
        <v>70.42</v>
      </c>
      <c r="F19" s="12">
        <f t="shared" si="1"/>
        <v>6576.9895484237422</v>
      </c>
    </row>
    <row r="20" spans="1:15" x14ac:dyDescent="0.25">
      <c r="A20" s="3" t="s">
        <v>10</v>
      </c>
      <c r="B20" s="13">
        <f>'Data  - 2022'!B11</f>
        <v>79.229906276625954</v>
      </c>
      <c r="C20" s="9">
        <f>'Data  - 2022'!C11</f>
        <v>5579.37</v>
      </c>
      <c r="D20" s="12">
        <f t="shared" ref="D20:D24" si="2">C20/B20</f>
        <v>70.42</v>
      </c>
      <c r="F20" s="12">
        <f t="shared" si="1"/>
        <v>5939.0737744958806</v>
      </c>
    </row>
    <row r="21" spans="1:15" x14ac:dyDescent="0.25">
      <c r="A21" s="3" t="s">
        <v>11</v>
      </c>
      <c r="B21" s="13">
        <f>'Data  - 2022'!B12</f>
        <v>59.28601921024547</v>
      </c>
      <c r="C21" s="9">
        <f>'Data  - 2022'!C12</f>
        <v>4444.08</v>
      </c>
      <c r="D21" s="31">
        <f t="shared" si="2"/>
        <v>74.959999999999994</v>
      </c>
      <c r="F21" s="31">
        <f>+B21*D21</f>
        <v>4444.08</v>
      </c>
    </row>
    <row r="22" spans="1:15" x14ac:dyDescent="0.25">
      <c r="A22" s="3" t="s">
        <v>12</v>
      </c>
      <c r="B22" s="13">
        <f>'Data  - 2022'!B13</f>
        <v>70.005469583778023</v>
      </c>
      <c r="C22" s="9">
        <f>'Data  - 2022'!C13</f>
        <v>5247.61</v>
      </c>
      <c r="D22" s="31">
        <f t="shared" si="2"/>
        <v>74.959999999999994</v>
      </c>
      <c r="F22" s="31">
        <f>+B22*D22</f>
        <v>5247.6100000000006</v>
      </c>
      <c r="O22" s="12">
        <f>D21-D20</f>
        <v>4.539999999999992</v>
      </c>
    </row>
    <row r="23" spans="1:15" x14ac:dyDescent="0.25">
      <c r="A23" s="3" t="s">
        <v>13</v>
      </c>
      <c r="B23" s="13">
        <f>'Data  - 2022'!B14</f>
        <v>73.225053361792959</v>
      </c>
      <c r="C23" s="9">
        <f>'Data  - 2022'!C14</f>
        <v>5488.95</v>
      </c>
      <c r="D23" s="31">
        <f t="shared" si="2"/>
        <v>74.959999999999994</v>
      </c>
      <c r="F23" s="31">
        <f>+B23*D23</f>
        <v>5488.95</v>
      </c>
      <c r="O23" s="15">
        <f>O22/D20</f>
        <v>6.4470320931553415E-2</v>
      </c>
    </row>
    <row r="24" spans="1:15" x14ac:dyDescent="0.25">
      <c r="A24" s="3" t="s">
        <v>14</v>
      </c>
      <c r="B24" s="13">
        <f>'Data  - 2022'!B15</f>
        <v>22.058697972251871</v>
      </c>
      <c r="C24" s="9">
        <f>'Data  - 2022'!C15</f>
        <v>1653.52</v>
      </c>
      <c r="D24" s="31">
        <f t="shared" si="2"/>
        <v>74.959999999999994</v>
      </c>
      <c r="F24" s="32">
        <f>+B24*D24</f>
        <v>1653.52</v>
      </c>
    </row>
    <row r="25" spans="1:15" ht="18" x14ac:dyDescent="0.4">
      <c r="A25" s="2" t="s">
        <v>15</v>
      </c>
      <c r="B25" s="33">
        <f>SUM(B13:B24)</f>
        <v>865.92533489123775</v>
      </c>
      <c r="C25" s="34">
        <f>SUM(C13:C24)</f>
        <v>61294.09</v>
      </c>
      <c r="F25" s="29">
        <f>SUM(F13:F24)</f>
        <v>64909.763103447171</v>
      </c>
      <c r="H25" s="24"/>
      <c r="I25" s="50"/>
    </row>
    <row r="28" spans="1:15" x14ac:dyDescent="0.25">
      <c r="A28" s="38" t="s">
        <v>20</v>
      </c>
      <c r="D28" s="12">
        <f>D24</f>
        <v>74.959999999999994</v>
      </c>
    </row>
    <row r="29" spans="1:15" x14ac:dyDescent="0.25">
      <c r="A29" s="38"/>
    </row>
    <row r="30" spans="1:15" x14ac:dyDescent="0.25">
      <c r="A30" s="39" t="s">
        <v>19</v>
      </c>
      <c r="D30" s="21">
        <f>(D32-D28)/D28</f>
        <v>7.7749839914621227E-2</v>
      </c>
    </row>
    <row r="31" spans="1:15" x14ac:dyDescent="0.25">
      <c r="A31" s="38"/>
    </row>
    <row r="32" spans="1:15" x14ac:dyDescent="0.25">
      <c r="A32" s="38" t="s">
        <v>21</v>
      </c>
      <c r="D32" s="36">
        <f>76.62*(1.0544)</f>
        <v>80.788128</v>
      </c>
      <c r="E32" s="28" t="s">
        <v>44</v>
      </c>
      <c r="F32" s="28" t="s">
        <v>48</v>
      </c>
    </row>
    <row r="33" spans="1:7" x14ac:dyDescent="0.25">
      <c r="A33" s="38"/>
      <c r="E33" s="25">
        <f>+B25</f>
        <v>865.92533489123775</v>
      </c>
      <c r="F33" s="49">
        <f>ROUND(+D32*E33,2)</f>
        <v>69956.490000000005</v>
      </c>
    </row>
    <row r="34" spans="1:7" x14ac:dyDescent="0.25">
      <c r="A34" s="38"/>
      <c r="D34" s="22"/>
    </row>
    <row r="35" spans="1:7" x14ac:dyDescent="0.25">
      <c r="A35" s="38"/>
    </row>
    <row r="36" spans="1:7" x14ac:dyDescent="0.25">
      <c r="A36" s="38" t="s">
        <v>22</v>
      </c>
      <c r="D36" s="12"/>
    </row>
    <row r="37" spans="1:7" x14ac:dyDescent="0.25">
      <c r="A37" s="38"/>
      <c r="D37" s="21"/>
      <c r="F37" s="31">
        <f>F33-F25</f>
        <v>5046.7268965528347</v>
      </c>
      <c r="G37" s="12"/>
    </row>
    <row r="38" spans="1:7" x14ac:dyDescent="0.25">
      <c r="A38" s="38"/>
      <c r="D38" s="21"/>
    </row>
    <row r="39" spans="1:7" x14ac:dyDescent="0.25">
      <c r="A39" s="38" t="s">
        <v>26</v>
      </c>
      <c r="D39" s="21"/>
    </row>
    <row r="40" spans="1:7" x14ac:dyDescent="0.25">
      <c r="A40" s="38"/>
      <c r="C40" s="25"/>
      <c r="D40" s="21"/>
    </row>
    <row r="41" spans="1:7" x14ac:dyDescent="0.25">
      <c r="A41" s="38" t="s">
        <v>25</v>
      </c>
      <c r="C41" s="25">
        <v>1335</v>
      </c>
    </row>
    <row r="42" spans="1:7" x14ac:dyDescent="0.25">
      <c r="A42" s="38" t="s">
        <v>28</v>
      </c>
      <c r="C42" s="26">
        <v>26</v>
      </c>
      <c r="D42" s="20"/>
    </row>
    <row r="43" spans="1:7" x14ac:dyDescent="0.25">
      <c r="A43" s="38" t="s">
        <v>30</v>
      </c>
      <c r="C43" s="48">
        <f>+C42*C41</f>
        <v>34710</v>
      </c>
    </row>
    <row r="44" spans="1:7" x14ac:dyDescent="0.25">
      <c r="A44" s="38"/>
      <c r="C44" s="25"/>
    </row>
    <row r="45" spans="1:7" x14ac:dyDescent="0.25">
      <c r="A45" s="38"/>
    </row>
    <row r="46" spans="1:7" x14ac:dyDescent="0.25">
      <c r="A46" s="38" t="s">
        <v>27</v>
      </c>
      <c r="C46" s="25">
        <v>7</v>
      </c>
      <c r="D46" s="25"/>
      <c r="E46" s="25"/>
    </row>
    <row r="47" spans="1:7" x14ac:dyDescent="0.25">
      <c r="A47" s="38" t="s">
        <v>28</v>
      </c>
      <c r="C47" s="26">
        <v>26</v>
      </c>
      <c r="D47" s="25"/>
      <c r="E47" s="25"/>
    </row>
    <row r="48" spans="1:7" x14ac:dyDescent="0.25">
      <c r="A48" s="38" t="s">
        <v>29</v>
      </c>
      <c r="C48" s="25">
        <f>+C47*C46</f>
        <v>182</v>
      </c>
      <c r="D48" s="25"/>
      <c r="E48" s="25"/>
    </row>
    <row r="49" spans="1:11" x14ac:dyDescent="0.25">
      <c r="A49" s="38"/>
      <c r="C49" s="25"/>
      <c r="D49" s="25"/>
      <c r="E49" s="25"/>
    </row>
    <row r="50" spans="1:11" x14ac:dyDescent="0.25">
      <c r="A50" s="38" t="s">
        <v>31</v>
      </c>
      <c r="C50" s="48">
        <f>+C43+C48</f>
        <v>34892</v>
      </c>
      <c r="D50" s="47">
        <f>+F37/C50</f>
        <v>0.14463851016143628</v>
      </c>
      <c r="E50" s="25"/>
    </row>
    <row r="51" spans="1:11" x14ac:dyDescent="0.25">
      <c r="A51" s="38" t="s">
        <v>37</v>
      </c>
      <c r="C51" s="25"/>
      <c r="D51" s="47">
        <f>+(D50*2)</f>
        <v>0.28927702032287256</v>
      </c>
      <c r="E51" s="25"/>
    </row>
    <row r="52" spans="1:11" x14ac:dyDescent="0.25">
      <c r="A52" s="38"/>
    </row>
    <row r="53" spans="1:11" x14ac:dyDescent="0.25">
      <c r="A53" s="38" t="s">
        <v>32</v>
      </c>
    </row>
    <row r="54" spans="1:11" ht="30" x14ac:dyDescent="0.25">
      <c r="A54" s="38"/>
      <c r="D54" s="27" t="s">
        <v>41</v>
      </c>
      <c r="E54" s="27" t="s">
        <v>42</v>
      </c>
      <c r="F54" s="28"/>
      <c r="G54" s="27" t="s">
        <v>38</v>
      </c>
      <c r="H54" s="27" t="s">
        <v>39</v>
      </c>
      <c r="I54" s="28" t="s">
        <v>40</v>
      </c>
    </row>
    <row r="55" spans="1:11" x14ac:dyDescent="0.25">
      <c r="A55" s="38" t="s">
        <v>33</v>
      </c>
      <c r="D55">
        <v>11.18</v>
      </c>
      <c r="E55" s="23">
        <f>+D55+D51</f>
        <v>11.469277020322872</v>
      </c>
      <c r="G55" s="22">
        <f>+D55*C41*12</f>
        <v>179103.59999999998</v>
      </c>
      <c r="H55" s="22">
        <f>+E55*C41*12</f>
        <v>183737.8178655724</v>
      </c>
      <c r="I55" s="22">
        <f>+H55-G55</f>
        <v>4634.2178655724274</v>
      </c>
      <c r="J55" s="22"/>
    </row>
    <row r="56" spans="1:11" x14ac:dyDescent="0.25">
      <c r="A56" s="38" t="s">
        <v>34</v>
      </c>
      <c r="G56" s="22"/>
      <c r="H56" s="22"/>
      <c r="I56" s="22"/>
      <c r="J56" s="22"/>
    </row>
    <row r="57" spans="1:11" x14ac:dyDescent="0.25">
      <c r="A57" s="24"/>
      <c r="G57" s="22"/>
      <c r="H57" s="22"/>
      <c r="I57" s="22"/>
      <c r="J57" s="22"/>
    </row>
    <row r="58" spans="1:11" x14ac:dyDescent="0.25">
      <c r="A58" s="24" t="s">
        <v>35</v>
      </c>
      <c r="D58">
        <v>12.51</v>
      </c>
      <c r="E58" s="23">
        <f>+D58+D51</f>
        <v>12.799277020322872</v>
      </c>
      <c r="G58" s="22">
        <f>+D58*C46*12</f>
        <v>1050.8399999999999</v>
      </c>
      <c r="H58" s="22">
        <f>+E58*C46*12</f>
        <v>1075.1392697071212</v>
      </c>
      <c r="I58" s="22">
        <f>+H58-G58</f>
        <v>24.299269707121312</v>
      </c>
      <c r="J58" s="22"/>
    </row>
    <row r="59" spans="1:11" x14ac:dyDescent="0.25">
      <c r="A59" s="24" t="s">
        <v>36</v>
      </c>
      <c r="H59" s="22"/>
      <c r="I59" s="22"/>
      <c r="J59" s="22"/>
    </row>
    <row r="60" spans="1:11" x14ac:dyDescent="0.25">
      <c r="A60" s="24"/>
      <c r="G60" s="22"/>
      <c r="H60" s="22"/>
      <c r="I60" s="22"/>
      <c r="J60" s="22"/>
    </row>
    <row r="61" spans="1:11" ht="15.75" thickBot="1" x14ac:dyDescent="0.3">
      <c r="A61" s="42" t="s">
        <v>45</v>
      </c>
      <c r="B61" s="43"/>
      <c r="C61" s="43"/>
      <c r="D61" s="43"/>
      <c r="E61" s="43"/>
      <c r="F61" s="43"/>
      <c r="G61" s="44"/>
      <c r="H61" s="44"/>
      <c r="I61" s="44">
        <f>+I58+I55</f>
        <v>4658.5171352795487</v>
      </c>
      <c r="J61" s="22">
        <f>F37-I61</f>
        <v>388.20976127328595</v>
      </c>
      <c r="K61" s="51" t="s">
        <v>49</v>
      </c>
    </row>
    <row r="62" spans="1:11" ht="15.75" thickTop="1" x14ac:dyDescent="0.25">
      <c r="G62" s="22"/>
      <c r="H62" s="22"/>
      <c r="I62" s="22"/>
      <c r="J6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C3EDD-1F3F-4FF8-8BFA-1F44DBB7B128}">
  <dimension ref="A1:G25"/>
  <sheetViews>
    <sheetView workbookViewId="0">
      <selection activeCell="G30" sqref="G30:G31"/>
    </sheetView>
  </sheetViews>
  <sheetFormatPr defaultRowHeight="15" x14ac:dyDescent="0.25"/>
  <cols>
    <col min="3" max="3" width="13.85546875" bestFit="1" customWidth="1"/>
    <col min="5" max="5" width="10.5703125" bestFit="1" customWidth="1"/>
    <col min="6" max="7" width="11.5703125" bestFit="1" customWidth="1"/>
  </cols>
  <sheetData>
    <row r="1" spans="1:4" ht="21" x14ac:dyDescent="0.35">
      <c r="A1" s="1" t="s">
        <v>18</v>
      </c>
    </row>
    <row r="2" spans="1:4" ht="15.75" thickBot="1" x14ac:dyDescent="0.3"/>
    <row r="3" spans="1:4" ht="16.5" thickBot="1" x14ac:dyDescent="0.3">
      <c r="A3" s="5" t="s">
        <v>0</v>
      </c>
      <c r="B3" s="6" t="s">
        <v>1</v>
      </c>
      <c r="C3" s="7" t="s">
        <v>2</v>
      </c>
    </row>
    <row r="4" spans="1:4" x14ac:dyDescent="0.25">
      <c r="A4" s="4" t="s">
        <v>3</v>
      </c>
      <c r="B4" s="13">
        <f>C4/66.1</f>
        <v>55.060060514372168</v>
      </c>
      <c r="C4" s="9">
        <v>3639.47</v>
      </c>
      <c r="D4" s="12">
        <f t="shared" ref="D4:D15" si="0">C4/B4</f>
        <v>66.099999999999994</v>
      </c>
    </row>
    <row r="5" spans="1:4" x14ac:dyDescent="0.25">
      <c r="A5" s="3" t="s">
        <v>4</v>
      </c>
      <c r="B5" s="13">
        <f>C5/66.1</f>
        <v>43.139939485627842</v>
      </c>
      <c r="C5" s="10">
        <v>2851.55</v>
      </c>
      <c r="D5" s="12">
        <f t="shared" si="0"/>
        <v>66.099999999999994</v>
      </c>
    </row>
    <row r="6" spans="1:4" x14ac:dyDescent="0.25">
      <c r="A6" s="3" t="s">
        <v>5</v>
      </c>
      <c r="B6" s="13">
        <f>C6/66.1</f>
        <v>64.7499243570348</v>
      </c>
      <c r="C6" s="10">
        <v>4279.97</v>
      </c>
      <c r="D6" s="12">
        <f t="shared" si="0"/>
        <v>66.099999999999994</v>
      </c>
    </row>
    <row r="7" spans="1:4" x14ac:dyDescent="0.25">
      <c r="A7" s="3" t="s">
        <v>6</v>
      </c>
      <c r="B7" s="13">
        <f>C7/70.42</f>
        <v>80.759869355296786</v>
      </c>
      <c r="C7" s="10">
        <v>5687.11</v>
      </c>
      <c r="D7" s="12">
        <f t="shared" si="0"/>
        <v>70.42</v>
      </c>
    </row>
    <row r="8" spans="1:4" x14ac:dyDescent="0.25">
      <c r="A8" s="3" t="s">
        <v>7</v>
      </c>
      <c r="B8" s="13">
        <f>C8/70.42</f>
        <v>117.00014200511218</v>
      </c>
      <c r="C8" s="10">
        <v>8239.15</v>
      </c>
      <c r="D8" s="12">
        <f t="shared" si="0"/>
        <v>70.42</v>
      </c>
    </row>
    <row r="9" spans="1:4" x14ac:dyDescent="0.25">
      <c r="A9" s="3" t="s">
        <v>8</v>
      </c>
      <c r="B9" s="13">
        <f>C9/70.42</f>
        <v>113.67026412950865</v>
      </c>
      <c r="C9" s="10">
        <v>8004.66</v>
      </c>
      <c r="D9" s="12">
        <f t="shared" si="0"/>
        <v>70.42</v>
      </c>
    </row>
    <row r="10" spans="1:4" x14ac:dyDescent="0.25">
      <c r="A10" s="3" t="s">
        <v>9</v>
      </c>
      <c r="B10" s="13">
        <f>C10/70.42</f>
        <v>87.739988639591019</v>
      </c>
      <c r="C10" s="10">
        <v>6178.65</v>
      </c>
      <c r="D10" s="12">
        <f t="shared" si="0"/>
        <v>70.42</v>
      </c>
    </row>
    <row r="11" spans="1:4" x14ac:dyDescent="0.25">
      <c r="A11" s="3" t="s">
        <v>10</v>
      </c>
      <c r="B11" s="13">
        <f>C11/70.42</f>
        <v>79.229906276625954</v>
      </c>
      <c r="C11" s="10">
        <v>5579.37</v>
      </c>
      <c r="D11" s="12">
        <f t="shared" si="0"/>
        <v>70.42</v>
      </c>
    </row>
    <row r="12" spans="1:4" x14ac:dyDescent="0.25">
      <c r="A12" s="3" t="s">
        <v>11</v>
      </c>
      <c r="B12" s="13">
        <f>C12/74.96</f>
        <v>59.28601921024547</v>
      </c>
      <c r="C12" s="10">
        <v>4444.08</v>
      </c>
      <c r="D12" s="12">
        <f t="shared" si="0"/>
        <v>74.959999999999994</v>
      </c>
    </row>
    <row r="13" spans="1:4" x14ac:dyDescent="0.25">
      <c r="A13" s="3" t="s">
        <v>12</v>
      </c>
      <c r="B13" s="13">
        <f>C13/74.96</f>
        <v>70.005469583778023</v>
      </c>
      <c r="C13" s="10">
        <v>5247.61</v>
      </c>
      <c r="D13" s="12">
        <f t="shared" si="0"/>
        <v>74.959999999999994</v>
      </c>
    </row>
    <row r="14" spans="1:4" x14ac:dyDescent="0.25">
      <c r="A14" s="3" t="s">
        <v>13</v>
      </c>
      <c r="B14" s="13">
        <f>C14/74.96</f>
        <v>73.225053361792959</v>
      </c>
      <c r="C14" s="10">
        <v>5488.95</v>
      </c>
      <c r="D14" s="12">
        <f t="shared" si="0"/>
        <v>74.959999999999994</v>
      </c>
    </row>
    <row r="15" spans="1:4" x14ac:dyDescent="0.25">
      <c r="A15" s="3" t="s">
        <v>14</v>
      </c>
      <c r="B15" s="13">
        <f>C15/74.96</f>
        <v>22.058697972251871</v>
      </c>
      <c r="C15" s="10">
        <v>1653.52</v>
      </c>
      <c r="D15" s="12">
        <f t="shared" si="0"/>
        <v>74.959999999999994</v>
      </c>
    </row>
    <row r="16" spans="1:4" ht="18" x14ac:dyDescent="0.4">
      <c r="A16" s="2" t="s">
        <v>15</v>
      </c>
      <c r="B16" s="8">
        <f>SUM(B4:B15)</f>
        <v>865.92533489123775</v>
      </c>
      <c r="C16" s="11">
        <f>SUM(C4:C15)</f>
        <v>61294.09</v>
      </c>
    </row>
    <row r="25" spans="5:7" x14ac:dyDescent="0.25">
      <c r="E25" s="12"/>
      <c r="F25" s="12"/>
      <c r="G25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2E0BD2855A3848B4C084ACF7D42049" ma:contentTypeVersion="24" ma:contentTypeDescription="" ma:contentTypeScope="" ma:versionID="7288341add566b8cc3b3710f2403e6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2023-03-06T08:00:00+00:00</OpenedDate>
    <SignificantOrder xmlns="dc463f71-b30c-4ab2-9473-d307f9d35888">false</SignificantOrder>
    <Date1 xmlns="dc463f71-b30c-4ab2-9473-d307f9d35888">2023-02-22T08:00:00+00:00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Sound Disposal Holdings</CaseCompanyNames>
    <Nickname xmlns="http://schemas.microsoft.com/sharepoint/v3" xsi:nil="true"/>
    <DocketNumber xmlns="dc463f71-b30c-4ab2-9473-d307f9d35888">230150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E43E42-27C6-450D-8266-EAE676800FD2}"/>
</file>

<file path=customXml/itemProps2.xml><?xml version="1.0" encoding="utf-8"?>
<ds:datastoreItem xmlns:ds="http://schemas.openxmlformats.org/officeDocument/2006/customXml" ds:itemID="{8A1C515B-E072-480F-A0FF-A7AF3212F3B1}"/>
</file>

<file path=customXml/itemProps3.xml><?xml version="1.0" encoding="utf-8"?>
<ds:datastoreItem xmlns:ds="http://schemas.openxmlformats.org/officeDocument/2006/customXml" ds:itemID="{C80B1CD3-25E5-403A-9AD1-B7C11B9114A2}"/>
</file>

<file path=customXml/itemProps4.xml><?xml version="1.0" encoding="utf-8"?>
<ds:datastoreItem xmlns:ds="http://schemas.openxmlformats.org/officeDocument/2006/customXml" ds:itemID="{D25482F0-0E0D-41FC-BA3E-54C14022E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Data  - 2022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Weldon Burton</cp:lastModifiedBy>
  <dcterms:created xsi:type="dcterms:W3CDTF">2021-03-25T14:41:18Z</dcterms:created>
  <dcterms:modified xsi:type="dcterms:W3CDTF">2023-02-23T00:28:19Z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0x0101006E56B4D1795A2E4DB2F0B01679ED314A00D82E0BD2855A3848B4C084ACF7D42049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