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 Conservation Rate\2023\Effective May 1, 2023\FILED\"/>
    </mc:Choice>
  </mc:AlternateContent>
  <bookViews>
    <workbookView xWindow="0" yWindow="0" windowWidth="28800" windowHeight="10785" tabRatio="765"/>
  </bookViews>
  <sheets>
    <sheet name="Rates" sheetId="4" r:id="rId1"/>
    <sheet name="Allocation" sheetId="3" r:id="rId2"/>
    <sheet name="Rate Impacts--&gt;" sheetId="21" r:id="rId3"/>
    <sheet name="Rate Impacts Sch 120" sheetId="35" r:id="rId4"/>
    <sheet name="Typical Res Bill Sch 120" sheetId="36" r:id="rId5"/>
    <sheet name="Sch. 120" sheetId="37" r:id="rId6"/>
    <sheet name="Workpapers--&gt;" sheetId="25" r:id="rId7"/>
    <sheet name="Rev Requirement" sheetId="2" r:id="rId8"/>
    <sheet name="Forecasted Volume" sheetId="17" r:id="rId9"/>
    <sheet name="Conversion Factor" sheetId="34" r:id="rId10"/>
  </sheets>
  <externalReferences>
    <externalReference r:id="rId11"/>
  </externalReferences>
  <definedNames>
    <definedName name="Company">'[1]Named Ranges G'!$B$2</definedName>
    <definedName name="FIT">'[1]Named Ranges G'!$B$10</definedName>
    <definedName name="_xlnm.Print_Area" localSheetId="1">Allocation!$A$1:$I$25</definedName>
    <definedName name="_xlnm.Print_Area" localSheetId="8">'Forecasted Volume'!$A$1:$N$29</definedName>
    <definedName name="_xlnm.Print_Area" localSheetId="3">'Rate Impacts Sch 120'!$B$1:$U$37</definedName>
    <definedName name="_xlnm.Print_Area" localSheetId="0">Rates!$A$1:$G$24</definedName>
    <definedName name="_xlnm.Print_Area" localSheetId="7">'Rev Requirement'!$A$1:$E$12</definedName>
    <definedName name="_xlnm.Print_Area" localSheetId="4">'Typical Res Bill Sch 120'!$B$1:$H$41</definedName>
  </definedNames>
  <calcPr calcId="162913"/>
</workbook>
</file>

<file path=xl/calcChain.xml><?xml version="1.0" encoding="utf-8"?>
<calcChain xmlns="http://schemas.openxmlformats.org/spreadsheetml/2006/main">
  <c r="G21" i="37" l="1"/>
  <c r="F21" i="37"/>
  <c r="G20" i="37"/>
  <c r="G19" i="37"/>
  <c r="G18" i="37"/>
  <c r="F18" i="37"/>
  <c r="G17" i="37"/>
  <c r="F17" i="37"/>
  <c r="G16" i="37"/>
  <c r="F15" i="37"/>
  <c r="K17" i="35" s="1"/>
  <c r="K32" i="35" s="1"/>
  <c r="F14" i="37"/>
  <c r="K16" i="35" s="1"/>
  <c r="K31" i="35" s="1"/>
  <c r="F13" i="37"/>
  <c r="K15" i="35" s="1"/>
  <c r="K30" i="35" s="1"/>
  <c r="F12" i="37"/>
  <c r="K14" i="35" s="1"/>
  <c r="K29" i="35" s="1"/>
  <c r="F11" i="37"/>
  <c r="K13" i="35" s="1"/>
  <c r="K28" i="35" s="1"/>
  <c r="F10" i="37"/>
  <c r="K12" i="35" s="1"/>
  <c r="D32" i="36"/>
  <c r="E32" i="36" s="1"/>
  <c r="G31" i="36"/>
  <c r="G30" i="36"/>
  <c r="G32" i="36" s="1"/>
  <c r="H32" i="36" s="1"/>
  <c r="D28" i="36"/>
  <c r="E28" i="36" s="1"/>
  <c r="G25" i="36"/>
  <c r="G24" i="36"/>
  <c r="G23" i="36"/>
  <c r="G22" i="36"/>
  <c r="G21" i="36"/>
  <c r="G20" i="36"/>
  <c r="G19" i="36"/>
  <c r="G18" i="36"/>
  <c r="G17" i="36"/>
  <c r="G12" i="36"/>
  <c r="B4" i="36"/>
  <c r="B2" i="36"/>
  <c r="T33" i="35"/>
  <c r="R33" i="35"/>
  <c r="L33" i="35"/>
  <c r="K33" i="35"/>
  <c r="J33" i="35"/>
  <c r="I33" i="35"/>
  <c r="R32" i="35"/>
  <c r="L32" i="35"/>
  <c r="J31" i="35"/>
  <c r="R30" i="35"/>
  <c r="J27" i="35"/>
  <c r="Q33" i="35"/>
  <c r="P33" i="35"/>
  <c r="O33" i="35"/>
  <c r="N33" i="35"/>
  <c r="M33" i="35"/>
  <c r="G33" i="35"/>
  <c r="E33" i="35"/>
  <c r="D32" i="35"/>
  <c r="F21" i="35"/>
  <c r="F20" i="35"/>
  <c r="H20" i="35" s="1"/>
  <c r="S20" i="35" s="1"/>
  <c r="U20" i="35" s="1"/>
  <c r="F19" i="35"/>
  <c r="H19" i="35" s="1"/>
  <c r="F18" i="35"/>
  <c r="H18" i="35" s="1"/>
  <c r="S18" i="35" s="1"/>
  <c r="U18" i="35" s="1"/>
  <c r="Q32" i="35"/>
  <c r="O32" i="35"/>
  <c r="N32" i="35"/>
  <c r="M32" i="35"/>
  <c r="J32" i="35"/>
  <c r="I32" i="35"/>
  <c r="P31" i="35"/>
  <c r="N31" i="35"/>
  <c r="L31" i="35"/>
  <c r="I31" i="35"/>
  <c r="F16" i="35"/>
  <c r="H16" i="35" s="1"/>
  <c r="D31" i="35"/>
  <c r="Q30" i="35"/>
  <c r="P30" i="35"/>
  <c r="O30" i="35"/>
  <c r="N30" i="35"/>
  <c r="M30" i="35"/>
  <c r="L30" i="35"/>
  <c r="J30" i="35"/>
  <c r="I30" i="35"/>
  <c r="G30" i="35"/>
  <c r="D30" i="35"/>
  <c r="Q29" i="35"/>
  <c r="P29" i="35"/>
  <c r="M29" i="35"/>
  <c r="L29" i="35"/>
  <c r="J29" i="35"/>
  <c r="I29" i="35"/>
  <c r="G29" i="35"/>
  <c r="E29" i="35"/>
  <c r="D29" i="35"/>
  <c r="Q28" i="35"/>
  <c r="O28" i="35"/>
  <c r="M28" i="35"/>
  <c r="J28" i="35"/>
  <c r="I28" i="35"/>
  <c r="G28" i="35"/>
  <c r="D28" i="35"/>
  <c r="F12" i="35"/>
  <c r="H12" i="35" s="1"/>
  <c r="R24" i="35"/>
  <c r="P27" i="35"/>
  <c r="N24" i="35"/>
  <c r="L27" i="35"/>
  <c r="I27" i="35"/>
  <c r="D27" i="35"/>
  <c r="E7" i="35"/>
  <c r="H17" i="37" l="1"/>
  <c r="I17" i="37" s="1"/>
  <c r="F29" i="35"/>
  <c r="E27" i="35"/>
  <c r="O24" i="35"/>
  <c r="D24" i="35"/>
  <c r="L28" i="35"/>
  <c r="P28" i="35"/>
  <c r="N29" i="35"/>
  <c r="R29" i="35"/>
  <c r="M31" i="35"/>
  <c r="Q31" i="35"/>
  <c r="G32" i="35"/>
  <c r="R31" i="35"/>
  <c r="P32" i="35"/>
  <c r="F11" i="35"/>
  <c r="H11" i="35" s="1"/>
  <c r="H27" i="35" s="1"/>
  <c r="O29" i="35"/>
  <c r="C22" i="37"/>
  <c r="S12" i="35"/>
  <c r="M27" i="35"/>
  <c r="M34" i="35" s="1"/>
  <c r="Q27" i="35"/>
  <c r="Q34" i="35" s="1"/>
  <c r="N28" i="35"/>
  <c r="R28" i="35"/>
  <c r="F14" i="35"/>
  <c r="H14" i="35" s="1"/>
  <c r="S14" i="35" s="1"/>
  <c r="E31" i="35"/>
  <c r="F31" i="35" s="1"/>
  <c r="O31" i="35"/>
  <c r="F22" i="35"/>
  <c r="H22" i="35" s="1"/>
  <c r="S22" i="35" s="1"/>
  <c r="U22" i="35" s="1"/>
  <c r="L24" i="35"/>
  <c r="D26" i="36"/>
  <c r="D39" i="36" s="1"/>
  <c r="H18" i="37"/>
  <c r="I18" i="37" s="1"/>
  <c r="L34" i="35"/>
  <c r="E32" i="35"/>
  <c r="F32" i="35" s="1"/>
  <c r="F17" i="35"/>
  <c r="H17" i="35" s="1"/>
  <c r="G24" i="35"/>
  <c r="S19" i="35"/>
  <c r="U19" i="35" s="1"/>
  <c r="D33" i="35"/>
  <c r="F33" i="35" s="1"/>
  <c r="F23" i="35"/>
  <c r="H23" i="35" s="1"/>
  <c r="P24" i="35"/>
  <c r="N27" i="35"/>
  <c r="P34" i="35"/>
  <c r="S16" i="35"/>
  <c r="R27" i="35"/>
  <c r="H12" i="36"/>
  <c r="H13" i="36" s="1"/>
  <c r="G13" i="36"/>
  <c r="J34" i="35"/>
  <c r="I34" i="35"/>
  <c r="J24" i="35"/>
  <c r="F13" i="35"/>
  <c r="H13" i="35" s="1"/>
  <c r="H29" i="35"/>
  <c r="F15" i="35"/>
  <c r="H15" i="35" s="1"/>
  <c r="G31" i="35"/>
  <c r="H21" i="35"/>
  <c r="S21" i="35" s="1"/>
  <c r="U21" i="35" s="1"/>
  <c r="F27" i="35"/>
  <c r="H21" i="37"/>
  <c r="I21" i="37" s="1"/>
  <c r="E24" i="35"/>
  <c r="F24" i="35" s="1"/>
  <c r="I24" i="35"/>
  <c r="M24" i="35"/>
  <c r="Q24" i="35"/>
  <c r="G27" i="35"/>
  <c r="G34" i="35" s="1"/>
  <c r="O27" i="35"/>
  <c r="E28" i="35"/>
  <c r="F28" i="35" s="1"/>
  <c r="E30" i="35"/>
  <c r="F30" i="35" s="1"/>
  <c r="E12" i="36"/>
  <c r="E13" i="36" s="1"/>
  <c r="G16" i="36"/>
  <c r="G26" i="36" s="1"/>
  <c r="F9" i="37"/>
  <c r="F19" i="37"/>
  <c r="H19" i="37" s="1"/>
  <c r="I19" i="37" s="1"/>
  <c r="D13" i="36"/>
  <c r="F16" i="37"/>
  <c r="H16" i="37" s="1"/>
  <c r="I16" i="37" s="1"/>
  <c r="F20" i="37"/>
  <c r="H20" i="37" s="1"/>
  <c r="I20" i="37" s="1"/>
  <c r="E26" i="36" l="1"/>
  <c r="E33" i="36" s="1"/>
  <c r="E35" i="36" s="1"/>
  <c r="D33" i="36"/>
  <c r="O34" i="35"/>
  <c r="N34" i="35"/>
  <c r="D34" i="35"/>
  <c r="H24" i="35"/>
  <c r="H31" i="35"/>
  <c r="R34" i="35"/>
  <c r="S29" i="35"/>
  <c r="E34" i="35"/>
  <c r="S17" i="35"/>
  <c r="S32" i="35" s="1"/>
  <c r="H32" i="35"/>
  <c r="H26" i="36"/>
  <c r="H33" i="35"/>
  <c r="S23" i="35"/>
  <c r="S15" i="35"/>
  <c r="S30" i="35" s="1"/>
  <c r="H30" i="35"/>
  <c r="K11" i="35"/>
  <c r="F22" i="37"/>
  <c r="S13" i="35"/>
  <c r="H28" i="35"/>
  <c r="S31" i="35"/>
  <c r="F34" i="35" l="1"/>
  <c r="H34" i="35"/>
  <c r="K24" i="35"/>
  <c r="K27" i="35"/>
  <c r="K34" i="35" s="1"/>
  <c r="S11" i="35"/>
  <c r="S28" i="35"/>
  <c r="U23" i="35"/>
  <c r="S33" i="35"/>
  <c r="U33" i="35" s="1"/>
  <c r="S24" i="35" l="1"/>
  <c r="S27" i="35"/>
  <c r="S34" i="35" s="1"/>
  <c r="D10" i="2" l="1"/>
  <c r="D8" i="2"/>
  <c r="E12" i="34"/>
  <c r="E14" i="34" s="1"/>
  <c r="E16" i="34" s="1"/>
  <c r="B12" i="34"/>
  <c r="E22" i="34" l="1"/>
  <c r="E17" i="34"/>
  <c r="E18" i="34" s="1"/>
  <c r="G11" i="3" l="1"/>
  <c r="G12" i="3"/>
  <c r="G13" i="3"/>
  <c r="G14" i="3"/>
  <c r="G15" i="3"/>
  <c r="E10" i="2" l="1"/>
  <c r="E8" i="2"/>
  <c r="C6" i="17" l="1"/>
  <c r="N9" i="17" l="1"/>
  <c r="N10" i="17"/>
  <c r="N11" i="17"/>
  <c r="N12" i="17"/>
  <c r="N13" i="17"/>
  <c r="N14" i="17"/>
  <c r="A4" i="2" l="1"/>
  <c r="A2" i="2"/>
  <c r="A2" i="17" l="1"/>
  <c r="B4" i="3"/>
  <c r="B2" i="3"/>
  <c r="F11" i="4" l="1"/>
  <c r="F10" i="4"/>
  <c r="M25" i="17" l="1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N19" i="17"/>
  <c r="N18" i="17"/>
  <c r="N17" i="17"/>
  <c r="N16" i="17"/>
  <c r="N15" i="17"/>
  <c r="D19" i="3"/>
  <c r="D15" i="3"/>
  <c r="H15" i="3" s="1"/>
  <c r="D13" i="3"/>
  <c r="H13" i="3" s="1"/>
  <c r="N8" i="17"/>
  <c r="N7" i="17"/>
  <c r="D6" i="17"/>
  <c r="E6" i="17" s="1"/>
  <c r="F6" i="17" s="1"/>
  <c r="G6" i="17" s="1"/>
  <c r="H6" i="17" s="1"/>
  <c r="I6" i="17" s="1"/>
  <c r="J6" i="17" s="1"/>
  <c r="K6" i="17" s="1"/>
  <c r="L6" i="17" s="1"/>
  <c r="M6" i="17" s="1"/>
  <c r="D9" i="3" s="1"/>
  <c r="A4" i="17" l="1"/>
  <c r="H26" i="17"/>
  <c r="H27" i="17" s="1"/>
  <c r="D26" i="17"/>
  <c r="D27" i="17" s="1"/>
  <c r="L26" i="17"/>
  <c r="L27" i="17" s="1"/>
  <c r="I26" i="17"/>
  <c r="I27" i="17" s="1"/>
  <c r="E26" i="17"/>
  <c r="E27" i="17" s="1"/>
  <c r="M26" i="17"/>
  <c r="M27" i="17" s="1"/>
  <c r="D20" i="3"/>
  <c r="N24" i="17"/>
  <c r="G17" i="4" s="1"/>
  <c r="D18" i="3"/>
  <c r="D14" i="3"/>
  <c r="H14" i="3" s="1"/>
  <c r="D11" i="3"/>
  <c r="H11" i="3" s="1"/>
  <c r="N23" i="17"/>
  <c r="G16" i="4" s="1"/>
  <c r="B26" i="17"/>
  <c r="B27" i="17" s="1"/>
  <c r="F26" i="17"/>
  <c r="F27" i="17" s="1"/>
  <c r="J26" i="17"/>
  <c r="J27" i="17" s="1"/>
  <c r="C26" i="17"/>
  <c r="C27" i="17" s="1"/>
  <c r="G26" i="17"/>
  <c r="G27" i="17" s="1"/>
  <c r="K26" i="17"/>
  <c r="K27" i="17" s="1"/>
  <c r="D12" i="3"/>
  <c r="H12" i="3" s="1"/>
  <c r="N21" i="17"/>
  <c r="N25" i="17"/>
  <c r="H16" i="3" l="1"/>
  <c r="N26" i="17"/>
  <c r="N27" i="17" s="1"/>
  <c r="A10" i="4" l="1"/>
  <c r="A11" i="4" s="1"/>
  <c r="A12" i="4" s="1"/>
  <c r="A13" i="4" s="1"/>
  <c r="A15" i="4" s="1"/>
  <c r="A16" i="4" s="1"/>
  <c r="A17" i="4" s="1"/>
  <c r="A18" i="4" s="1"/>
  <c r="A20" i="4" l="1"/>
  <c r="A21" i="4" s="1"/>
  <c r="A22" i="4" s="1"/>
  <c r="A23" i="4" s="1"/>
  <c r="A24" i="4" s="1"/>
  <c r="G20" i="3"/>
  <c r="G19" i="3"/>
  <c r="G18" i="3"/>
  <c r="C12" i="2" l="1"/>
  <c r="E12" i="4" s="1"/>
  <c r="E12" i="2" l="1"/>
  <c r="G12" i="4" s="1"/>
  <c r="H18" i="3"/>
  <c r="H20" i="3"/>
  <c r="H19" i="3"/>
  <c r="D16" i="3" l="1"/>
  <c r="G18" i="4"/>
  <c r="H21" i="3"/>
  <c r="D21" i="3"/>
  <c r="D22" i="3" l="1"/>
  <c r="D23" i="3" s="1"/>
  <c r="H22" i="3"/>
  <c r="I16" i="3" s="1"/>
  <c r="D10" i="4" s="1"/>
  <c r="I21" i="3" l="1"/>
  <c r="I22" i="3" l="1"/>
  <c r="E10" i="4"/>
  <c r="D11" i="4"/>
  <c r="D12" i="4" s="1"/>
  <c r="G10" i="4" l="1"/>
  <c r="G21" i="4" s="1"/>
  <c r="E11" i="4"/>
  <c r="G11" i="4" s="1"/>
  <c r="G22" i="4" s="1"/>
  <c r="E13" i="37" l="1"/>
  <c r="G13" i="37" s="1"/>
  <c r="H13" i="37" s="1"/>
  <c r="E14" i="37"/>
  <c r="G14" i="37" s="1"/>
  <c r="H14" i="37" s="1"/>
  <c r="E15" i="37"/>
  <c r="G15" i="37" s="1"/>
  <c r="H15" i="37" s="1"/>
  <c r="E12" i="37"/>
  <c r="G12" i="37" s="1"/>
  <c r="H12" i="37" s="1"/>
  <c r="E9" i="37"/>
  <c r="E10" i="37"/>
  <c r="G10" i="37" s="1"/>
  <c r="H10" i="37" s="1"/>
  <c r="E11" i="37"/>
  <c r="G11" i="37" s="1"/>
  <c r="H11" i="37" s="1"/>
  <c r="E13" i="4"/>
  <c r="G24" i="4"/>
  <c r="G13" i="4"/>
  <c r="I15" i="37" l="1"/>
  <c r="T17" i="35"/>
  <c r="I12" i="37"/>
  <c r="T14" i="35"/>
  <c r="I10" i="37"/>
  <c r="T12" i="35"/>
  <c r="U12" i="35" s="1"/>
  <c r="T16" i="35"/>
  <c r="I14" i="37"/>
  <c r="I11" i="37"/>
  <c r="T13" i="35"/>
  <c r="G28" i="36"/>
  <c r="G9" i="37"/>
  <c r="T15" i="35"/>
  <c r="I13" i="37"/>
  <c r="T29" i="35" l="1"/>
  <c r="U29" i="35" s="1"/>
  <c r="U14" i="35"/>
  <c r="H9" i="37"/>
  <c r="G22" i="37"/>
  <c r="H28" i="36"/>
  <c r="H33" i="36" s="1"/>
  <c r="H35" i="36" s="1"/>
  <c r="H36" i="36" s="1"/>
  <c r="H37" i="36" s="1"/>
  <c r="G39" i="36"/>
  <c r="G33" i="36"/>
  <c r="T31" i="35"/>
  <c r="U31" i="35" s="1"/>
  <c r="U16" i="35"/>
  <c r="T28" i="35"/>
  <c r="U28" i="35" s="1"/>
  <c r="U13" i="35"/>
  <c r="T32" i="35"/>
  <c r="U32" i="35" s="1"/>
  <c r="U17" i="35"/>
  <c r="T30" i="35"/>
  <c r="U30" i="35" s="1"/>
  <c r="U15" i="35"/>
  <c r="H22" i="37" l="1"/>
  <c r="I22" i="37" s="1"/>
  <c r="T11" i="35"/>
  <c r="I9" i="37"/>
  <c r="T27" i="35" l="1"/>
  <c r="T24" i="35"/>
  <c r="U24" i="35" s="1"/>
  <c r="U11" i="35"/>
  <c r="U27" i="35" l="1"/>
  <c r="T34" i="35"/>
  <c r="U34" i="35" s="1"/>
</calcChain>
</file>

<file path=xl/sharedStrings.xml><?xml version="1.0" encoding="utf-8"?>
<sst xmlns="http://schemas.openxmlformats.org/spreadsheetml/2006/main" count="308" uniqueCount="193">
  <si>
    <t>41T</t>
  </si>
  <si>
    <t>85T</t>
  </si>
  <si>
    <t>87T</t>
  </si>
  <si>
    <t>Total</t>
  </si>
  <si>
    <t>Schedule</t>
  </si>
  <si>
    <t>Gas Conservation Revenue Requirement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</si>
  <si>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</si>
  <si>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</si>
  <si>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</si>
  <si>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</si>
  <si>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</si>
  <si>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</si>
  <si>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</si>
  <si>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</si>
  <si>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</si>
  <si>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</si>
  <si>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</si>
  <si>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</si>
  <si>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</si>
  <si>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</si>
  <si>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</si>
  <si>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</si>
  <si>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</si>
  <si>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</si>
  <si>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</si>
  <si>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</si>
  <si>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</si>
  <si>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</si>
  <si>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</si>
  <si>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</si>
  <si>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</si>
  <si>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</si>
  <si>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</si>
  <si>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</si>
  <si>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</si>
  <si>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</si>
  <si>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</si>
  <si>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</si>
  <si>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</si>
  <si>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</si>
  <si>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</si>
  <si>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</si>
  <si>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Firm Schedules (line 2E / line 7E)</t>
  </si>
  <si>
    <t>Interruptible Schedules (line 3E / line 8E)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</si>
  <si>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</si>
  <si>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</si>
  <si>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</si>
  <si>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</si>
  <si>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</si>
  <si>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</si>
  <si>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</si>
  <si>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</si>
  <si>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</si>
  <si>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</si>
  <si>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</si>
  <si>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</si>
  <si>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</si>
  <si>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</si>
  <si>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</si>
  <si>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</si>
  <si>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</si>
  <si>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</si>
  <si>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</si>
  <si>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</si>
  <si>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</si>
  <si>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</si>
  <si>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</si>
  <si>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</si>
  <si>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Rate Change Impacts by Rate Schedule</t>
  </si>
  <si>
    <t>Base Sch.</t>
  </si>
  <si>
    <t>Therms</t>
  </si>
  <si>
    <t>Sch. 120</t>
  </si>
  <si>
    <t>Rate</t>
  </si>
  <si>
    <t>Base Schedule</t>
  </si>
  <si>
    <t>Sch. 101</t>
  </si>
  <si>
    <t>Sch. 106</t>
  </si>
  <si>
    <t>Sch. 129</t>
  </si>
  <si>
    <t>Sch. 140</t>
  </si>
  <si>
    <t>Sch. 141Z</t>
  </si>
  <si>
    <t>Sch. 142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</si>
  <si>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</si>
  <si>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</si>
  <si>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</si>
  <si>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</si>
  <si>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</si>
  <si>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</si>
  <si>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</si>
  <si>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</si>
  <si>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</si>
  <si>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</si>
  <si>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</si>
  <si>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</si>
  <si>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</si>
  <si>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</si>
  <si>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</si>
  <si>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</si>
  <si>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</si>
  <si>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</si>
  <si>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</si>
  <si>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</si>
  <si>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</si>
  <si>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</si>
  <si>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</si>
  <si>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</si>
  <si>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</si>
  <si>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</si>
  <si>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</si>
  <si>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</si>
  <si>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</si>
  <si>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</si>
  <si>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</si>
  <si>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</si>
  <si>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</si>
  <si>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</si>
  <si>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</si>
  <si>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</si>
  <si>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</si>
  <si>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</si>
  <si>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</si>
  <si>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</si>
  <si>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</si>
  <si>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</si>
  <si>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Typical Residential Bill Impacts</t>
  </si>
  <si>
    <t>Schedule 120 Conservation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</si>
  <si>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</si>
  <si>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</si>
  <si>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</si>
  <si>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</si>
  <si>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</si>
  <si>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</si>
  <si>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</si>
  <si>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</si>
  <si>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</si>
  <si>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</si>
  <si>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</si>
  <si>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</si>
  <si>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</si>
  <si>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</si>
  <si>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</si>
  <si>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</si>
  <si>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</si>
  <si>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</si>
  <si>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</si>
  <si>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</si>
  <si>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</si>
  <si>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</si>
  <si>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</si>
  <si>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</si>
  <si>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</si>
  <si>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120</t>
  </si>
  <si>
    <t>Conservation Program Tracker</t>
  </si>
  <si>
    <t>Current</t>
  </si>
  <si>
    <t>Proposed</t>
  </si>
  <si>
    <t>Sched 120</t>
  </si>
  <si>
    <t>Volume (Therms)</t>
  </si>
  <si>
    <t xml:space="preserve">Source: F2022 Load Forecast Calendar Month Therms (2-25-2022)  </t>
  </si>
  <si>
    <t>2022 GENERAL RATE CASE</t>
  </si>
  <si>
    <t>DESCRIPTION</t>
  </si>
  <si>
    <t>BAD DEBTS</t>
  </si>
  <si>
    <t>ANNUAL FILING FEE</t>
  </si>
  <si>
    <t>SUM OF TAXES OTHER</t>
  </si>
  <si>
    <t>PUGET SOUND ENERGY-GAS</t>
  </si>
  <si>
    <t>CONVERSION FACTOR - GAS</t>
  </si>
  <si>
    <t>FOR THE TWELVE MONTHS ENDED June 30, 2021</t>
  </si>
  <si>
    <t>LINE</t>
  </si>
  <si>
    <t>NO.</t>
  </si>
  <si>
    <t>RATE</t>
  </si>
  <si>
    <t>CONVERSION FACTOR EXCLUDING FEDERAL INCOME TAX ( 1 - LINE 5)</t>
  </si>
  <si>
    <t>FEDERAL INCOME TAX ( LINE 7 * 21%)</t>
  </si>
  <si>
    <t xml:space="preserve">CONVERSION FACTOR INCL FEDERAL INCOME TAX ( LINE 5 + LINE 8 ) </t>
  </si>
  <si>
    <t>Revenue Adjustment Factor (RAF)</t>
  </si>
  <si>
    <t>Note: Updated to new UTC Fees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</si>
  <si>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UG-220715, Volumetric Schedule 101 rates effective November 1, 2022 (excluding revenue sensitive items)</t>
    </r>
  </si>
  <si>
    <t>2023 Gas Schedule 120 Conservation Filing</t>
  </si>
  <si>
    <t xml:space="preserve">2023 Conservation Costs (12 Months) </t>
  </si>
  <si>
    <t>Proposed Rates Effective May 1, 2023</t>
  </si>
  <si>
    <t>UG-220067</t>
  </si>
  <si>
    <t>12ME Apr. 2024</t>
  </si>
  <si>
    <t>May 2023 -</t>
  </si>
  <si>
    <t>Sch. 141D</t>
  </si>
  <si>
    <t>Sch. 141N</t>
  </si>
  <si>
    <t>Sch. 141R</t>
  </si>
  <si>
    <t>Apr. 2024</t>
  </si>
  <si>
    <t>Q</t>
  </si>
  <si>
    <t>R = sum(G:Q)</t>
  </si>
  <si>
    <t xml:space="preserve">S </t>
  </si>
  <si>
    <t>T= S/R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</si>
  <si>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</si>
  <si>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7, 2023.</t>
    </r>
  </si>
  <si>
    <t>Dist. Pipeline Provisional (Sch. 141D)</t>
  </si>
  <si>
    <t>Rates Not Subject to Refund (Sch. 141N)</t>
  </si>
  <si>
    <t>Rates Subject to Refund (Sch. 141R)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</si>
  <si>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7,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</si>
</sst>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0.0%"/>
    <numFmt numFmtId="172" formatCode="0.000%"/>
    <numFmt numFmtId="173" formatCode="0.00000000"/>
    <numFmt numFmtId="174" formatCode="_(* #,##0.000000_);_(* \(#,##0.000000\);_(* &quot;-&quot;??_);_(@_)"/>
    <numFmt numFmtId="181" formatCode="_(&quot;$&quot;* #,##0.00_);_(&quot;$&quot;* \(#,##0.00\);_(&quot;$&quot;* &quot;-&quot;?????_);_(@_)"/>
  </numFmts>
  <fonts count="20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2">
    <xf numFmtId="0" fontId="0" fillId="0" borderId="0" xfId="0"/>
    <xf numFmtId="10" fontId="0" fillId="0" borderId="0" xfId="0" applyNumberFormat="1" applyFont="1"/>
    <xf numFmtId="43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3" fontId="0" fillId="0" borderId="2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164" fontId="1" fillId="0" borderId="0" xfId="0" applyNumberFormat="1" applyFont="1" applyFill="1"/>
    <xf numFmtId="3" fontId="3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Continuous"/>
    </xf>
    <xf numFmtId="42" fontId="0" fillId="0" borderId="0" xfId="0" applyNumberFormat="1" applyFont="1"/>
    <xf numFmtId="10" fontId="3" fillId="0" borderId="0" xfId="0" applyNumberFormat="1" applyFont="1"/>
    <xf numFmtId="0" fontId="3" fillId="0" borderId="0" xfId="0" applyFont="1" applyFill="1"/>
    <xf numFmtId="169" fontId="0" fillId="0" borderId="0" xfId="0" applyNumberFormat="1" applyFont="1"/>
    <xf numFmtId="167" fontId="0" fillId="0" borderId="0" xfId="0" applyNumberFormat="1" applyFont="1"/>
    <xf numFmtId="42" fontId="3" fillId="0" borderId="2" xfId="0" applyNumberFormat="1" applyFont="1" applyFill="1" applyBorder="1"/>
    <xf numFmtId="39" fontId="0" fillId="0" borderId="0" xfId="0" applyNumberFormat="1" applyFont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0" fontId="0" fillId="0" borderId="1" xfId="0" applyFont="1" applyFill="1" applyBorder="1" applyAlignment="1">
      <alignment horizontal="center" wrapText="1"/>
    </xf>
    <xf numFmtId="42" fontId="0" fillId="0" borderId="0" xfId="0" applyNumberFormat="1" applyFont="1" applyFill="1" applyAlignment="1">
      <alignment horizontal="center"/>
    </xf>
    <xf numFmtId="0" fontId="0" fillId="0" borderId="0" xfId="0" quotePrefix="1" applyFont="1" applyFill="1" applyBorder="1" applyAlignment="1">
      <alignment horizontal="left"/>
    </xf>
    <xf numFmtId="42" fontId="0" fillId="0" borderId="1" xfId="0" applyNumberFormat="1" applyFont="1" applyFill="1" applyBorder="1"/>
    <xf numFmtId="42" fontId="0" fillId="0" borderId="3" xfId="0" applyNumberFormat="1" applyFont="1" applyFill="1" applyBorder="1"/>
    <xf numFmtId="164" fontId="4" fillId="0" borderId="0" xfId="0" applyNumberFormat="1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Continuous"/>
    </xf>
    <xf numFmtId="17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0" fontId="5" fillId="0" borderId="0" xfId="0" applyFont="1" applyAlignment="1">
      <alignment horizontal="left"/>
    </xf>
    <xf numFmtId="168" fontId="5" fillId="0" borderId="0" xfId="0" applyNumberFormat="1" applyFont="1"/>
    <xf numFmtId="3" fontId="1" fillId="0" borderId="0" xfId="0" applyNumberFormat="1" applyFont="1" applyFill="1"/>
    <xf numFmtId="0" fontId="0" fillId="0" borderId="1" xfId="0" applyFont="1" applyBorder="1"/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3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8" fillId="0" borderId="0" xfId="0" applyNumberFormat="1" applyFont="1"/>
    <xf numFmtId="42" fontId="1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8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Border="1"/>
    <xf numFmtId="42" fontId="12" fillId="0" borderId="0" xfId="0" applyNumberFormat="1" applyFont="1" applyBorder="1"/>
    <xf numFmtId="0" fontId="12" fillId="0" borderId="0" xfId="0" applyFont="1"/>
    <xf numFmtId="42" fontId="12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9" fontId="12" fillId="0" borderId="0" xfId="0" applyNumberFormat="1" applyFont="1" applyFill="1"/>
    <xf numFmtId="168" fontId="12" fillId="0" borderId="0" xfId="0" applyNumberFormat="1" applyFont="1" applyFill="1"/>
    <xf numFmtId="0" fontId="12" fillId="0" borderId="0" xfId="0" applyFont="1" applyFill="1" applyBorder="1" applyAlignment="1">
      <alignment horizontal="left" vertical="center" textRotation="180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169" fontId="12" fillId="0" borderId="2" xfId="0" applyNumberFormat="1" applyFont="1" applyFill="1" applyBorder="1"/>
    <xf numFmtId="165" fontId="0" fillId="0" borderId="2" xfId="0" applyNumberFormat="1" applyBorder="1"/>
    <xf numFmtId="168" fontId="12" fillId="0" borderId="2" xfId="0" applyNumberFormat="1" applyFont="1" applyFill="1" applyBorder="1"/>
    <xf numFmtId="0" fontId="12" fillId="0" borderId="0" xfId="0" applyFont="1" applyFill="1"/>
    <xf numFmtId="0" fontId="12" fillId="0" borderId="0" xfId="0" applyFont="1" applyBorder="1"/>
    <xf numFmtId="44" fontId="12" fillId="0" borderId="0" xfId="0" applyNumberFormat="1" applyFont="1"/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Continuous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/>
    <xf numFmtId="170" fontId="8" fillId="0" borderId="0" xfId="0" applyNumberFormat="1" applyFont="1"/>
    <xf numFmtId="0" fontId="14" fillId="0" borderId="0" xfId="0" applyFont="1" applyBorder="1"/>
    <xf numFmtId="44" fontId="14" fillId="0" borderId="0" xfId="0" applyNumberFormat="1" applyFont="1" applyBorder="1"/>
    <xf numFmtId="44" fontId="8" fillId="0" borderId="0" xfId="0" applyNumberFormat="1" applyFont="1"/>
    <xf numFmtId="44" fontId="8" fillId="0" borderId="2" xfId="0" applyNumberFormat="1" applyFont="1" applyBorder="1"/>
    <xf numFmtId="44" fontId="14" fillId="0" borderId="0" xfId="0" applyNumberFormat="1" applyFont="1"/>
    <xf numFmtId="164" fontId="3" fillId="0" borderId="0" xfId="0" applyNumberFormat="1" applyFont="1"/>
    <xf numFmtId="164" fontId="14" fillId="0" borderId="0" xfId="0" applyNumberFormat="1" applyFont="1" applyBorder="1"/>
    <xf numFmtId="164" fontId="8" fillId="0" borderId="0" xfId="0" applyNumberFormat="1" applyFont="1"/>
    <xf numFmtId="164" fontId="3" fillId="0" borderId="0" xfId="0" applyNumberFormat="1" applyFont="1" applyFill="1"/>
    <xf numFmtId="164" fontId="8" fillId="0" borderId="2" xfId="0" applyNumberFormat="1" applyFont="1" applyBorder="1"/>
    <xf numFmtId="170" fontId="8" fillId="0" borderId="2" xfId="0" applyNumberFormat="1" applyFont="1" applyBorder="1"/>
    <xf numFmtId="164" fontId="8" fillId="0" borderId="0" xfId="0" applyNumberFormat="1" applyFont="1" applyBorder="1"/>
    <xf numFmtId="44" fontId="8" fillId="0" borderId="0" xfId="0" applyNumberFormat="1" applyFont="1" applyBorder="1"/>
    <xf numFmtId="171" fontId="8" fillId="0" borderId="0" xfId="0" applyNumberFormat="1" applyFont="1"/>
    <xf numFmtId="171" fontId="8" fillId="0" borderId="0" xfId="0" applyNumberFormat="1" applyFont="1" applyBorder="1"/>
    <xf numFmtId="10" fontId="8" fillId="0" borderId="0" xfId="0" applyNumberFormat="1" applyFont="1"/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165" fontId="1" fillId="0" borderId="0" xfId="0" applyNumberFormat="1" applyFont="1" applyFill="1"/>
    <xf numFmtId="165" fontId="3" fillId="0" borderId="0" xfId="0" applyNumberFormat="1" applyFont="1" applyFill="1"/>
    <xf numFmtId="171" fontId="0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171" fontId="0" fillId="0" borderId="2" xfId="0" applyNumberFormat="1" applyFont="1" applyBorder="1"/>
    <xf numFmtId="3" fontId="8" fillId="0" borderId="0" xfId="0" applyNumberFormat="1" applyFont="1" applyFill="1" applyBorder="1"/>
    <xf numFmtId="164" fontId="8" fillId="0" borderId="0" xfId="0" applyNumberFormat="1" applyFont="1" applyFill="1"/>
    <xf numFmtId="164" fontId="8" fillId="0" borderId="0" xfId="0" applyNumberFormat="1" applyFont="1" applyFill="1" applyBorder="1"/>
    <xf numFmtId="165" fontId="0" fillId="0" borderId="0" xfId="0" applyNumberFormat="1" applyFont="1" applyFill="1" applyBorder="1"/>
    <xf numFmtId="44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16" fillId="0" borderId="0" xfId="1" applyNumberFormat="1" applyFont="1" applyFill="1" applyAlignment="1"/>
    <xf numFmtId="166" fontId="16" fillId="0" borderId="0" xfId="1" applyNumberFormat="1" applyFont="1" applyFill="1" applyAlignment="1">
      <alignment horizontal="right"/>
    </xf>
    <xf numFmtId="0" fontId="17" fillId="0" borderId="0" xfId="1" applyNumberFormat="1" applyFont="1" applyAlignment="1"/>
    <xf numFmtId="0" fontId="16" fillId="0" borderId="0" xfId="1" applyNumberFormat="1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  <protection locked="0"/>
    </xf>
    <xf numFmtId="0" fontId="16" fillId="0" borderId="0" xfId="1" applyNumberFormat="1" applyFont="1" applyFill="1" applyAlignment="1">
      <alignment horizontal="center"/>
    </xf>
    <xf numFmtId="0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 applyProtection="1">
      <protection locked="0"/>
    </xf>
    <xf numFmtId="0" fontId="16" fillId="0" borderId="1" xfId="1" applyNumberFormat="1" applyFont="1" applyFill="1" applyBorder="1" applyAlignment="1"/>
    <xf numFmtId="0" fontId="16" fillId="0" borderId="1" xfId="1" applyNumberFormat="1" applyFont="1" applyFill="1" applyBorder="1" applyAlignment="1">
      <alignment horizontal="right"/>
    </xf>
    <xf numFmtId="0" fontId="17" fillId="0" borderId="0" xfId="1" applyNumberFormat="1" applyFont="1" applyFill="1" applyAlignment="1"/>
    <xf numFmtId="0" fontId="17" fillId="0" borderId="0" xfId="1" applyNumberFormat="1" applyFont="1" applyFill="1" applyAlignment="1">
      <alignment horizontal="center"/>
    </xf>
    <xf numFmtId="0" fontId="17" fillId="0" borderId="0" xfId="1" applyNumberFormat="1" applyFont="1" applyFill="1" applyAlignment="1">
      <alignment horizontal="left"/>
    </xf>
    <xf numFmtId="166" fontId="18" fillId="0" borderId="0" xfId="1" applyNumberFormat="1" applyFont="1" applyFill="1" applyAlignment="1"/>
    <xf numFmtId="166" fontId="18" fillId="2" borderId="0" xfId="1" applyNumberFormat="1" applyFont="1" applyFill="1" applyAlignment="1"/>
    <xf numFmtId="172" fontId="18" fillId="0" borderId="0" xfId="1" applyNumberFormat="1" applyFont="1" applyFill="1" applyAlignment="1"/>
    <xf numFmtId="166" fontId="17" fillId="0" borderId="1" xfId="1" applyNumberFormat="1" applyFont="1" applyFill="1" applyBorder="1" applyAlignment="1"/>
    <xf numFmtId="166" fontId="17" fillId="0" borderId="0" xfId="1" applyNumberFormat="1" applyFont="1" applyFill="1" applyBorder="1" applyAlignment="1"/>
    <xf numFmtId="166" fontId="17" fillId="0" borderId="0" xfId="1" applyNumberFormat="1" applyFont="1" applyFill="1" applyAlignment="1"/>
    <xf numFmtId="166" fontId="17" fillId="0" borderId="5" xfId="1" applyNumberFormat="1" applyFont="1" applyFill="1" applyBorder="1" applyAlignment="1" applyProtection="1">
      <protection locked="0"/>
    </xf>
    <xf numFmtId="173" fontId="17" fillId="0" borderId="0" xfId="1" applyNumberFormat="1" applyFont="1" applyAlignment="1"/>
    <xf numFmtId="174" fontId="17" fillId="0" borderId="4" xfId="2" applyNumberFormat="1" applyFont="1" applyBorder="1" applyAlignment="1"/>
    <xf numFmtId="0" fontId="17" fillId="2" borderId="0" xfId="1" applyNumberFormat="1" applyFont="1" applyFill="1" applyAlignment="1"/>
    <xf numFmtId="44" fontId="0" fillId="0" borderId="0" xfId="0" applyNumberFormat="1" applyFont="1"/>
    <xf numFmtId="0" fontId="0" fillId="0" borderId="0" xfId="0" applyFont="1" applyAlignment="1">
      <alignment horizontal="center"/>
    </xf>
    <xf numFmtId="0" fontId="6" fillId="0" borderId="0" xfId="0" applyFont="1" applyFill="1"/>
    <xf numFmtId="17" fontId="1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" fontId="0" fillId="0" borderId="0" xfId="0" applyNumberFormat="1" applyFont="1" applyAlignment="1">
      <alignment horizontal="center"/>
    </xf>
    <xf numFmtId="0" fontId="16" fillId="0" borderId="0" xfId="1" applyNumberFormat="1" applyFont="1" applyFill="1" applyAlignment="1" applyProtection="1">
      <alignment horizontal="center"/>
      <protection locked="0"/>
    </xf>
    <xf numFmtId="0" fontId="16" fillId="0" borderId="0" xfId="1" applyNumberFormat="1" applyFont="1" applyAlignment="1">
      <alignment horizontal="center"/>
    </xf>
    <xf numFmtId="0" fontId="16" fillId="0" borderId="0" xfId="1" applyNumberFormat="1" applyFont="1" applyFill="1" applyAlignment="1">
      <alignment horizontal="center"/>
    </xf>
    <xf numFmtId="3" fontId="1" fillId="0" borderId="0" xfId="0" applyNumberFormat="1" applyFont="1"/>
    <xf numFmtId="168" fontId="1" fillId="0" borderId="0" xfId="3" applyNumberFormat="1" applyFont="1"/>
    <xf numFmtId="16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2" fontId="1" fillId="0" borderId="0" xfId="0" applyNumberFormat="1" applyFont="1" applyFill="1"/>
    <xf numFmtId="42" fontId="1" fillId="0" borderId="1" xfId="0" applyNumberFormat="1" applyFont="1" applyFill="1" applyBorder="1"/>
    <xf numFmtId="164" fontId="1" fillId="0" borderId="0" xfId="0" applyNumberFormat="1" applyFont="1"/>
    <xf numFmtId="181" fontId="1" fillId="0" borderId="0" xfId="0" applyNumberFormat="1" applyFont="1"/>
  </cellXfs>
  <cellStyles count="4">
    <cellStyle name="Comma" xfId="3" builtinId="3"/>
    <cellStyle name="Comma 5" xfId="2"/>
    <cellStyle name="Normal" xfId="0" builtinId="0"/>
    <cellStyle name="Normal - Style1 2 2 3 4" xfId="1"/>
  </cellStyles>
  <dxfs count="0"/>
  <tableStyles count="0" defaultTableStyle="TableStyleMedium9" defaultPivotStyle="PivotStyleLight16"/>
  <colors>
    <mruColors>
      <color rgb="FF0000FF"/>
      <color rgb="FF008080"/>
      <color rgb="FF4F81BD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9G-GAS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>PUGET SOUND ENERGY - GAS</v>
          </cell>
        </row>
        <row r="10">
          <cell r="B10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90" zoomScaleNormal="90" workbookViewId="0">
      <selection activeCell="G17" sqref="G17"/>
    </sheetView>
  </sheetViews>
  <sheetFormatPr defaultColWidth="8.7109375" defaultRowHeight="15" x14ac:dyDescent="0.25"/>
  <cols>
    <col min="1" max="1" width="4.7109375" style="3" customWidth="1"/>
    <col min="2" max="2" width="3.42578125" style="3" customWidth="1"/>
    <col min="3" max="3" width="28.5703125" style="3" customWidth="1"/>
    <col min="4" max="4" width="10.140625" style="3" bestFit="1" customWidth="1"/>
    <col min="5" max="5" width="15.140625" style="3" customWidth="1"/>
    <col min="6" max="6" width="13" style="3" customWidth="1"/>
    <col min="7" max="7" width="15.140625" style="3" customWidth="1"/>
    <col min="8" max="8" width="8.7109375" style="3"/>
    <col min="9" max="9" width="12.28515625" style="3" bestFit="1" customWidth="1"/>
    <col min="10" max="10" width="12" style="3" bestFit="1" customWidth="1"/>
    <col min="11" max="11" width="33.140625" style="3" customWidth="1"/>
    <col min="12" max="16384" width="8.7109375" style="3"/>
  </cols>
  <sheetData>
    <row r="1" spans="1:9" x14ac:dyDescent="0.25">
      <c r="A1" s="157" t="s">
        <v>12</v>
      </c>
      <c r="B1" s="157"/>
      <c r="C1" s="157"/>
      <c r="D1" s="157"/>
      <c r="E1" s="157"/>
      <c r="F1" s="157"/>
      <c r="G1" s="157"/>
    </row>
    <row r="2" spans="1:9" x14ac:dyDescent="0.25">
      <c r="A2" s="157" t="s">
        <v>173</v>
      </c>
      <c r="B2" s="157"/>
      <c r="C2" s="157"/>
      <c r="D2" s="157"/>
      <c r="E2" s="157"/>
      <c r="F2" s="157"/>
      <c r="G2" s="157"/>
    </row>
    <row r="3" spans="1:9" x14ac:dyDescent="0.25">
      <c r="A3" s="157" t="s">
        <v>44</v>
      </c>
      <c r="B3" s="157"/>
      <c r="C3" s="157"/>
      <c r="D3" s="157"/>
      <c r="E3" s="157"/>
      <c r="F3" s="157"/>
      <c r="G3" s="157"/>
    </row>
    <row r="4" spans="1:9" x14ac:dyDescent="0.25">
      <c r="A4" s="158" t="s">
        <v>175</v>
      </c>
      <c r="B4" s="158"/>
      <c r="C4" s="158"/>
      <c r="D4" s="158"/>
      <c r="E4" s="158"/>
      <c r="F4" s="158"/>
      <c r="G4" s="158"/>
    </row>
    <row r="6" spans="1:9" x14ac:dyDescent="0.25">
      <c r="A6" s="11" t="s">
        <v>41</v>
      </c>
      <c r="D6" s="13"/>
      <c r="E6" s="13"/>
      <c r="F6" s="13" t="s">
        <v>38</v>
      </c>
      <c r="G6" s="13" t="s">
        <v>36</v>
      </c>
    </row>
    <row r="7" spans="1:9" x14ac:dyDescent="0.25">
      <c r="A7" s="14" t="s">
        <v>62</v>
      </c>
      <c r="B7" s="15" t="s">
        <v>7</v>
      </c>
      <c r="C7" s="15"/>
      <c r="D7" s="14" t="s">
        <v>34</v>
      </c>
      <c r="E7" s="14" t="s">
        <v>35</v>
      </c>
      <c r="F7" s="14" t="s">
        <v>39</v>
      </c>
      <c r="G7" s="14" t="s">
        <v>37</v>
      </c>
      <c r="I7" s="16"/>
    </row>
    <row r="8" spans="1:9" x14ac:dyDescent="0.25">
      <c r="A8" s="17"/>
      <c r="B8" s="18"/>
      <c r="C8" s="18" t="s">
        <v>56</v>
      </c>
      <c r="D8" s="13" t="s">
        <v>57</v>
      </c>
      <c r="E8" s="13" t="s">
        <v>58</v>
      </c>
      <c r="F8" s="13" t="s">
        <v>59</v>
      </c>
      <c r="G8" s="13" t="s">
        <v>60</v>
      </c>
      <c r="I8" s="16"/>
    </row>
    <row r="9" spans="1:9" x14ac:dyDescent="0.25">
      <c r="A9" s="11">
        <v>1</v>
      </c>
      <c r="B9" s="3" t="s">
        <v>10</v>
      </c>
      <c r="E9" s="19"/>
      <c r="G9" s="19"/>
    </row>
    <row r="10" spans="1:9" x14ac:dyDescent="0.25">
      <c r="A10" s="11">
        <f>A9+1</f>
        <v>2</v>
      </c>
      <c r="C10" s="3" t="s">
        <v>31</v>
      </c>
      <c r="D10" s="20">
        <f>Allocation!I16</f>
        <v>0.96780784481947268</v>
      </c>
      <c r="E10" s="19">
        <f>E12*D10</f>
        <v>24545003.272669591</v>
      </c>
      <c r="F10" s="21">
        <f>'Rev Requirement'!$D$8</f>
        <v>0.95344399999999996</v>
      </c>
      <c r="G10" s="22">
        <f>E10/F10</f>
        <v>25743518.520930011</v>
      </c>
      <c r="I10" s="23"/>
    </row>
    <row r="11" spans="1:9" x14ac:dyDescent="0.25">
      <c r="A11" s="11">
        <f t="shared" ref="A11:A24" si="0">A10+1</f>
        <v>3</v>
      </c>
      <c r="C11" s="3" t="s">
        <v>32</v>
      </c>
      <c r="D11" s="1">
        <f>1-D10</f>
        <v>3.2192155180527315E-2</v>
      </c>
      <c r="E11" s="19">
        <f>E12-E10</f>
        <v>816439.50138441101</v>
      </c>
      <c r="F11" s="21">
        <f>'Rev Requirement'!$D$8</f>
        <v>0.95344399999999996</v>
      </c>
      <c r="G11" s="19">
        <f>E11/F11</f>
        <v>856305.66806693526</v>
      </c>
    </row>
    <row r="12" spans="1:9" x14ac:dyDescent="0.25">
      <c r="A12" s="11">
        <f t="shared" si="0"/>
        <v>4</v>
      </c>
      <c r="C12" s="3" t="s">
        <v>3</v>
      </c>
      <c r="D12" s="7">
        <f>SUM(D10:D11)</f>
        <v>1</v>
      </c>
      <c r="E12" s="24">
        <f>'Rev Requirement'!C12</f>
        <v>25361442.774054002</v>
      </c>
      <c r="G12" s="24">
        <f>'Rev Requirement'!E12</f>
        <v>26599824.188996945</v>
      </c>
    </row>
    <row r="13" spans="1:9" x14ac:dyDescent="0.25">
      <c r="A13" s="11">
        <f t="shared" si="0"/>
        <v>5</v>
      </c>
      <c r="C13" s="3" t="s">
        <v>28</v>
      </c>
      <c r="E13" s="19">
        <f>E12-SUM(E10:E11)</f>
        <v>0</v>
      </c>
      <c r="G13" s="19">
        <f>G12-SUM(G10:G11)</f>
        <v>0</v>
      </c>
    </row>
    <row r="14" spans="1:9" x14ac:dyDescent="0.25">
      <c r="A14" s="37"/>
    </row>
    <row r="15" spans="1:9" x14ac:dyDescent="0.25">
      <c r="A15" s="37">
        <f>A13+1</f>
        <v>6</v>
      </c>
      <c r="B15" s="3" t="s">
        <v>33</v>
      </c>
    </row>
    <row r="16" spans="1:9" x14ac:dyDescent="0.25">
      <c r="A16" s="37">
        <f t="shared" si="0"/>
        <v>7</v>
      </c>
      <c r="C16" s="3" t="s">
        <v>31</v>
      </c>
      <c r="G16" s="10">
        <f>'Forecasted Volume'!N23</f>
        <v>895337009</v>
      </c>
    </row>
    <row r="17" spans="1:7" x14ac:dyDescent="0.25">
      <c r="A17" s="37">
        <f t="shared" si="0"/>
        <v>8</v>
      </c>
      <c r="C17" s="3" t="s">
        <v>32</v>
      </c>
      <c r="G17" s="10">
        <f>'Forecasted Volume'!N24</f>
        <v>33134551</v>
      </c>
    </row>
    <row r="18" spans="1:7" x14ac:dyDescent="0.25">
      <c r="A18" s="37">
        <f t="shared" si="0"/>
        <v>9</v>
      </c>
      <c r="C18" s="3" t="s">
        <v>3</v>
      </c>
      <c r="G18" s="6">
        <f>SUM(G16:G17)</f>
        <v>928471560</v>
      </c>
    </row>
    <row r="19" spans="1:7" x14ac:dyDescent="0.25">
      <c r="A19" s="37"/>
    </row>
    <row r="20" spans="1:7" x14ac:dyDescent="0.25">
      <c r="A20" s="37">
        <f>A18+1</f>
        <v>10</v>
      </c>
      <c r="B20" s="3" t="s">
        <v>49</v>
      </c>
    </row>
    <row r="21" spans="1:7" x14ac:dyDescent="0.25">
      <c r="A21" s="37">
        <f t="shared" si="0"/>
        <v>11</v>
      </c>
      <c r="C21" s="3" t="s">
        <v>42</v>
      </c>
      <c r="F21" s="3" t="s">
        <v>40</v>
      </c>
      <c r="G21" s="126">
        <f>ROUND(G10/G16,5)</f>
        <v>2.8750000000000001E-2</v>
      </c>
    </row>
    <row r="22" spans="1:7" x14ac:dyDescent="0.25">
      <c r="A22" s="37">
        <f t="shared" si="0"/>
        <v>12</v>
      </c>
      <c r="C22" s="3" t="s">
        <v>43</v>
      </c>
      <c r="F22" s="3" t="s">
        <v>40</v>
      </c>
      <c r="G22" s="126">
        <f>ROUND(G11/G17,5)</f>
        <v>2.5839999999999998E-2</v>
      </c>
    </row>
    <row r="23" spans="1:7" x14ac:dyDescent="0.25">
      <c r="A23" s="37">
        <f t="shared" si="0"/>
        <v>13</v>
      </c>
      <c r="G23" s="127"/>
    </row>
    <row r="24" spans="1:7" x14ac:dyDescent="0.25">
      <c r="A24" s="37">
        <f t="shared" si="0"/>
        <v>14</v>
      </c>
      <c r="C24" s="3" t="s">
        <v>50</v>
      </c>
      <c r="F24" s="3" t="s">
        <v>48</v>
      </c>
      <c r="G24" s="127">
        <f>ROUND(G21*19,2)</f>
        <v>0.55000000000000004</v>
      </c>
    </row>
    <row r="26" spans="1:7" x14ac:dyDescent="0.25">
      <c r="G26" s="25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D17" sqref="D17"/>
    </sheetView>
  </sheetViews>
  <sheetFormatPr defaultRowHeight="15" x14ac:dyDescent="0.25"/>
  <cols>
    <col min="1" max="1" width="7" customWidth="1"/>
    <col min="2" max="2" width="61.28515625" customWidth="1"/>
    <col min="3" max="3" width="3.85546875" customWidth="1"/>
    <col min="5" max="5" width="14.5703125" customWidth="1"/>
  </cols>
  <sheetData>
    <row r="1" spans="1:5" x14ac:dyDescent="0.25">
      <c r="A1" s="130"/>
      <c r="B1" s="130"/>
      <c r="C1" s="130"/>
      <c r="D1" s="130"/>
      <c r="E1" s="131"/>
    </row>
    <row r="2" spans="1:5" x14ac:dyDescent="0.25">
      <c r="A2" s="132"/>
      <c r="B2" s="160" t="s">
        <v>161</v>
      </c>
      <c r="C2" s="160"/>
      <c r="D2" s="160"/>
      <c r="E2" s="160"/>
    </row>
    <row r="3" spans="1:5" x14ac:dyDescent="0.25">
      <c r="A3" s="133"/>
      <c r="B3" s="161" t="s">
        <v>162</v>
      </c>
      <c r="C3" s="161"/>
      <c r="D3" s="161"/>
      <c r="E3" s="161"/>
    </row>
    <row r="4" spans="1:5" x14ac:dyDescent="0.25">
      <c r="A4" s="134"/>
      <c r="B4" s="162" t="s">
        <v>163</v>
      </c>
      <c r="C4" s="162"/>
      <c r="D4" s="162"/>
      <c r="E4" s="162"/>
    </row>
    <row r="5" spans="1:5" x14ac:dyDescent="0.25">
      <c r="A5" s="134"/>
      <c r="B5" s="162" t="s">
        <v>156</v>
      </c>
      <c r="C5" s="162"/>
      <c r="D5" s="162"/>
      <c r="E5" s="162"/>
    </row>
    <row r="6" spans="1:5" x14ac:dyDescent="0.25">
      <c r="A6" s="130"/>
      <c r="B6" s="130"/>
      <c r="C6" s="130"/>
      <c r="D6" s="130"/>
      <c r="E6" s="130"/>
    </row>
    <row r="7" spans="1:5" x14ac:dyDescent="0.25">
      <c r="A7" s="135" t="s">
        <v>164</v>
      </c>
      <c r="B7" s="130"/>
      <c r="C7" s="130"/>
      <c r="D7" s="130"/>
      <c r="E7" s="130"/>
    </row>
    <row r="8" spans="1:5" x14ac:dyDescent="0.25">
      <c r="A8" s="136" t="s">
        <v>165</v>
      </c>
      <c r="B8" s="137" t="s">
        <v>157</v>
      </c>
      <c r="C8" s="138"/>
      <c r="D8" s="138"/>
      <c r="E8" s="139" t="s">
        <v>166</v>
      </c>
    </row>
    <row r="9" spans="1:5" x14ac:dyDescent="0.25">
      <c r="A9" s="140"/>
      <c r="B9" s="140"/>
      <c r="C9" s="140"/>
      <c r="D9" s="140"/>
      <c r="E9" s="141"/>
    </row>
    <row r="10" spans="1:5" x14ac:dyDescent="0.25">
      <c r="A10" s="141">
        <v>1</v>
      </c>
      <c r="B10" s="142" t="s">
        <v>158</v>
      </c>
      <c r="C10" s="140"/>
      <c r="D10" s="140"/>
      <c r="E10" s="143">
        <v>4.1980000000000003E-3</v>
      </c>
    </row>
    <row r="11" spans="1:5" x14ac:dyDescent="0.25">
      <c r="A11" s="141">
        <v>2</v>
      </c>
      <c r="B11" s="142" t="s">
        <v>159</v>
      </c>
      <c r="C11" s="140"/>
      <c r="D11" s="140"/>
      <c r="E11" s="144">
        <v>4.0000000000000001E-3</v>
      </c>
    </row>
    <row r="12" spans="1:5" x14ac:dyDescent="0.25">
      <c r="A12" s="141">
        <v>3</v>
      </c>
      <c r="B12" s="142" t="str">
        <f>"STATE UTILITY TAX - NET OF BAD DEBTS ( "&amp;D12*100&amp;"% - ( LINE 1 * "&amp;D12*100&amp;"%) )"</f>
        <v>STATE UTILITY TAX - NET OF BAD DEBTS ( 3.852% - ( LINE 1 * 3.852%) )</v>
      </c>
      <c r="C12" s="140"/>
      <c r="D12" s="145">
        <v>3.8519999999999999E-2</v>
      </c>
      <c r="E12" s="146">
        <f>ROUND(D12-(D12*E10),6)</f>
        <v>3.8358000000000003E-2</v>
      </c>
    </row>
    <row r="13" spans="1:5" x14ac:dyDescent="0.25">
      <c r="A13" s="141">
        <v>4</v>
      </c>
      <c r="B13" s="142"/>
      <c r="C13" s="140"/>
      <c r="D13" s="140"/>
      <c r="E13" s="147"/>
    </row>
    <row r="14" spans="1:5" x14ac:dyDescent="0.25">
      <c r="A14" s="141">
        <v>5</v>
      </c>
      <c r="B14" s="142" t="s">
        <v>160</v>
      </c>
      <c r="C14" s="140"/>
      <c r="D14" s="140"/>
      <c r="E14" s="148">
        <f>ROUND(SUM(E10:E12),6)</f>
        <v>4.6556E-2</v>
      </c>
    </row>
    <row r="15" spans="1:5" x14ac:dyDescent="0.25">
      <c r="A15" s="141">
        <v>6</v>
      </c>
      <c r="B15" s="140"/>
      <c r="C15" s="140"/>
      <c r="D15" s="140"/>
      <c r="E15" s="148"/>
    </row>
    <row r="16" spans="1:5" x14ac:dyDescent="0.25">
      <c r="A16" s="141">
        <v>7</v>
      </c>
      <c r="B16" s="140" t="s">
        <v>167</v>
      </c>
      <c r="C16" s="140"/>
      <c r="D16" s="140"/>
      <c r="E16" s="148">
        <f>ROUND(1-E14,6)</f>
        <v>0.95344399999999996</v>
      </c>
    </row>
    <row r="17" spans="1:5" x14ac:dyDescent="0.25">
      <c r="A17" s="141">
        <v>8</v>
      </c>
      <c r="B17" s="142" t="s">
        <v>168</v>
      </c>
      <c r="C17" s="140"/>
      <c r="D17" s="145">
        <v>0.21</v>
      </c>
      <c r="E17" s="148">
        <f>ROUND((E16)*D17,6)</f>
        <v>0.20022300000000001</v>
      </c>
    </row>
    <row r="18" spans="1:5" x14ac:dyDescent="0.25">
      <c r="A18" s="141">
        <v>9</v>
      </c>
      <c r="B18" s="142" t="s">
        <v>169</v>
      </c>
      <c r="C18" s="140"/>
      <c r="D18" s="140"/>
      <c r="E18" s="149">
        <f>ROUND(1-E17-E14,6)</f>
        <v>0.75322100000000003</v>
      </c>
    </row>
    <row r="19" spans="1:5" x14ac:dyDescent="0.25">
      <c r="A19" s="140"/>
      <c r="B19" s="140"/>
      <c r="C19" s="140"/>
      <c r="D19" s="140"/>
      <c r="E19" s="141"/>
    </row>
    <row r="20" spans="1:5" x14ac:dyDescent="0.25">
      <c r="A20" s="132"/>
      <c r="B20" s="132"/>
      <c r="C20" s="132"/>
      <c r="D20" s="132"/>
      <c r="E20" s="132"/>
    </row>
    <row r="21" spans="1:5" x14ac:dyDescent="0.25">
      <c r="A21" s="132"/>
      <c r="B21" s="132"/>
      <c r="C21" s="132"/>
      <c r="D21" s="132"/>
      <c r="E21" s="150"/>
    </row>
    <row r="22" spans="1:5" ht="15.75" thickBot="1" x14ac:dyDescent="0.3">
      <c r="A22" s="132"/>
      <c r="B22" s="132" t="s">
        <v>170</v>
      </c>
      <c r="C22" s="132"/>
      <c r="D22" s="132"/>
      <c r="E22" s="151">
        <f>1/E16</f>
        <v>1.0488292967389801</v>
      </c>
    </row>
    <row r="23" spans="1:5" ht="15.75" thickTop="1" x14ac:dyDescent="0.25">
      <c r="A23" s="132"/>
      <c r="B23" s="132"/>
      <c r="C23" s="132"/>
      <c r="D23" s="132"/>
      <c r="E23" s="132"/>
    </row>
    <row r="24" spans="1:5" x14ac:dyDescent="0.25">
      <c r="A24" s="132"/>
      <c r="B24" s="132"/>
      <c r="C24" s="132"/>
      <c r="D24" s="132"/>
      <c r="E24" s="132"/>
    </row>
    <row r="25" spans="1:5" x14ac:dyDescent="0.25">
      <c r="A25" s="132"/>
      <c r="B25" s="152" t="s">
        <v>171</v>
      </c>
      <c r="C25" s="132"/>
      <c r="D25" s="132"/>
      <c r="E25" s="132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93" orientation="portrait" horizontalDpi="90" verticalDpi="90" r:id="rId1"/>
  <headerFooter>
    <oddFooter>&amp;L&amp;F
&amp;A&amp;C&amp;P&amp;R&amp;D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90" zoomScaleNormal="90" workbookViewId="0">
      <selection activeCell="F20" sqref="F20"/>
    </sheetView>
  </sheetViews>
  <sheetFormatPr defaultColWidth="8.7109375" defaultRowHeight="15" x14ac:dyDescent="0.25"/>
  <cols>
    <col min="1" max="1" width="4.7109375" style="3" customWidth="1"/>
    <col min="2" max="2" width="8.7109375" style="3"/>
    <col min="3" max="3" width="27" style="3" customWidth="1"/>
    <col min="4" max="4" width="19.7109375" style="3" bestFit="1" customWidth="1"/>
    <col min="5" max="7" width="12.7109375" style="3" customWidth="1"/>
    <col min="8" max="8" width="14.5703125" style="3" bestFit="1" customWidth="1"/>
    <col min="9" max="9" width="10" style="3" customWidth="1"/>
    <col min="10" max="21" width="8.7109375" style="3"/>
    <col min="22" max="22" width="13.28515625" style="3" bestFit="1" customWidth="1"/>
    <col min="23" max="16384" width="8.7109375" style="3"/>
  </cols>
  <sheetData>
    <row r="1" spans="1:22" x14ac:dyDescent="0.25">
      <c r="B1" s="157" t="s">
        <v>12</v>
      </c>
      <c r="C1" s="157"/>
      <c r="D1" s="157"/>
      <c r="E1" s="157"/>
      <c r="F1" s="157"/>
      <c r="G1" s="157"/>
      <c r="H1" s="157"/>
      <c r="I1" s="157"/>
    </row>
    <row r="2" spans="1:22" x14ac:dyDescent="0.25">
      <c r="B2" s="157" t="str">
        <f>Rates!A2</f>
        <v>2023 Gas Schedule 120 Conservation Filing</v>
      </c>
      <c r="C2" s="157"/>
      <c r="D2" s="157"/>
      <c r="E2" s="157"/>
      <c r="F2" s="157"/>
      <c r="G2" s="157"/>
      <c r="H2" s="157"/>
      <c r="I2" s="157"/>
    </row>
    <row r="3" spans="1:22" x14ac:dyDescent="0.25">
      <c r="B3" s="157" t="s">
        <v>61</v>
      </c>
      <c r="C3" s="157"/>
      <c r="D3" s="157"/>
      <c r="E3" s="157"/>
      <c r="F3" s="157"/>
      <c r="G3" s="157"/>
      <c r="H3" s="157"/>
      <c r="I3" s="157"/>
    </row>
    <row r="4" spans="1:22" x14ac:dyDescent="0.25">
      <c r="B4" s="158" t="str">
        <f>Rates!A4</f>
        <v>Proposed Rates Effective May 1, 2023</v>
      </c>
      <c r="C4" s="158"/>
      <c r="D4" s="158"/>
      <c r="E4" s="158"/>
      <c r="F4" s="158"/>
      <c r="G4" s="158"/>
      <c r="H4" s="158"/>
      <c r="I4" s="158"/>
    </row>
    <row r="7" spans="1:22" x14ac:dyDescent="0.25">
      <c r="C7" s="13"/>
      <c r="D7" s="13" t="s">
        <v>13</v>
      </c>
      <c r="H7" s="11" t="s">
        <v>17</v>
      </c>
      <c r="I7" s="13" t="s">
        <v>29</v>
      </c>
    </row>
    <row r="8" spans="1:22" ht="17.25" x14ac:dyDescent="0.25">
      <c r="A8" s="11" t="s">
        <v>41</v>
      </c>
      <c r="C8" s="13"/>
      <c r="D8" s="13" t="s">
        <v>14</v>
      </c>
      <c r="E8" s="15" t="s">
        <v>51</v>
      </c>
      <c r="F8" s="15"/>
      <c r="G8" s="15"/>
      <c r="H8" s="11" t="s">
        <v>18</v>
      </c>
      <c r="I8" s="16" t="s">
        <v>30</v>
      </c>
    </row>
    <row r="9" spans="1:22" x14ac:dyDescent="0.25">
      <c r="A9" s="14" t="s">
        <v>62</v>
      </c>
      <c r="B9" s="14" t="s">
        <v>4</v>
      </c>
      <c r="C9" s="14" t="s">
        <v>7</v>
      </c>
      <c r="D9" s="39" t="str">
        <f>TEXT('Forecasted Volume'!$B$6,"Mmm YYYY - ")&amp;TEXT('Forecasted Volume'!$M$6,"Mmm YYYY")</f>
        <v>May 2023 - Apr 2024</v>
      </c>
      <c r="E9" s="14" t="s">
        <v>15</v>
      </c>
      <c r="F9" s="14" t="s">
        <v>16</v>
      </c>
      <c r="G9" s="14" t="s">
        <v>3</v>
      </c>
      <c r="H9" s="26" t="s">
        <v>19</v>
      </c>
      <c r="I9" s="26" t="s">
        <v>19</v>
      </c>
    </row>
    <row r="10" spans="1:22" x14ac:dyDescent="0.25">
      <c r="B10" s="11" t="s">
        <v>56</v>
      </c>
      <c r="C10" s="11" t="s">
        <v>57</v>
      </c>
      <c r="D10" s="16" t="s">
        <v>58</v>
      </c>
      <c r="E10" s="11" t="s">
        <v>59</v>
      </c>
      <c r="F10" s="11" t="s">
        <v>60</v>
      </c>
      <c r="G10" s="11" t="s">
        <v>63</v>
      </c>
      <c r="H10" s="16" t="s">
        <v>64</v>
      </c>
      <c r="I10" s="16" t="s">
        <v>65</v>
      </c>
    </row>
    <row r="11" spans="1:22" x14ac:dyDescent="0.25">
      <c r="A11" s="11">
        <v>1</v>
      </c>
      <c r="B11" s="4">
        <v>23</v>
      </c>
      <c r="C11" s="3" t="s">
        <v>22</v>
      </c>
      <c r="D11" s="10">
        <f>'Forecasted Volume'!N8</f>
        <v>589986777</v>
      </c>
      <c r="E11" s="9">
        <v>0.14921000000000001</v>
      </c>
      <c r="F11" s="9">
        <v>0.43773000000000001</v>
      </c>
      <c r="G11" s="8">
        <f>SUM(E11:F11)</f>
        <v>0.58694000000000002</v>
      </c>
      <c r="H11" s="19">
        <f>D11*G11</f>
        <v>346286838.89238</v>
      </c>
      <c r="V11" s="153"/>
    </row>
    <row r="12" spans="1:22" x14ac:dyDescent="0.25">
      <c r="A12" s="11">
        <v>2</v>
      </c>
      <c r="B12" s="4">
        <v>16</v>
      </c>
      <c r="C12" s="4" t="s">
        <v>55</v>
      </c>
      <c r="D12" s="10">
        <f>'Forecasted Volume'!N7</f>
        <v>7068</v>
      </c>
      <c r="E12" s="9">
        <v>0.14921000000000001</v>
      </c>
      <c r="F12" s="9">
        <v>0.43773000000000001</v>
      </c>
      <c r="G12" s="8">
        <f>SUM(E12:F12)</f>
        <v>0.58694000000000002</v>
      </c>
      <c r="H12" s="19">
        <f>D12*G12</f>
        <v>4148.4919200000004</v>
      </c>
    </row>
    <row r="13" spans="1:22" x14ac:dyDescent="0.25">
      <c r="A13" s="11">
        <v>3</v>
      </c>
      <c r="B13" s="4">
        <v>53</v>
      </c>
      <c r="C13" s="3" t="s">
        <v>23</v>
      </c>
      <c r="D13" s="10">
        <f>'Forecasted Volume'!N9</f>
        <v>0</v>
      </c>
      <c r="E13" s="9">
        <v>0</v>
      </c>
      <c r="F13" s="9">
        <v>4.80769</v>
      </c>
      <c r="G13" s="8">
        <f>SUM(E13:F13)</f>
        <v>4.80769</v>
      </c>
      <c r="H13" s="19">
        <f>D13*G13</f>
        <v>0</v>
      </c>
    </row>
    <row r="14" spans="1:22" x14ac:dyDescent="0.25">
      <c r="A14" s="11">
        <v>4</v>
      </c>
      <c r="B14" s="4">
        <v>31</v>
      </c>
      <c r="C14" s="3" t="s">
        <v>24</v>
      </c>
      <c r="D14" s="10">
        <f>'Forecasted Volume'!N10</f>
        <v>240200859</v>
      </c>
      <c r="E14" s="9">
        <v>0.14147000000000001</v>
      </c>
      <c r="F14" s="9">
        <v>0.43773000000000001</v>
      </c>
      <c r="G14" s="8">
        <f>SUM(E14:F14)</f>
        <v>0.57920000000000005</v>
      </c>
      <c r="H14" s="19">
        <f>D14*G14</f>
        <v>139124337.53280002</v>
      </c>
    </row>
    <row r="15" spans="1:22" x14ac:dyDescent="0.25">
      <c r="A15" s="11">
        <v>5</v>
      </c>
      <c r="B15" s="4">
        <v>41</v>
      </c>
      <c r="C15" s="3" t="s">
        <v>45</v>
      </c>
      <c r="D15" s="10">
        <f>'Forecasted Volume'!N11</f>
        <v>65142305</v>
      </c>
      <c r="E15" s="9">
        <v>3.9320000000000001E-2</v>
      </c>
      <c r="F15" s="9">
        <v>0.43773000000000001</v>
      </c>
      <c r="G15" s="8">
        <f>SUM(E15:F15)</f>
        <v>0.47705000000000003</v>
      </c>
      <c r="H15" s="19">
        <f>D15*G15</f>
        <v>31076136.600250002</v>
      </c>
    </row>
    <row r="16" spans="1:22" x14ac:dyDescent="0.25">
      <c r="A16" s="11">
        <v>6</v>
      </c>
      <c r="B16" s="4" t="s">
        <v>20</v>
      </c>
      <c r="D16" s="6">
        <f>SUM(D11:D15)</f>
        <v>895337009</v>
      </c>
      <c r="E16" s="9"/>
      <c r="F16" s="9"/>
      <c r="G16" s="8"/>
      <c r="H16" s="27">
        <f>SUM(H11:H15)</f>
        <v>516491461.51735002</v>
      </c>
      <c r="I16" s="1">
        <f>H16/H$22</f>
        <v>0.96780784481947268</v>
      </c>
    </row>
    <row r="17" spans="1:9" x14ac:dyDescent="0.25">
      <c r="A17" s="11">
        <v>7</v>
      </c>
      <c r="B17" s="4"/>
      <c r="E17" s="9"/>
      <c r="F17" s="9"/>
      <c r="G17" s="8"/>
      <c r="H17" s="19"/>
    </row>
    <row r="18" spans="1:9" x14ac:dyDescent="0.25">
      <c r="A18" s="11">
        <v>8</v>
      </c>
      <c r="B18" s="4">
        <v>85</v>
      </c>
      <c r="C18" s="3" t="s">
        <v>25</v>
      </c>
      <c r="D18" s="10">
        <f>'Forecasted Volume'!N12</f>
        <v>12598584</v>
      </c>
      <c r="E18" s="9">
        <v>7.5170000000000001E-2</v>
      </c>
      <c r="F18" s="9">
        <v>0.43773000000000001</v>
      </c>
      <c r="G18" s="8">
        <f>SUM(E18:F18)</f>
        <v>0.51290000000000002</v>
      </c>
      <c r="H18" s="19">
        <f>D18*G18</f>
        <v>6461813.7335999999</v>
      </c>
    </row>
    <row r="19" spans="1:9" x14ac:dyDescent="0.25">
      <c r="A19" s="11">
        <v>9</v>
      </c>
      <c r="B19" s="4">
        <v>86</v>
      </c>
      <c r="C19" s="3" t="s">
        <v>26</v>
      </c>
      <c r="D19" s="10">
        <f>'Forecasted Volume'!N13</f>
        <v>5293627</v>
      </c>
      <c r="E19" s="9">
        <v>8.6999999999999994E-2</v>
      </c>
      <c r="F19" s="9">
        <v>0.43773000000000001</v>
      </c>
      <c r="G19" s="8">
        <f>SUM(E19:F19)</f>
        <v>0.52473000000000003</v>
      </c>
      <c r="H19" s="19">
        <f>D19*G19</f>
        <v>2777724.8957100003</v>
      </c>
    </row>
    <row r="20" spans="1:9" x14ac:dyDescent="0.25">
      <c r="A20" s="11">
        <v>10</v>
      </c>
      <c r="B20" s="4">
        <v>87</v>
      </c>
      <c r="C20" s="3" t="s">
        <v>27</v>
      </c>
      <c r="D20" s="10">
        <f>'Forecasted Volume'!N14</f>
        <v>15242340</v>
      </c>
      <c r="E20" s="9">
        <v>8.3220000000000002E-2</v>
      </c>
      <c r="F20" s="9">
        <v>0.43773000000000001</v>
      </c>
      <c r="G20" s="8">
        <f>SUM(E20:F20)</f>
        <v>0.52095000000000002</v>
      </c>
      <c r="H20" s="19">
        <f>D20*G20</f>
        <v>7940497.023</v>
      </c>
    </row>
    <row r="21" spans="1:9" x14ac:dyDescent="0.25">
      <c r="A21" s="11">
        <v>11</v>
      </c>
      <c r="B21" s="4" t="s">
        <v>21</v>
      </c>
      <c r="D21" s="6">
        <f>SUM(D18:D20)</f>
        <v>33134551</v>
      </c>
      <c r="E21" s="36"/>
      <c r="F21" s="28"/>
      <c r="G21" s="8"/>
      <c r="H21" s="27">
        <f>SUM(H18:H20)</f>
        <v>17180035.652309999</v>
      </c>
      <c r="I21" s="1">
        <f>H21/H$22</f>
        <v>3.2192155180527239E-2</v>
      </c>
    </row>
    <row r="22" spans="1:9" x14ac:dyDescent="0.25">
      <c r="A22" s="11">
        <v>12</v>
      </c>
      <c r="B22" s="4" t="s">
        <v>3</v>
      </c>
      <c r="D22" s="5">
        <f>D16+D21</f>
        <v>928471560</v>
      </c>
      <c r="E22" s="36"/>
      <c r="F22" s="8"/>
      <c r="G22" s="8"/>
      <c r="H22" s="27">
        <f>H16+H21</f>
        <v>533671497.16966003</v>
      </c>
      <c r="I22" s="1">
        <f>I16+I21</f>
        <v>0.99999999999999989</v>
      </c>
    </row>
    <row r="23" spans="1:9" x14ac:dyDescent="0.25">
      <c r="A23" s="11">
        <v>13</v>
      </c>
      <c r="B23" s="3" t="s">
        <v>28</v>
      </c>
      <c r="D23" s="2">
        <f>D22-'Forecasted Volume'!N23-'Forecasted Volume'!N24</f>
        <v>0</v>
      </c>
      <c r="E23" s="36"/>
      <c r="F23" s="8"/>
      <c r="G23" s="8"/>
      <c r="H23" s="19"/>
    </row>
    <row r="24" spans="1:9" x14ac:dyDescent="0.25">
      <c r="H24" s="19"/>
    </row>
    <row r="25" spans="1:9" s="29" customFormat="1" ht="15.75" x14ac:dyDescent="0.25">
      <c r="B25" s="155" t="s">
        <v>172</v>
      </c>
      <c r="H25" s="30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scale="9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90" zoomScaleNormal="90" workbookViewId="0">
      <pane xSplit="3" ySplit="9" topLeftCell="G10" activePane="bottomRight" state="frozenSplit"/>
      <selection activeCell="U11" sqref="U11"/>
      <selection pane="topRight" activeCell="U11" sqref="U11"/>
      <selection pane="bottomLeft" activeCell="U11" sqref="U11"/>
      <selection pane="bottomRight" activeCell="N28" sqref="N28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3.85546875" bestFit="1" customWidth="1"/>
    <col min="13" max="13" width="15" bestFit="1" customWidth="1"/>
    <col min="14" max="14" width="14.140625" bestFit="1" customWidth="1"/>
    <col min="15" max="16" width="14" customWidth="1"/>
    <col min="17" max="17" width="13" bestFit="1" customWidth="1"/>
    <col min="18" max="18" width="13.28515625" bestFit="1" customWidth="1"/>
    <col min="19" max="19" width="16.140625" bestFit="1" customWidth="1"/>
    <col min="20" max="20" width="14.5703125" bestFit="1" customWidth="1"/>
    <col min="21" max="21" width="7.85546875" bestFit="1" customWidth="1"/>
    <col min="22" max="22" width="13.7109375" bestFit="1" customWidth="1"/>
  </cols>
  <sheetData>
    <row r="1" spans="2:21" x14ac:dyDescent="0.25">
      <c r="B1" s="45" t="s">
        <v>12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x14ac:dyDescent="0.25">
      <c r="B2" s="45" t="s">
        <v>173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2:21" x14ac:dyDescent="0.25">
      <c r="B3" s="46" t="s">
        <v>68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2:21" x14ac:dyDescent="0.25">
      <c r="B4" s="46" t="s">
        <v>175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1" x14ac:dyDescent="0.25">
      <c r="F5" s="47"/>
      <c r="N5" s="47"/>
      <c r="O5" s="47"/>
      <c r="P5" s="47"/>
    </row>
    <row r="6" spans="2:21" x14ac:dyDescent="0.25">
      <c r="F6" s="47"/>
      <c r="G6" s="48" t="s">
        <v>13</v>
      </c>
      <c r="N6" s="47"/>
      <c r="O6" s="47"/>
      <c r="P6" s="47"/>
    </row>
    <row r="7" spans="2:21" x14ac:dyDescent="0.25">
      <c r="B7" s="48"/>
      <c r="C7" s="48"/>
      <c r="D7" s="48" t="s">
        <v>176</v>
      </c>
      <c r="E7" s="48" t="str">
        <f>D7</f>
        <v>UG-220067</v>
      </c>
      <c r="F7" s="48" t="s">
        <v>69</v>
      </c>
      <c r="G7" s="48" t="s">
        <v>70</v>
      </c>
      <c r="H7" s="47"/>
      <c r="I7" s="48"/>
      <c r="J7" s="48"/>
      <c r="K7" s="48"/>
      <c r="L7" s="48"/>
      <c r="M7" s="48"/>
      <c r="N7" s="48"/>
      <c r="O7" s="48"/>
      <c r="P7" s="48"/>
      <c r="Q7" s="48"/>
      <c r="R7" s="48"/>
      <c r="S7" s="49" t="s">
        <v>177</v>
      </c>
      <c r="T7" s="49" t="s">
        <v>71</v>
      </c>
      <c r="U7" s="48"/>
    </row>
    <row r="8" spans="2:21" x14ac:dyDescent="0.25">
      <c r="B8" s="48"/>
      <c r="C8" s="48" t="s">
        <v>72</v>
      </c>
      <c r="D8" s="48" t="s">
        <v>14</v>
      </c>
      <c r="E8" s="48" t="s">
        <v>73</v>
      </c>
      <c r="F8" s="48" t="s">
        <v>72</v>
      </c>
      <c r="G8" s="49" t="s">
        <v>178</v>
      </c>
      <c r="H8" s="47" t="s">
        <v>73</v>
      </c>
      <c r="I8" s="48" t="s">
        <v>74</v>
      </c>
      <c r="J8" s="48" t="s">
        <v>75</v>
      </c>
      <c r="K8" s="48" t="s">
        <v>71</v>
      </c>
      <c r="L8" s="48" t="s">
        <v>76</v>
      </c>
      <c r="M8" s="48" t="s">
        <v>77</v>
      </c>
      <c r="N8" s="48" t="s">
        <v>179</v>
      </c>
      <c r="O8" s="48" t="s">
        <v>180</v>
      </c>
      <c r="P8" s="48" t="s">
        <v>181</v>
      </c>
      <c r="Q8" s="48" t="s">
        <v>78</v>
      </c>
      <c r="R8" s="48" t="s">
        <v>79</v>
      </c>
      <c r="S8" s="48" t="s">
        <v>80</v>
      </c>
      <c r="T8" s="48" t="s">
        <v>81</v>
      </c>
      <c r="U8" s="48" t="s">
        <v>29</v>
      </c>
    </row>
    <row r="9" spans="2:21" ht="17.25" x14ac:dyDescent="0.25">
      <c r="B9" s="50" t="s">
        <v>82</v>
      </c>
      <c r="C9" s="50" t="s">
        <v>4</v>
      </c>
      <c r="D9" s="50" t="s">
        <v>83</v>
      </c>
      <c r="E9" s="50" t="s">
        <v>84</v>
      </c>
      <c r="F9" s="50" t="s">
        <v>85</v>
      </c>
      <c r="G9" s="51" t="s">
        <v>182</v>
      </c>
      <c r="H9" s="50" t="s">
        <v>81</v>
      </c>
      <c r="I9" s="50" t="s">
        <v>81</v>
      </c>
      <c r="J9" s="50" t="s">
        <v>81</v>
      </c>
      <c r="K9" s="50" t="s">
        <v>81</v>
      </c>
      <c r="L9" s="50" t="s">
        <v>81</v>
      </c>
      <c r="M9" s="50" t="s">
        <v>81</v>
      </c>
      <c r="N9" s="50" t="s">
        <v>81</v>
      </c>
      <c r="O9" s="50" t="s">
        <v>81</v>
      </c>
      <c r="P9" s="50" t="s">
        <v>81</v>
      </c>
      <c r="Q9" s="50" t="s">
        <v>81</v>
      </c>
      <c r="R9" s="50" t="s">
        <v>81</v>
      </c>
      <c r="S9" s="14" t="s">
        <v>86</v>
      </c>
      <c r="T9" s="50" t="s">
        <v>87</v>
      </c>
      <c r="U9" s="50" t="s">
        <v>87</v>
      </c>
    </row>
    <row r="10" spans="2:21" x14ac:dyDescent="0.25">
      <c r="B10" s="48" t="s">
        <v>88</v>
      </c>
      <c r="C10" s="48" t="s">
        <v>89</v>
      </c>
      <c r="D10" s="52" t="s">
        <v>90</v>
      </c>
      <c r="E10" s="53" t="s">
        <v>91</v>
      </c>
      <c r="F10" s="48" t="s">
        <v>92</v>
      </c>
      <c r="G10" s="48" t="s">
        <v>93</v>
      </c>
      <c r="H10" s="48" t="s">
        <v>94</v>
      </c>
      <c r="I10" s="48" t="s">
        <v>95</v>
      </c>
      <c r="J10" s="48" t="s">
        <v>96</v>
      </c>
      <c r="K10" s="48" t="s">
        <v>97</v>
      </c>
      <c r="L10" s="53" t="s">
        <v>98</v>
      </c>
      <c r="M10" s="48" t="s">
        <v>99</v>
      </c>
      <c r="N10" s="53" t="s">
        <v>100</v>
      </c>
      <c r="O10" s="53" t="s">
        <v>101</v>
      </c>
      <c r="P10" s="53" t="s">
        <v>102</v>
      </c>
      <c r="Q10" s="53" t="s">
        <v>103</v>
      </c>
      <c r="R10" s="53" t="s">
        <v>183</v>
      </c>
      <c r="S10" s="54" t="s">
        <v>184</v>
      </c>
      <c r="T10" s="48" t="s">
        <v>185</v>
      </c>
      <c r="U10" s="48" t="s">
        <v>186</v>
      </c>
    </row>
    <row r="11" spans="2:21" x14ac:dyDescent="0.25">
      <c r="B11" t="s">
        <v>22</v>
      </c>
      <c r="C11" s="47" t="s">
        <v>104</v>
      </c>
      <c r="D11" s="163">
        <v>620836684.05687141</v>
      </c>
      <c r="E11" s="163">
        <v>403613457.09474093</v>
      </c>
      <c r="F11" s="56">
        <f t="shared" ref="F11:F16" si="0">(E11)/D11</f>
        <v>0.6501121268436002</v>
      </c>
      <c r="G11" s="163">
        <v>589986777</v>
      </c>
      <c r="H11" s="57">
        <f>F11*G11</f>
        <v>383557558.40507084</v>
      </c>
      <c r="I11" s="163">
        <v>343873792.97000003</v>
      </c>
      <c r="J11" s="163">
        <v>23811866.32</v>
      </c>
      <c r="K11" s="55">
        <f>'Sch. 120'!F9</f>
        <v>13959087.143820001</v>
      </c>
      <c r="L11" s="164">
        <v>1864358.21532</v>
      </c>
      <c r="M11" s="164">
        <v>13935487.672740001</v>
      </c>
      <c r="N11" s="164">
        <v>1923356.8930199998</v>
      </c>
      <c r="O11" s="164">
        <v>-1002977.5208999999</v>
      </c>
      <c r="P11" s="164">
        <v>28702856.701049998</v>
      </c>
      <c r="Q11" s="164">
        <v>-808281.88448999997</v>
      </c>
      <c r="R11" s="164">
        <v>9835079.5700000003</v>
      </c>
      <c r="S11" s="58">
        <f t="shared" ref="S11:S23" si="1">SUM(H11:R11)</f>
        <v>819652184.48563099</v>
      </c>
      <c r="T11" s="55">
        <f>'Sch. 120'!H9</f>
        <v>3003032.6949300002</v>
      </c>
      <c r="U11" s="1">
        <f>T11/S11</f>
        <v>3.6637890458555171E-3</v>
      </c>
    </row>
    <row r="12" spans="2:21" x14ac:dyDescent="0.25">
      <c r="B12" t="s">
        <v>105</v>
      </c>
      <c r="C12" s="47">
        <v>16</v>
      </c>
      <c r="D12" s="163">
        <v>8190.2669999999998</v>
      </c>
      <c r="E12" s="163">
        <v>5233.1499999999996</v>
      </c>
      <c r="F12" s="56">
        <f t="shared" si="0"/>
        <v>0.63894742381414427</v>
      </c>
      <c r="G12" s="163">
        <v>7068</v>
      </c>
      <c r="H12" s="57">
        <f t="shared" ref="H12:H23" si="2">F12*G12</f>
        <v>4516.0803915183715</v>
      </c>
      <c r="I12" s="163">
        <v>4355.16</v>
      </c>
      <c r="J12" s="163">
        <v>285.26</v>
      </c>
      <c r="K12" s="55">
        <f>'Sch. 120'!F10</f>
        <v>167.22888</v>
      </c>
      <c r="L12" s="164"/>
      <c r="M12" s="164">
        <v>166.94616000000002</v>
      </c>
      <c r="N12" s="164">
        <v>23.041679999999999</v>
      </c>
      <c r="O12" s="164">
        <v>-12.015599999999999</v>
      </c>
      <c r="P12" s="164">
        <v>343.85820000000001</v>
      </c>
      <c r="Q12" s="164">
        <v>-9.6831599999999991</v>
      </c>
      <c r="R12" s="164"/>
      <c r="S12" s="58">
        <f t="shared" si="1"/>
        <v>9835.8765515183713</v>
      </c>
      <c r="T12" s="55">
        <f>'Sch. 120'!H10</f>
        <v>35.976120000000009</v>
      </c>
      <c r="U12" s="1">
        <f t="shared" ref="U12:U23" si="3">T12/S12</f>
        <v>3.6576424898751244E-3</v>
      </c>
    </row>
    <row r="13" spans="2:21" x14ac:dyDescent="0.25">
      <c r="B13" t="s">
        <v>24</v>
      </c>
      <c r="C13" s="47">
        <v>31</v>
      </c>
      <c r="D13" s="163">
        <v>222166912.14539161</v>
      </c>
      <c r="E13" s="163">
        <v>122121000.06</v>
      </c>
      <c r="F13" s="56">
        <f t="shared" si="0"/>
        <v>0.54968131339054194</v>
      </c>
      <c r="G13" s="163">
        <v>240200859</v>
      </c>
      <c r="H13" s="57">
        <f t="shared" si="2"/>
        <v>132033923.65265638</v>
      </c>
      <c r="I13" s="163">
        <v>146054132.31</v>
      </c>
      <c r="J13" s="163">
        <v>9692104.6600000001</v>
      </c>
      <c r="K13" s="55">
        <f>'Sch. 120'!F11</f>
        <v>5683152.3239400005</v>
      </c>
      <c r="L13" s="164">
        <v>641336.29353000002</v>
      </c>
      <c r="M13" s="164">
        <v>6089091.7756500002</v>
      </c>
      <c r="N13" s="164">
        <v>723004.58559000003</v>
      </c>
      <c r="O13" s="164">
        <v>-377115.34863000002</v>
      </c>
      <c r="P13" s="164">
        <v>10787420.57769</v>
      </c>
      <c r="Q13" s="164">
        <v>-353095.26273000002</v>
      </c>
      <c r="R13" s="164">
        <v>3816791.6500000004</v>
      </c>
      <c r="S13" s="58">
        <f t="shared" si="1"/>
        <v>314790747.21769637</v>
      </c>
      <c r="T13" s="55">
        <f>'Sch. 120'!H11</f>
        <v>1222622.3723099995</v>
      </c>
      <c r="U13" s="1">
        <f>T13/S13</f>
        <v>3.8839209319722606E-3</v>
      </c>
    </row>
    <row r="14" spans="2:21" x14ac:dyDescent="0.25">
      <c r="B14" t="s">
        <v>45</v>
      </c>
      <c r="C14" s="47">
        <v>41</v>
      </c>
      <c r="D14" s="163">
        <v>62517991.156948201</v>
      </c>
      <c r="E14" s="163">
        <v>17786398.291046247</v>
      </c>
      <c r="F14" s="56">
        <f t="shared" si="0"/>
        <v>0.28450047677306856</v>
      </c>
      <c r="G14" s="163">
        <v>65142305</v>
      </c>
      <c r="H14" s="57">
        <f t="shared" si="2"/>
        <v>18533016.830596648</v>
      </c>
      <c r="I14" s="163">
        <v>37218973.969999999</v>
      </c>
      <c r="J14" s="163">
        <v>2623932.0499999998</v>
      </c>
      <c r="K14" s="55">
        <f>'Sch. 120'!F12</f>
        <v>1541266.9362999999</v>
      </c>
      <c r="L14" s="164">
        <v>84033.573449999996</v>
      </c>
      <c r="M14" s="164">
        <v>567389.4765499999</v>
      </c>
      <c r="N14" s="164">
        <v>147873.03234999999</v>
      </c>
      <c r="O14" s="164">
        <v>-48856.728750000002</v>
      </c>
      <c r="P14" s="164">
        <v>1398605.28835</v>
      </c>
      <c r="Q14" s="164">
        <v>-36479.690799999997</v>
      </c>
      <c r="R14" s="164">
        <v>-1305037.02</v>
      </c>
      <c r="S14" s="58">
        <f t="shared" si="1"/>
        <v>60724717.718046643</v>
      </c>
      <c r="T14" s="55">
        <f>'Sch. 120'!H12</f>
        <v>331574.3324500001</v>
      </c>
      <c r="U14" s="1">
        <f t="shared" si="3"/>
        <v>5.4602861060556278E-3</v>
      </c>
    </row>
    <row r="15" spans="2:21" x14ac:dyDescent="0.25">
      <c r="B15" t="s">
        <v>25</v>
      </c>
      <c r="C15" s="47">
        <v>85</v>
      </c>
      <c r="D15" s="163">
        <v>19992939.502740219</v>
      </c>
      <c r="E15" s="163">
        <v>2272313.06</v>
      </c>
      <c r="F15" s="56">
        <f t="shared" si="0"/>
        <v>0.11365577631486147</v>
      </c>
      <c r="G15" s="163">
        <v>12598584</v>
      </c>
      <c r="H15" s="57">
        <f t="shared" si="2"/>
        <v>1431901.8449879927</v>
      </c>
      <c r="I15" s="163">
        <v>6879732.1499999994</v>
      </c>
      <c r="J15" s="163">
        <v>506715.05</v>
      </c>
      <c r="K15" s="55">
        <f>'Sch. 120'!F13</f>
        <v>259152.87288000001</v>
      </c>
      <c r="L15" s="164">
        <v>7759.8724440312508</v>
      </c>
      <c r="M15" s="164">
        <v>58961.373120000004</v>
      </c>
      <c r="N15" s="164">
        <v>23181.394560000001</v>
      </c>
      <c r="O15" s="164">
        <v>-5669.3627999999999</v>
      </c>
      <c r="P15" s="164">
        <v>160883.91768000001</v>
      </c>
      <c r="Q15" s="164">
        <v>-3401.6176799999998</v>
      </c>
      <c r="R15" s="164"/>
      <c r="S15" s="58">
        <f t="shared" si="1"/>
        <v>9319217.4951920267</v>
      </c>
      <c r="T15" s="55">
        <f>'Sch. 120'!H13</f>
        <v>66394.537679999979</v>
      </c>
      <c r="U15" s="1">
        <f t="shared" si="3"/>
        <v>7.1244756026194542E-3</v>
      </c>
    </row>
    <row r="16" spans="2:21" x14ac:dyDescent="0.25">
      <c r="B16" t="s">
        <v>26</v>
      </c>
      <c r="C16" s="47">
        <v>86</v>
      </c>
      <c r="D16" s="163">
        <v>5773170.4876905456</v>
      </c>
      <c r="E16" s="163">
        <v>1192875.52</v>
      </c>
      <c r="F16" s="56">
        <f t="shared" si="0"/>
        <v>0.20662398980654192</v>
      </c>
      <c r="G16" s="163">
        <v>5293627</v>
      </c>
      <c r="H16" s="57">
        <f t="shared" si="2"/>
        <v>1093790.331287635</v>
      </c>
      <c r="I16" s="163">
        <v>2952501.71</v>
      </c>
      <c r="J16" s="163">
        <v>213068.49</v>
      </c>
      <c r="K16" s="55">
        <f>'Sch. 120'!F14</f>
        <v>108889.90739000001</v>
      </c>
      <c r="L16" s="164">
        <v>5928.8622399999995</v>
      </c>
      <c r="M16" s="164">
        <v>40496.246550000003</v>
      </c>
      <c r="N16" s="164">
        <v>2593.8772300000001</v>
      </c>
      <c r="O16" s="164">
        <v>-1905.7057200000002</v>
      </c>
      <c r="P16" s="164">
        <v>55106.657070000001</v>
      </c>
      <c r="Q16" s="164">
        <v>-1746.8969099999999</v>
      </c>
      <c r="R16" s="164">
        <v>-87086.95</v>
      </c>
      <c r="S16" s="58">
        <f t="shared" si="1"/>
        <v>4381636.5291376347</v>
      </c>
      <c r="T16" s="55">
        <f>'Sch. 120'!H14</f>
        <v>27897.414289999986</v>
      </c>
      <c r="U16" s="1">
        <f t="shared" si="3"/>
        <v>6.3668937632055424E-3</v>
      </c>
    </row>
    <row r="17" spans="2:22" x14ac:dyDescent="0.25">
      <c r="B17" t="s">
        <v>27</v>
      </c>
      <c r="C17" s="47">
        <v>87</v>
      </c>
      <c r="D17" s="163">
        <v>21819455.762355208</v>
      </c>
      <c r="E17" s="163">
        <v>1509849.77</v>
      </c>
      <c r="F17" s="56">
        <f>(E17)/D17</f>
        <v>6.9197407416775353E-2</v>
      </c>
      <c r="G17" s="163">
        <v>15242340</v>
      </c>
      <c r="H17" s="57">
        <f t="shared" si="2"/>
        <v>1054730.4109650117</v>
      </c>
      <c r="I17" s="163">
        <v>8336035.75</v>
      </c>
      <c r="J17" s="163">
        <v>613046.91</v>
      </c>
      <c r="K17" s="55">
        <f>'Sch. 120'!F15</f>
        <v>313534.9338</v>
      </c>
      <c r="L17" s="164">
        <v>4164.3606472766241</v>
      </c>
      <c r="M17" s="164">
        <v>36581.616000000002</v>
      </c>
      <c r="N17" s="164">
        <v>12174.874937502707</v>
      </c>
      <c r="O17" s="164">
        <v>-3161.1885892853079</v>
      </c>
      <c r="P17" s="164">
        <v>91731.44825926199</v>
      </c>
      <c r="Q17" s="164">
        <v>-2133.9276</v>
      </c>
      <c r="R17" s="164"/>
      <c r="S17" s="58">
        <f t="shared" si="1"/>
        <v>10456705.188419769</v>
      </c>
      <c r="T17" s="55">
        <f>'Sch. 120'!H15</f>
        <v>80327.131799999974</v>
      </c>
      <c r="U17" s="1">
        <f t="shared" si="3"/>
        <v>7.6818778336562362E-3</v>
      </c>
    </row>
    <row r="18" spans="2:22" x14ac:dyDescent="0.25">
      <c r="B18" t="s">
        <v>106</v>
      </c>
      <c r="C18" s="47" t="s">
        <v>52</v>
      </c>
      <c r="D18" s="163">
        <v>36958.529999999992</v>
      </c>
      <c r="E18" s="163">
        <v>23981.98</v>
      </c>
      <c r="F18" s="56">
        <f>(E18)/D18</f>
        <v>0.64888890331947735</v>
      </c>
      <c r="G18" s="163">
        <v>35156</v>
      </c>
      <c r="H18" s="57">
        <f t="shared" si="2"/>
        <v>22812.338285099544</v>
      </c>
      <c r="I18" s="59"/>
      <c r="J18" s="59"/>
      <c r="K18" s="55"/>
      <c r="L18" s="164">
        <v>93.866520000000008</v>
      </c>
      <c r="M18" s="164">
        <v>891.20460000000003</v>
      </c>
      <c r="N18" s="164">
        <v>0</v>
      </c>
      <c r="O18" s="164">
        <v>-55.194920000000003</v>
      </c>
      <c r="P18" s="164">
        <v>1578.8559599999999</v>
      </c>
      <c r="Q18" s="164">
        <v>-51.679319999999997</v>
      </c>
      <c r="R18" s="164">
        <v>539.29</v>
      </c>
      <c r="S18" s="58">
        <f t="shared" si="1"/>
        <v>25808.681125099545</v>
      </c>
      <c r="T18" s="55"/>
      <c r="U18" s="1">
        <f t="shared" si="3"/>
        <v>0</v>
      </c>
    </row>
    <row r="19" spans="2:22" x14ac:dyDescent="0.25">
      <c r="B19" t="s">
        <v>107</v>
      </c>
      <c r="C19" s="47" t="s">
        <v>0</v>
      </c>
      <c r="D19" s="163">
        <v>19494505.608019032</v>
      </c>
      <c r="E19" s="163">
        <v>4475398.7622919884</v>
      </c>
      <c r="F19" s="56">
        <f t="shared" ref="F19:F24" si="4">(E19)/D19</f>
        <v>0.22957231397810063</v>
      </c>
      <c r="G19" s="163">
        <v>23988005</v>
      </c>
      <c r="H19" s="57">
        <f>F19*G19</f>
        <v>5506981.8155682478</v>
      </c>
      <c r="I19" s="59"/>
      <c r="J19" s="59"/>
      <c r="K19" s="55"/>
      <c r="L19" s="164">
        <v>30944.526449999998</v>
      </c>
      <c r="M19" s="164">
        <v>208935.52354999998</v>
      </c>
      <c r="N19" s="164">
        <v>0</v>
      </c>
      <c r="O19" s="164">
        <v>-17991.00375</v>
      </c>
      <c r="P19" s="164">
        <v>515022.46734999999</v>
      </c>
      <c r="Q19" s="164">
        <v>-13433.282799999999</v>
      </c>
      <c r="R19" s="164">
        <v>-408095.81</v>
      </c>
      <c r="S19" s="58">
        <f t="shared" si="1"/>
        <v>5822364.2363682473</v>
      </c>
      <c r="T19" s="55"/>
      <c r="U19" s="1">
        <f t="shared" si="3"/>
        <v>0</v>
      </c>
    </row>
    <row r="20" spans="2:22" x14ac:dyDescent="0.25">
      <c r="B20" t="s">
        <v>108</v>
      </c>
      <c r="C20" s="47" t="s">
        <v>1</v>
      </c>
      <c r="D20" s="163">
        <v>68886791.019958794</v>
      </c>
      <c r="E20" s="163">
        <v>7339677.3100000005</v>
      </c>
      <c r="F20" s="56">
        <f t="shared" si="4"/>
        <v>0.1065469475544804</v>
      </c>
      <c r="G20" s="163">
        <v>73553376</v>
      </c>
      <c r="H20" s="57">
        <f t="shared" si="2"/>
        <v>7836887.6951269768</v>
      </c>
      <c r="I20" s="59"/>
      <c r="J20" s="59"/>
      <c r="K20" s="55"/>
      <c r="L20" s="164">
        <v>43320.445322470463</v>
      </c>
      <c r="M20" s="164">
        <v>344229.79968</v>
      </c>
      <c r="N20" s="164">
        <v>0</v>
      </c>
      <c r="O20" s="164">
        <v>-33099.019200000002</v>
      </c>
      <c r="P20" s="164">
        <v>939276.61152000003</v>
      </c>
      <c r="Q20" s="164">
        <v>-19859.411520000001</v>
      </c>
      <c r="R20" s="164"/>
      <c r="S20" s="58">
        <f t="shared" si="1"/>
        <v>9110756.1209294479</v>
      </c>
      <c r="T20" s="55"/>
      <c r="U20" s="1">
        <f t="shared" si="3"/>
        <v>0</v>
      </c>
    </row>
    <row r="21" spans="2:22" x14ac:dyDescent="0.25">
      <c r="B21" t="s">
        <v>109</v>
      </c>
      <c r="C21" s="47" t="s">
        <v>46</v>
      </c>
      <c r="D21" s="163">
        <v>1718484.3400000003</v>
      </c>
      <c r="E21" s="163">
        <v>367155.5</v>
      </c>
      <c r="F21" s="56">
        <f t="shared" si="4"/>
        <v>0.21365076856039314</v>
      </c>
      <c r="G21" s="163">
        <v>1377721</v>
      </c>
      <c r="H21" s="57">
        <f t="shared" si="2"/>
        <v>294351.15051179338</v>
      </c>
      <c r="I21" s="59"/>
      <c r="J21" s="59"/>
      <c r="K21" s="55"/>
      <c r="L21" s="164">
        <v>1543.0475199999998</v>
      </c>
      <c r="M21" s="164">
        <v>10539.56565</v>
      </c>
      <c r="N21" s="164">
        <v>0</v>
      </c>
      <c r="O21" s="164">
        <v>-495.97956000000005</v>
      </c>
      <c r="P21" s="164">
        <v>14342.075610000002</v>
      </c>
      <c r="Q21" s="164">
        <v>-454.64792999999997</v>
      </c>
      <c r="R21" s="164">
        <v>-21706.97</v>
      </c>
      <c r="S21" s="58">
        <f t="shared" si="1"/>
        <v>298118.24180179345</v>
      </c>
      <c r="T21" s="55"/>
      <c r="U21" s="1">
        <f t="shared" si="3"/>
        <v>0</v>
      </c>
    </row>
    <row r="22" spans="2:22" x14ac:dyDescent="0.25">
      <c r="B22" t="s">
        <v>110</v>
      </c>
      <c r="C22" s="47" t="s">
        <v>2</v>
      </c>
      <c r="D22" s="163">
        <v>97500425.645479575</v>
      </c>
      <c r="E22" s="163">
        <v>4790056.76</v>
      </c>
      <c r="F22" s="56">
        <f>(E22)/D22</f>
        <v>4.9128572806616068E-2</v>
      </c>
      <c r="G22" s="163">
        <v>104134277</v>
      </c>
      <c r="H22" s="57">
        <f t="shared" si="2"/>
        <v>5115968.4092588248</v>
      </c>
      <c r="I22" s="55"/>
      <c r="J22" s="55"/>
      <c r="K22" s="55"/>
      <c r="L22" s="164">
        <v>23102.005387580488</v>
      </c>
      <c r="M22" s="164">
        <v>249922.26480000003</v>
      </c>
      <c r="N22" s="164">
        <v>0</v>
      </c>
      <c r="O22" s="164">
        <v>-15560.100023094892</v>
      </c>
      <c r="P22" s="164">
        <v>450960.98181499314</v>
      </c>
      <c r="Q22" s="164">
        <v>-14578.798779999999</v>
      </c>
      <c r="R22" s="55"/>
      <c r="S22" s="58">
        <f t="shared" si="1"/>
        <v>5809814.7624583049</v>
      </c>
      <c r="T22" s="55"/>
      <c r="U22" s="1">
        <f t="shared" si="3"/>
        <v>0</v>
      </c>
    </row>
    <row r="23" spans="2:22" x14ac:dyDescent="0.25">
      <c r="B23" t="s">
        <v>47</v>
      </c>
      <c r="D23" s="163">
        <v>32154478.538398605</v>
      </c>
      <c r="E23" s="163">
        <v>1699064.4523564125</v>
      </c>
      <c r="F23" s="60">
        <f t="shared" si="4"/>
        <v>5.2840678175744761E-2</v>
      </c>
      <c r="G23" s="163">
        <v>37176164</v>
      </c>
      <c r="H23" s="57">
        <f t="shared" si="2"/>
        <v>1964413.717732708</v>
      </c>
      <c r="I23" s="55"/>
      <c r="J23" s="55"/>
      <c r="K23" s="55"/>
      <c r="L23" s="164"/>
      <c r="M23" s="164">
        <v>43867.873520000001</v>
      </c>
      <c r="N23" s="164">
        <v>0</v>
      </c>
      <c r="O23" s="164">
        <v>0</v>
      </c>
      <c r="P23" s="164">
        <v>0</v>
      </c>
      <c r="Q23" s="164">
        <v>-2602.3314799999998</v>
      </c>
      <c r="R23" s="55"/>
      <c r="S23" s="58">
        <f t="shared" si="1"/>
        <v>2005679.2597727079</v>
      </c>
      <c r="T23" s="55"/>
      <c r="U23" s="1">
        <f t="shared" si="3"/>
        <v>0</v>
      </c>
    </row>
    <row r="24" spans="2:22" x14ac:dyDescent="0.25">
      <c r="B24" t="s">
        <v>3</v>
      </c>
      <c r="D24" s="61">
        <f>SUM(D11:D23)</f>
        <v>1172906987.060853</v>
      </c>
      <c r="E24" s="62">
        <f>SUM(E11:E23)</f>
        <v>567196461.71043551</v>
      </c>
      <c r="F24" s="56">
        <f t="shared" si="4"/>
        <v>0.48358179119706113</v>
      </c>
      <c r="G24" s="61">
        <f>SUM(G11:G23)</f>
        <v>1168736259</v>
      </c>
      <c r="H24" s="62">
        <f>SUM(H11:H23)</f>
        <v>558450852.68243957</v>
      </c>
      <c r="I24" s="62">
        <f t="shared" ref="I24:K24" si="5">SUM(I11:I23)</f>
        <v>545319524.0200001</v>
      </c>
      <c r="J24" s="62">
        <f t="shared" si="5"/>
        <v>37461018.739999995</v>
      </c>
      <c r="K24" s="62">
        <f t="shared" si="5"/>
        <v>21865251.347009998</v>
      </c>
      <c r="L24" s="62">
        <f>SUM(L11:L23)</f>
        <v>2706585.0688313586</v>
      </c>
      <c r="M24" s="62">
        <f>SUM(M11:M23)</f>
        <v>21586561.338570006</v>
      </c>
      <c r="N24" s="62">
        <f>SUM(N11:N23)</f>
        <v>2832207.6993675027</v>
      </c>
      <c r="O24" s="62">
        <f t="shared" ref="O24:P24" si="6">SUM(O11:O23)</f>
        <v>-1506899.1684423797</v>
      </c>
      <c r="P24" s="62">
        <f t="shared" si="6"/>
        <v>43118129.440554254</v>
      </c>
      <c r="Q24" s="62">
        <f>SUM(Q11:Q23)</f>
        <v>-1256129.1151999999</v>
      </c>
      <c r="R24" s="62">
        <f t="shared" ref="R24:S24" si="7">SUM(R11:R23)</f>
        <v>11830483.76</v>
      </c>
      <c r="S24" s="63">
        <f t="shared" si="7"/>
        <v>1242407585.8131306</v>
      </c>
      <c r="T24" s="62">
        <f>SUM(T11:T23)</f>
        <v>4731884.4595799986</v>
      </c>
      <c r="U24" s="7">
        <f>T24/S24</f>
        <v>3.8086409915817411E-3</v>
      </c>
      <c r="V24" s="57"/>
    </row>
    <row r="25" spans="2:22" x14ac:dyDescent="0.25">
      <c r="D25" s="64"/>
      <c r="E25" s="57"/>
      <c r="G25" s="64"/>
      <c r="L25" s="57"/>
      <c r="Q25" s="57"/>
      <c r="R25" s="57"/>
      <c r="S25" s="57"/>
      <c r="U25" s="65"/>
    </row>
    <row r="26" spans="2:22" s="70" customFormat="1" x14ac:dyDescent="0.25">
      <c r="B26" s="66" t="s">
        <v>111</v>
      </c>
      <c r="C26" s="67"/>
      <c r="D26" s="68"/>
      <c r="E26" s="69"/>
      <c r="T26" s="71"/>
      <c r="U26" s="72"/>
    </row>
    <row r="27" spans="2:22" s="70" customFormat="1" x14ac:dyDescent="0.25">
      <c r="B27" s="73" t="s">
        <v>22</v>
      </c>
      <c r="C27" s="74" t="s">
        <v>112</v>
      </c>
      <c r="D27" s="76">
        <f>D11+D12</f>
        <v>620844874.32387137</v>
      </c>
      <c r="E27" s="75">
        <f>E11+E12</f>
        <v>403618690.2447409</v>
      </c>
      <c r="F27" s="56">
        <f t="shared" ref="F27:F34" si="8">(E27)/D27</f>
        <v>0.65011197955737365</v>
      </c>
      <c r="G27" s="76">
        <f>G11+G12</f>
        <v>589993845</v>
      </c>
      <c r="H27" s="75">
        <f>H11+H12</f>
        <v>383562074.48546237</v>
      </c>
      <c r="I27" s="75">
        <f t="shared" ref="I27:R27" si="9">I11+I12</f>
        <v>343878148.13000005</v>
      </c>
      <c r="J27" s="75">
        <f t="shared" si="9"/>
        <v>23812151.580000002</v>
      </c>
      <c r="K27" s="75">
        <f t="shared" si="9"/>
        <v>13959254.3727</v>
      </c>
      <c r="L27" s="75">
        <f t="shared" si="9"/>
        <v>1864358.21532</v>
      </c>
      <c r="M27" s="75">
        <f t="shared" si="9"/>
        <v>13935654.618900001</v>
      </c>
      <c r="N27" s="75">
        <f t="shared" si="9"/>
        <v>1923379.9346999999</v>
      </c>
      <c r="O27" s="75">
        <f t="shared" si="9"/>
        <v>-1002989.5364999999</v>
      </c>
      <c r="P27" s="75">
        <f t="shared" si="9"/>
        <v>28703200.559249997</v>
      </c>
      <c r="Q27" s="75">
        <f t="shared" si="9"/>
        <v>-808291.56764999998</v>
      </c>
      <c r="R27" s="75">
        <f t="shared" si="9"/>
        <v>9835079.5700000003</v>
      </c>
      <c r="S27" s="75">
        <f>S11+S12</f>
        <v>819662020.3621825</v>
      </c>
      <c r="T27" s="57">
        <f>SUM(T11:T12)</f>
        <v>3003068.67105</v>
      </c>
      <c r="U27" s="1">
        <f t="shared" ref="U27:U34" si="10">T27/S27</f>
        <v>3.6637889720973526E-3</v>
      </c>
      <c r="V27" s="77"/>
    </row>
    <row r="28" spans="2:22" s="70" customFormat="1" x14ac:dyDescent="0.25">
      <c r="B28" s="78" t="s">
        <v>113</v>
      </c>
      <c r="C28" s="74" t="s">
        <v>114</v>
      </c>
      <c r="D28" s="76">
        <f>D13+D18</f>
        <v>222203870.67539161</v>
      </c>
      <c r="E28" s="75">
        <f>E13+E18</f>
        <v>122144982.04000001</v>
      </c>
      <c r="F28" s="56">
        <f t="shared" si="8"/>
        <v>0.54969781430331843</v>
      </c>
      <c r="G28" s="76">
        <f t="shared" ref="G28:R32" si="11">G13+G18</f>
        <v>240236015</v>
      </c>
      <c r="H28" s="75">
        <f t="shared" si="11"/>
        <v>132056735.99094148</v>
      </c>
      <c r="I28" s="75">
        <f t="shared" si="11"/>
        <v>146054132.31</v>
      </c>
      <c r="J28" s="75">
        <f t="shared" si="11"/>
        <v>9692104.6600000001</v>
      </c>
      <c r="K28" s="75">
        <f t="shared" si="11"/>
        <v>5683152.3239400005</v>
      </c>
      <c r="L28" s="75">
        <f t="shared" si="11"/>
        <v>641430.16005000006</v>
      </c>
      <c r="M28" s="75">
        <f t="shared" si="11"/>
        <v>6089982.98025</v>
      </c>
      <c r="N28" s="75">
        <f t="shared" si="11"/>
        <v>723004.58559000003</v>
      </c>
      <c r="O28" s="75">
        <f t="shared" si="11"/>
        <v>-377170.54355</v>
      </c>
      <c r="P28" s="75">
        <f t="shared" si="11"/>
        <v>10788999.43365</v>
      </c>
      <c r="Q28" s="75">
        <f t="shared" si="11"/>
        <v>-353146.94205000001</v>
      </c>
      <c r="R28" s="75">
        <f t="shared" si="11"/>
        <v>3817330.9400000004</v>
      </c>
      <c r="S28" s="75">
        <f>S13+S18</f>
        <v>314816555.89882147</v>
      </c>
      <c r="T28" s="57">
        <f>SUM(T13,T18)</f>
        <v>1222622.3723099995</v>
      </c>
      <c r="U28" s="1">
        <f t="shared" si="10"/>
        <v>3.8836025278890882E-3</v>
      </c>
    </row>
    <row r="29" spans="2:22" s="70" customFormat="1" x14ac:dyDescent="0.25">
      <c r="B29" s="73" t="s">
        <v>115</v>
      </c>
      <c r="C29" s="74" t="s">
        <v>116</v>
      </c>
      <c r="D29" s="76">
        <f t="shared" ref="D29:E32" si="12">D14+D19</f>
        <v>82012496.764967233</v>
      </c>
      <c r="E29" s="75">
        <f t="shared" si="12"/>
        <v>22261797.053338237</v>
      </c>
      <c r="F29" s="56">
        <f t="shared" si="8"/>
        <v>0.27144396197492271</v>
      </c>
      <c r="G29" s="76">
        <f t="shared" si="11"/>
        <v>89130310</v>
      </c>
      <c r="H29" s="75">
        <f t="shared" si="11"/>
        <v>24039998.646164894</v>
      </c>
      <c r="I29" s="75">
        <f t="shared" si="11"/>
        <v>37218973.969999999</v>
      </c>
      <c r="J29" s="75">
        <f t="shared" si="11"/>
        <v>2623932.0499999998</v>
      </c>
      <c r="K29" s="75">
        <f t="shared" si="11"/>
        <v>1541266.9362999999</v>
      </c>
      <c r="L29" s="75">
        <f t="shared" si="11"/>
        <v>114978.0999</v>
      </c>
      <c r="M29" s="75">
        <f t="shared" si="11"/>
        <v>776325.00009999983</v>
      </c>
      <c r="N29" s="75">
        <f t="shared" si="11"/>
        <v>147873.03234999999</v>
      </c>
      <c r="O29" s="75">
        <f t="shared" si="11"/>
        <v>-66847.732499999998</v>
      </c>
      <c r="P29" s="75">
        <f t="shared" si="11"/>
        <v>1913627.7557000001</v>
      </c>
      <c r="Q29" s="75">
        <f t="shared" si="11"/>
        <v>-49912.973599999998</v>
      </c>
      <c r="R29" s="75">
        <f t="shared" si="11"/>
        <v>-1713132.83</v>
      </c>
      <c r="S29" s="75">
        <f>S14+S19</f>
        <v>66547081.954414889</v>
      </c>
      <c r="T29" s="57">
        <f>SUM(T14,T19)</f>
        <v>331574.3324500001</v>
      </c>
      <c r="U29" s="1">
        <f t="shared" si="10"/>
        <v>4.9825525434327878E-3</v>
      </c>
    </row>
    <row r="30" spans="2:22" s="70" customFormat="1" x14ac:dyDescent="0.25">
      <c r="B30" s="73" t="s">
        <v>25</v>
      </c>
      <c r="C30" s="74" t="s">
        <v>117</v>
      </c>
      <c r="D30" s="76">
        <f t="shared" si="12"/>
        <v>88879730.522699013</v>
      </c>
      <c r="E30" s="75">
        <f t="shared" si="12"/>
        <v>9611990.370000001</v>
      </c>
      <c r="F30" s="56">
        <f t="shared" si="8"/>
        <v>0.10814603412355298</v>
      </c>
      <c r="G30" s="76">
        <f t="shared" si="11"/>
        <v>86151960</v>
      </c>
      <c r="H30" s="75">
        <f t="shared" si="11"/>
        <v>9268789.540114969</v>
      </c>
      <c r="I30" s="75">
        <f t="shared" si="11"/>
        <v>6879732.1499999994</v>
      </c>
      <c r="J30" s="75">
        <f t="shared" si="11"/>
        <v>506715.05</v>
      </c>
      <c r="K30" s="75">
        <f t="shared" si="11"/>
        <v>259152.87288000001</v>
      </c>
      <c r="L30" s="75">
        <f t="shared" si="11"/>
        <v>51080.317766501714</v>
      </c>
      <c r="M30" s="75">
        <f t="shared" si="11"/>
        <v>403191.1728</v>
      </c>
      <c r="N30" s="75">
        <f t="shared" si="11"/>
        <v>23181.394560000001</v>
      </c>
      <c r="O30" s="75">
        <f t="shared" si="11"/>
        <v>-38768.382000000005</v>
      </c>
      <c r="P30" s="75">
        <f t="shared" si="11"/>
        <v>1100160.5292</v>
      </c>
      <c r="Q30" s="75">
        <f t="shared" si="11"/>
        <v>-23261.029200000001</v>
      </c>
      <c r="R30" s="75">
        <f t="shared" si="11"/>
        <v>0</v>
      </c>
      <c r="S30" s="75">
        <f>S15+S20</f>
        <v>18429973.616121475</v>
      </c>
      <c r="T30" s="57">
        <f>SUM(T15,T20)</f>
        <v>66394.537679999979</v>
      </c>
      <c r="U30" s="1">
        <f t="shared" si="10"/>
        <v>3.6025302620032989E-3</v>
      </c>
    </row>
    <row r="31" spans="2:22" s="70" customFormat="1" x14ac:dyDescent="0.25">
      <c r="B31" s="73" t="s">
        <v>118</v>
      </c>
      <c r="C31" s="74" t="s">
        <v>119</v>
      </c>
      <c r="D31" s="76">
        <f t="shared" si="12"/>
        <v>7491654.8276905455</v>
      </c>
      <c r="E31" s="75">
        <f t="shared" si="12"/>
        <v>1560031.02</v>
      </c>
      <c r="F31" s="56">
        <f t="shared" si="8"/>
        <v>0.20823583785972574</v>
      </c>
      <c r="G31" s="76">
        <f t="shared" si="11"/>
        <v>6671348</v>
      </c>
      <c r="H31" s="75">
        <f t="shared" si="11"/>
        <v>1388141.4817994284</v>
      </c>
      <c r="I31" s="75">
        <f t="shared" si="11"/>
        <v>2952501.71</v>
      </c>
      <c r="J31" s="75">
        <f t="shared" si="11"/>
        <v>213068.49</v>
      </c>
      <c r="K31" s="75">
        <f t="shared" si="11"/>
        <v>108889.90739000001</v>
      </c>
      <c r="L31" s="75">
        <f t="shared" si="11"/>
        <v>7471.9097599999996</v>
      </c>
      <c r="M31" s="75">
        <f t="shared" si="11"/>
        <v>51035.8122</v>
      </c>
      <c r="N31" s="75">
        <f t="shared" si="11"/>
        <v>2593.8772300000001</v>
      </c>
      <c r="O31" s="75">
        <f t="shared" si="11"/>
        <v>-2401.6852800000001</v>
      </c>
      <c r="P31" s="75">
        <f t="shared" si="11"/>
        <v>69448.732680000001</v>
      </c>
      <c r="Q31" s="75">
        <f t="shared" si="11"/>
        <v>-2201.54484</v>
      </c>
      <c r="R31" s="75">
        <f t="shared" si="11"/>
        <v>-108793.92</v>
      </c>
      <c r="S31" s="75">
        <f>S16+S21</f>
        <v>4679754.7709394284</v>
      </c>
      <c r="T31" s="57">
        <f>SUM(T16,T21)</f>
        <v>27897.414289999986</v>
      </c>
      <c r="U31" s="1">
        <f t="shared" si="10"/>
        <v>5.9612983276898877E-3</v>
      </c>
    </row>
    <row r="32" spans="2:22" s="70" customFormat="1" x14ac:dyDescent="0.25">
      <c r="B32" s="79" t="s">
        <v>120</v>
      </c>
      <c r="C32" s="74" t="s">
        <v>121</v>
      </c>
      <c r="D32" s="76">
        <f t="shared" si="12"/>
        <v>119319881.40783478</v>
      </c>
      <c r="E32" s="75">
        <f t="shared" si="12"/>
        <v>6299906.5299999993</v>
      </c>
      <c r="F32" s="56">
        <f t="shared" si="8"/>
        <v>5.2798464561550719E-2</v>
      </c>
      <c r="G32" s="76">
        <f t="shared" si="11"/>
        <v>119376617</v>
      </c>
      <c r="H32" s="75">
        <f t="shared" si="11"/>
        <v>6170698.8202238362</v>
      </c>
      <c r="I32" s="75">
        <f t="shared" si="11"/>
        <v>8336035.75</v>
      </c>
      <c r="J32" s="75">
        <f t="shared" si="11"/>
        <v>613046.91</v>
      </c>
      <c r="K32" s="75">
        <f t="shared" si="11"/>
        <v>313534.9338</v>
      </c>
      <c r="L32" s="75">
        <f t="shared" si="11"/>
        <v>27266.366034857114</v>
      </c>
      <c r="M32" s="75">
        <f t="shared" si="11"/>
        <v>286503.88080000004</v>
      </c>
      <c r="N32" s="75">
        <f t="shared" si="11"/>
        <v>12174.874937502707</v>
      </c>
      <c r="O32" s="75">
        <f t="shared" si="11"/>
        <v>-18721.288612380202</v>
      </c>
      <c r="P32" s="75">
        <f t="shared" si="11"/>
        <v>542692.4300742551</v>
      </c>
      <c r="Q32" s="75">
        <f t="shared" si="11"/>
        <v>-16712.72638</v>
      </c>
      <c r="R32" s="75">
        <f t="shared" si="11"/>
        <v>0</v>
      </c>
      <c r="S32" s="75">
        <f>S17+S22</f>
        <v>16266519.950878073</v>
      </c>
      <c r="T32" s="57">
        <f>SUM(T17,T22)</f>
        <v>80327.131799999974</v>
      </c>
      <c r="U32" s="1">
        <f t="shared" si="10"/>
        <v>4.9381878879178383E-3</v>
      </c>
    </row>
    <row r="33" spans="2:21" s="70" customFormat="1" x14ac:dyDescent="0.25">
      <c r="B33" s="79" t="s">
        <v>47</v>
      </c>
      <c r="C33" s="73"/>
      <c r="D33" s="76">
        <f>D23</f>
        <v>32154478.538398605</v>
      </c>
      <c r="E33" s="75">
        <f>E23</f>
        <v>1699064.4523564125</v>
      </c>
      <c r="F33" s="56">
        <f t="shared" si="8"/>
        <v>5.2840678175744761E-2</v>
      </c>
      <c r="G33" s="76">
        <f>G23</f>
        <v>37176164</v>
      </c>
      <c r="H33" s="75">
        <f>H23</f>
        <v>1964413.717732708</v>
      </c>
      <c r="I33" s="75">
        <f t="shared" ref="I33:R33" si="13">I23</f>
        <v>0</v>
      </c>
      <c r="J33" s="75">
        <f t="shared" si="13"/>
        <v>0</v>
      </c>
      <c r="K33" s="75">
        <f t="shared" si="13"/>
        <v>0</v>
      </c>
      <c r="L33" s="75">
        <f t="shared" si="13"/>
        <v>0</v>
      </c>
      <c r="M33" s="75">
        <f t="shared" si="13"/>
        <v>43867.873520000001</v>
      </c>
      <c r="N33" s="75">
        <f t="shared" si="13"/>
        <v>0</v>
      </c>
      <c r="O33" s="75">
        <f t="shared" si="13"/>
        <v>0</v>
      </c>
      <c r="P33" s="75">
        <f t="shared" si="13"/>
        <v>0</v>
      </c>
      <c r="Q33" s="75">
        <f t="shared" si="13"/>
        <v>-2602.3314799999998</v>
      </c>
      <c r="R33" s="75">
        <f t="shared" si="13"/>
        <v>0</v>
      </c>
      <c r="S33" s="75">
        <f>S23</f>
        <v>2005679.2597727079</v>
      </c>
      <c r="T33" s="57">
        <f>T23</f>
        <v>0</v>
      </c>
      <c r="U33" s="1">
        <f t="shared" si="10"/>
        <v>0</v>
      </c>
    </row>
    <row r="34" spans="2:21" s="70" customFormat="1" x14ac:dyDescent="0.25">
      <c r="B34" s="79" t="s">
        <v>3</v>
      </c>
      <c r="C34" s="79"/>
      <c r="D34" s="82">
        <f>SUM(D27:D33)</f>
        <v>1172906987.0608532</v>
      </c>
      <c r="E34" s="80">
        <f>SUM(E27:E33)</f>
        <v>567196461.71043563</v>
      </c>
      <c r="F34" s="81">
        <f t="shared" si="8"/>
        <v>0.48358179119706113</v>
      </c>
      <c r="G34" s="82">
        <f>SUM(G27:G33)</f>
        <v>1168736259</v>
      </c>
      <c r="H34" s="80">
        <f>SUM(H27:H33)</f>
        <v>558450852.68243968</v>
      </c>
      <c r="I34" s="80">
        <f t="shared" ref="I34:R34" si="14">SUM(I27:I33)</f>
        <v>545319524.0200001</v>
      </c>
      <c r="J34" s="80">
        <f t="shared" si="14"/>
        <v>37461018.739999995</v>
      </c>
      <c r="K34" s="80">
        <f t="shared" si="14"/>
        <v>21865251.347009998</v>
      </c>
      <c r="L34" s="80">
        <f t="shared" si="14"/>
        <v>2706585.0688313586</v>
      </c>
      <c r="M34" s="80">
        <f t="shared" si="14"/>
        <v>21586561.338570006</v>
      </c>
      <c r="N34" s="80">
        <f t="shared" si="14"/>
        <v>2832207.6993675027</v>
      </c>
      <c r="O34" s="80">
        <f t="shared" si="14"/>
        <v>-1506899.1684423801</v>
      </c>
      <c r="P34" s="80">
        <f t="shared" si="14"/>
        <v>43118129.440554254</v>
      </c>
      <c r="Q34" s="80">
        <f t="shared" si="14"/>
        <v>-1256129.1151999999</v>
      </c>
      <c r="R34" s="80">
        <f t="shared" si="14"/>
        <v>11830483.760000002</v>
      </c>
      <c r="S34" s="80">
        <f>SUM(S27:S33)</f>
        <v>1242407585.8131306</v>
      </c>
      <c r="T34" s="62">
        <f>SUM(T27:T33)</f>
        <v>4731884.4595799986</v>
      </c>
      <c r="U34" s="7">
        <f t="shared" si="10"/>
        <v>3.8086409915817411E-3</v>
      </c>
    </row>
    <row r="35" spans="2:21" s="70" customFormat="1" x14ac:dyDescent="0.25">
      <c r="B35" s="83"/>
      <c r="C35" s="83"/>
      <c r="D35" s="83"/>
      <c r="E35" s="83"/>
      <c r="F35" s="83"/>
      <c r="I35" s="84"/>
      <c r="L35" s="83"/>
      <c r="N35" s="83"/>
      <c r="O35" s="83"/>
      <c r="P35" s="83"/>
      <c r="Q35" s="83"/>
      <c r="R35" s="83"/>
      <c r="S35" s="83"/>
      <c r="T35" s="85"/>
    </row>
    <row r="36" spans="2:21" ht="17.25" x14ac:dyDescent="0.25">
      <c r="B36" t="s">
        <v>187</v>
      </c>
    </row>
    <row r="37" spans="2:21" ht="17.25" x14ac:dyDescent="0.25">
      <c r="B37" t="s">
        <v>188</v>
      </c>
    </row>
  </sheetData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zoomScale="90" zoomScaleNormal="90" workbookViewId="0">
      <selection activeCell="G28" sqref="G28"/>
    </sheetView>
  </sheetViews>
  <sheetFormatPr defaultColWidth="9.140625" defaultRowHeight="15" x14ac:dyDescent="0.25"/>
  <cols>
    <col min="1" max="1" width="2.140625" style="87" customWidth="1"/>
    <col min="2" max="2" width="2.42578125" style="87" customWidth="1"/>
    <col min="3" max="3" width="34.85546875" style="87" customWidth="1"/>
    <col min="4" max="5" width="11.85546875" style="87" customWidth="1"/>
    <col min="6" max="6" width="2.7109375" style="88" customWidth="1"/>
    <col min="7" max="8" width="11.85546875" style="87" customWidth="1"/>
    <col min="9" max="16384" width="9.140625" style="87"/>
  </cols>
  <sheetData>
    <row r="1" spans="2:8" x14ac:dyDescent="0.25">
      <c r="B1" s="86" t="s">
        <v>12</v>
      </c>
      <c r="C1" s="86"/>
      <c r="D1" s="86"/>
      <c r="E1" s="86"/>
      <c r="F1" s="86"/>
      <c r="G1" s="86"/>
      <c r="H1" s="86"/>
    </row>
    <row r="2" spans="2:8" x14ac:dyDescent="0.25">
      <c r="B2" s="86" t="str">
        <f>'Rate Impacts Sch 120'!B2</f>
        <v>2023 Gas Schedule 120 Conservation Filing</v>
      </c>
      <c r="C2" s="86"/>
      <c r="D2" s="86"/>
      <c r="E2" s="86"/>
      <c r="F2" s="86"/>
      <c r="G2" s="86"/>
      <c r="H2" s="86"/>
    </row>
    <row r="3" spans="2:8" x14ac:dyDescent="0.25">
      <c r="B3" s="45" t="s">
        <v>122</v>
      </c>
      <c r="C3" s="45"/>
      <c r="D3" s="45"/>
      <c r="E3" s="45"/>
      <c r="F3" s="45"/>
      <c r="G3" s="45"/>
      <c r="H3" s="45"/>
    </row>
    <row r="4" spans="2:8" x14ac:dyDescent="0.25">
      <c r="B4" s="45" t="str">
        <f>'Rate Impacts Sch 120'!B4</f>
        <v>Proposed Rates Effective May 1, 2023</v>
      </c>
      <c r="C4" s="45"/>
      <c r="D4" s="45"/>
      <c r="E4" s="45"/>
      <c r="F4" s="45"/>
      <c r="G4" s="45"/>
      <c r="H4" s="45"/>
    </row>
    <row r="6" spans="2:8" x14ac:dyDescent="0.25">
      <c r="G6" s="89" t="s">
        <v>123</v>
      </c>
      <c r="H6" s="89"/>
    </row>
    <row r="7" spans="2:8" x14ac:dyDescent="0.25">
      <c r="D7" s="90" t="s">
        <v>124</v>
      </c>
      <c r="E7" s="90"/>
      <c r="F7" s="91"/>
      <c r="G7" s="90" t="s">
        <v>125</v>
      </c>
      <c r="H7" s="90"/>
    </row>
    <row r="8" spans="2:8" ht="17.25" x14ac:dyDescent="0.25">
      <c r="D8" s="92" t="s">
        <v>126</v>
      </c>
      <c r="E8" s="92" t="s">
        <v>127</v>
      </c>
      <c r="F8" s="93"/>
      <c r="G8" s="92" t="s">
        <v>128</v>
      </c>
      <c r="H8" s="92" t="s">
        <v>127</v>
      </c>
    </row>
    <row r="9" spans="2:8" x14ac:dyDescent="0.25">
      <c r="B9" s="87" t="s">
        <v>129</v>
      </c>
      <c r="D9" s="94">
        <v>64</v>
      </c>
      <c r="E9" s="95"/>
      <c r="F9" s="96"/>
      <c r="G9" s="94">
        <v>64</v>
      </c>
      <c r="H9" s="95"/>
    </row>
    <row r="10" spans="2:8" x14ac:dyDescent="0.25">
      <c r="D10" s="94"/>
      <c r="E10" s="95"/>
      <c r="F10" s="96"/>
      <c r="G10" s="94"/>
      <c r="H10" s="95"/>
    </row>
    <row r="11" spans="2:8" x14ac:dyDescent="0.25">
      <c r="B11" s="87" t="s">
        <v>130</v>
      </c>
      <c r="D11" s="94"/>
      <c r="E11" s="95"/>
      <c r="F11" s="96"/>
      <c r="G11" s="94"/>
      <c r="H11" s="95"/>
    </row>
    <row r="12" spans="2:8" x14ac:dyDescent="0.25">
      <c r="C12" s="87" t="s">
        <v>131</v>
      </c>
      <c r="D12" s="171">
        <v>12.5</v>
      </c>
      <c r="E12" s="95">
        <f>D12</f>
        <v>12.5</v>
      </c>
      <c r="F12" s="97"/>
      <c r="G12" s="98">
        <f>$D$12</f>
        <v>12.5</v>
      </c>
      <c r="H12" s="95">
        <f>G12</f>
        <v>12.5</v>
      </c>
    </row>
    <row r="13" spans="2:8" x14ac:dyDescent="0.25">
      <c r="C13" s="87" t="s">
        <v>132</v>
      </c>
      <c r="D13" s="99">
        <f>SUM(D12:D12)</f>
        <v>12.5</v>
      </c>
      <c r="E13" s="99">
        <f>SUM(E12:E12)</f>
        <v>12.5</v>
      </c>
      <c r="F13" s="97"/>
      <c r="G13" s="99">
        <f>SUM(G12:G12)</f>
        <v>12.5</v>
      </c>
      <c r="H13" s="99">
        <f>SUM(H12:H12)</f>
        <v>12.5</v>
      </c>
    </row>
    <row r="14" spans="2:8" x14ac:dyDescent="0.25">
      <c r="D14" s="100"/>
      <c r="E14" s="95"/>
      <c r="F14" s="97"/>
      <c r="G14" s="98"/>
      <c r="H14" s="95"/>
    </row>
    <row r="15" spans="2:8" x14ac:dyDescent="0.25">
      <c r="B15" s="87" t="s">
        <v>133</v>
      </c>
      <c r="E15" s="95"/>
      <c r="H15" s="95"/>
    </row>
    <row r="16" spans="2:8" x14ac:dyDescent="0.25">
      <c r="C16" s="87" t="s">
        <v>134</v>
      </c>
      <c r="D16" s="170">
        <v>0.45612999999999998</v>
      </c>
      <c r="E16" s="95"/>
      <c r="F16" s="102"/>
      <c r="G16" s="103">
        <f>$D$16</f>
        <v>0.45612999999999998</v>
      </c>
      <c r="H16" s="95"/>
    </row>
    <row r="17" spans="3:8" x14ac:dyDescent="0.25">
      <c r="C17" s="87" t="s">
        <v>135</v>
      </c>
      <c r="D17" s="170">
        <v>3.16E-3</v>
      </c>
      <c r="E17" s="95"/>
      <c r="F17" s="102"/>
      <c r="G17" s="8">
        <f>$D$17</f>
        <v>3.16E-3</v>
      </c>
      <c r="H17" s="95"/>
    </row>
    <row r="18" spans="3:8" x14ac:dyDescent="0.25">
      <c r="C18" s="87" t="s">
        <v>136</v>
      </c>
      <c r="D18" s="170">
        <v>2.3620000000000002E-2</v>
      </c>
      <c r="E18" s="95"/>
      <c r="F18" s="102"/>
      <c r="G18" s="8">
        <f>$D$18</f>
        <v>2.3620000000000002E-2</v>
      </c>
      <c r="H18" s="95"/>
    </row>
    <row r="19" spans="3:8" x14ac:dyDescent="0.25">
      <c r="C19" s="87" t="s">
        <v>189</v>
      </c>
      <c r="D19" s="170">
        <v>3.2599999999999999E-3</v>
      </c>
      <c r="E19" s="95"/>
      <c r="F19" s="102"/>
      <c r="G19" s="8">
        <f>$D$19</f>
        <v>3.2599999999999999E-3</v>
      </c>
      <c r="H19" s="95"/>
    </row>
    <row r="20" spans="3:8" x14ac:dyDescent="0.25">
      <c r="C20" s="87" t="s">
        <v>190</v>
      </c>
      <c r="D20" s="170">
        <v>-1.6999999999999999E-3</v>
      </c>
      <c r="E20" s="95"/>
      <c r="F20" s="102"/>
      <c r="G20" s="8">
        <f>$D$20</f>
        <v>-1.6999999999999999E-3</v>
      </c>
      <c r="H20" s="95"/>
    </row>
    <row r="21" spans="3:8" x14ac:dyDescent="0.25">
      <c r="C21" s="87" t="s">
        <v>191</v>
      </c>
      <c r="D21" s="170">
        <v>4.8649999999999999E-2</v>
      </c>
      <c r="E21" s="95"/>
      <c r="F21" s="102"/>
      <c r="G21" s="8">
        <f>$D$21</f>
        <v>4.8649999999999999E-2</v>
      </c>
      <c r="H21" s="95"/>
    </row>
    <row r="22" spans="3:8" x14ac:dyDescent="0.25">
      <c r="C22" s="87" t="s">
        <v>137</v>
      </c>
      <c r="D22" s="170">
        <v>0</v>
      </c>
      <c r="E22" s="95"/>
      <c r="F22" s="102"/>
      <c r="G22" s="103">
        <f>$D$22</f>
        <v>0</v>
      </c>
      <c r="H22" s="95"/>
    </row>
    <row r="23" spans="3:8" x14ac:dyDescent="0.25">
      <c r="C23" s="87" t="s">
        <v>138</v>
      </c>
      <c r="D23" s="170">
        <v>-1.3699999999999999E-3</v>
      </c>
      <c r="E23" s="95"/>
      <c r="F23" s="102"/>
      <c r="G23" s="8">
        <f>$D$23</f>
        <v>-1.3699999999999999E-3</v>
      </c>
      <c r="H23" s="95"/>
    </row>
    <row r="24" spans="3:8" x14ac:dyDescent="0.25">
      <c r="C24" s="87" t="s">
        <v>139</v>
      </c>
      <c r="D24" s="170">
        <v>1.6670000000000001E-2</v>
      </c>
      <c r="E24" s="95"/>
      <c r="F24" s="102"/>
      <c r="G24" s="8">
        <f>$D$24</f>
        <v>1.6670000000000001E-2</v>
      </c>
      <c r="H24" s="95"/>
    </row>
    <row r="25" spans="3:8" x14ac:dyDescent="0.25">
      <c r="C25" s="87" t="s">
        <v>140</v>
      </c>
      <c r="D25" s="170">
        <v>0</v>
      </c>
      <c r="E25" s="95"/>
      <c r="F25" s="102"/>
      <c r="G25" s="8">
        <f>$D$25</f>
        <v>0</v>
      </c>
      <c r="H25" s="95"/>
    </row>
    <row r="26" spans="3:8" x14ac:dyDescent="0.25">
      <c r="C26" s="87" t="s">
        <v>132</v>
      </c>
      <c r="D26" s="105">
        <f>SUM(D16:D25)</f>
        <v>0.54841999999999991</v>
      </c>
      <c r="E26" s="95">
        <f>ROUND(D26*D$9,2)</f>
        <v>35.1</v>
      </c>
      <c r="F26" s="102"/>
      <c r="G26" s="105">
        <f>SUM(G16:G25)</f>
        <v>0.54841999999999991</v>
      </c>
      <c r="H26" s="95">
        <f>ROUND(G26*G$9,2)</f>
        <v>35.1</v>
      </c>
    </row>
    <row r="28" spans="3:8" x14ac:dyDescent="0.25">
      <c r="C28" s="87" t="s">
        <v>141</v>
      </c>
      <c r="D28" s="101">
        <f>'Sch. 120'!$D$9</f>
        <v>2.366E-2</v>
      </c>
      <c r="E28" s="95">
        <f>ROUND(D28*D$9,2)</f>
        <v>1.51</v>
      </c>
      <c r="F28" s="102"/>
      <c r="G28" s="104">
        <f>'Sch. 120'!$E$9</f>
        <v>2.8750000000000001E-2</v>
      </c>
      <c r="H28" s="95">
        <f>ROUND(G28*G$9,2)</f>
        <v>1.84</v>
      </c>
    </row>
    <row r="29" spans="3:8" x14ac:dyDescent="0.25">
      <c r="D29" s="103"/>
      <c r="E29" s="95"/>
      <c r="F29" s="102"/>
      <c r="G29" s="103"/>
      <c r="H29" s="95"/>
    </row>
    <row r="30" spans="3:8" x14ac:dyDescent="0.25">
      <c r="C30" s="87" t="s">
        <v>142</v>
      </c>
      <c r="D30" s="170">
        <v>0.58284999999999998</v>
      </c>
      <c r="E30" s="95"/>
      <c r="F30" s="102"/>
      <c r="G30" s="8">
        <f>$D$30</f>
        <v>0.58284999999999998</v>
      </c>
      <c r="H30" s="95"/>
    </row>
    <row r="31" spans="3:8" x14ac:dyDescent="0.25">
      <c r="C31" s="87" t="s">
        <v>143</v>
      </c>
      <c r="D31" s="170">
        <v>4.036E-2</v>
      </c>
      <c r="E31" s="95"/>
      <c r="F31" s="102"/>
      <c r="G31" s="8">
        <f>$D$31</f>
        <v>4.036E-2</v>
      </c>
      <c r="H31" s="95"/>
    </row>
    <row r="32" spans="3:8" x14ac:dyDescent="0.25">
      <c r="C32" s="87" t="s">
        <v>132</v>
      </c>
      <c r="D32" s="105">
        <f>SUM(D30:D31)</f>
        <v>0.62320999999999993</v>
      </c>
      <c r="E32" s="95">
        <f>ROUND(D32*D$9,2)</f>
        <v>39.89</v>
      </c>
      <c r="F32" s="102"/>
      <c r="G32" s="105">
        <f>SUM(G30:G31)</f>
        <v>0.62320999999999993</v>
      </c>
      <c r="H32" s="95">
        <f>ROUND(G32*G$9,2)</f>
        <v>39.89</v>
      </c>
    </row>
    <row r="33" spans="2:8" x14ac:dyDescent="0.25">
      <c r="C33" s="87" t="s">
        <v>144</v>
      </c>
      <c r="D33" s="105">
        <f>D26+D28+D32</f>
        <v>1.19529</v>
      </c>
      <c r="E33" s="106">
        <f>SUM(E26,E28,E32)</f>
        <v>76.5</v>
      </c>
      <c r="F33" s="107"/>
      <c r="G33" s="105">
        <f>G26+G28+G32</f>
        <v>1.20038</v>
      </c>
      <c r="H33" s="106">
        <f>SUM(H26,H28,H32)</f>
        <v>76.830000000000013</v>
      </c>
    </row>
    <row r="34" spans="2:8" x14ac:dyDescent="0.25">
      <c r="E34" s="95"/>
      <c r="H34" s="95"/>
    </row>
    <row r="35" spans="2:8" x14ac:dyDescent="0.25">
      <c r="B35" s="87" t="s">
        <v>145</v>
      </c>
      <c r="D35" s="98"/>
      <c r="E35" s="95">
        <f>E13+E33</f>
        <v>89</v>
      </c>
      <c r="F35" s="108"/>
      <c r="G35" s="98"/>
      <c r="H35" s="95">
        <f>H13+H33</f>
        <v>89.330000000000013</v>
      </c>
    </row>
    <row r="36" spans="2:8" x14ac:dyDescent="0.25">
      <c r="B36" s="87" t="s">
        <v>146</v>
      </c>
      <c r="D36" s="98"/>
      <c r="E36" s="95"/>
      <c r="F36" s="108"/>
      <c r="G36" s="98"/>
      <c r="H36" s="95">
        <f>H35-$E35</f>
        <v>0.33000000000001251</v>
      </c>
    </row>
    <row r="37" spans="2:8" x14ac:dyDescent="0.25">
      <c r="B37" s="87" t="s">
        <v>147</v>
      </c>
      <c r="D37" s="109"/>
      <c r="E37" s="109"/>
      <c r="F37" s="110"/>
      <c r="G37" s="109"/>
      <c r="H37" s="111">
        <f>H36/$E35</f>
        <v>3.7078651685394665E-3</v>
      </c>
    </row>
    <row r="38" spans="2:8" x14ac:dyDescent="0.25">
      <c r="E38" s="95"/>
    </row>
    <row r="39" spans="2:8" x14ac:dyDescent="0.25">
      <c r="B39" s="87" t="s">
        <v>148</v>
      </c>
      <c r="D39" s="103">
        <f>D26+D28</f>
        <v>0.57207999999999992</v>
      </c>
      <c r="E39" s="95"/>
      <c r="F39" s="107"/>
      <c r="G39" s="103">
        <f>G26+G28</f>
        <v>0.57716999999999996</v>
      </c>
    </row>
    <row r="41" spans="2:8" ht="17.25" x14ac:dyDescent="0.25">
      <c r="B41" s="112" t="s">
        <v>192</v>
      </c>
      <c r="D41" s="112"/>
      <c r="E41" s="112"/>
      <c r="F41" s="113"/>
      <c r="G41" s="113"/>
      <c r="H41" s="113"/>
    </row>
    <row r="46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90" zoomScaleNormal="90" workbookViewId="0">
      <selection activeCell="E9" sqref="E9"/>
    </sheetView>
  </sheetViews>
  <sheetFormatPr defaultColWidth="8.7109375" defaultRowHeight="15" x14ac:dyDescent="0.25"/>
  <cols>
    <col min="1" max="1" width="31.140625" style="3" customWidth="1"/>
    <col min="2" max="2" width="8.7109375" style="3"/>
    <col min="3" max="3" width="18.5703125" style="3" bestFit="1" customWidth="1"/>
    <col min="4" max="5" width="13.7109375" style="3" customWidth="1"/>
    <col min="6" max="8" width="14.42578125" style="3" customWidth="1"/>
    <col min="9" max="9" width="8.28515625" style="3" customWidth="1"/>
    <col min="10" max="16384" width="8.7109375" style="3"/>
  </cols>
  <sheetData>
    <row r="1" spans="1:9" x14ac:dyDescent="0.25">
      <c r="A1" s="157" t="s">
        <v>12</v>
      </c>
      <c r="B1" s="157"/>
      <c r="C1" s="157"/>
      <c r="D1" s="157"/>
      <c r="E1" s="157"/>
      <c r="F1" s="157"/>
      <c r="G1" s="157"/>
      <c r="H1" s="157"/>
      <c r="I1" s="157"/>
    </row>
    <row r="2" spans="1:9" x14ac:dyDescent="0.25">
      <c r="A2" s="157" t="s">
        <v>149</v>
      </c>
      <c r="B2" s="157"/>
      <c r="C2" s="157"/>
      <c r="D2" s="157"/>
      <c r="E2" s="157"/>
      <c r="F2" s="157"/>
      <c r="G2" s="157"/>
      <c r="H2" s="157"/>
      <c r="I2" s="157"/>
    </row>
    <row r="3" spans="1:9" x14ac:dyDescent="0.25">
      <c r="A3" s="157" t="s">
        <v>150</v>
      </c>
      <c r="B3" s="157"/>
      <c r="C3" s="157"/>
      <c r="D3" s="157"/>
      <c r="E3" s="157"/>
      <c r="F3" s="157"/>
      <c r="G3" s="157"/>
      <c r="H3" s="157"/>
      <c r="I3" s="157"/>
    </row>
    <row r="4" spans="1:9" x14ac:dyDescent="0.25">
      <c r="A4" s="157" t="s">
        <v>175</v>
      </c>
      <c r="B4" s="157"/>
      <c r="C4" s="157"/>
      <c r="D4" s="157"/>
      <c r="E4" s="157"/>
      <c r="F4" s="157"/>
      <c r="G4" s="157"/>
      <c r="H4" s="157"/>
      <c r="I4" s="157"/>
    </row>
    <row r="5" spans="1:9" x14ac:dyDescent="0.25">
      <c r="D5" s="154"/>
      <c r="E5" s="154"/>
    </row>
    <row r="6" spans="1:9" x14ac:dyDescent="0.25">
      <c r="A6" s="13"/>
      <c r="B6" s="13"/>
      <c r="C6" s="13" t="s">
        <v>13</v>
      </c>
      <c r="D6" s="13" t="s">
        <v>151</v>
      </c>
      <c r="E6" s="13" t="s">
        <v>152</v>
      </c>
      <c r="F6" s="114" t="s">
        <v>13</v>
      </c>
      <c r="G6" s="114" t="s">
        <v>13</v>
      </c>
      <c r="H6" s="13" t="s">
        <v>153</v>
      </c>
      <c r="I6" s="13"/>
    </row>
    <row r="7" spans="1:9" x14ac:dyDescent="0.25">
      <c r="A7" s="13"/>
      <c r="B7" s="13" t="s">
        <v>72</v>
      </c>
      <c r="C7" s="13" t="s">
        <v>154</v>
      </c>
      <c r="D7" s="13" t="s">
        <v>153</v>
      </c>
      <c r="E7" s="13" t="s">
        <v>153</v>
      </c>
      <c r="F7" s="114" t="s">
        <v>81</v>
      </c>
      <c r="G7" s="114" t="s">
        <v>81</v>
      </c>
      <c r="H7" s="13" t="s">
        <v>81</v>
      </c>
      <c r="I7" s="13" t="s">
        <v>29</v>
      </c>
    </row>
    <row r="8" spans="1:9" x14ac:dyDescent="0.25">
      <c r="A8" s="14" t="s">
        <v>82</v>
      </c>
      <c r="B8" s="14" t="s">
        <v>4</v>
      </c>
      <c r="C8" s="166" t="s">
        <v>177</v>
      </c>
      <c r="D8" s="14" t="s">
        <v>128</v>
      </c>
      <c r="E8" s="14" t="s">
        <v>128</v>
      </c>
      <c r="F8" s="92" t="s">
        <v>124</v>
      </c>
      <c r="G8" s="92" t="s">
        <v>49</v>
      </c>
      <c r="H8" s="14" t="s">
        <v>87</v>
      </c>
      <c r="I8" s="14" t="s">
        <v>87</v>
      </c>
    </row>
    <row r="9" spans="1:9" x14ac:dyDescent="0.25">
      <c r="A9" s="3" t="s">
        <v>22</v>
      </c>
      <c r="B9" s="154" t="s">
        <v>104</v>
      </c>
      <c r="C9" s="165">
        <v>589986777</v>
      </c>
      <c r="D9" s="115">
        <v>2.366E-2</v>
      </c>
      <c r="E9" s="116">
        <f>Rates!$G$21</f>
        <v>2.8750000000000001E-2</v>
      </c>
      <c r="F9" s="58">
        <f>C9*D9</f>
        <v>13959087.143820001</v>
      </c>
      <c r="G9" s="58">
        <f>C9*E9</f>
        <v>16962119.838750001</v>
      </c>
      <c r="H9" s="19">
        <f>G9-F9</f>
        <v>3003032.6949300002</v>
      </c>
      <c r="I9" s="117">
        <f>H9/F9</f>
        <v>0.21513102282333052</v>
      </c>
    </row>
    <row r="10" spans="1:9" x14ac:dyDescent="0.25">
      <c r="A10" s="3" t="s">
        <v>105</v>
      </c>
      <c r="B10" s="154">
        <v>16</v>
      </c>
      <c r="C10" s="165">
        <v>7068</v>
      </c>
      <c r="D10" s="115">
        <v>2.366E-2</v>
      </c>
      <c r="E10" s="116">
        <f>Rates!$G$21</f>
        <v>2.8750000000000001E-2</v>
      </c>
      <c r="F10" s="58">
        <f t="shared" ref="F10:F21" si="0">C10*D10</f>
        <v>167.22888</v>
      </c>
      <c r="G10" s="58">
        <f t="shared" ref="G10:G21" si="1">C10*E10</f>
        <v>203.20500000000001</v>
      </c>
      <c r="H10" s="19">
        <f t="shared" ref="H10:H21" si="2">G10-F10</f>
        <v>35.976120000000009</v>
      </c>
      <c r="I10" s="117">
        <f t="shared" ref="I10:I20" si="3">H10/F10</f>
        <v>0.21513102282333058</v>
      </c>
    </row>
    <row r="11" spans="1:9" x14ac:dyDescent="0.25">
      <c r="A11" s="3" t="s">
        <v>24</v>
      </c>
      <c r="B11" s="154">
        <v>31</v>
      </c>
      <c r="C11" s="165">
        <v>240200859</v>
      </c>
      <c r="D11" s="115">
        <v>2.366E-2</v>
      </c>
      <c r="E11" s="116">
        <f>Rates!$G$21</f>
        <v>2.8750000000000001E-2</v>
      </c>
      <c r="F11" s="58">
        <f t="shared" si="0"/>
        <v>5683152.3239400005</v>
      </c>
      <c r="G11" s="58">
        <f t="shared" si="1"/>
        <v>6905774.69625</v>
      </c>
      <c r="H11" s="19">
        <f t="shared" si="2"/>
        <v>1222622.3723099995</v>
      </c>
      <c r="I11" s="117">
        <f t="shared" si="3"/>
        <v>0.21513102282333041</v>
      </c>
    </row>
    <row r="12" spans="1:9" x14ac:dyDescent="0.25">
      <c r="A12" s="3" t="s">
        <v>45</v>
      </c>
      <c r="B12" s="154">
        <v>41</v>
      </c>
      <c r="C12" s="165">
        <v>65142305</v>
      </c>
      <c r="D12" s="115">
        <v>2.366E-2</v>
      </c>
      <c r="E12" s="116">
        <f>Rates!$G$21</f>
        <v>2.8750000000000001E-2</v>
      </c>
      <c r="F12" s="58">
        <f t="shared" si="0"/>
        <v>1541266.9362999999</v>
      </c>
      <c r="G12" s="58">
        <f t="shared" si="1"/>
        <v>1872841.26875</v>
      </c>
      <c r="H12" s="19">
        <f t="shared" si="2"/>
        <v>331574.3324500001</v>
      </c>
      <c r="I12" s="117">
        <f t="shared" si="3"/>
        <v>0.2151310228233306</v>
      </c>
    </row>
    <row r="13" spans="1:9" x14ac:dyDescent="0.25">
      <c r="A13" s="3" t="s">
        <v>25</v>
      </c>
      <c r="B13" s="154">
        <v>85</v>
      </c>
      <c r="C13" s="165">
        <v>12598584</v>
      </c>
      <c r="D13" s="115">
        <v>2.0570000000000001E-2</v>
      </c>
      <c r="E13" s="116">
        <f>Rates!$G$22</f>
        <v>2.5839999999999998E-2</v>
      </c>
      <c r="F13" s="58">
        <f t="shared" si="0"/>
        <v>259152.87288000001</v>
      </c>
      <c r="G13" s="58">
        <f t="shared" si="1"/>
        <v>325547.41055999999</v>
      </c>
      <c r="H13" s="19">
        <f t="shared" si="2"/>
        <v>66394.537679999979</v>
      </c>
      <c r="I13" s="117">
        <f t="shared" si="3"/>
        <v>0.25619834710743794</v>
      </c>
    </row>
    <row r="14" spans="1:9" x14ac:dyDescent="0.25">
      <c r="A14" s="3" t="s">
        <v>26</v>
      </c>
      <c r="B14" s="154">
        <v>86</v>
      </c>
      <c r="C14" s="165">
        <v>5293627</v>
      </c>
      <c r="D14" s="115">
        <v>2.0570000000000001E-2</v>
      </c>
      <c r="E14" s="116">
        <f>Rates!$G$22</f>
        <v>2.5839999999999998E-2</v>
      </c>
      <c r="F14" s="58">
        <f t="shared" si="0"/>
        <v>108889.90739000001</v>
      </c>
      <c r="G14" s="58">
        <f t="shared" si="1"/>
        <v>136787.32167999999</v>
      </c>
      <c r="H14" s="19">
        <f t="shared" si="2"/>
        <v>27897.414289999986</v>
      </c>
      <c r="I14" s="117">
        <f t="shared" si="3"/>
        <v>0.25619834710743788</v>
      </c>
    </row>
    <row r="15" spans="1:9" x14ac:dyDescent="0.25">
      <c r="A15" s="3" t="s">
        <v>27</v>
      </c>
      <c r="B15" s="154">
        <v>87</v>
      </c>
      <c r="C15" s="165">
        <v>15242340</v>
      </c>
      <c r="D15" s="115">
        <v>2.0570000000000001E-2</v>
      </c>
      <c r="E15" s="116">
        <f>Rates!$G$22</f>
        <v>2.5839999999999998E-2</v>
      </c>
      <c r="F15" s="58">
        <f t="shared" si="0"/>
        <v>313534.9338</v>
      </c>
      <c r="G15" s="58">
        <f t="shared" si="1"/>
        <v>393862.06559999997</v>
      </c>
      <c r="H15" s="19">
        <f t="shared" si="2"/>
        <v>80327.131799999974</v>
      </c>
      <c r="I15" s="117">
        <f t="shared" si="3"/>
        <v>0.25619834710743794</v>
      </c>
    </row>
    <row r="16" spans="1:9" x14ac:dyDescent="0.25">
      <c r="A16" s="3" t="s">
        <v>106</v>
      </c>
      <c r="B16" s="154" t="s">
        <v>52</v>
      </c>
      <c r="C16" s="165">
        <v>35156</v>
      </c>
      <c r="D16" s="118">
        <v>0</v>
      </c>
      <c r="E16" s="118">
        <v>0</v>
      </c>
      <c r="F16" s="58">
        <f t="shared" si="0"/>
        <v>0</v>
      </c>
      <c r="G16" s="58">
        <f t="shared" si="1"/>
        <v>0</v>
      </c>
      <c r="H16" s="19">
        <f t="shared" si="2"/>
        <v>0</v>
      </c>
      <c r="I16" s="117" t="e">
        <f t="shared" si="3"/>
        <v>#DIV/0!</v>
      </c>
    </row>
    <row r="17" spans="1:9" x14ac:dyDescent="0.25">
      <c r="A17" s="3" t="s">
        <v>107</v>
      </c>
      <c r="B17" s="154" t="s">
        <v>0</v>
      </c>
      <c r="C17" s="165">
        <v>23988005</v>
      </c>
      <c r="D17" s="118">
        <v>0</v>
      </c>
      <c r="E17" s="118">
        <v>0</v>
      </c>
      <c r="F17" s="58">
        <f t="shared" si="0"/>
        <v>0</v>
      </c>
      <c r="G17" s="58">
        <f t="shared" si="1"/>
        <v>0</v>
      </c>
      <c r="H17" s="19">
        <f t="shared" si="2"/>
        <v>0</v>
      </c>
      <c r="I17" s="117" t="e">
        <f t="shared" si="3"/>
        <v>#DIV/0!</v>
      </c>
    </row>
    <row r="18" spans="1:9" x14ac:dyDescent="0.25">
      <c r="A18" s="3" t="s">
        <v>108</v>
      </c>
      <c r="B18" s="154" t="s">
        <v>1</v>
      </c>
      <c r="C18" s="165">
        <v>73553376</v>
      </c>
      <c r="D18" s="118">
        <v>0</v>
      </c>
      <c r="E18" s="118">
        <v>0</v>
      </c>
      <c r="F18" s="58">
        <f t="shared" si="0"/>
        <v>0</v>
      </c>
      <c r="G18" s="58">
        <f t="shared" si="1"/>
        <v>0</v>
      </c>
      <c r="H18" s="19">
        <f t="shared" si="2"/>
        <v>0</v>
      </c>
      <c r="I18" s="117" t="e">
        <f t="shared" si="3"/>
        <v>#DIV/0!</v>
      </c>
    </row>
    <row r="19" spans="1:9" x14ac:dyDescent="0.25">
      <c r="A19" s="3" t="s">
        <v>109</v>
      </c>
      <c r="B19" s="154" t="s">
        <v>46</v>
      </c>
      <c r="C19" s="165">
        <v>1377721</v>
      </c>
      <c r="D19" s="118">
        <v>0</v>
      </c>
      <c r="E19" s="118">
        <v>0</v>
      </c>
      <c r="F19" s="58">
        <f t="shared" si="0"/>
        <v>0</v>
      </c>
      <c r="G19" s="58">
        <f t="shared" si="1"/>
        <v>0</v>
      </c>
      <c r="H19" s="19">
        <f t="shared" si="2"/>
        <v>0</v>
      </c>
      <c r="I19" s="117" t="e">
        <f t="shared" si="3"/>
        <v>#DIV/0!</v>
      </c>
    </row>
    <row r="20" spans="1:9" x14ac:dyDescent="0.25">
      <c r="A20" s="3" t="s">
        <v>110</v>
      </c>
      <c r="B20" s="154" t="s">
        <v>2</v>
      </c>
      <c r="C20" s="165">
        <v>104134277</v>
      </c>
      <c r="D20" s="118">
        <v>0</v>
      </c>
      <c r="E20" s="118">
        <v>0</v>
      </c>
      <c r="F20" s="58">
        <f t="shared" si="0"/>
        <v>0</v>
      </c>
      <c r="G20" s="58">
        <f t="shared" si="1"/>
        <v>0</v>
      </c>
      <c r="H20" s="19">
        <f t="shared" si="2"/>
        <v>0</v>
      </c>
      <c r="I20" s="117" t="e">
        <f t="shared" si="3"/>
        <v>#DIV/0!</v>
      </c>
    </row>
    <row r="21" spans="1:9" x14ac:dyDescent="0.25">
      <c r="A21" s="3" t="s">
        <v>47</v>
      </c>
      <c r="B21" s="154"/>
      <c r="C21" s="165">
        <v>37176164</v>
      </c>
      <c r="D21" s="119">
        <v>0</v>
      </c>
      <c r="E21" s="118">
        <v>0</v>
      </c>
      <c r="F21" s="58">
        <f t="shared" si="0"/>
        <v>0</v>
      </c>
      <c r="G21" s="58">
        <f t="shared" si="1"/>
        <v>0</v>
      </c>
      <c r="H21" s="19">
        <f t="shared" si="2"/>
        <v>0</v>
      </c>
      <c r="I21" s="117" t="e">
        <f>H21/F21</f>
        <v>#DIV/0!</v>
      </c>
    </row>
    <row r="22" spans="1:9" x14ac:dyDescent="0.25">
      <c r="A22" s="3" t="s">
        <v>3</v>
      </c>
      <c r="C22" s="6">
        <f>SUM(C9:C21)</f>
        <v>1168736259</v>
      </c>
      <c r="D22" s="120"/>
      <c r="E22" s="121"/>
      <c r="F22" s="63">
        <f>SUM(F9:F21)</f>
        <v>21865251.347009998</v>
      </c>
      <c r="G22" s="63">
        <f>SUM(G9:G21)</f>
        <v>26597135.806589998</v>
      </c>
      <c r="H22" s="27">
        <f>SUM(H9:H21)</f>
        <v>4731884.4595799986</v>
      </c>
      <c r="I22" s="122">
        <f>H22/F22</f>
        <v>0.21641116237280614</v>
      </c>
    </row>
    <row r="23" spans="1:9" x14ac:dyDescent="0.25">
      <c r="A23" s="91"/>
      <c r="B23" s="123"/>
      <c r="C23" s="124"/>
      <c r="D23" s="125"/>
      <c r="E23" s="125"/>
      <c r="F23" s="125"/>
      <c r="G23" s="125"/>
      <c r="H23" s="109"/>
      <c r="I23" s="87"/>
    </row>
    <row r="24" spans="1:9" x14ac:dyDescent="0.25">
      <c r="G24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89" orientation="landscape" blackAndWhite="1" r:id="rId1"/>
  <headerFooter>
    <oddFooter>&amp;L&amp;F
&amp;A&amp;C&amp;P&amp;R&amp;D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D27" sqref="D27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="90" zoomScaleNormal="90" workbookViewId="0">
      <selection activeCell="E19" sqref="E19"/>
    </sheetView>
  </sheetViews>
  <sheetFormatPr defaultColWidth="8.7109375" defaultRowHeight="15" x14ac:dyDescent="0.25"/>
  <cols>
    <col min="1" max="1" width="4.7109375" style="3" customWidth="1"/>
    <col min="2" max="2" width="45.85546875" style="3" customWidth="1"/>
    <col min="3" max="3" width="16.140625" style="3" customWidth="1"/>
    <col min="4" max="4" width="11.140625" style="3" customWidth="1"/>
    <col min="5" max="5" width="16.140625" style="3" customWidth="1"/>
    <col min="6" max="6" width="8.7109375" style="3"/>
    <col min="7" max="7" width="11.5703125" style="3" bestFit="1" customWidth="1"/>
    <col min="8" max="16384" width="8.7109375" style="3"/>
  </cols>
  <sheetData>
    <row r="1" spans="1:7" x14ac:dyDescent="0.25">
      <c r="A1" s="158" t="s">
        <v>12</v>
      </c>
      <c r="B1" s="158"/>
      <c r="C1" s="158"/>
      <c r="D1" s="158"/>
      <c r="E1" s="158"/>
    </row>
    <row r="2" spans="1:7" x14ac:dyDescent="0.25">
      <c r="A2" s="158" t="str">
        <f>Rates!A2</f>
        <v>2023 Gas Schedule 120 Conservation Filing</v>
      </c>
      <c r="B2" s="158"/>
      <c r="C2" s="158"/>
      <c r="D2" s="158"/>
      <c r="E2" s="158"/>
    </row>
    <row r="3" spans="1:7" x14ac:dyDescent="0.25">
      <c r="A3" s="158" t="s">
        <v>5</v>
      </c>
      <c r="B3" s="158"/>
      <c r="C3" s="158"/>
      <c r="D3" s="158"/>
      <c r="E3" s="158"/>
    </row>
    <row r="4" spans="1:7" x14ac:dyDescent="0.25">
      <c r="A4" s="158" t="str">
        <f>Rates!A4</f>
        <v>Proposed Rates Effective May 1, 2023</v>
      </c>
      <c r="B4" s="158"/>
      <c r="C4" s="158"/>
      <c r="D4" s="158"/>
      <c r="E4" s="158"/>
    </row>
    <row r="5" spans="1:7" s="29" customFormat="1" x14ac:dyDescent="0.25"/>
    <row r="6" spans="1:7" ht="30" x14ac:dyDescent="0.25">
      <c r="A6" s="31" t="s">
        <v>6</v>
      </c>
      <c r="B6" s="31" t="s">
        <v>7</v>
      </c>
      <c r="C6" s="31" t="s">
        <v>8</v>
      </c>
      <c r="D6" s="31" t="s">
        <v>9</v>
      </c>
      <c r="E6" s="31" t="s">
        <v>10</v>
      </c>
    </row>
    <row r="7" spans="1:7" x14ac:dyDescent="0.25">
      <c r="A7" s="29"/>
      <c r="B7" s="12" t="s">
        <v>56</v>
      </c>
      <c r="C7" s="32" t="s">
        <v>57</v>
      </c>
      <c r="D7" s="12" t="s">
        <v>58</v>
      </c>
      <c r="E7" s="32" t="s">
        <v>59</v>
      </c>
    </row>
    <row r="8" spans="1:7" x14ac:dyDescent="0.25">
      <c r="A8" s="16">
        <v>1</v>
      </c>
      <c r="B8" s="33" t="s">
        <v>174</v>
      </c>
      <c r="C8" s="168">
        <v>26480546.184833996</v>
      </c>
      <c r="D8" s="116">
        <f>'Conversion Factor'!E16</f>
        <v>0.95344399999999996</v>
      </c>
      <c r="E8" s="30">
        <f>+C8/D8</f>
        <v>27773572.632303521</v>
      </c>
    </row>
    <row r="9" spans="1:7" x14ac:dyDescent="0.25">
      <c r="A9" s="16"/>
      <c r="B9" s="33"/>
      <c r="C9" s="168"/>
      <c r="D9" s="167"/>
      <c r="E9" s="30"/>
    </row>
    <row r="10" spans="1:7" x14ac:dyDescent="0.25">
      <c r="A10" s="16">
        <v>2</v>
      </c>
      <c r="B10" s="33" t="s">
        <v>67</v>
      </c>
      <c r="C10" s="169">
        <v>-1119103.4107799949</v>
      </c>
      <c r="D10" s="116">
        <f>'Conversion Factor'!E16</f>
        <v>0.95344399999999996</v>
      </c>
      <c r="E10" s="34">
        <f>+C10/D10</f>
        <v>-1173748.443306576</v>
      </c>
    </row>
    <row r="11" spans="1:7" x14ac:dyDescent="0.25">
      <c r="A11" s="16"/>
      <c r="B11" s="33"/>
      <c r="C11" s="30"/>
      <c r="D11" s="29"/>
      <c r="E11" s="30"/>
    </row>
    <row r="12" spans="1:7" ht="15.75" thickBot="1" x14ac:dyDescent="0.3">
      <c r="A12" s="16">
        <v>3</v>
      </c>
      <c r="B12" s="33" t="s">
        <v>11</v>
      </c>
      <c r="C12" s="35">
        <f>SUM(C8:C10)</f>
        <v>25361442.774054002</v>
      </c>
      <c r="D12" s="30"/>
      <c r="E12" s="35">
        <f>SUM(E8:E10)</f>
        <v>26599824.188996945</v>
      </c>
    </row>
    <row r="13" spans="1:7" ht="15.75" thickTop="1" x14ac:dyDescent="0.25">
      <c r="C13" s="19"/>
      <c r="E13" s="19"/>
      <c r="G13" s="19"/>
    </row>
    <row r="14" spans="1:7" x14ac:dyDescent="0.25">
      <c r="C14" s="19"/>
      <c r="E14" s="19"/>
    </row>
    <row r="15" spans="1:7" x14ac:dyDescent="0.25">
      <c r="C15" s="19"/>
      <c r="E15" s="19"/>
    </row>
    <row r="16" spans="1:7" x14ac:dyDescent="0.25">
      <c r="C16" s="19"/>
      <c r="E16" s="19"/>
    </row>
    <row r="17" spans="3:3" x14ac:dyDescent="0.25">
      <c r="C17" s="19"/>
    </row>
    <row r="18" spans="3:3" x14ac:dyDescent="0.25">
      <c r="C18" s="1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90" zoomScaleNormal="90" workbookViewId="0">
      <selection activeCell="P36" sqref="P36"/>
    </sheetView>
  </sheetViews>
  <sheetFormatPr defaultColWidth="9.140625" defaultRowHeight="15" x14ac:dyDescent="0.25"/>
  <cols>
    <col min="1" max="1" width="19.85546875" style="3" customWidth="1"/>
    <col min="2" max="13" width="12.42578125" style="3" customWidth="1"/>
    <col min="14" max="14" width="13.5703125" style="3" customWidth="1"/>
    <col min="15" max="16384" width="9.140625" style="3"/>
  </cols>
  <sheetData>
    <row r="1" spans="1:18" x14ac:dyDescent="0.25">
      <c r="A1" s="157" t="s">
        <v>12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8" x14ac:dyDescent="0.25">
      <c r="A2" s="157" t="str">
        <f>Rates!A2</f>
        <v>2023 Gas Schedule 120 Conservation Filing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8" x14ac:dyDescent="0.25">
      <c r="A3" s="157" t="s">
        <v>66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8" x14ac:dyDescent="0.25">
      <c r="A4" s="159" t="str">
        <f>TEXT(B6,"Mmm YYYY - ")&amp;TEXT(M6,"Mmmm YYYY")</f>
        <v>May 2023 - April 2024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8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8" x14ac:dyDescent="0.25">
      <c r="A6" s="44" t="s">
        <v>4</v>
      </c>
      <c r="B6" s="156">
        <v>45047</v>
      </c>
      <c r="C6" s="39">
        <f>EDATE(B6,1)</f>
        <v>45078</v>
      </c>
      <c r="D6" s="39">
        <f t="shared" ref="D6:M6" si="0">EDATE(C6,1)</f>
        <v>45108</v>
      </c>
      <c r="E6" s="39">
        <f t="shared" si="0"/>
        <v>45139</v>
      </c>
      <c r="F6" s="39">
        <f t="shared" si="0"/>
        <v>45170</v>
      </c>
      <c r="G6" s="39">
        <f t="shared" si="0"/>
        <v>45200</v>
      </c>
      <c r="H6" s="39">
        <f t="shared" si="0"/>
        <v>45231</v>
      </c>
      <c r="I6" s="39">
        <f t="shared" si="0"/>
        <v>45261</v>
      </c>
      <c r="J6" s="39">
        <f t="shared" si="0"/>
        <v>45292</v>
      </c>
      <c r="K6" s="39">
        <f t="shared" si="0"/>
        <v>45323</v>
      </c>
      <c r="L6" s="39">
        <f t="shared" si="0"/>
        <v>45352</v>
      </c>
      <c r="M6" s="39">
        <f t="shared" si="0"/>
        <v>45383</v>
      </c>
      <c r="N6" s="14" t="s">
        <v>3</v>
      </c>
    </row>
    <row r="7" spans="1:18" x14ac:dyDescent="0.25">
      <c r="A7" s="129">
        <v>16</v>
      </c>
      <c r="B7" s="43">
        <v>589</v>
      </c>
      <c r="C7" s="43">
        <v>589</v>
      </c>
      <c r="D7" s="43">
        <v>589</v>
      </c>
      <c r="E7" s="43">
        <v>589</v>
      </c>
      <c r="F7" s="43">
        <v>589</v>
      </c>
      <c r="G7" s="43">
        <v>589</v>
      </c>
      <c r="H7" s="43">
        <v>589</v>
      </c>
      <c r="I7" s="43">
        <v>589</v>
      </c>
      <c r="J7" s="43">
        <v>589</v>
      </c>
      <c r="K7" s="43">
        <v>589</v>
      </c>
      <c r="L7" s="43">
        <v>589</v>
      </c>
      <c r="M7" s="43">
        <v>589</v>
      </c>
      <c r="N7" s="128">
        <f t="shared" ref="N7:N20" si="1">SUM(B7:M7)</f>
        <v>7068</v>
      </c>
      <c r="R7" s="5"/>
    </row>
    <row r="8" spans="1:18" x14ac:dyDescent="0.25">
      <c r="A8" s="129">
        <v>23</v>
      </c>
      <c r="B8" s="43">
        <v>28209513</v>
      </c>
      <c r="C8" s="43">
        <v>18430547</v>
      </c>
      <c r="D8" s="43">
        <v>13296329</v>
      </c>
      <c r="E8" s="43">
        <v>12799549</v>
      </c>
      <c r="F8" s="43">
        <v>18485479</v>
      </c>
      <c r="G8" s="43">
        <v>42611904</v>
      </c>
      <c r="H8" s="43">
        <v>70762036</v>
      </c>
      <c r="I8" s="43">
        <v>92371205</v>
      </c>
      <c r="J8" s="43">
        <v>90028930</v>
      </c>
      <c r="K8" s="43">
        <v>80147539</v>
      </c>
      <c r="L8" s="43">
        <v>73543183</v>
      </c>
      <c r="M8" s="43">
        <v>49300563</v>
      </c>
      <c r="N8" s="128">
        <f t="shared" si="1"/>
        <v>589986777</v>
      </c>
      <c r="R8" s="5"/>
    </row>
    <row r="9" spans="1:18" x14ac:dyDescent="0.25">
      <c r="A9" s="129">
        <v>53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128">
        <f t="shared" si="1"/>
        <v>0</v>
      </c>
      <c r="R9" s="5"/>
    </row>
    <row r="10" spans="1:18" x14ac:dyDescent="0.25">
      <c r="A10" s="129">
        <v>31</v>
      </c>
      <c r="B10" s="43">
        <v>13348322</v>
      </c>
      <c r="C10" s="43">
        <v>10772903</v>
      </c>
      <c r="D10" s="43">
        <v>9272634</v>
      </c>
      <c r="E10" s="43">
        <v>9999282</v>
      </c>
      <c r="F10" s="43">
        <v>11696231</v>
      </c>
      <c r="G10" s="43">
        <v>19346533</v>
      </c>
      <c r="H10" s="43">
        <v>27879405</v>
      </c>
      <c r="I10" s="43">
        <v>34726167</v>
      </c>
      <c r="J10" s="43">
        <v>31235212</v>
      </c>
      <c r="K10" s="43">
        <v>28390827</v>
      </c>
      <c r="L10" s="43">
        <v>25268900</v>
      </c>
      <c r="M10" s="43">
        <v>18264443</v>
      </c>
      <c r="N10" s="128">
        <f t="shared" si="1"/>
        <v>240200859</v>
      </c>
      <c r="R10" s="5"/>
    </row>
    <row r="11" spans="1:18" x14ac:dyDescent="0.25">
      <c r="A11" s="129">
        <v>41</v>
      </c>
      <c r="B11" s="43">
        <v>4105933</v>
      </c>
      <c r="C11" s="43">
        <v>3502707</v>
      </c>
      <c r="D11" s="43">
        <v>2902125</v>
      </c>
      <c r="E11" s="43">
        <v>3161567</v>
      </c>
      <c r="F11" s="43">
        <v>3759483</v>
      </c>
      <c r="G11" s="43">
        <v>5805117</v>
      </c>
      <c r="H11" s="43">
        <v>7530476</v>
      </c>
      <c r="I11" s="43">
        <v>8250462</v>
      </c>
      <c r="J11" s="43">
        <v>7383660</v>
      </c>
      <c r="K11" s="43">
        <v>7128334</v>
      </c>
      <c r="L11" s="43">
        <v>6560339</v>
      </c>
      <c r="M11" s="43">
        <v>5052102</v>
      </c>
      <c r="N11" s="128">
        <f t="shared" si="1"/>
        <v>65142305</v>
      </c>
      <c r="R11" s="5"/>
    </row>
    <row r="12" spans="1:18" x14ac:dyDescent="0.25">
      <c r="A12" s="129">
        <v>85</v>
      </c>
      <c r="B12" s="43">
        <v>970474</v>
      </c>
      <c r="C12" s="43">
        <v>808858</v>
      </c>
      <c r="D12" s="43">
        <v>770936</v>
      </c>
      <c r="E12" s="43">
        <v>832251</v>
      </c>
      <c r="F12" s="43">
        <v>779550</v>
      </c>
      <c r="G12" s="43">
        <v>1067853</v>
      </c>
      <c r="H12" s="43">
        <v>1204779</v>
      </c>
      <c r="I12" s="43">
        <v>1468068</v>
      </c>
      <c r="J12" s="43">
        <v>1260995</v>
      </c>
      <c r="K12" s="43">
        <v>1253106</v>
      </c>
      <c r="L12" s="43">
        <v>1189660</v>
      </c>
      <c r="M12" s="43">
        <v>992054</v>
      </c>
      <c r="N12" s="128">
        <f t="shared" si="1"/>
        <v>12598584</v>
      </c>
      <c r="R12" s="5"/>
    </row>
    <row r="13" spans="1:18" x14ac:dyDescent="0.25">
      <c r="A13" s="129">
        <v>86</v>
      </c>
      <c r="B13" s="43">
        <v>397877</v>
      </c>
      <c r="C13" s="43">
        <v>257135</v>
      </c>
      <c r="D13" s="43">
        <v>184922</v>
      </c>
      <c r="E13" s="43">
        <v>152007</v>
      </c>
      <c r="F13" s="43">
        <v>166978</v>
      </c>
      <c r="G13" s="43">
        <v>363562</v>
      </c>
      <c r="H13" s="43">
        <v>543680</v>
      </c>
      <c r="I13" s="43">
        <v>801521</v>
      </c>
      <c r="J13" s="43">
        <v>688744</v>
      </c>
      <c r="K13" s="43">
        <v>670893</v>
      </c>
      <c r="L13" s="43">
        <v>625675</v>
      </c>
      <c r="M13" s="43">
        <v>440633</v>
      </c>
      <c r="N13" s="128">
        <f t="shared" si="1"/>
        <v>5293627</v>
      </c>
      <c r="R13" s="5"/>
    </row>
    <row r="14" spans="1:18" x14ac:dyDescent="0.25">
      <c r="A14" s="129">
        <v>87</v>
      </c>
      <c r="B14" s="43">
        <v>1088262</v>
      </c>
      <c r="C14" s="43">
        <v>910333</v>
      </c>
      <c r="D14" s="43">
        <v>929795</v>
      </c>
      <c r="E14" s="43">
        <v>1005946</v>
      </c>
      <c r="F14" s="43">
        <v>1004039</v>
      </c>
      <c r="G14" s="43">
        <v>1534262</v>
      </c>
      <c r="H14" s="43">
        <v>1582171</v>
      </c>
      <c r="I14" s="43">
        <v>1937626</v>
      </c>
      <c r="J14" s="43">
        <v>1457469</v>
      </c>
      <c r="K14" s="43">
        <v>1429627</v>
      </c>
      <c r="L14" s="43">
        <v>1344773</v>
      </c>
      <c r="M14" s="43">
        <v>1018037</v>
      </c>
      <c r="N14" s="128">
        <f t="shared" si="1"/>
        <v>15242340</v>
      </c>
      <c r="R14" s="5"/>
    </row>
    <row r="15" spans="1:18" x14ac:dyDescent="0.25">
      <c r="A15" s="129" t="s">
        <v>52</v>
      </c>
      <c r="B15" s="43">
        <v>2289</v>
      </c>
      <c r="C15" s="43">
        <v>1975</v>
      </c>
      <c r="D15" s="43">
        <v>1678</v>
      </c>
      <c r="E15" s="43">
        <v>1835</v>
      </c>
      <c r="F15" s="43">
        <v>2343</v>
      </c>
      <c r="G15" s="43">
        <v>2751</v>
      </c>
      <c r="H15" s="43">
        <v>3920</v>
      </c>
      <c r="I15" s="43">
        <v>4292</v>
      </c>
      <c r="J15" s="43">
        <v>3683</v>
      </c>
      <c r="K15" s="43">
        <v>4066</v>
      </c>
      <c r="L15" s="43">
        <v>3372</v>
      </c>
      <c r="M15" s="43">
        <v>2952</v>
      </c>
      <c r="N15" s="128">
        <f t="shared" si="1"/>
        <v>35156</v>
      </c>
      <c r="R15" s="5"/>
    </row>
    <row r="16" spans="1:18" x14ac:dyDescent="0.25">
      <c r="A16" s="129" t="s">
        <v>0</v>
      </c>
      <c r="B16" s="43">
        <v>2048013</v>
      </c>
      <c r="C16" s="43">
        <v>1974473</v>
      </c>
      <c r="D16" s="43">
        <v>1749202</v>
      </c>
      <c r="E16" s="43">
        <v>1775579</v>
      </c>
      <c r="F16" s="43">
        <v>2017119</v>
      </c>
      <c r="G16" s="43">
        <v>1757599</v>
      </c>
      <c r="H16" s="43">
        <v>2051608</v>
      </c>
      <c r="I16" s="43">
        <v>1994393</v>
      </c>
      <c r="J16" s="43">
        <v>2002746</v>
      </c>
      <c r="K16" s="43">
        <v>2310503</v>
      </c>
      <c r="L16" s="43">
        <v>2071246</v>
      </c>
      <c r="M16" s="43">
        <v>2235524</v>
      </c>
      <c r="N16" s="128">
        <f t="shared" si="1"/>
        <v>23988005</v>
      </c>
      <c r="R16" s="5"/>
    </row>
    <row r="17" spans="1:18" x14ac:dyDescent="0.25">
      <c r="A17" s="129" t="s">
        <v>1</v>
      </c>
      <c r="B17" s="43">
        <v>6609285</v>
      </c>
      <c r="C17" s="43">
        <v>6420495</v>
      </c>
      <c r="D17" s="43">
        <v>5925902</v>
      </c>
      <c r="E17" s="43">
        <v>5952306</v>
      </c>
      <c r="F17" s="43">
        <v>6882341</v>
      </c>
      <c r="G17" s="43">
        <v>5593547</v>
      </c>
      <c r="H17" s="43">
        <v>6008165</v>
      </c>
      <c r="I17" s="43">
        <v>5710222</v>
      </c>
      <c r="J17" s="43">
        <v>5405181</v>
      </c>
      <c r="K17" s="43">
        <v>6619182</v>
      </c>
      <c r="L17" s="43">
        <v>5849005</v>
      </c>
      <c r="M17" s="43">
        <v>6577745</v>
      </c>
      <c r="N17" s="128">
        <f t="shared" si="1"/>
        <v>73553376</v>
      </c>
      <c r="R17" s="5"/>
    </row>
    <row r="18" spans="1:18" x14ac:dyDescent="0.25">
      <c r="A18" s="129" t="s">
        <v>46</v>
      </c>
      <c r="B18" s="43">
        <v>114421</v>
      </c>
      <c r="C18" s="43">
        <v>116067</v>
      </c>
      <c r="D18" s="43">
        <v>106552</v>
      </c>
      <c r="E18" s="43">
        <v>100786</v>
      </c>
      <c r="F18" s="43">
        <v>131542</v>
      </c>
      <c r="G18" s="43">
        <v>98743</v>
      </c>
      <c r="H18" s="43">
        <v>114025</v>
      </c>
      <c r="I18" s="43">
        <v>106642</v>
      </c>
      <c r="J18" s="43">
        <v>103959</v>
      </c>
      <c r="K18" s="43">
        <v>140274</v>
      </c>
      <c r="L18" s="43">
        <v>115128</v>
      </c>
      <c r="M18" s="43">
        <v>129582</v>
      </c>
      <c r="N18" s="128">
        <f t="shared" si="1"/>
        <v>1377721</v>
      </c>
      <c r="R18" s="5"/>
    </row>
    <row r="19" spans="1:18" x14ac:dyDescent="0.25">
      <c r="A19" s="129" t="s">
        <v>2</v>
      </c>
      <c r="B19" s="43">
        <v>9477545</v>
      </c>
      <c r="C19" s="43">
        <v>9039484</v>
      </c>
      <c r="D19" s="43">
        <v>9489194</v>
      </c>
      <c r="E19" s="43">
        <v>8922464</v>
      </c>
      <c r="F19" s="43">
        <v>10013921</v>
      </c>
      <c r="G19" s="43">
        <v>7479343</v>
      </c>
      <c r="H19" s="43">
        <v>7623170</v>
      </c>
      <c r="I19" s="43">
        <v>8318329</v>
      </c>
      <c r="J19" s="43">
        <v>7328010</v>
      </c>
      <c r="K19" s="43">
        <v>9572195</v>
      </c>
      <c r="L19" s="43">
        <v>8222032</v>
      </c>
      <c r="M19" s="43">
        <v>8648590</v>
      </c>
      <c r="N19" s="128">
        <f t="shared" si="1"/>
        <v>104134277</v>
      </c>
      <c r="R19" s="5"/>
    </row>
    <row r="20" spans="1:18" x14ac:dyDescent="0.25">
      <c r="A20" s="129" t="s">
        <v>47</v>
      </c>
      <c r="B20" s="43">
        <v>2851176</v>
      </c>
      <c r="C20" s="43">
        <v>2492595</v>
      </c>
      <c r="D20" s="43">
        <v>2211174</v>
      </c>
      <c r="E20" s="43">
        <v>2072278</v>
      </c>
      <c r="F20" s="43">
        <v>2587516</v>
      </c>
      <c r="G20" s="43">
        <v>2629021</v>
      </c>
      <c r="H20" s="43">
        <v>3483217</v>
      </c>
      <c r="I20" s="43">
        <v>3865764</v>
      </c>
      <c r="J20" s="43">
        <v>3640639</v>
      </c>
      <c r="K20" s="43">
        <v>4692450</v>
      </c>
      <c r="L20" s="43">
        <v>3397500</v>
      </c>
      <c r="M20" s="43">
        <v>3252834</v>
      </c>
      <c r="N20" s="128">
        <f t="shared" si="1"/>
        <v>37176164</v>
      </c>
      <c r="R20" s="5"/>
    </row>
    <row r="21" spans="1:18" x14ac:dyDescent="0.25">
      <c r="A21" s="4" t="s">
        <v>3</v>
      </c>
      <c r="B21" s="6">
        <f>SUM(B7:B20)</f>
        <v>69223699</v>
      </c>
      <c r="C21" s="6">
        <f t="shared" ref="C21:M21" si="2">SUM(C7:C20)</f>
        <v>54728161</v>
      </c>
      <c r="D21" s="6">
        <f t="shared" si="2"/>
        <v>46841032</v>
      </c>
      <c r="E21" s="6">
        <f t="shared" si="2"/>
        <v>46776439</v>
      </c>
      <c r="F21" s="6">
        <f t="shared" si="2"/>
        <v>57527131</v>
      </c>
      <c r="G21" s="6">
        <f t="shared" si="2"/>
        <v>88290824</v>
      </c>
      <c r="H21" s="6">
        <f t="shared" si="2"/>
        <v>128787241</v>
      </c>
      <c r="I21" s="6">
        <f t="shared" si="2"/>
        <v>159555280</v>
      </c>
      <c r="J21" s="6">
        <f t="shared" si="2"/>
        <v>150539817</v>
      </c>
      <c r="K21" s="6">
        <f t="shared" si="2"/>
        <v>142359585</v>
      </c>
      <c r="L21" s="6">
        <f t="shared" si="2"/>
        <v>128191402</v>
      </c>
      <c r="M21" s="6">
        <f t="shared" si="2"/>
        <v>95915648</v>
      </c>
      <c r="N21" s="6">
        <f>SUM(N7:N20)</f>
        <v>1168736259</v>
      </c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8" x14ac:dyDescent="0.25">
      <c r="A23" s="4" t="s">
        <v>20</v>
      </c>
      <c r="B23" s="5">
        <f>SUM(B7:B11)</f>
        <v>45664357</v>
      </c>
      <c r="C23" s="5">
        <f t="shared" ref="C23:M23" si="3">SUM(C7:C11)</f>
        <v>32706746</v>
      </c>
      <c r="D23" s="5">
        <f t="shared" si="3"/>
        <v>25471677</v>
      </c>
      <c r="E23" s="5">
        <f t="shared" si="3"/>
        <v>25960987</v>
      </c>
      <c r="F23" s="5">
        <f t="shared" si="3"/>
        <v>33941782</v>
      </c>
      <c r="G23" s="5">
        <f t="shared" si="3"/>
        <v>67764143</v>
      </c>
      <c r="H23" s="5">
        <f t="shared" si="3"/>
        <v>106172506</v>
      </c>
      <c r="I23" s="5">
        <f t="shared" si="3"/>
        <v>135348423</v>
      </c>
      <c r="J23" s="5">
        <f t="shared" si="3"/>
        <v>128648391</v>
      </c>
      <c r="K23" s="5">
        <f t="shared" si="3"/>
        <v>115667289</v>
      </c>
      <c r="L23" s="5">
        <f t="shared" si="3"/>
        <v>105373011</v>
      </c>
      <c r="M23" s="5">
        <f t="shared" si="3"/>
        <v>72617697</v>
      </c>
      <c r="N23" s="5">
        <f>SUM(B23:M23)</f>
        <v>895337009</v>
      </c>
    </row>
    <row r="24" spans="1:18" x14ac:dyDescent="0.25">
      <c r="A24" s="4" t="s">
        <v>21</v>
      </c>
      <c r="B24" s="5">
        <f>SUM(B12:B14)</f>
        <v>2456613</v>
      </c>
      <c r="C24" s="5">
        <f t="shared" ref="C24:M24" si="4">SUM(C12:C14)</f>
        <v>1976326</v>
      </c>
      <c r="D24" s="5">
        <f t="shared" si="4"/>
        <v>1885653</v>
      </c>
      <c r="E24" s="5">
        <f t="shared" si="4"/>
        <v>1990204</v>
      </c>
      <c r="F24" s="5">
        <f t="shared" si="4"/>
        <v>1950567</v>
      </c>
      <c r="G24" s="5">
        <f t="shared" si="4"/>
        <v>2965677</v>
      </c>
      <c r="H24" s="5">
        <f t="shared" si="4"/>
        <v>3330630</v>
      </c>
      <c r="I24" s="5">
        <f t="shared" si="4"/>
        <v>4207215</v>
      </c>
      <c r="J24" s="5">
        <f t="shared" si="4"/>
        <v>3407208</v>
      </c>
      <c r="K24" s="5">
        <f t="shared" si="4"/>
        <v>3353626</v>
      </c>
      <c r="L24" s="5">
        <f t="shared" si="4"/>
        <v>3160108</v>
      </c>
      <c r="M24" s="5">
        <f t="shared" si="4"/>
        <v>2450724</v>
      </c>
      <c r="N24" s="5">
        <f>SUM(B24:M24)</f>
        <v>33134551</v>
      </c>
    </row>
    <row r="25" spans="1:18" x14ac:dyDescent="0.25">
      <c r="A25" s="4" t="s">
        <v>53</v>
      </c>
      <c r="B25" s="40">
        <f>SUM(B15:B20)</f>
        <v>21102729</v>
      </c>
      <c r="C25" s="40">
        <f t="shared" ref="C25:M25" si="5">SUM(C15:C20)</f>
        <v>20045089</v>
      </c>
      <c r="D25" s="40">
        <f t="shared" si="5"/>
        <v>19483702</v>
      </c>
      <c r="E25" s="40">
        <f t="shared" si="5"/>
        <v>18825248</v>
      </c>
      <c r="F25" s="40">
        <f t="shared" si="5"/>
        <v>21634782</v>
      </c>
      <c r="G25" s="40">
        <f t="shared" si="5"/>
        <v>17561004</v>
      </c>
      <c r="H25" s="40">
        <f t="shared" si="5"/>
        <v>19284105</v>
      </c>
      <c r="I25" s="40">
        <f t="shared" si="5"/>
        <v>19999642</v>
      </c>
      <c r="J25" s="40">
        <f t="shared" si="5"/>
        <v>18484218</v>
      </c>
      <c r="K25" s="40">
        <f t="shared" si="5"/>
        <v>23338670</v>
      </c>
      <c r="L25" s="40">
        <f t="shared" si="5"/>
        <v>19658283</v>
      </c>
      <c r="M25" s="40">
        <f t="shared" si="5"/>
        <v>20847227</v>
      </c>
      <c r="N25" s="40">
        <f>SUM(B25:M25)</f>
        <v>240264699</v>
      </c>
    </row>
    <row r="26" spans="1:18" x14ac:dyDescent="0.25">
      <c r="A26" s="4" t="s">
        <v>54</v>
      </c>
      <c r="B26" s="5">
        <f t="shared" ref="B26:M26" si="6">SUM(B23:B25)</f>
        <v>69223699</v>
      </c>
      <c r="C26" s="5">
        <f t="shared" si="6"/>
        <v>54728161</v>
      </c>
      <c r="D26" s="5">
        <f t="shared" si="6"/>
        <v>46841032</v>
      </c>
      <c r="E26" s="5">
        <f t="shared" si="6"/>
        <v>46776439</v>
      </c>
      <c r="F26" s="5">
        <f t="shared" si="6"/>
        <v>57527131</v>
      </c>
      <c r="G26" s="5">
        <f t="shared" si="6"/>
        <v>88290824</v>
      </c>
      <c r="H26" s="5">
        <f t="shared" si="6"/>
        <v>128787241</v>
      </c>
      <c r="I26" s="5">
        <f t="shared" si="6"/>
        <v>159555280</v>
      </c>
      <c r="J26" s="5">
        <f t="shared" si="6"/>
        <v>150539817</v>
      </c>
      <c r="K26" s="5">
        <f t="shared" si="6"/>
        <v>142359585</v>
      </c>
      <c r="L26" s="5">
        <f t="shared" si="6"/>
        <v>128191402</v>
      </c>
      <c r="M26" s="5">
        <f t="shared" si="6"/>
        <v>95915648</v>
      </c>
      <c r="N26" s="5">
        <f>SUM(B26:M26)</f>
        <v>1168736259</v>
      </c>
    </row>
    <row r="27" spans="1:18" x14ac:dyDescent="0.25">
      <c r="A27" s="41" t="s">
        <v>28</v>
      </c>
      <c r="B27" s="42">
        <f>B21-B26</f>
        <v>0</v>
      </c>
      <c r="C27" s="42">
        <f t="shared" ref="C27:N27" si="7">C21-C26</f>
        <v>0</v>
      </c>
      <c r="D27" s="42">
        <f t="shared" si="7"/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  <c r="H27" s="42">
        <f t="shared" si="7"/>
        <v>0</v>
      </c>
      <c r="I27" s="42">
        <f t="shared" si="7"/>
        <v>0</v>
      </c>
      <c r="J27" s="42">
        <f t="shared" si="7"/>
        <v>0</v>
      </c>
      <c r="K27" s="42">
        <f t="shared" si="7"/>
        <v>0</v>
      </c>
      <c r="L27" s="42">
        <f t="shared" si="7"/>
        <v>0</v>
      </c>
      <c r="M27" s="42">
        <f t="shared" si="7"/>
        <v>0</v>
      </c>
      <c r="N27" s="42">
        <f t="shared" si="7"/>
        <v>0</v>
      </c>
    </row>
    <row r="29" spans="1:18" x14ac:dyDescent="0.25">
      <c r="A29" s="3" t="s">
        <v>155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7" orientation="landscape" blackAndWhite="1" r:id="rId1"/>
  <headerFooter>
    <oddFooter>&amp;L&amp;F 
&amp;A&amp;C&amp;P&amp;R&amp;D</oddFooter>
  </headerFooter>
  <customProperties>
    <customPr name="EpmWorksheetKeyString_GUID" r:id="rId2"/>
  </customProperties>
  <ignoredErrors>
    <ignoredError sqref="N7:N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379613373D46428739FF19C6A80EF6" ma:contentTypeVersion="24" ma:contentTypeDescription="" ma:contentTypeScope="" ma:versionID="f368989cb71902172787871ccfd107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2023-03-01T08:00:00+00:00</OpenedDate>
    <SignificantOrder xmlns="dc463f71-b30c-4ab2-9473-d307f9d35888">false</SignificantOrder>
    <Date1 xmlns="dc463f71-b30c-4ab2-9473-d307f9d35888">2023-03-01T08:00:00+00:00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BFE450-B6CF-4C5F-8692-7D8AA100908D}"/>
</file>

<file path=customXml/itemProps2.xml><?xml version="1.0" encoding="utf-8"?>
<ds:datastoreItem xmlns:ds="http://schemas.openxmlformats.org/officeDocument/2006/customXml" ds:itemID="{3333B014-9718-4972-AF00-BCDB67A262A7}"/>
</file>

<file path=customXml/itemProps3.xml><?xml version="1.0" encoding="utf-8"?>
<ds:datastoreItem xmlns:ds="http://schemas.openxmlformats.org/officeDocument/2006/customXml" ds:itemID="{CC064998-3E02-4563-B692-BE5D3A433D78}"/>
</file>

<file path=customXml/itemProps4.xml><?xml version="1.0" encoding="utf-8"?>
<ds:datastoreItem xmlns:ds="http://schemas.openxmlformats.org/officeDocument/2006/customXml" ds:itemID="{D66EA0BC-E8A8-49AD-998C-CA3F8AB23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Rates</vt:lpstr>
      <vt:lpstr>Allocation</vt:lpstr>
      <vt:lpstr>Rate Impacts--&gt;</vt:lpstr>
      <vt:lpstr>Rate Impacts Sch 120</vt:lpstr>
      <vt:lpstr>Typical Res Bill Sch 120</vt:lpstr>
      <vt:lpstr>Sch. 120</vt:lpstr>
      <vt:lpstr>Workpapers--&gt;</vt:lpstr>
      <vt:lpstr>Rev Requirement</vt:lpstr>
      <vt:lpstr>Forecasted Volume</vt:lpstr>
      <vt:lpstr>Conversion Factor</vt:lpstr>
      <vt:lpstr>Allocation!Print_Area</vt:lpstr>
      <vt:lpstr>'Forecasted Volume'!Print_Area</vt:lpstr>
      <vt:lpstr>'Rate Impacts Sch 120'!Print_Area</vt:lpstr>
      <vt:lpstr>Rates!Print_Area</vt:lpstr>
      <vt:lpstr>'Rev Requirement'!Print_Area</vt:lpstr>
      <vt:lpstr>'Typical Res Bill Sch 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Replyanskaya, Ekaterina - Transmission</cp:lastModifiedBy>
  <cp:lastPrinted>2023-02-21T22:33:33Z</cp:lastPrinted>
  <dcterms:created xsi:type="dcterms:W3CDTF">2013-02-25T17:53:58Z</dcterms:created>
  <dcterms:modified xsi:type="dcterms:W3CDTF">2023-02-21T23:21:56Z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0x0101006E56B4D1795A2E4DB2F0B01679ED314A0004379613373D46428739FF19C6A80EF6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